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carmen_carnicero_dep_nj_gov/Documents/Desktop/Website/Construction Permits/BWSE Forms/"/>
    </mc:Choice>
  </mc:AlternateContent>
  <xr:revisionPtr revIDLastSave="0" documentId="8_{9C754E40-2B75-4095-82F8-5AB0C73845C5}" xr6:coauthVersionLast="47" xr6:coauthVersionMax="47" xr10:uidLastSave="{00000000-0000-0000-0000-000000000000}"/>
  <bookViews>
    <workbookView xWindow="33300" yWindow="2010" windowWidth="21600" windowHeight="11295" xr2:uid="{00000000-000D-0000-FFFF-FFFF00000000}"/>
  </bookViews>
  <sheets>
    <sheet name="Sheet1" sheetId="6" r:id="rId1"/>
    <sheet name="Sheet2" sheetId="2" state="hidden" r:id="rId2"/>
    <sheet name="Sheet3" sheetId="4" state="hidden" r:id="rId3"/>
    <sheet name="Sheet4" sheetId="5" state="hidden" r:id="rId4"/>
  </sheets>
  <definedNames>
    <definedName name="_xlnm.Print_Area" localSheetId="0">Sheet1!$A$1:$H$58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F29" i="4" s="1"/>
  <c r="F28" i="4" s="1"/>
  <c r="G27" i="4" s="1"/>
  <c r="F27" i="4" s="1"/>
  <c r="H25" i="6" s="1"/>
  <c r="N28" i="4" s="1"/>
  <c r="F42" i="4"/>
  <c r="G42" i="4" s="1"/>
  <c r="H44" i="6" s="1"/>
  <c r="N30" i="4" s="1"/>
  <c r="A5" i="4"/>
  <c r="F6" i="4" s="1"/>
  <c r="G6" i="4" s="1"/>
  <c r="A6" i="4" s="1"/>
  <c r="H8" i="6" s="1"/>
  <c r="H17" i="6"/>
  <c r="M18" i="4"/>
  <c r="N20" i="4" s="1"/>
  <c r="N19" i="4" s="1"/>
  <c r="O18" i="4" s="1"/>
  <c r="N18" i="4" s="1"/>
  <c r="H38" i="6" s="1"/>
  <c r="F35" i="4"/>
  <c r="G35" i="4" s="1"/>
  <c r="H42" i="6" s="1"/>
  <c r="A33" i="4"/>
  <c r="A17" i="5"/>
  <c r="A18" i="5"/>
  <c r="A19" i="5"/>
  <c r="A5" i="5"/>
  <c r="A6" i="5"/>
  <c r="A7" i="5"/>
  <c r="H6" i="4"/>
  <c r="A8" i="5" l="1"/>
  <c r="A20" i="5"/>
  <c r="H8" i="4"/>
  <c r="A8" i="4" s="1"/>
  <c r="H10" i="6" s="1"/>
  <c r="F8" i="4"/>
  <c r="G8" i="4" s="1"/>
  <c r="H7" i="4"/>
  <c r="F7" i="4"/>
  <c r="G7" i="4" s="1"/>
  <c r="A7" i="4" s="1"/>
  <c r="Q27" i="4"/>
  <c r="A10" i="4" l="1"/>
  <c r="H11" i="6" s="1"/>
  <c r="N27" i="4" s="1"/>
  <c r="H9" i="6"/>
  <c r="A12" i="4"/>
  <c r="Q29" i="4" l="1"/>
  <c r="Q30" i="4"/>
  <c r="N32" i="4"/>
  <c r="Q28" i="4"/>
  <c r="O27" i="4"/>
  <c r="O28" i="4" s="1"/>
  <c r="O33" i="4" l="1"/>
  <c r="N33" i="4"/>
  <c r="N35" i="4" s="1"/>
  <c r="H50" i="6" s="1"/>
  <c r="O32" i="4"/>
</calcChain>
</file>

<file path=xl/sharedStrings.xml><?xml version="1.0" encoding="utf-8"?>
<sst xmlns="http://schemas.openxmlformats.org/spreadsheetml/2006/main" count="132" uniqueCount="113">
  <si>
    <t>That portion of the construction cost between</t>
  </si>
  <si>
    <t>$0.00 to $250,000.00   x   0.9%</t>
  </si>
  <si>
    <t>$1,000,001 and above   x   0.3%</t>
  </si>
  <si>
    <t>Construction Costs</t>
  </si>
  <si>
    <t>K5</t>
  </si>
  <si>
    <t>K6</t>
  </si>
  <si>
    <t>K7</t>
  </si>
  <si>
    <t>cost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</si>
  <si>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</si>
  <si>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</si>
  <si>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</si>
  <si>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</si>
  <si>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</si>
  <si>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</si>
  <si>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</si>
  <si>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</si>
  <si>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</si>
  <si>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</si>
  <si>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</si>
  <si>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</si>
  <si>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IF(A3&lt;=1000000,A3*K4,G5)</t>
  </si>
  <si>
    <t>IF(A3=J5, A3*K4, G6)</t>
  </si>
  <si>
    <t>IF(A3=J6, (K5+(A3-J5)*0.12), G7)</t>
  </si>
  <si>
    <t>IF(A3=J7, K6+(A3-J6)*0.06, G8)</t>
  </si>
  <si>
    <t>IF(A3&gt;=J7, K7+(A3-J7)*0.05, G8)</t>
  </si>
  <si>
    <t>IF(AND(J5&lt;A3,A3&lt;J6),H5,F5)</t>
  </si>
  <si>
    <t>IF(AND(J6&lt;A3, A3&lt;J7), H6,F6)</t>
  </si>
  <si>
    <t>IF(AND(J7&lt;A3, J8&lt;A3),H7,F8)</t>
  </si>
  <si>
    <t>K5+(0.12*(A3-J5))</t>
  </si>
  <si>
    <t>K6+(0.06*(A3-J6))</t>
  </si>
  <si>
    <t>K7+(0.05*(A3-J7))</t>
  </si>
  <si>
    <t>K4</t>
  </si>
  <si>
    <t>250,000 X 0.009</t>
  </si>
  <si>
    <t>750,000 X 0.006</t>
  </si>
  <si>
    <t>500,000 X 0.003</t>
  </si>
  <si>
    <t>J5</t>
  </si>
  <si>
    <t>J6</t>
  </si>
  <si>
    <t>J7</t>
  </si>
  <si>
    <t>J8</t>
  </si>
  <si>
    <t>K16</t>
  </si>
  <si>
    <t>K17</t>
  </si>
  <si>
    <t>K18</t>
  </si>
  <si>
    <t xml:space="preserve">$250,001 to $1,000,000.00   x   0.6%       </t>
  </si>
  <si>
    <t xml:space="preserve">TOTAL FROM ABOVE FORMULA      </t>
  </si>
  <si>
    <t>Fees for Water Mains</t>
  </si>
  <si>
    <t>Class 1</t>
  </si>
  <si>
    <t>Class 2</t>
  </si>
  <si>
    <t>Class 3</t>
  </si>
  <si>
    <t>Class 4</t>
  </si>
  <si>
    <t>25 to 999 People</t>
  </si>
  <si>
    <t>1,000 to 9,999 People</t>
  </si>
  <si>
    <t>10,000 to 49,999 People</t>
  </si>
  <si>
    <t>50,000 or more People</t>
  </si>
  <si>
    <t>Y</t>
  </si>
  <si>
    <t>N</t>
  </si>
  <si>
    <t>PLUS/OR</t>
  </si>
  <si>
    <t>projects, the fee shall be the greater amount based on the number of service connections or water main length in</t>
  </si>
  <si>
    <t>accordance with the following table:</t>
  </si>
  <si>
    <t>Service Connections</t>
  </si>
  <si>
    <t>Water Main Length (ft)</t>
  </si>
  <si>
    <t>Fee</t>
  </si>
  <si>
    <t>50 to 100</t>
  </si>
  <si>
    <t>1,500 to 3,000</t>
  </si>
  <si>
    <t>101 to 250</t>
  </si>
  <si>
    <t>251 to 500</t>
  </si>
  <si>
    <t>501 or more</t>
  </si>
  <si>
    <t>3,001 to 7,500</t>
  </si>
  <si>
    <t>7,501 to 15,000</t>
  </si>
  <si>
    <t>15,001 or more</t>
  </si>
  <si>
    <t xml:space="preserve">Permit application fees for projects that include construction of water main extensions with other components of a </t>
  </si>
  <si>
    <t>water system (e.g. new well, storage, pump station, treatment, etc.) for which the fee is based on construction cost</t>
  </si>
  <si>
    <t>are to be calculated separately. The sum of A and B above will be the review fee.</t>
  </si>
  <si>
    <t>MASTER PERMIT</t>
  </si>
  <si>
    <t>SIMPLIFIED</t>
  </si>
  <si>
    <t>INTERCONNECT PCWS</t>
  </si>
  <si>
    <t>WATER MAIN</t>
  </si>
  <si>
    <t>TREATMENT</t>
  </si>
  <si>
    <t>TOTAL</t>
  </si>
  <si>
    <t>$</t>
  </si>
  <si>
    <r>
      <t xml:space="preserve">Fees for all projects </t>
    </r>
    <r>
      <rPr>
        <b/>
        <u/>
        <sz val="9"/>
        <rFont val="Arial"/>
        <family val="2"/>
      </rPr>
      <t>except WATER MAINS</t>
    </r>
    <r>
      <rPr>
        <b/>
        <sz val="9"/>
        <rFont val="Arial"/>
        <family val="2"/>
      </rPr>
      <t xml:space="preserve"> are to be based on cost of construction and calculated as follows:</t>
    </r>
  </si>
  <si>
    <r>
      <t xml:space="preserve">a) </t>
    </r>
    <r>
      <rPr>
        <b/>
        <u/>
        <sz val="9"/>
        <rFont val="Arial"/>
        <family val="2"/>
      </rPr>
      <t xml:space="preserve">Master Permit &amp; Master Permit Renewals: </t>
    </r>
    <r>
      <rPr>
        <sz val="9"/>
        <rFont val="Arial"/>
        <family val="2"/>
      </rPr>
      <t xml:space="preserve"> Fee is based on Class of Water System</t>
    </r>
  </si>
  <si>
    <r>
      <t xml:space="preserve">b) </t>
    </r>
    <r>
      <rPr>
        <b/>
        <sz val="9"/>
        <rFont val="Arial"/>
        <family val="2"/>
      </rPr>
      <t>Fees for Water Mains Not Under a Master Permit</t>
    </r>
  </si>
  <si>
    <r>
      <t>50</t>
    </r>
    <r>
      <rPr>
        <sz val="9"/>
        <rFont val="Arial"/>
        <family val="2"/>
      </rPr>
      <t xml:space="preserve"> or more service connections or includes an interconnection with another public community water system. For these</t>
    </r>
  </si>
  <si>
    <r>
      <t xml:space="preserve">Note: </t>
    </r>
    <r>
      <rPr>
        <sz val="9"/>
        <rFont val="Arial"/>
        <family val="2"/>
      </rPr>
      <t xml:space="preserve"> The fee to construct an interconnection with another Public Community Water System (PCWS) that is less </t>
    </r>
  </si>
  <si>
    <r>
      <t xml:space="preserve">than 1,500 feet in length is </t>
    </r>
    <r>
      <rPr>
        <b/>
        <sz val="9"/>
        <rFont val="Arial"/>
        <family val="2"/>
      </rPr>
      <t>$250.00</t>
    </r>
  </si>
  <si>
    <r>
      <t>Note</t>
    </r>
    <r>
      <rPr>
        <sz val="9"/>
        <rFont val="Arial"/>
        <family val="2"/>
      </rPr>
      <t xml:space="preserve">: for projects that have components that require a fee based on Cost of Construction &amp; Service Connections - Water Main Length
</t>
    </r>
  </si>
  <si>
    <r>
      <t>Note</t>
    </r>
    <r>
      <rPr>
        <sz val="9"/>
        <rFont val="Arial"/>
        <family val="2"/>
      </rPr>
      <t>: there is a $1,000.00 additional fee for each new source of water supply (new wells &amp; surface sources).</t>
    </r>
  </si>
  <si>
    <t>the cost of construction of the water main should be deducted from the formula for that portion of the fee.</t>
  </si>
  <si>
    <t>50 REALTY</t>
  </si>
  <si>
    <t>MP</t>
  </si>
  <si>
    <t>others</t>
  </si>
  <si>
    <t>Realty</t>
  </si>
  <si>
    <t>n30</t>
  </si>
  <si>
    <t>n27</t>
  </si>
  <si>
    <t>n28</t>
  </si>
  <si>
    <t>n29</t>
  </si>
  <si>
    <t>REAL</t>
  </si>
  <si>
    <t>SIMP</t>
  </si>
  <si>
    <t>OTHER</t>
  </si>
  <si>
    <t>REALTY</t>
  </si>
  <si>
    <t>NO. OF NEW SOURCE(S)</t>
  </si>
  <si>
    <t>ENTER CLASS OF WATER SYSTEM</t>
  </si>
  <si>
    <t>ENTER LINE NUMBER THAT APPLIES:</t>
  </si>
  <si>
    <t>INTERCONNECT WITH ANOTHER PCWS (Y/N)</t>
  </si>
  <si>
    <t>50 OR MORE REALTY IMPROVEMENTS ( NON-PUBLIC WELLS) (Y/N)</t>
  </si>
  <si>
    <t>TOTAL FEE SUBMITTED WITH PERMIT APPLICATION***</t>
  </si>
  <si>
    <t>*** IF TOTAL =$0.00, AN ERROR HAS BEEN MADE. PLEASE REVISE FORM</t>
  </si>
  <si>
    <r>
      <t xml:space="preserve">Note: There is a </t>
    </r>
    <r>
      <rPr>
        <b/>
        <u/>
        <sz val="11"/>
        <rFont val="Arial"/>
        <family val="2"/>
      </rPr>
      <t>minimum fee of $100.00</t>
    </r>
    <r>
      <rPr>
        <b/>
        <sz val="11"/>
        <rFont val="Arial"/>
        <family val="2"/>
      </rPr>
      <t xml:space="preserve"> and a </t>
    </r>
    <r>
      <rPr>
        <b/>
        <u/>
        <sz val="11"/>
        <rFont val="Arial"/>
        <family val="2"/>
      </rPr>
      <t>maximum fee of $12,000.00</t>
    </r>
    <r>
      <rPr>
        <b/>
        <sz val="11"/>
        <rFont val="Arial"/>
        <family val="2"/>
      </rPr>
      <t xml:space="preserve"> </t>
    </r>
  </si>
  <si>
    <t>A replacement well is considered as a new source</t>
  </si>
  <si>
    <t>COST OF CONSTRUCTION ONLY</t>
  </si>
  <si>
    <r>
      <t xml:space="preserve">i) </t>
    </r>
    <r>
      <rPr>
        <b/>
        <u/>
        <sz val="9"/>
        <rFont val="Arial"/>
        <family val="2"/>
      </rPr>
      <t>Standard Application</t>
    </r>
    <r>
      <rPr>
        <sz val="9"/>
        <rFont val="Arial"/>
        <family val="2"/>
      </rPr>
      <t xml:space="preserve"> - is to be used for any water main extension that is </t>
    </r>
    <r>
      <rPr>
        <b/>
        <sz val="9"/>
        <rFont val="Arial"/>
        <family val="2"/>
      </rPr>
      <t>3,000 feet</t>
    </r>
    <r>
      <rPr>
        <sz val="9"/>
        <rFont val="Arial"/>
        <family val="2"/>
      </rPr>
      <t xml:space="preserve"> or more in length, or includes</t>
    </r>
  </si>
  <si>
    <t>removed from calculations N/A</t>
  </si>
  <si>
    <t>This form is not required with Simplified Water Main Extension applications as they are a fixed $250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</si>
</sst>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16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166" fontId="4" fillId="0" borderId="0" xfId="1" applyNumberFormat="1" applyFont="1" applyProtection="1">
      <protection locked="0"/>
    </xf>
    <xf numFmtId="44" fontId="4" fillId="0" borderId="0" xfId="1" applyFont="1"/>
    <xf numFmtId="3" fontId="4" fillId="0" borderId="0" xfId="0" applyNumberFormat="1" applyFont="1"/>
    <xf numFmtId="166" fontId="4" fillId="0" borderId="0" xfId="1" applyNumberFormat="1" applyFont="1"/>
    <xf numFmtId="0" fontId="3" fillId="0" borderId="0" xfId="0" applyFont="1"/>
    <xf numFmtId="4" fontId="4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1" applyNumberFormat="1" applyFont="1"/>
    <xf numFmtId="164" fontId="4" fillId="0" borderId="0" xfId="0" applyNumberFormat="1" applyFont="1"/>
    <xf numFmtId="164" fontId="3" fillId="0" borderId="0" xfId="0" applyNumberFormat="1" applyFont="1"/>
    <xf numFmtId="0" fontId="6" fillId="0" borderId="0" xfId="0" applyFont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/>
    <xf numFmtId="3" fontId="4" fillId="0" borderId="8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/>
    <xf numFmtId="0" fontId="4" fillId="0" borderId="5" xfId="0" applyFont="1" applyBorder="1"/>
    <xf numFmtId="165" fontId="4" fillId="0" borderId="0" xfId="0" applyNumberFormat="1" applyFont="1"/>
    <xf numFmtId="0" fontId="3" fillId="0" borderId="5" xfId="0" applyFont="1" applyBorder="1"/>
    <xf numFmtId="0" fontId="4" fillId="0" borderId="4" xfId="0" applyFont="1" applyBorder="1"/>
    <xf numFmtId="164" fontId="4" fillId="0" borderId="6" xfId="0" applyNumberFormat="1" applyFont="1" applyBorder="1"/>
    <xf numFmtId="0" fontId="4" fillId="0" borderId="7" xfId="0" applyFont="1" applyBorder="1"/>
    <xf numFmtId="4" fontId="4" fillId="0" borderId="7" xfId="0" applyNumberFormat="1" applyFont="1" applyBorder="1"/>
    <xf numFmtId="3" fontId="4" fillId="0" borderId="7" xfId="1" applyNumberFormat="1" applyFont="1" applyBorder="1"/>
    <xf numFmtId="0" fontId="4" fillId="0" borderId="8" xfId="0" applyFont="1" applyBorder="1"/>
    <xf numFmtId="0" fontId="4" fillId="0" borderId="6" xfId="0" applyFont="1" applyBorder="1"/>
    <xf numFmtId="0" fontId="7" fillId="0" borderId="4" xfId="0" applyFont="1" applyBorder="1"/>
    <xf numFmtId="0" fontId="7" fillId="0" borderId="0" xfId="0" applyFont="1"/>
    <xf numFmtId="164" fontId="7" fillId="0" borderId="5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164" fontId="8" fillId="0" borderId="0" xfId="0" applyNumberFormat="1" applyFont="1"/>
    <xf numFmtId="164" fontId="8" fillId="0" borderId="9" xfId="0" applyNumberFormat="1" applyFont="1" applyBorder="1"/>
    <xf numFmtId="0" fontId="8" fillId="0" borderId="0" xfId="0" applyFont="1" applyAlignment="1">
      <alignment horizontal="left" indent="4"/>
    </xf>
    <xf numFmtId="0" fontId="11" fillId="0" borderId="0" xfId="0" applyFont="1"/>
    <xf numFmtId="164" fontId="10" fillId="0" borderId="10" xfId="0" applyNumberFormat="1" applyFont="1" applyBorder="1"/>
    <xf numFmtId="0" fontId="13" fillId="0" borderId="0" xfId="0" applyFont="1"/>
    <xf numFmtId="164" fontId="10" fillId="2" borderId="7" xfId="0" applyNumberFormat="1" applyFont="1" applyFill="1" applyBorder="1"/>
    <xf numFmtId="0" fontId="10" fillId="2" borderId="7" xfId="0" applyFont="1" applyFill="1" applyBorder="1" applyAlignment="1">
      <alignment horizontal="center"/>
    </xf>
    <xf numFmtId="0" fontId="8" fillId="2" borderId="7" xfId="0" applyFont="1" applyFill="1" applyBorder="1"/>
    <xf numFmtId="0" fontId="14" fillId="0" borderId="0" xfId="0" applyFont="1"/>
    <xf numFmtId="164" fontId="4" fillId="0" borderId="5" xfId="0" applyNumberFormat="1" applyFont="1" applyBorder="1"/>
    <xf numFmtId="0" fontId="15" fillId="0" borderId="0" xfId="0" applyFont="1"/>
    <xf numFmtId="0" fontId="16" fillId="0" borderId="0" xfId="0" applyFont="1"/>
    <xf numFmtId="164" fontId="3" fillId="0" borderId="7" xfId="0" applyNumberFormat="1" applyFont="1" applyBorder="1"/>
    <xf numFmtId="0" fontId="17" fillId="0" borderId="0" xfId="0" applyFont="1"/>
    <xf numFmtId="0" fontId="8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4"/>
  <sheetViews>
    <sheetView tabSelected="1" view="pageLayout" zoomScale="130" zoomScaleNormal="130" zoomScalePageLayoutView="130" workbookViewId="0">
      <selection activeCell="F15" sqref="F15"/>
    </sheetView>
  </sheetViews>
  <sheetFormatPr defaultRowHeight="12" x14ac:dyDescent="0.2"/>
  <cols>
    <col min="1" max="1" width="2.5703125" style="42" customWidth="1"/>
    <col min="2" max="2" width="19.85546875" style="42" customWidth="1"/>
    <col min="3" max="3" width="20.5703125" style="42" customWidth="1"/>
    <col min="4" max="4" width="11.85546875" style="42" customWidth="1"/>
    <col min="5" max="5" width="9.85546875" style="42" bestFit="1" customWidth="1"/>
    <col min="6" max="6" width="13.85546875" style="42" bestFit="1" customWidth="1"/>
    <col min="7" max="7" width="9.140625" style="42"/>
    <col min="8" max="8" width="15.42578125" style="42" customWidth="1"/>
    <col min="9" max="9" width="9.140625" style="42"/>
    <col min="10" max="10" width="9" style="42" customWidth="1"/>
    <col min="11" max="16384" width="9.140625" style="42"/>
  </cols>
  <sheetData>
    <row r="2" spans="1:11" ht="15" x14ac:dyDescent="0.25">
      <c r="A2" s="61" t="s">
        <v>107</v>
      </c>
    </row>
    <row r="4" spans="1:11" x14ac:dyDescent="0.2">
      <c r="B4" s="43" t="s">
        <v>109</v>
      </c>
      <c r="E4" s="44" t="s">
        <v>78</v>
      </c>
      <c r="F4" s="53"/>
    </row>
    <row r="6" spans="1:11" x14ac:dyDescent="0.2">
      <c r="A6" s="45" t="s">
        <v>8</v>
      </c>
      <c r="B6" s="45" t="s">
        <v>79</v>
      </c>
    </row>
    <row r="7" spans="1:11" x14ac:dyDescent="0.2">
      <c r="B7" s="46" t="s">
        <v>0</v>
      </c>
    </row>
    <row r="8" spans="1:11" x14ac:dyDescent="0.2">
      <c r="B8" s="42" t="s">
        <v>1</v>
      </c>
      <c r="H8" s="47">
        <f>Sheet3!A6</f>
        <v>0</v>
      </c>
    </row>
    <row r="9" spans="1:11" x14ac:dyDescent="0.2">
      <c r="B9" s="42" t="s">
        <v>42</v>
      </c>
      <c r="H9" s="47">
        <f>Sheet3!A7</f>
        <v>0</v>
      </c>
    </row>
    <row r="10" spans="1:11" x14ac:dyDescent="0.2">
      <c r="B10" s="42" t="s">
        <v>2</v>
      </c>
      <c r="H10" s="47">
        <f>Sheet3!A8</f>
        <v>0</v>
      </c>
    </row>
    <row r="11" spans="1:11" ht="12.75" thickBot="1" x14ac:dyDescent="0.25">
      <c r="B11" s="42" t="s">
        <v>43</v>
      </c>
      <c r="H11" s="48">
        <f>Sheet3!A10</f>
        <v>0</v>
      </c>
    </row>
    <row r="12" spans="1:11" x14ac:dyDescent="0.2">
      <c r="H12" s="47"/>
    </row>
    <row r="13" spans="1:11" x14ac:dyDescent="0.2">
      <c r="A13" s="52" t="s">
        <v>85</v>
      </c>
      <c r="H13" s="47"/>
    </row>
    <row r="14" spans="1:11" x14ac:dyDescent="0.2">
      <c r="A14" s="42" t="s">
        <v>87</v>
      </c>
      <c r="H14" s="47"/>
    </row>
    <row r="15" spans="1:11" x14ac:dyDescent="0.2">
      <c r="A15" s="52" t="s">
        <v>86</v>
      </c>
    </row>
    <row r="16" spans="1:11" x14ac:dyDescent="0.2">
      <c r="A16" s="52" t="s">
        <v>108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ht="12.75" thickBot="1" x14ac:dyDescent="0.25">
      <c r="B17" s="43" t="s">
        <v>100</v>
      </c>
      <c r="C17" s="43"/>
      <c r="F17" s="54"/>
      <c r="H17" s="48">
        <f>IF(F17&gt;0, F17*1000,0)</f>
        <v>0</v>
      </c>
    </row>
    <row r="18" spans="1:11" x14ac:dyDescent="0.2">
      <c r="D18" s="45" t="s">
        <v>55</v>
      </c>
    </row>
    <row r="19" spans="1:11" x14ac:dyDescent="0.2">
      <c r="A19" s="45" t="s">
        <v>9</v>
      </c>
      <c r="B19" s="45" t="s">
        <v>44</v>
      </c>
    </row>
    <row r="20" spans="1:11" x14ac:dyDescent="0.2">
      <c r="B20" s="42" t="s">
        <v>80</v>
      </c>
    </row>
    <row r="21" spans="1:11" x14ac:dyDescent="0.2">
      <c r="B21" s="52" t="s">
        <v>45</v>
      </c>
      <c r="C21" s="42" t="s">
        <v>49</v>
      </c>
      <c r="E21" s="47">
        <v>500</v>
      </c>
    </row>
    <row r="22" spans="1:11" x14ac:dyDescent="0.2">
      <c r="B22" s="52" t="s">
        <v>46</v>
      </c>
      <c r="C22" s="42" t="s">
        <v>50</v>
      </c>
      <c r="E22" s="47">
        <v>1000</v>
      </c>
    </row>
    <row r="23" spans="1:11" x14ac:dyDescent="0.2">
      <c r="B23" s="52" t="s">
        <v>47</v>
      </c>
      <c r="C23" s="42" t="s">
        <v>51</v>
      </c>
      <c r="E23" s="47">
        <v>2500</v>
      </c>
    </row>
    <row r="24" spans="1:11" x14ac:dyDescent="0.2">
      <c r="B24" s="52" t="s">
        <v>48</v>
      </c>
      <c r="C24" s="42" t="s">
        <v>52</v>
      </c>
      <c r="E24" s="47">
        <v>5000</v>
      </c>
    </row>
    <row r="25" spans="1:11" ht="12.75" thickBot="1" x14ac:dyDescent="0.25">
      <c r="B25" s="43" t="s">
        <v>101</v>
      </c>
      <c r="C25" s="43"/>
      <c r="D25" s="43"/>
      <c r="F25" s="54"/>
      <c r="H25" s="48">
        <f>Sheet3!F27</f>
        <v>0</v>
      </c>
    </row>
    <row r="27" spans="1:11" x14ac:dyDescent="0.2">
      <c r="B27" s="42" t="s">
        <v>81</v>
      </c>
    </row>
    <row r="28" spans="1:11" x14ac:dyDescent="0.2">
      <c r="B28" s="42" t="s">
        <v>110</v>
      </c>
    </row>
    <row r="29" spans="1:11" x14ac:dyDescent="0.2">
      <c r="B29" s="45" t="s">
        <v>82</v>
      </c>
      <c r="C29" s="45"/>
      <c r="D29" s="45"/>
      <c r="E29" s="45"/>
      <c r="F29" s="45"/>
      <c r="G29" s="45"/>
      <c r="H29" s="45"/>
      <c r="I29" s="45"/>
      <c r="J29" s="45"/>
      <c r="K29" s="45"/>
    </row>
    <row r="30" spans="1:11" x14ac:dyDescent="0.2">
      <c r="B30" s="42" t="s">
        <v>56</v>
      </c>
    </row>
    <row r="31" spans="1:11" x14ac:dyDescent="0.2">
      <c r="B31" s="42" t="s">
        <v>57</v>
      </c>
    </row>
    <row r="33" spans="1:11" x14ac:dyDescent="0.2">
      <c r="B33" s="50" t="s">
        <v>58</v>
      </c>
      <c r="C33" s="50" t="s">
        <v>59</v>
      </c>
      <c r="D33" s="50" t="s">
        <v>60</v>
      </c>
    </row>
    <row r="34" spans="1:11" x14ac:dyDescent="0.2">
      <c r="A34" s="45">
        <v>1</v>
      </c>
      <c r="B34" s="42" t="s">
        <v>61</v>
      </c>
      <c r="C34" s="42" t="s">
        <v>62</v>
      </c>
      <c r="D34" s="47">
        <v>1000</v>
      </c>
    </row>
    <row r="35" spans="1:11" x14ac:dyDescent="0.2">
      <c r="A35" s="45">
        <v>2</v>
      </c>
      <c r="B35" s="42" t="s">
        <v>63</v>
      </c>
      <c r="C35" s="42" t="s">
        <v>66</v>
      </c>
      <c r="D35" s="47">
        <v>2500</v>
      </c>
    </row>
    <row r="36" spans="1:11" x14ac:dyDescent="0.2">
      <c r="A36" s="45">
        <v>3</v>
      </c>
      <c r="B36" s="42" t="s">
        <v>64</v>
      </c>
      <c r="C36" s="42" t="s">
        <v>67</v>
      </c>
      <c r="D36" s="47">
        <v>4000</v>
      </c>
    </row>
    <row r="37" spans="1:11" x14ac:dyDescent="0.2">
      <c r="A37" s="45">
        <v>4</v>
      </c>
      <c r="B37" s="42" t="s">
        <v>65</v>
      </c>
      <c r="C37" s="42" t="s">
        <v>68</v>
      </c>
      <c r="D37" s="47">
        <v>5000</v>
      </c>
    </row>
    <row r="38" spans="1:11" ht="12.75" thickBot="1" x14ac:dyDescent="0.25">
      <c r="B38" s="43" t="s">
        <v>102</v>
      </c>
      <c r="C38" s="43"/>
      <c r="F38" s="54"/>
      <c r="H38" s="48">
        <f>Sheet3!N18</f>
        <v>0</v>
      </c>
    </row>
    <row r="40" spans="1:11" x14ac:dyDescent="0.2">
      <c r="B40" s="45" t="s">
        <v>83</v>
      </c>
      <c r="C40" s="45"/>
      <c r="D40" s="45"/>
      <c r="E40" s="45"/>
      <c r="F40" s="45"/>
      <c r="G40" s="45"/>
      <c r="H40" s="45"/>
      <c r="I40" s="45"/>
    </row>
    <row r="41" spans="1:11" x14ac:dyDescent="0.2">
      <c r="B41" s="42" t="s">
        <v>84</v>
      </c>
    </row>
    <row r="42" spans="1:11" ht="12.75" thickBot="1" x14ac:dyDescent="0.25">
      <c r="B42" s="43" t="s">
        <v>103</v>
      </c>
      <c r="F42" s="54"/>
      <c r="H42" s="48">
        <f>Sheet3!G35</f>
        <v>0</v>
      </c>
    </row>
    <row r="44" spans="1:11" ht="12.75" thickBot="1" x14ac:dyDescent="0.25">
      <c r="A44" s="52" t="s">
        <v>10</v>
      </c>
      <c r="B44" s="59" t="s">
        <v>104</v>
      </c>
      <c r="F44" s="55"/>
      <c r="H44" s="48">
        <f>Sheet3!G42</f>
        <v>0</v>
      </c>
    </row>
    <row r="46" spans="1:11" x14ac:dyDescent="0.2">
      <c r="A46" s="45" t="s">
        <v>11</v>
      </c>
      <c r="B46" s="42" t="s">
        <v>69</v>
      </c>
    </row>
    <row r="47" spans="1:11" x14ac:dyDescent="0.2">
      <c r="B47" s="42" t="s">
        <v>70</v>
      </c>
    </row>
    <row r="48" spans="1:11" x14ac:dyDescent="0.2">
      <c r="B48" s="42" t="s">
        <v>71</v>
      </c>
      <c r="I48" s="45"/>
      <c r="J48" s="45"/>
      <c r="K48" s="45"/>
    </row>
    <row r="50" spans="1:8" ht="12.75" thickBot="1" x14ac:dyDescent="0.25">
      <c r="B50" s="43" t="s">
        <v>105</v>
      </c>
      <c r="F50" s="45"/>
      <c r="H50" s="51">
        <f>Sheet3!N35</f>
        <v>100</v>
      </c>
    </row>
    <row r="51" spans="1:8" ht="12.75" thickTop="1" x14ac:dyDescent="0.2">
      <c r="A51" s="58" t="s">
        <v>106</v>
      </c>
      <c r="C51" s="45"/>
      <c r="D51" s="45"/>
      <c r="E51" s="45"/>
      <c r="F51" s="45"/>
      <c r="G51" s="45"/>
      <c r="H51" s="45"/>
    </row>
    <row r="53" spans="1:8" x14ac:dyDescent="0.2">
      <c r="B53" s="62" t="s">
        <v>112</v>
      </c>
      <c r="C53" s="62"/>
      <c r="D53" s="62"/>
      <c r="E53" s="62"/>
      <c r="F53" s="62"/>
      <c r="G53" s="62"/>
    </row>
    <row r="54" spans="1:8" x14ac:dyDescent="0.2">
      <c r="B54" s="62"/>
      <c r="C54" s="62"/>
      <c r="D54" s="62"/>
      <c r="E54" s="62"/>
      <c r="F54" s="62"/>
      <c r="G54" s="62"/>
    </row>
  </sheetData>
  <sheetProtection algorithmName="SHA-512" hashValue="h5AJ4CkQrjeZhvOIa7NjzXoWu0sHBZOBrHGC0pxQ7NcHHYNFdHA/2IPCXo70uEgKuStHYL+twMb7cBy7j8kPHg==" saltValue="XB5tq6Ps39zBYUIxEAQ1fA==" spinCount="100000" sheet="1" objects="1" scenarios="1"/>
  <protectedRanges>
    <protectedRange sqref="F4 F17 F25 F44 F38 F42" name="Range1"/>
  </protectedRanges>
  <mergeCells count="1">
    <mergeCell ref="B53:G54"/>
  </mergeCells>
  <phoneticPr fontId="2" type="noConversion"/>
  <dataValidations count="7">
    <dataValidation type="whole" allowBlank="1" showInputMessage="1" showErrorMessage="1" errorTitle="Sources" error="Please enter only numbers not letters!" sqref="F17" xr:uid="{00000000-0002-0000-0000-000000000000}">
      <formula1>1</formula1>
      <formula2>100</formula2>
    </dataValidation>
    <dataValidation type="list" allowBlank="1" showInputMessage="1" showErrorMessage="1" errorTitle="Class of System" error="Enter only 1, 2, 3 or 4" promptTitle="MASTER PERMIT" prompt="If applying for a Master Permit, do not enter values in any other cell" sqref="F25" xr:uid="{00000000-0002-0000-0000-000001000000}">
      <formula1>"1,2,3,4"</formula1>
    </dataValidation>
    <dataValidation type="list" allowBlank="1" showInputMessage="1" showErrorMessage="1" errorTitle="Service Connection" error="Enter only 1, 2, 3 or 4" sqref="F38" xr:uid="{00000000-0002-0000-0000-000002000000}">
      <formula1>"1,2,3,4"</formula1>
    </dataValidation>
    <dataValidation type="list" allowBlank="1" showInputMessage="1" showErrorMessage="1" errorTitle="Interconnection" error="Select either Y or N from dropdown" sqref="F42" xr:uid="{00000000-0002-0000-0000-000003000000}">
      <formula1>"Y,N"</formula1>
    </dataValidation>
    <dataValidation type="list" allowBlank="1" showInputMessage="1" showErrorMessage="1" promptTitle="50 REALTY IMPROVEMENTS" prompt="If applying for a 50 or more Realty Improvements, do not enter values in any other cell" sqref="F44" xr:uid="{00000000-0002-0000-0000-000004000000}">
      <formula1>"Y,N"</formula1>
    </dataValidation>
    <dataValidation type="decimal" allowBlank="1" showInputMessage="1" showErrorMessage="1" errorTitle="Dollar Amount" error="Please enter a dollar amount " sqref="F4" xr:uid="{00000000-0002-0000-0000-000005000000}">
      <formula1>1</formula1>
      <formula2>1000000000</formula2>
    </dataValidation>
    <dataValidation type="custom" allowBlank="1" showInputMessage="1" showErrorMessage="1" errorTitle="ERROR" error="AN ERROR HAS BEEN MADE. PLEASE REVISE FORM." sqref="H50" xr:uid="{00000000-0002-0000-0000-000006000000}">
      <formula1>H50=0</formula1>
    </dataValidation>
  </dataValidations>
  <pageMargins left="0" right="0" top="1" bottom="0" header="0.5" footer="0.5"/>
  <pageSetup orientation="portrait" r:id="rId1"/>
  <headerFooter alignWithMargins="0">
    <oddHeader>&amp;L&amp;"Arial,Bold"&amp;9BWSE - PA-01C (08/18)&amp;C&amp;"Arial,Bold"&amp;9BUREAU OF WATER SYSTEM ENGINEERING
PERMIT APPLICATION FEE WORK SHEET (N.J.A.C. 7:10-15.3)
FOR PERMIT TO CONSTRUCT/MODIFY/OPERATE A PUBLIC WORKS&amp;R&amp;"Arial,Bold"WCP 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1" sqref="D11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Q42"/>
  <sheetViews>
    <sheetView topLeftCell="A4" workbookViewId="0">
      <selection activeCell="K18" sqref="K18"/>
    </sheetView>
  </sheetViews>
  <sheetFormatPr defaultRowHeight="14.25" x14ac:dyDescent="0.2"/>
  <cols>
    <col min="1" max="1" width="28.85546875" style="3" bestFit="1" customWidth="1"/>
    <col min="2" max="2" width="9.140625" style="3"/>
    <col min="3" max="3" width="2.28515625" style="3" bestFit="1" customWidth="1"/>
    <col min="4" max="4" width="2.28515625" style="3" customWidth="1"/>
    <col min="5" max="5" width="2.140625" style="3" bestFit="1" customWidth="1"/>
    <col min="6" max="7" width="9" style="7" bestFit="1" customWidth="1"/>
    <col min="8" max="8" width="15.140625" style="7" bestFit="1" customWidth="1"/>
    <col min="9" max="9" width="3" style="7" bestFit="1" customWidth="1"/>
    <col min="10" max="10" width="14.28515625" style="7" bestFit="1" customWidth="1"/>
    <col min="11" max="11" width="10.140625" style="7" bestFit="1" customWidth="1"/>
    <col min="12" max="12" width="4.85546875" style="3" bestFit="1" customWidth="1"/>
    <col min="13" max="13" width="9.140625" style="3"/>
    <col min="14" max="14" width="12.85546875" style="3" customWidth="1"/>
    <col min="15" max="15" width="11.28515625" style="3" bestFit="1" customWidth="1"/>
    <col min="16" max="16" width="9.140625" style="3"/>
    <col min="17" max="17" width="10.140625" style="3" bestFit="1" customWidth="1"/>
    <col min="18" max="16384" width="9.140625" style="3"/>
  </cols>
  <sheetData>
    <row r="1" spans="1:16" x14ac:dyDescent="0.2">
      <c r="J1" s="13"/>
    </row>
    <row r="2" spans="1:16" x14ac:dyDescent="0.2">
      <c r="J2" s="13"/>
    </row>
    <row r="3" spans="1:16" x14ac:dyDescent="0.2">
      <c r="J3" s="13"/>
    </row>
    <row r="4" spans="1:16" x14ac:dyDescent="0.2">
      <c r="A4" s="25" t="s">
        <v>76</v>
      </c>
      <c r="B4" s="26"/>
      <c r="C4" s="26"/>
      <c r="D4" s="26"/>
      <c r="E4" s="26"/>
      <c r="F4" s="18"/>
      <c r="G4" s="18"/>
      <c r="H4" s="18"/>
      <c r="I4" s="18"/>
      <c r="J4" s="26"/>
      <c r="K4" s="26"/>
      <c r="L4" s="27"/>
    </row>
    <row r="5" spans="1:16" x14ac:dyDescent="0.2">
      <c r="A5" s="28">
        <f>Sheet1!F4</f>
        <v>0</v>
      </c>
      <c r="B5" s="3" t="s">
        <v>7</v>
      </c>
      <c r="D5" s="7"/>
      <c r="E5" s="7"/>
      <c r="F5" s="3"/>
      <c r="G5" s="3"/>
      <c r="J5" s="3"/>
      <c r="K5" s="3"/>
      <c r="L5" s="29"/>
    </row>
    <row r="6" spans="1:16" x14ac:dyDescent="0.2">
      <c r="A6" s="28">
        <f>IF(A5&lt;=250000, A5*K7, G6)</f>
        <v>0</v>
      </c>
      <c r="D6" s="7"/>
      <c r="E6" s="7"/>
      <c r="F6" s="10">
        <f>IF(A5&gt;=250000,(250000*K7),0)</f>
        <v>0</v>
      </c>
      <c r="G6" s="10">
        <f>IF(AND(J7&lt;=A5,A5&lt;=J8),H6,F6)</f>
        <v>0</v>
      </c>
      <c r="H6" s="10">
        <f>J7*K7</f>
        <v>2250</v>
      </c>
      <c r="J6" s="7">
        <v>0</v>
      </c>
      <c r="L6" s="29"/>
    </row>
    <row r="7" spans="1:16" ht="15" x14ac:dyDescent="0.25">
      <c r="A7" s="28">
        <f>IF(A5&gt;=1000000, (1000000-250000)*K8,G7)</f>
        <v>0</v>
      </c>
      <c r="D7" s="7"/>
      <c r="E7" s="7"/>
      <c r="F7" s="10">
        <f>IF(A5&gt;=1000000, (1000000-250000)*K8,0)</f>
        <v>0</v>
      </c>
      <c r="G7" s="10">
        <f>IF(AND(J7&lt;=A5,A5&lt;=J8),H7,F7)</f>
        <v>0</v>
      </c>
      <c r="H7" s="10">
        <f>(A5-250000)*K8</f>
        <v>-1500</v>
      </c>
      <c r="J7" s="7">
        <v>250000</v>
      </c>
      <c r="K7" s="30">
        <v>8.9999999999999993E-3</v>
      </c>
      <c r="L7" s="31" t="s">
        <v>39</v>
      </c>
    </row>
    <row r="8" spans="1:16" ht="15" x14ac:dyDescent="0.25">
      <c r="A8" s="28">
        <f>IF(A5&gt;1000000, H8,0)</f>
        <v>0</v>
      </c>
      <c r="D8" s="7"/>
      <c r="E8" s="7"/>
      <c r="F8" s="10">
        <f>IF(A5&gt;=1000000, (A5-1000000)*K9,0)</f>
        <v>0</v>
      </c>
      <c r="G8" s="10">
        <f>IF(AND(J8&lt;=A5,A5&lt;=J9),H8,F8)</f>
        <v>0</v>
      </c>
      <c r="H8" s="10">
        <f>(A5-1000000)*K9</f>
        <v>-3000</v>
      </c>
      <c r="J8" s="7">
        <v>1000000</v>
      </c>
      <c r="K8" s="30">
        <v>6.0000000000000001E-3</v>
      </c>
      <c r="L8" s="31" t="s">
        <v>40</v>
      </c>
    </row>
    <row r="9" spans="1:16" ht="15" x14ac:dyDescent="0.25">
      <c r="A9" s="32"/>
      <c r="C9" s="7"/>
      <c r="D9" s="7"/>
      <c r="E9" s="7"/>
      <c r="F9" s="10"/>
      <c r="G9" s="10"/>
      <c r="H9" s="10"/>
      <c r="J9" s="7">
        <v>1000001</v>
      </c>
      <c r="K9" s="30">
        <v>3.0000000000000001E-3</v>
      </c>
      <c r="L9" s="31" t="s">
        <v>41</v>
      </c>
    </row>
    <row r="10" spans="1:16" x14ac:dyDescent="0.2">
      <c r="A10" s="33">
        <f>SUM(A6:A9)</f>
        <v>0</v>
      </c>
      <c r="B10" s="34"/>
      <c r="C10" s="23"/>
      <c r="D10" s="23"/>
      <c r="E10" s="23"/>
      <c r="F10" s="35"/>
      <c r="G10" s="35"/>
      <c r="H10" s="35"/>
      <c r="I10" s="23"/>
      <c r="J10" s="36"/>
      <c r="K10" s="23"/>
      <c r="L10" s="37"/>
    </row>
    <row r="11" spans="1:16" x14ac:dyDescent="0.2">
      <c r="C11" s="7"/>
      <c r="D11" s="7"/>
      <c r="E11" s="7"/>
      <c r="J11" s="13"/>
      <c r="M11" s="25" t="s">
        <v>75</v>
      </c>
      <c r="N11" s="26"/>
      <c r="O11" s="26"/>
      <c r="P11" s="27"/>
    </row>
    <row r="12" spans="1:16" ht="15" x14ac:dyDescent="0.25">
      <c r="A12" s="15">
        <f>IF(A10&gt;12000, K10,A10)</f>
        <v>0</v>
      </c>
      <c r="C12" s="7"/>
      <c r="D12" s="7"/>
      <c r="E12" s="7"/>
      <c r="F12" s="17" t="s">
        <v>73</v>
      </c>
      <c r="G12" s="18"/>
      <c r="H12" s="19"/>
      <c r="J12" s="13"/>
      <c r="M12" s="39">
        <v>1</v>
      </c>
      <c r="N12" s="40" t="s">
        <v>61</v>
      </c>
      <c r="O12" s="40" t="s">
        <v>62</v>
      </c>
      <c r="P12" s="41">
        <v>1000</v>
      </c>
    </row>
    <row r="13" spans="1:16" x14ac:dyDescent="0.2">
      <c r="F13" s="20"/>
      <c r="G13" s="7" t="s">
        <v>53</v>
      </c>
      <c r="H13" s="21">
        <v>250</v>
      </c>
      <c r="J13" s="13"/>
      <c r="M13" s="39">
        <v>2</v>
      </c>
      <c r="N13" s="40" t="s">
        <v>63</v>
      </c>
      <c r="O13" s="40" t="s">
        <v>66</v>
      </c>
      <c r="P13" s="41">
        <v>2500</v>
      </c>
    </row>
    <row r="14" spans="1:16" x14ac:dyDescent="0.2">
      <c r="F14" s="20"/>
      <c r="G14" s="7" t="s">
        <v>54</v>
      </c>
      <c r="H14" s="21">
        <v>0</v>
      </c>
      <c r="J14" s="13"/>
      <c r="M14" s="39">
        <v>3</v>
      </c>
      <c r="N14" s="40" t="s">
        <v>64</v>
      </c>
      <c r="O14" s="40" t="s">
        <v>67</v>
      </c>
      <c r="P14" s="41">
        <v>4000</v>
      </c>
    </row>
    <row r="15" spans="1:16" x14ac:dyDescent="0.2">
      <c r="F15" s="20"/>
      <c r="H15" s="21"/>
      <c r="J15" s="13"/>
      <c r="M15" s="39">
        <v>4</v>
      </c>
      <c r="N15" s="40" t="s">
        <v>65</v>
      </c>
      <c r="O15" s="40" t="s">
        <v>68</v>
      </c>
      <c r="P15" s="41">
        <v>5000</v>
      </c>
    </row>
    <row r="16" spans="1:16" x14ac:dyDescent="0.2">
      <c r="F16" s="22" t="s">
        <v>111</v>
      </c>
      <c r="G16" s="23"/>
      <c r="H16" s="24"/>
      <c r="J16" s="13"/>
      <c r="M16" s="32"/>
      <c r="P16" s="29"/>
    </row>
    <row r="17" spans="1:17" x14ac:dyDescent="0.2">
      <c r="J17" s="13"/>
      <c r="M17" s="32"/>
      <c r="P17" s="29"/>
    </row>
    <row r="18" spans="1:17" x14ac:dyDescent="0.2">
      <c r="J18" s="13"/>
      <c r="M18" s="32">
        <f>Sheet1!F38</f>
        <v>0</v>
      </c>
      <c r="N18" s="7">
        <f>IF(M18=1,P12,O18)</f>
        <v>0</v>
      </c>
      <c r="O18" s="7">
        <f>IF(M18=2,P13,N19)</f>
        <v>0</v>
      </c>
      <c r="P18" s="29"/>
    </row>
    <row r="19" spans="1:17" x14ac:dyDescent="0.2">
      <c r="J19" s="13"/>
      <c r="M19" s="32"/>
      <c r="N19" s="7">
        <f>IF(M18=3,P14,N20)</f>
        <v>0</v>
      </c>
      <c r="O19" s="7"/>
      <c r="P19" s="29"/>
    </row>
    <row r="20" spans="1:17" ht="15" x14ac:dyDescent="0.25">
      <c r="B20" s="16"/>
      <c r="J20" s="13"/>
      <c r="M20" s="38"/>
      <c r="N20" s="23">
        <f>IF(M18=4,P15,O20)</f>
        <v>0</v>
      </c>
      <c r="O20" s="23"/>
      <c r="P20" s="37"/>
    </row>
    <row r="21" spans="1:17" x14ac:dyDescent="0.2">
      <c r="B21" s="25"/>
      <c r="C21" s="26"/>
      <c r="D21" s="26"/>
      <c r="E21" s="26"/>
      <c r="F21" s="18" t="s">
        <v>72</v>
      </c>
      <c r="G21" s="19"/>
      <c r="J21" s="13"/>
    </row>
    <row r="22" spans="1:17" x14ac:dyDescent="0.2">
      <c r="A22" s="14"/>
      <c r="B22" s="32"/>
      <c r="F22" s="7">
        <v>1</v>
      </c>
      <c r="G22" s="21">
        <v>500</v>
      </c>
      <c r="J22" s="13"/>
    </row>
    <row r="23" spans="1:17" x14ac:dyDescent="0.2">
      <c r="A23" s="14"/>
      <c r="B23" s="32"/>
      <c r="F23" s="7">
        <v>2</v>
      </c>
      <c r="G23" s="21">
        <v>1000</v>
      </c>
      <c r="J23" s="13"/>
      <c r="L23" s="25"/>
      <c r="M23" s="26" t="s">
        <v>77</v>
      </c>
      <c r="N23" s="26"/>
      <c r="O23" s="26"/>
      <c r="P23" s="26"/>
      <c r="Q23" s="27"/>
    </row>
    <row r="24" spans="1:17" x14ac:dyDescent="0.2">
      <c r="A24" s="14"/>
      <c r="B24" s="32"/>
      <c r="F24" s="7">
        <v>3</v>
      </c>
      <c r="G24" s="21">
        <v>2500</v>
      </c>
      <c r="J24" s="13"/>
      <c r="L24" s="32"/>
      <c r="N24" s="14">
        <v>100</v>
      </c>
      <c r="O24" s="14">
        <v>12000</v>
      </c>
      <c r="Q24" s="29"/>
    </row>
    <row r="25" spans="1:17" x14ac:dyDescent="0.2">
      <c r="A25" s="14"/>
      <c r="B25" s="32"/>
      <c r="F25" s="7">
        <v>4</v>
      </c>
      <c r="G25" s="21">
        <v>5000</v>
      </c>
      <c r="J25" s="13"/>
      <c r="L25" s="32"/>
      <c r="Q25" s="29"/>
    </row>
    <row r="26" spans="1:17" x14ac:dyDescent="0.2">
      <c r="A26" s="14"/>
      <c r="B26" s="32"/>
      <c r="G26" s="21"/>
      <c r="J26" s="13"/>
      <c r="L26" s="32"/>
      <c r="Q26" s="29"/>
    </row>
    <row r="27" spans="1:17" ht="15" x14ac:dyDescent="0.25">
      <c r="A27" s="15"/>
      <c r="B27" s="32">
        <f>Sheet1!F25</f>
        <v>0</v>
      </c>
      <c r="F27" s="7">
        <f>IF(B27=1,G22,G27)</f>
        <v>0</v>
      </c>
      <c r="G27" s="21">
        <f>IF(B27=2,G23,F28)</f>
        <v>0</v>
      </c>
      <c r="J27" s="13"/>
      <c r="L27" s="32" t="s">
        <v>93</v>
      </c>
      <c r="M27" s="3" t="s">
        <v>90</v>
      </c>
      <c r="N27" s="14">
        <f>(Sheet1!H11+Sheet1!H17+Sheet1!H38+Sheet1!H42)</f>
        <v>0</v>
      </c>
      <c r="O27" s="14">
        <f>IF(N27&lt;O24,N27,O24)</f>
        <v>0</v>
      </c>
      <c r="P27" s="3" t="s">
        <v>98</v>
      </c>
      <c r="Q27" s="57">
        <f>SUM(N28,N30,N29)</f>
        <v>0</v>
      </c>
    </row>
    <row r="28" spans="1:17" x14ac:dyDescent="0.2">
      <c r="B28" s="32"/>
      <c r="F28" s="7">
        <f>IF(B27=3,G24,F29)</f>
        <v>0</v>
      </c>
      <c r="G28" s="21"/>
      <c r="J28" s="13"/>
      <c r="L28" s="32" t="s">
        <v>94</v>
      </c>
      <c r="M28" s="3" t="s">
        <v>89</v>
      </c>
      <c r="N28" s="14">
        <f>IF(Sheet1!H25&gt;0,Sheet1!H25,0)</f>
        <v>0</v>
      </c>
      <c r="O28" s="14">
        <f>IF(I23&gt;0,I23,O27)</f>
        <v>0</v>
      </c>
      <c r="P28" s="3" t="s">
        <v>89</v>
      </c>
      <c r="Q28" s="57">
        <f>SUM(N27,N29,N30)</f>
        <v>0</v>
      </c>
    </row>
    <row r="29" spans="1:17" x14ac:dyDescent="0.2">
      <c r="B29" s="38"/>
      <c r="C29" s="34"/>
      <c r="D29" s="34"/>
      <c r="E29" s="34"/>
      <c r="F29" s="23">
        <f>IF(B27=4,G25,G29)</f>
        <v>0</v>
      </c>
      <c r="G29" s="24"/>
      <c r="J29" s="13"/>
      <c r="L29" s="32" t="s">
        <v>95</v>
      </c>
      <c r="N29" s="14"/>
      <c r="P29" s="3" t="s">
        <v>97</v>
      </c>
      <c r="Q29" s="57">
        <f>SUM(N27,N28,N30)</f>
        <v>0</v>
      </c>
    </row>
    <row r="30" spans="1:17" x14ac:dyDescent="0.2">
      <c r="J30" s="13"/>
      <c r="L30" s="32" t="s">
        <v>92</v>
      </c>
      <c r="M30" s="3" t="s">
        <v>91</v>
      </c>
      <c r="N30" s="14">
        <f>IF(Sheet1!H44&gt;0,Sheet1!H44,0)</f>
        <v>0</v>
      </c>
      <c r="P30" s="3" t="s">
        <v>99</v>
      </c>
      <c r="Q30" s="57">
        <f>SUM(N27,N28,N29)</f>
        <v>0</v>
      </c>
    </row>
    <row r="31" spans="1:17" x14ac:dyDescent="0.2">
      <c r="F31" s="17" t="s">
        <v>74</v>
      </c>
      <c r="G31" s="18"/>
      <c r="H31" s="19"/>
      <c r="J31" s="13"/>
      <c r="L31" s="32"/>
      <c r="N31" s="14"/>
      <c r="Q31" s="29"/>
    </row>
    <row r="32" spans="1:17" x14ac:dyDescent="0.2">
      <c r="F32" s="20"/>
      <c r="G32" s="7" t="s">
        <v>53</v>
      </c>
      <c r="H32" s="21">
        <v>250</v>
      </c>
      <c r="J32" s="13"/>
      <c r="L32" s="32"/>
      <c r="N32" s="14">
        <f>IF(N27&gt;O24,O24,IF(N27&lt;N24, N24,N27))</f>
        <v>100</v>
      </c>
      <c r="O32" s="14">
        <f>IF(N29&gt;0,N29,N32)</f>
        <v>100</v>
      </c>
      <c r="P32" s="3" t="s">
        <v>97</v>
      </c>
      <c r="Q32" s="29"/>
    </row>
    <row r="33" spans="1:17" x14ac:dyDescent="0.2">
      <c r="A33" s="3">
        <f>Sheet1!F44</f>
        <v>0</v>
      </c>
      <c r="B33" s="7"/>
      <c r="F33" s="20"/>
      <c r="G33" s="7" t="s">
        <v>54</v>
      </c>
      <c r="H33" s="21">
        <v>0</v>
      </c>
      <c r="J33" s="13"/>
      <c r="L33" s="32"/>
      <c r="M33" s="3" t="s">
        <v>89</v>
      </c>
      <c r="N33" s="14">
        <f>IF(N28&gt;0,N28,N32)</f>
        <v>100</v>
      </c>
      <c r="O33" s="14">
        <f>IF(N30&gt;0,N30,N32)</f>
        <v>100</v>
      </c>
      <c r="P33" s="3" t="s">
        <v>96</v>
      </c>
      <c r="Q33" s="29"/>
    </row>
    <row r="34" spans="1:17" x14ac:dyDescent="0.2">
      <c r="F34" s="20"/>
      <c r="H34" s="21"/>
      <c r="J34" s="13"/>
      <c r="L34" s="32"/>
      <c r="O34" s="14"/>
      <c r="Q34" s="29"/>
    </row>
    <row r="35" spans="1:17" ht="15" x14ac:dyDescent="0.25">
      <c r="F35" s="22">
        <f>Sheet1!F42</f>
        <v>0</v>
      </c>
      <c r="G35" s="23">
        <f>IF(F35=G32,H32,0)</f>
        <v>0</v>
      </c>
      <c r="H35" s="24"/>
      <c r="L35" s="38"/>
      <c r="M35" s="34"/>
      <c r="N35" s="60">
        <f>IF((AND(N32&gt;0,Q27=0)),N32,(IF((AND(N33&gt;0,Q28=0)),N33,(IF((AND(O32&gt;0,Q29=0)),O32,(IF((AND(O33&gt;0,Q30=0)),O33,0)))))))</f>
        <v>100</v>
      </c>
      <c r="O35" s="34"/>
      <c r="P35" s="34"/>
      <c r="Q35" s="37"/>
    </row>
    <row r="36" spans="1:17" x14ac:dyDescent="0.2">
      <c r="J36" s="13"/>
    </row>
    <row r="37" spans="1:17" x14ac:dyDescent="0.2">
      <c r="J37" s="13"/>
    </row>
    <row r="38" spans="1:17" x14ac:dyDescent="0.2">
      <c r="F38" s="17" t="s">
        <v>88</v>
      </c>
      <c r="G38" s="18"/>
      <c r="H38" s="19"/>
      <c r="J38" s="13"/>
    </row>
    <row r="39" spans="1:17" x14ac:dyDescent="0.2">
      <c r="F39" s="20"/>
      <c r="G39" s="7" t="s">
        <v>53</v>
      </c>
      <c r="H39" s="21">
        <v>1000</v>
      </c>
      <c r="J39" s="13"/>
    </row>
    <row r="40" spans="1:17" x14ac:dyDescent="0.2">
      <c r="F40" s="20"/>
      <c r="G40" s="7" t="s">
        <v>54</v>
      </c>
      <c r="H40" s="21">
        <v>0</v>
      </c>
      <c r="J40" s="13"/>
    </row>
    <row r="41" spans="1:17" ht="18" x14ac:dyDescent="0.25">
      <c r="F41" s="20"/>
      <c r="H41" s="21"/>
      <c r="J41" s="13"/>
      <c r="K41" s="56"/>
    </row>
    <row r="42" spans="1:17" x14ac:dyDescent="0.2">
      <c r="F42" s="22">
        <f>Sheet1!F44</f>
        <v>0</v>
      </c>
      <c r="G42" s="23">
        <f>IF(F42=G39,H39,0)</f>
        <v>0</v>
      </c>
      <c r="H42" s="24"/>
    </row>
  </sheetData>
  <phoneticPr fontId="2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selection activeCell="F21" sqref="F21"/>
    </sheetView>
  </sheetViews>
  <sheetFormatPr defaultRowHeight="12.75" x14ac:dyDescent="0.2"/>
  <cols>
    <col min="1" max="1" width="28.85546875" bestFit="1" customWidth="1"/>
    <col min="2" max="4" width="2.5703125" bestFit="1" customWidth="1"/>
    <col min="5" max="5" width="2.42578125" bestFit="1" customWidth="1"/>
    <col min="6" max="6" width="32.5703125" bestFit="1" customWidth="1"/>
    <col min="7" max="7" width="30.140625" bestFit="1" customWidth="1"/>
    <col min="8" max="8" width="18.140625" bestFit="1" customWidth="1"/>
    <col min="9" max="9" width="3.28515625" bestFit="1" customWidth="1"/>
    <col min="10" max="10" width="14.28515625" bestFit="1" customWidth="1"/>
    <col min="11" max="11" width="10.140625" bestFit="1" customWidth="1"/>
  </cols>
  <sheetData>
    <row r="1" spans="1:12" s="3" customFormat="1" ht="15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</row>
    <row r="2" spans="1:12" s="3" customFormat="1" ht="15" x14ac:dyDescent="0.25">
      <c r="A2" s="3" t="s">
        <v>3</v>
      </c>
      <c r="F2" s="4"/>
      <c r="G2" s="4"/>
      <c r="H2" s="4"/>
      <c r="I2" s="4"/>
      <c r="J2" s="4"/>
      <c r="K2" s="4"/>
      <c r="L2" s="4"/>
    </row>
    <row r="3" spans="1:12" s="3" customFormat="1" ht="14.25" x14ac:dyDescent="0.2">
      <c r="A3" s="5">
        <v>500000</v>
      </c>
      <c r="F3" s="6"/>
      <c r="G3" s="7"/>
      <c r="H3" s="7"/>
      <c r="I3" s="7"/>
    </row>
    <row r="4" spans="1:12" s="3" customFormat="1" ht="15" x14ac:dyDescent="0.25">
      <c r="A4" s="8" t="s">
        <v>20</v>
      </c>
      <c r="E4" s="9"/>
      <c r="F4" s="7"/>
      <c r="G4" s="7"/>
      <c r="H4" s="7"/>
      <c r="I4" s="7"/>
      <c r="J4" s="7">
        <v>0</v>
      </c>
      <c r="K4" s="10">
        <v>0.25</v>
      </c>
      <c r="L4" s="11" t="s">
        <v>31</v>
      </c>
    </row>
    <row r="5" spans="1:12" s="3" customFormat="1" ht="15" x14ac:dyDescent="0.25">
      <c r="A5" s="8">
        <f>(A3*0.03)</f>
        <v>15000</v>
      </c>
      <c r="E5" s="9"/>
      <c r="F5" s="7" t="s">
        <v>21</v>
      </c>
      <c r="G5" s="7" t="s">
        <v>25</v>
      </c>
      <c r="H5" s="7" t="s">
        <v>28</v>
      </c>
      <c r="I5" s="12" t="s">
        <v>35</v>
      </c>
      <c r="J5" s="13">
        <v>1000000</v>
      </c>
      <c r="K5" s="7">
        <v>250000</v>
      </c>
      <c r="L5" s="11" t="s">
        <v>4</v>
      </c>
    </row>
    <row r="6" spans="1:12" s="3" customFormat="1" ht="15" x14ac:dyDescent="0.25">
      <c r="A6" s="8">
        <f>(A3*0.05)</f>
        <v>25000</v>
      </c>
      <c r="E6" s="9"/>
      <c r="F6" s="7" t="s">
        <v>22</v>
      </c>
      <c r="G6" s="7" t="s">
        <v>26</v>
      </c>
      <c r="H6" s="7" t="s">
        <v>29</v>
      </c>
      <c r="I6" s="12" t="s">
        <v>36</v>
      </c>
      <c r="J6" s="13">
        <v>10000000</v>
      </c>
      <c r="K6" s="7">
        <v>1330000</v>
      </c>
      <c r="L6" s="11" t="s">
        <v>5</v>
      </c>
    </row>
    <row r="7" spans="1:12" s="3" customFormat="1" ht="15" x14ac:dyDescent="0.25">
      <c r="A7" s="8">
        <f>(A3*0.12)</f>
        <v>60000</v>
      </c>
      <c r="E7" s="9"/>
      <c r="F7" s="7" t="s">
        <v>23</v>
      </c>
      <c r="G7" s="7" t="s">
        <v>27</v>
      </c>
      <c r="H7" s="7" t="s">
        <v>30</v>
      </c>
      <c r="I7" s="12" t="s">
        <v>37</v>
      </c>
      <c r="J7" s="13">
        <v>100000000</v>
      </c>
      <c r="K7" s="7">
        <v>6730000</v>
      </c>
      <c r="L7" s="11" t="s">
        <v>6</v>
      </c>
    </row>
    <row r="8" spans="1:12" s="3" customFormat="1" ht="15" x14ac:dyDescent="0.25">
      <c r="A8" s="8">
        <f>SUM(A3:A7)</f>
        <v>600000</v>
      </c>
      <c r="E8" s="9"/>
      <c r="F8" s="7" t="s">
        <v>24</v>
      </c>
      <c r="G8" s="7"/>
      <c r="H8" s="7"/>
      <c r="I8" s="12" t="s">
        <v>38</v>
      </c>
      <c r="J8" s="13">
        <v>1000000000</v>
      </c>
      <c r="K8" s="7"/>
    </row>
    <row r="9" spans="1:12" s="3" customFormat="1" ht="14.25" x14ac:dyDescent="0.2">
      <c r="F9" s="7"/>
      <c r="G9" s="7"/>
      <c r="H9" s="7"/>
      <c r="I9" s="7"/>
      <c r="J9" s="13"/>
      <c r="K9" s="7"/>
    </row>
    <row r="16" spans="1:12" ht="14.25" x14ac:dyDescent="0.2">
      <c r="A16" s="14">
        <v>1500000</v>
      </c>
      <c r="B16" s="3"/>
      <c r="C16" s="3"/>
      <c r="D16" s="3"/>
      <c r="E16" s="3"/>
    </row>
    <row r="17" spans="1:5" ht="14.25" x14ac:dyDescent="0.2">
      <c r="A17" s="14">
        <f>250000*0.009</f>
        <v>2250</v>
      </c>
      <c r="B17" s="3" t="s">
        <v>32</v>
      </c>
      <c r="C17" s="3"/>
      <c r="D17" s="3"/>
      <c r="E17" s="3"/>
    </row>
    <row r="18" spans="1:5" ht="14.25" x14ac:dyDescent="0.2">
      <c r="A18" s="14">
        <f>750000*0.006</f>
        <v>4500</v>
      </c>
      <c r="B18" s="3" t="s">
        <v>33</v>
      </c>
      <c r="C18" s="3"/>
      <c r="D18" s="3"/>
      <c r="E18" s="3"/>
    </row>
    <row r="19" spans="1:5" ht="14.25" x14ac:dyDescent="0.2">
      <c r="A19" s="14">
        <f>500000*0.003</f>
        <v>1500</v>
      </c>
      <c r="B19" s="3" t="s">
        <v>34</v>
      </c>
      <c r="C19" s="3"/>
      <c r="D19" s="3"/>
      <c r="E19" s="3"/>
    </row>
    <row r="20" spans="1:5" ht="15" x14ac:dyDescent="0.25">
      <c r="A20" s="15">
        <f>SUM(A17:A19)</f>
        <v>8250</v>
      </c>
      <c r="B20" s="3"/>
      <c r="C20" s="3"/>
      <c r="D20" s="3"/>
      <c r="E20" s="3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MPRABHU</dc:creator>
  <cp:lastModifiedBy>Carnicero, Carmen [DEP]</cp:lastModifiedBy>
  <cp:lastPrinted>2012-03-16T15:45:09Z</cp:lastPrinted>
  <dcterms:created xsi:type="dcterms:W3CDTF">2012-01-11T14:32:45Z</dcterms:created>
  <dcterms:modified xsi:type="dcterms:W3CDTF">2024-05-13T17:32:36Z</dcterms:modified>
</cp:coreProperties>
</file>