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sonj-my.sharepoint.com/personal/chris_barry_dep_nj_gov/Documents/Desktop/Desktop Stuff/GWRA 2050 Report/GWRA Emissions Projections/Transportation Projections/Work from Home Calculator/"/>
    </mc:Choice>
  </mc:AlternateContent>
  <xr:revisionPtr revIDLastSave="18" documentId="8_{5A37CA92-E586-4E6A-8FE9-49AD3FAD096B}" xr6:coauthVersionLast="47" xr6:coauthVersionMax="47" xr10:uidLastSave="{DAC6D708-C37D-4A6A-B106-E9150A76AA9F}"/>
  <bookViews>
    <workbookView xWindow="1035" yWindow="1020" windowWidth="26745" windowHeight="12315" xr2:uid="{B9784D04-0C68-4ED6-99FE-AF9C6E627FC2}"/>
  </bookViews>
  <sheets>
    <sheet name="Work-from-Home Calculator" sheetId="5" r:id="rId1"/>
    <sheet name="Assumptions and References" sheetId="6" r:id="rId2"/>
  </sheets>
  <definedNames>
    <definedName name="CommuteOneWay">'Work-from-Home Calculator'!$B$10</definedName>
    <definedName name="Cost_of_Electricity">'Assumptions and References'!$A$31</definedName>
    <definedName name="Electric_GHG_Emissions_Rate">'Assumptions and References'!$A$37</definedName>
    <definedName name="EnergySavedPerMile">'Assumptions and References'!$J$19</definedName>
    <definedName name="GasPrice">'Work-from-Home Calculator'!$B$11</definedName>
    <definedName name="Health_per_kg">'Assumptions and References'!$D$46</definedName>
    <definedName name="kgBCPerMile">'Assumptions and References'!$I$19</definedName>
    <definedName name="kgCO2ePerMile">'Assumptions and References'!$G$19</definedName>
    <definedName name="kgPM25PerMile">'Assumptions and References'!$H$19</definedName>
    <definedName name="kWhPerMiForEv">'Assumptions and References'!$A$25</definedName>
    <definedName name="kWhPerMile">'Assumptions and References'!$K$19</definedName>
    <definedName name="Length_of_Work_Week">'Work-from-Home Calculator'!$B$27</definedName>
    <definedName name="NumPeople">'Work-from-Home Calculator'!$B$8</definedName>
    <definedName name="Vehicle_Fuel_Efficiency">'Work-from-Home Calculator'!$B$12</definedName>
    <definedName name="WFHDaysperWeek">'Work-from-Home Calculator'!$B$9</definedName>
    <definedName name="WorkDaysperYear">'Assumptions and References'!$B$24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5" l="1"/>
  <c r="E32" i="5" s="1"/>
  <c r="J32" i="5" s="1"/>
  <c r="B18" i="5"/>
  <c r="B23" i="5" s="1"/>
  <c r="D46" i="6"/>
  <c r="C32" i="5" l="1"/>
  <c r="H32" i="5"/>
  <c r="G32" i="5"/>
  <c r="A18" i="5"/>
  <c r="F32" i="5"/>
  <c r="K32" i="5" s="1"/>
  <c r="C18" i="5"/>
  <c r="L32" i="5"/>
  <c r="B32" i="5" s="1"/>
  <c r="D18" i="5"/>
  <c r="D23" i="5"/>
  <c r="A37" i="6"/>
  <c r="I32" i="5" l="1"/>
  <c r="A32" i="5" s="1"/>
  <c r="A25" i="6"/>
  <c r="B19" i="6" l="1"/>
  <c r="C19" i="6"/>
  <c r="D19" i="6"/>
  <c r="E19" i="6"/>
  <c r="F19" i="6"/>
  <c r="J14" i="6"/>
  <c r="K14" i="6" s="1"/>
  <c r="J15" i="6"/>
  <c r="K15" i="6" s="1"/>
  <c r="J16" i="6"/>
  <c r="K16" i="6" s="1"/>
  <c r="J17" i="6"/>
  <c r="K17" i="6" s="1"/>
  <c r="J13" i="6"/>
  <c r="K13" i="6" s="1"/>
  <c r="I13" i="6"/>
  <c r="H13" i="6"/>
  <c r="H14" i="6"/>
  <c r="I14" i="6"/>
  <c r="H15" i="6"/>
  <c r="I15" i="6"/>
  <c r="H16" i="6"/>
  <c r="I16" i="6"/>
  <c r="H17" i="6"/>
  <c r="I17" i="6"/>
  <c r="G14" i="6"/>
  <c r="G15" i="6"/>
  <c r="G16" i="6"/>
  <c r="G17" i="6"/>
  <c r="G13" i="6"/>
  <c r="I19" i="6" l="1"/>
  <c r="G19" i="6"/>
  <c r="H19" i="6"/>
  <c r="A23" i="5" s="1"/>
  <c r="C23" i="5" s="1"/>
  <c r="J19" i="6"/>
  <c r="K19" i="6" s="1"/>
</calcChain>
</file>

<file path=xl/sharedStrings.xml><?xml version="1.0" encoding="utf-8"?>
<sst xmlns="http://schemas.openxmlformats.org/spreadsheetml/2006/main" count="130" uniqueCount="108">
  <si>
    <t>miles</t>
  </si>
  <si>
    <t>Number of People</t>
  </si>
  <si>
    <t>Commute Distance, one way</t>
  </si>
  <si>
    <t>$/year</t>
  </si>
  <si>
    <t>GHG Emissions</t>
  </si>
  <si>
    <t>MT CO2e</t>
  </si>
  <si>
    <t>Distance Travelled</t>
  </si>
  <si>
    <t>Miles</t>
  </si>
  <si>
    <t>miles per gallon</t>
  </si>
  <si>
    <t>Passenger Truck - Gas</t>
  </si>
  <si>
    <t>Passenger Car - Gas</t>
  </si>
  <si>
    <t>Passenger Truck - Diesel</t>
  </si>
  <si>
    <t>Passenger Car - Diesel</t>
  </si>
  <si>
    <t>https://www.gasbuddy.com/gasprices/new-jersey</t>
  </si>
  <si>
    <t>Background</t>
  </si>
  <si>
    <t>The number of days the people work from home.  The maximum is 7.</t>
  </si>
  <si>
    <t>Default commute is 18.7 mi  based on 32 min @ 35 mph.  See https://data.census.gov/cedsci/table?q=New%20Jersey&amp;g=0400000US34&amp;tid=ACSST5Y2020.S0801</t>
  </si>
  <si>
    <t>Vehicle Fuel Efficiency</t>
  </si>
  <si>
    <t>$/gal</t>
  </si>
  <si>
    <t>Gas Price</t>
  </si>
  <si>
    <t>Vehicle Type</t>
  </si>
  <si>
    <t>GHG Emissions per Mile</t>
  </si>
  <si>
    <t>Vehicle Greenhouse Gas Emissions</t>
  </si>
  <si>
    <t>Passenger Vehicles</t>
  </si>
  <si>
    <t>Motorcycle</t>
  </si>
  <si>
    <t>Black Carbon (as carbon)</t>
  </si>
  <si>
    <t>Metric Tonnes</t>
  </si>
  <si>
    <t>PM2.5</t>
  </si>
  <si>
    <t>TotalEnergy</t>
  </si>
  <si>
    <t>kJ</t>
  </si>
  <si>
    <t>kg/mi</t>
  </si>
  <si>
    <t>kJ/mi</t>
  </si>
  <si>
    <t>Energy Consumed</t>
  </si>
  <si>
    <r>
      <t>kg CO</t>
    </r>
    <r>
      <rPr>
        <vertAlign val="subscript"/>
        <sz val="11"/>
        <color theme="1"/>
        <rFont val="Calibri"/>
        <family val="2"/>
        <scheme val="minor"/>
      </rPr>
      <t>2</t>
    </r>
    <r>
      <rPr>
        <sz val="11"/>
        <color theme="1"/>
        <rFont val="Calibri"/>
        <family val="2"/>
        <scheme val="minor"/>
      </rPr>
      <t>e/Mile</t>
    </r>
  </si>
  <si>
    <t>Black Carbon Emissions Avoided</t>
  </si>
  <si>
    <t>kWh/mi</t>
  </si>
  <si>
    <t>Fuel Energy Saved</t>
  </si>
  <si>
    <t>https://ev-database.org/cheatsheet/energy-consumption-electric-car</t>
  </si>
  <si>
    <t>kWh/year</t>
  </si>
  <si>
    <t>kg/year</t>
  </si>
  <si>
    <t xml:space="preserve"> (kg black carbon/year)</t>
  </si>
  <si>
    <t>Wh/km</t>
  </si>
  <si>
    <t>$/kWh</t>
  </si>
  <si>
    <t>&lt;-this value can be changed</t>
  </si>
  <si>
    <t>2022 Nissan Leaf e+</t>
  </si>
  <si>
    <t>Retail Cost of Electricity</t>
  </si>
  <si>
    <t>Greenhouse Gas Emissions from Electricity Generation</t>
  </si>
  <si>
    <r>
      <t>kg CO</t>
    </r>
    <r>
      <rPr>
        <vertAlign val="subscript"/>
        <sz val="11"/>
        <color theme="1"/>
        <rFont val="Calibri"/>
        <family val="2"/>
        <scheme val="minor"/>
      </rPr>
      <t>2</t>
    </r>
    <r>
      <rPr>
        <sz val="11"/>
        <color theme="1"/>
        <rFont val="Calibri"/>
        <family val="2"/>
        <scheme val="minor"/>
      </rPr>
      <t>e/MWh</t>
    </r>
  </si>
  <si>
    <t>Metric Tonnes/kWh</t>
  </si>
  <si>
    <t>Fuel Cost Savings</t>
  </si>
  <si>
    <t>Energy that an electric vehicle would use</t>
  </si>
  <si>
    <t>Greenhouse Gas Emissions Avoided by Working from Home</t>
  </si>
  <si>
    <t>https://cobra.epa.gov/</t>
  </si>
  <si>
    <t>Low $/kg</t>
  </si>
  <si>
    <t>High $/kg</t>
  </si>
  <si>
    <t>Avg $/kg</t>
  </si>
  <si>
    <t>Economic Value of Health Benefits</t>
  </si>
  <si>
    <t>Air Quality and Energy Savings Benefits</t>
  </si>
  <si>
    <t>NJDEP Bureau of Climate Change and Clean Energy</t>
  </si>
  <si>
    <t>Enter Information Here</t>
  </si>
  <si>
    <t>Results</t>
  </si>
  <si>
    <r>
      <t>CO</t>
    </r>
    <r>
      <rPr>
        <vertAlign val="subscript"/>
        <sz val="11"/>
        <color theme="1"/>
        <rFont val="Calibri"/>
        <family val="2"/>
        <scheme val="minor"/>
      </rPr>
      <t>2</t>
    </r>
    <r>
      <rPr>
        <sz val="11"/>
        <color theme="1"/>
        <rFont val="Calibri"/>
        <family val="2"/>
        <scheme val="minor"/>
      </rPr>
      <t>e referes to "carbon dioxide equivalent" and includes carbon dioxide and other climate pollutants such as methane and nitrous oxide.</t>
    </r>
  </si>
  <si>
    <t>Commuting time for NJ is 32 min on average, based on the US Census Bureau's 2020 American Community Survey.  Commute speed was assumed to be 35 mph for this calculator.  That works out to 18.7 miles, one way (the distance between home and work)</t>
  </si>
  <si>
    <t>1 metric tonne equals 1000 kg or 1.102311 short tons (US)</t>
  </si>
  <si>
    <t>NJDEP MOVES3 Emissions Model Output, for New Jersey in 2020</t>
  </si>
  <si>
    <t>Emissions Rates (emissions divided by miles travelled)</t>
  </si>
  <si>
    <t>https://www.eia.gov/electricity/state/newjersey/</t>
  </si>
  <si>
    <t>https://www.bts.gov/content/average-fuel-efficiency-us-light-duty-vehicles</t>
  </si>
  <si>
    <t>https://www.epa.gov/automotive-trends/explore-automotive-trends-data</t>
  </si>
  <si>
    <t>Fine Particulate Matter (PM2.5) Emissions Avoided</t>
  </si>
  <si>
    <t>Based on assessment of a 1 metric tonne reduction fine particulate matter (PM2.5) in NJ</t>
  </si>
  <si>
    <t>Light-duty gasoline vehicles, 3% discount rate, as of April 25, 2022.</t>
  </si>
  <si>
    <t>Economic benefit per kg PM2.5</t>
  </si>
  <si>
    <t>2020 Emissions from NJ retail electricity, including imported electricity</t>
  </si>
  <si>
    <t>Assumptions and References for  Work-from-Home Emissions Benefit Calculator</t>
  </si>
  <si>
    <t>NJDEP Work-from-Home Emissions Benefit Calculator</t>
  </si>
  <si>
    <t>To find reductions in greenhouse gas emissions, particulate matter, gas consumption, and vehicle miles travelled by working from home.</t>
  </si>
  <si>
    <t>The number of people  working from home.  Each worker is assumed to travel alone in a light-duty passenger car or truck.</t>
  </si>
  <si>
    <t xml:space="preserve">Each worker is assumed to travel alone in a single-occupancy light-duty passenger car or truck.  </t>
  </si>
  <si>
    <t>The number of work-from-home participants can be adjusted for commuters who car pool.</t>
  </si>
  <si>
    <t>Commuting by train or bus is not addressed in the calculations.</t>
  </si>
  <si>
    <t>Emissions from NJ passenger cars and trucks were found using the EPA MOVES3 model.  Details are on the "Assumptions and References" tab.</t>
  </si>
  <si>
    <t>Estimates are for illustration.  Real-life results will vary depending on circumstances.</t>
  </si>
  <si>
    <t>Greenhouse Gas Emissions Avoided with WFH plus EV</t>
  </si>
  <si>
    <t>miles/year</t>
  </si>
  <si>
    <t>Distance Driven by EV</t>
  </si>
  <si>
    <t>Gas Not Purchased</t>
  </si>
  <si>
    <t>Gas Not Purchased 
by Using EV</t>
  </si>
  <si>
    <t>EV Details</t>
  </si>
  <si>
    <r>
      <t>metric tonnes CO</t>
    </r>
    <r>
      <rPr>
        <vertAlign val="subscript"/>
        <sz val="11"/>
        <color theme="1"/>
        <rFont val="Calibri"/>
        <family val="2"/>
        <scheme val="minor"/>
      </rPr>
      <t>2</t>
    </r>
    <r>
      <rPr>
        <sz val="11"/>
        <color theme="1"/>
        <rFont val="Calibri"/>
        <family val="2"/>
        <scheme val="minor"/>
      </rPr>
      <t>e/year</t>
    </r>
  </si>
  <si>
    <t>Net GHG Avoided by Using EV</t>
  </si>
  <si>
    <t>GHG Avoided by EV Not Burning Gas</t>
  </si>
  <si>
    <t>Travel Avoided by WFH</t>
  </si>
  <si>
    <t>Overall Cost Savings</t>
  </si>
  <si>
    <t>Updated 6/16/22</t>
  </si>
  <si>
    <t>The miles per gallon entered above is only used to find the gallons of gasoline and the gasoline cost.  It is not used to find emissions.</t>
  </si>
  <si>
    <t>GHG Emissions from 
Making Electricity</t>
  </si>
  <si>
    <t>Number of WFH Days per Week</t>
  </si>
  <si>
    <t>What if I work from home some days and  use an electric vehicle the other days?</t>
  </si>
  <si>
    <t>gallons/year</t>
  </si>
  <si>
    <t>Power EV Would Use</t>
  </si>
  <si>
    <t>Annual Electricity Cost 
for EV</t>
  </si>
  <si>
    <t>Savings from 
Not Buying Gas for EV</t>
  </si>
  <si>
    <t>Net Cost Savings 
from Using EV</t>
  </si>
  <si>
    <t>Emissions Reductions, Miles Avoided, and Fuel Cost Savings from Working at Home</t>
  </si>
  <si>
    <t>Work Week Length</t>
  </si>
  <si>
    <t xml:space="preserve">days </t>
  </si>
  <si>
    <t>The total number of days worked every week, including working from home and commuting with an 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</si>
</sst>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
    <numFmt numFmtId="165" formatCode="0.00.E+00"/>
    <numFmt numFmtId="166" formatCode="0.000000"/>
    <numFmt numFmtId="167" formatCode="0.0000"/>
    <numFmt numFmtId="168" formatCode="#,##0.0000_);\(#,##0.00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vertAlign val="subscript"/>
      <sz val="11"/>
      <color theme="1"/>
      <name val="Calibri"/>
      <family val="2"/>
      <scheme val="minor"/>
    </font>
    <font>
      <b/>
      <sz val="12"/>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cellStyleXfs>
  <cellXfs count="106">
    <xf numFmtId="0" fontId="0" fillId="0" borderId="0" xfId="0"/>
    <xf numFmtId="0" fontId="2" fillId="0" borderId="0" xfId="0" applyFont="1"/>
    <xf numFmtId="0" fontId="0" fillId="0" borderId="7" xfId="0" applyBorder="1"/>
    <xf numFmtId="0" fontId="3" fillId="0" borderId="0" xfId="0" applyFont="1"/>
    <xf numFmtId="0" fontId="0" fillId="0" borderId="0" xfId="0" applyAlignment="1">
      <alignment horizontal="left"/>
    </xf>
    <xf numFmtId="0" fontId="0" fillId="0" borderId="0" xfId="0" applyAlignment="1">
      <alignment horizontal="center" wrapText="1"/>
    </xf>
    <xf numFmtId="0" fontId="0" fillId="0" borderId="0" xfId="0" applyAlignment="1">
      <alignment horizontal="center"/>
    </xf>
    <xf numFmtId="0" fontId="2" fillId="0" borderId="0" xfId="0" applyFont="1" applyAlignment="1">
      <alignment horizontal="center" wrapText="1"/>
    </xf>
    <xf numFmtId="0" fontId="0" fillId="2" borderId="4" xfId="0" applyFill="1" applyBorder="1"/>
    <xf numFmtId="0" fontId="0" fillId="2" borderId="5" xfId="0" applyFill="1" applyBorder="1"/>
    <xf numFmtId="0" fontId="0" fillId="2" borderId="4" xfId="0" applyFill="1" applyBorder="1" applyAlignment="1">
      <alignment horizontal="left"/>
    </xf>
    <xf numFmtId="0" fontId="0" fillId="2" borderId="6" xfId="0" applyFill="1" applyBorder="1" applyAlignment="1">
      <alignment horizontal="left"/>
    </xf>
    <xf numFmtId="0" fontId="0" fillId="2" borderId="8" xfId="0" applyFill="1" applyBorder="1"/>
    <xf numFmtId="0" fontId="0" fillId="0" borderId="0" xfId="0" applyBorder="1" applyAlignment="1">
      <alignment horizontal="left"/>
    </xf>
    <xf numFmtId="3" fontId="0" fillId="0" borderId="0" xfId="0" applyNumberFormat="1" applyBorder="1"/>
    <xf numFmtId="0" fontId="0" fillId="0" borderId="0" xfId="0" applyFill="1" applyBorder="1"/>
    <xf numFmtId="0" fontId="0" fillId="2" borderId="1" xfId="0" applyFill="1" applyBorder="1"/>
    <xf numFmtId="0" fontId="0" fillId="0" borderId="7" xfId="0" applyBorder="1" applyAlignment="1">
      <alignment horizontal="left"/>
    </xf>
    <xf numFmtId="3" fontId="0" fillId="0" borderId="7" xfId="0" applyNumberFormat="1" applyBorder="1"/>
    <xf numFmtId="3" fontId="1" fillId="2" borderId="3" xfId="1" applyNumberFormat="1" applyFont="1" applyFill="1" applyBorder="1"/>
    <xf numFmtId="0" fontId="0" fillId="3" borderId="1" xfId="0" applyFill="1" applyBorder="1" applyAlignment="1">
      <alignment horizontal="center" wrapText="1"/>
    </xf>
    <xf numFmtId="0" fontId="0" fillId="3" borderId="2" xfId="0" applyFill="1" applyBorder="1" applyAlignment="1">
      <alignment horizontal="center" wrapText="1"/>
    </xf>
    <xf numFmtId="0" fontId="0" fillId="3" borderId="3" xfId="0" applyFill="1" applyBorder="1" applyAlignment="1">
      <alignment horizontal="center" wrapText="1"/>
    </xf>
    <xf numFmtId="0" fontId="0" fillId="3" borderId="0"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3" fontId="0" fillId="0" borderId="7" xfId="0" applyNumberFormat="1" applyFont="1" applyBorder="1" applyAlignment="1">
      <alignment horizontal="center" vertical="center"/>
    </xf>
    <xf numFmtId="4" fontId="1" fillId="0" borderId="8" xfId="2" applyNumberFormat="1" applyFont="1" applyBorder="1" applyAlignment="1">
      <alignment horizontal="center" vertical="center"/>
    </xf>
    <xf numFmtId="0" fontId="4" fillId="0" borderId="0" xfId="3"/>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0" xfId="0" applyBorder="1"/>
    <xf numFmtId="3" fontId="0" fillId="0" borderId="0" xfId="0" applyNumberFormat="1" applyAlignment="1">
      <alignment horizontal="right" vertical="center"/>
    </xf>
    <xf numFmtId="2" fontId="0" fillId="0" borderId="0" xfId="0" applyNumberFormat="1"/>
    <xf numFmtId="3" fontId="0" fillId="0" borderId="0" xfId="0" applyNumberFormat="1"/>
    <xf numFmtId="4" fontId="0" fillId="0" borderId="0" xfId="0" applyNumberFormat="1" applyAlignment="1">
      <alignment horizontal="right" vertical="center" wrapText="1"/>
    </xf>
    <xf numFmtId="4" fontId="0" fillId="0" borderId="0" xfId="0" applyNumberFormat="1" applyAlignment="1">
      <alignment horizontal="right" vertical="center"/>
    </xf>
    <xf numFmtId="165" fontId="0" fillId="0" borderId="0" xfId="0" applyNumberFormat="1" applyAlignment="1">
      <alignment horizontal="right" vertical="center" wrapText="1"/>
    </xf>
    <xf numFmtId="165" fontId="0" fillId="0" borderId="0" xfId="0" applyNumberFormat="1" applyAlignment="1">
      <alignment horizontal="right" vertical="center"/>
    </xf>
    <xf numFmtId="11" fontId="0" fillId="0" borderId="0" xfId="0" applyNumberFormat="1"/>
    <xf numFmtId="167" fontId="0" fillId="0" borderId="0" xfId="0" applyNumberFormat="1"/>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11" fontId="0" fillId="0" borderId="0" xfId="0" applyNumberFormat="1" applyAlignment="1">
      <alignment horizontal="right" vertical="center"/>
    </xf>
    <xf numFmtId="0" fontId="0" fillId="0" borderId="6" xfId="0" applyBorder="1" applyAlignment="1">
      <alignment horizontal="center" vertical="center"/>
    </xf>
    <xf numFmtId="2" fontId="0" fillId="0" borderId="7" xfId="0" applyNumberFormat="1" applyBorder="1"/>
    <xf numFmtId="168" fontId="0" fillId="0" borderId="6" xfId="0" applyNumberFormat="1" applyFont="1" applyBorder="1" applyAlignment="1">
      <alignment horizontal="center" vertical="center"/>
    </xf>
    <xf numFmtId="168" fontId="0" fillId="0" borderId="0" xfId="0" applyNumberFormat="1" applyFont="1" applyBorder="1" applyAlignment="1">
      <alignment horizontal="center" vertical="center"/>
    </xf>
    <xf numFmtId="3" fontId="0" fillId="0" borderId="0" xfId="0" applyNumberFormat="1" applyBorder="1" applyAlignment="1">
      <alignment horizontal="center"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168" fontId="0" fillId="0" borderId="7" xfId="0" applyNumberFormat="1" applyFont="1" applyBorder="1" applyAlignment="1">
      <alignment horizontal="center" vertical="center"/>
    </xf>
    <xf numFmtId="3" fontId="0" fillId="0" borderId="8" xfId="0" applyNumberFormat="1" applyBorder="1" applyAlignment="1">
      <alignment horizontal="center" vertical="center"/>
    </xf>
    <xf numFmtId="0" fontId="0" fillId="3" borderId="1" xfId="0"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4" fillId="0" borderId="6" xfId="3" applyBorder="1" applyAlignment="1" applyProtection="1"/>
    <xf numFmtId="0" fontId="0" fillId="0" borderId="8" xfId="0" applyBorder="1"/>
    <xf numFmtId="0" fontId="0" fillId="0" borderId="6" xfId="0" applyBorder="1"/>
    <xf numFmtId="0" fontId="2" fillId="0" borderId="1" xfId="0" applyFont="1" applyBorder="1"/>
    <xf numFmtId="0" fontId="0" fillId="3" borderId="4" xfId="0" applyFill="1" applyBorder="1"/>
    <xf numFmtId="164" fontId="0" fillId="0" borderId="4" xfId="0" applyNumberFormat="1" applyFill="1" applyBorder="1"/>
    <xf numFmtId="2" fontId="0" fillId="0" borderId="0" xfId="0" applyNumberFormat="1" applyBorder="1" applyAlignment="1">
      <alignment horizontal="center" vertical="center"/>
    </xf>
    <xf numFmtId="1" fontId="0" fillId="0" borderId="4" xfId="0" applyNumberFormat="1" applyBorder="1"/>
    <xf numFmtId="166" fontId="0" fillId="0" borderId="4" xfId="0" applyNumberFormat="1" applyBorder="1"/>
    <xf numFmtId="4" fontId="0" fillId="0" borderId="8" xfId="0" applyNumberFormat="1" applyBorder="1" applyAlignment="1">
      <alignment horizontal="center" vertical="center"/>
    </xf>
    <xf numFmtId="0" fontId="0" fillId="3" borderId="0" xfId="0" applyFill="1" applyBorder="1" applyAlignment="1">
      <alignment horizontal="center" vertical="center"/>
    </xf>
    <xf numFmtId="0" fontId="0" fillId="3" borderId="5" xfId="0" applyFill="1" applyBorder="1" applyAlignment="1">
      <alignment horizontal="center" vertical="center"/>
    </xf>
    <xf numFmtId="168" fontId="2" fillId="0" borderId="0" xfId="0" applyNumberFormat="1" applyFont="1" applyBorder="1" applyAlignment="1">
      <alignment horizontal="left" vertical="center"/>
    </xf>
    <xf numFmtId="4" fontId="0" fillId="0" borderId="7" xfId="0" applyNumberFormat="1" applyBorder="1" applyAlignment="1">
      <alignment horizontal="center" vertical="center"/>
    </xf>
    <xf numFmtId="15" fontId="0" fillId="0" borderId="0" xfId="0" applyNumberFormat="1"/>
    <xf numFmtId="0" fontId="3" fillId="0" borderId="0" xfId="0" applyFont="1" applyFill="1" applyBorder="1"/>
    <xf numFmtId="39" fontId="0" fillId="0" borderId="6" xfId="0" applyNumberFormat="1" applyFont="1" applyBorder="1" applyAlignment="1">
      <alignment horizontal="center" vertical="center"/>
    </xf>
    <xf numFmtId="0" fontId="4" fillId="0" borderId="6" xfId="3" applyBorder="1"/>
    <xf numFmtId="0" fontId="0" fillId="0" borderId="0" xfId="0" applyBorder="1" applyAlignment="1">
      <alignment horizontal="center"/>
    </xf>
    <xf numFmtId="0" fontId="0" fillId="0" borderId="5" xfId="0" applyBorder="1" applyAlignment="1">
      <alignment horizontal="center"/>
    </xf>
    <xf numFmtId="2" fontId="0" fillId="0" borderId="0" xfId="0" applyNumberFormat="1" applyBorder="1" applyAlignment="1">
      <alignment horizontal="center" wrapText="1"/>
    </xf>
    <xf numFmtId="0" fontId="4" fillId="0" borderId="0" xfId="3" applyBorder="1"/>
    <xf numFmtId="2" fontId="0" fillId="0" borderId="5" xfId="0" applyNumberFormat="1" applyBorder="1" applyAlignment="1">
      <alignment horizontal="center"/>
    </xf>
    <xf numFmtId="0" fontId="0" fillId="0" borderId="4" xfId="0" applyBorder="1" applyAlignment="1">
      <alignment horizontal="left"/>
    </xf>
    <xf numFmtId="0" fontId="4" fillId="0" borderId="0" xfId="3" applyBorder="1" applyAlignment="1" applyProtection="1"/>
    <xf numFmtId="0" fontId="6" fillId="0" borderId="0" xfId="0" applyFont="1"/>
    <xf numFmtId="0" fontId="7" fillId="0" borderId="0" xfId="0" applyFont="1"/>
    <xf numFmtId="2" fontId="0" fillId="2" borderId="5" xfId="0" applyNumberFormat="1" applyFill="1" applyBorder="1"/>
    <xf numFmtId="3" fontId="0" fillId="0" borderId="0" xfId="0" applyNumberFormat="1" applyBorder="1" applyAlignment="1">
      <alignment horizontal="left" vertical="center"/>
    </xf>
    <xf numFmtId="168" fontId="0" fillId="0" borderId="0" xfId="0" applyNumberFormat="1" applyFont="1" applyFill="1" applyBorder="1" applyAlignment="1">
      <alignment horizontal="left" vertical="center"/>
    </xf>
    <xf numFmtId="37" fontId="0" fillId="0" borderId="0" xfId="0" applyNumberFormat="1" applyFont="1" applyFill="1" applyBorder="1" applyAlignment="1">
      <alignment horizontal="center" vertical="center"/>
    </xf>
    <xf numFmtId="3" fontId="0" fillId="0" borderId="0" xfId="0" applyNumberFormat="1" applyFill="1" applyBorder="1" applyAlignment="1">
      <alignment horizontal="left" vertical="center"/>
    </xf>
    <xf numFmtId="168" fontId="0" fillId="2" borderId="9" xfId="0" applyNumberFormat="1" applyFont="1" applyFill="1" applyBorder="1" applyAlignment="1">
      <alignment horizontal="left" vertical="center"/>
    </xf>
    <xf numFmtId="37" fontId="0" fillId="2" borderId="10" xfId="0" applyNumberFormat="1" applyFont="1" applyFill="1" applyBorder="1" applyAlignment="1">
      <alignment horizontal="right" vertical="center"/>
    </xf>
    <xf numFmtId="4" fontId="0" fillId="0" borderId="0" xfId="0" applyNumberFormat="1" applyBorder="1" applyAlignment="1">
      <alignment horizontal="center" vertical="center"/>
    </xf>
    <xf numFmtId="3" fontId="0" fillId="0" borderId="7" xfId="0" applyNumberFormat="1" applyBorder="1" applyAlignment="1">
      <alignment horizontal="center" vertical="center"/>
    </xf>
    <xf numFmtId="2" fontId="0" fillId="0" borderId="0" xfId="0" applyNumberFormat="1" applyBorder="1" applyAlignment="1">
      <alignment horizontal="left" vertical="center"/>
    </xf>
    <xf numFmtId="0" fontId="0" fillId="3" borderId="4" xfId="0" applyFill="1" applyBorder="1" applyAlignment="1">
      <alignment horizontal="center" vertical="center"/>
    </xf>
    <xf numFmtId="4" fontId="0" fillId="0" borderId="6" xfId="0" applyNumberFormat="1" applyBorder="1" applyAlignment="1">
      <alignment horizontal="center" vertical="center"/>
    </xf>
    <xf numFmtId="2" fontId="0" fillId="3" borderId="3" xfId="0" applyNumberFormat="1" applyFill="1" applyBorder="1" applyAlignment="1">
      <alignment horizontal="center" wrapText="1"/>
    </xf>
    <xf numFmtId="2" fontId="0" fillId="3" borderId="5" xfId="0" applyNumberFormat="1" applyFill="1" applyBorder="1" applyAlignment="1">
      <alignment horizontal="center" vertical="center"/>
    </xf>
    <xf numFmtId="3" fontId="0" fillId="0" borderId="6" xfId="0" applyNumberFormat="1" applyFont="1" applyBorder="1" applyAlignment="1">
      <alignment horizontal="center" vertical="center"/>
    </xf>
    <xf numFmtId="37" fontId="0" fillId="0" borderId="0" xfId="0" applyNumberFormat="1" applyFont="1" applyFill="1" applyBorder="1" applyAlignment="1">
      <alignment horizontal="right" vertical="center"/>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pa.gov/automotive-trends/explore-automotive-trends-data" TargetMode="External"/><Relationship Id="rId2" Type="http://schemas.openxmlformats.org/officeDocument/2006/relationships/hyperlink" Target="https://www.bts.gov/content/average-fuel-efficiency-us-light-duty-vehicles" TargetMode="External"/><Relationship Id="rId1" Type="http://schemas.openxmlformats.org/officeDocument/2006/relationships/hyperlink" Target="https://www.gasbuddy.com/gasprices/new-jersey"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cobra.epa.gov/" TargetMode="External"/><Relationship Id="rId2" Type="http://schemas.openxmlformats.org/officeDocument/2006/relationships/hyperlink" Target="https://www.eia.gov/electricity/state/newjersey/" TargetMode="External"/><Relationship Id="rId1" Type="http://schemas.openxmlformats.org/officeDocument/2006/relationships/hyperlink" Target="https://ev-database.org/cheatsheet/energy-consumption-electric-car"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8CCC1-47BD-4892-9A05-787E74D76868}">
  <sheetPr>
    <tabColor theme="7" tint="0.79998168889431442"/>
  </sheetPr>
  <dimension ref="A1:L41"/>
  <sheetViews>
    <sheetView tabSelected="1" workbookViewId="0"/>
  </sheetViews>
  <sheetFormatPr defaultRowHeight="15" x14ac:dyDescent="0.25"/>
  <cols>
    <col min="1" max="1" width="29.42578125" customWidth="1"/>
    <col min="2" max="3" width="28.85546875" customWidth="1"/>
    <col min="4" max="8" width="26.85546875" customWidth="1"/>
    <col min="9" max="9" width="23.28515625" customWidth="1"/>
    <col min="10" max="10" width="24.28515625" customWidth="1"/>
    <col min="11" max="11" width="22.5703125" customWidth="1"/>
    <col min="12" max="12" width="21.42578125" customWidth="1"/>
    <col min="13" max="14" width="19.5703125" customWidth="1"/>
  </cols>
  <sheetData>
    <row r="1" spans="1:6" ht="18.75" x14ac:dyDescent="0.3">
      <c r="A1" s="3" t="s">
        <v>75</v>
      </c>
    </row>
    <row r="2" spans="1:6" x14ac:dyDescent="0.25">
      <c r="A2" t="s">
        <v>76</v>
      </c>
    </row>
    <row r="3" spans="1:6" x14ac:dyDescent="0.25">
      <c r="A3" t="s">
        <v>58</v>
      </c>
    </row>
    <row r="4" spans="1:6" x14ac:dyDescent="0.25">
      <c r="A4" t="s">
        <v>82</v>
      </c>
    </row>
    <row r="5" spans="1:6" x14ac:dyDescent="0.25">
      <c r="A5" s="77" t="s">
        <v>94</v>
      </c>
    </row>
    <row r="7" spans="1:6" ht="18.75" x14ac:dyDescent="0.3">
      <c r="A7" s="78" t="s">
        <v>59</v>
      </c>
      <c r="B7" s="15"/>
    </row>
    <row r="8" spans="1:6" x14ac:dyDescent="0.25">
      <c r="A8" s="16" t="s">
        <v>1</v>
      </c>
      <c r="B8" s="19">
        <v>1</v>
      </c>
      <c r="D8" t="s">
        <v>77</v>
      </c>
    </row>
    <row r="9" spans="1:6" x14ac:dyDescent="0.25">
      <c r="A9" s="8" t="s">
        <v>97</v>
      </c>
      <c r="B9" s="9">
        <v>1</v>
      </c>
      <c r="D9" t="s">
        <v>15</v>
      </c>
    </row>
    <row r="10" spans="1:6" x14ac:dyDescent="0.25">
      <c r="A10" s="10" t="s">
        <v>2</v>
      </c>
      <c r="B10" s="9">
        <v>18.7</v>
      </c>
      <c r="C10" t="s">
        <v>0</v>
      </c>
      <c r="D10" t="s">
        <v>16</v>
      </c>
    </row>
    <row r="11" spans="1:6" x14ac:dyDescent="0.25">
      <c r="A11" s="10" t="s">
        <v>19</v>
      </c>
      <c r="B11" s="90">
        <v>5</v>
      </c>
      <c r="C11" t="s">
        <v>18</v>
      </c>
      <c r="D11" s="28" t="s">
        <v>13</v>
      </c>
      <c r="F11" s="6"/>
    </row>
    <row r="12" spans="1:6" x14ac:dyDescent="0.25">
      <c r="A12" s="11" t="s">
        <v>17</v>
      </c>
      <c r="B12" s="12">
        <v>22.9</v>
      </c>
      <c r="C12" t="s">
        <v>8</v>
      </c>
      <c r="D12" s="28" t="s">
        <v>67</v>
      </c>
      <c r="F12" s="6"/>
    </row>
    <row r="13" spans="1:6" x14ac:dyDescent="0.25">
      <c r="D13" s="28" t="s">
        <v>68</v>
      </c>
    </row>
    <row r="14" spans="1:6" ht="18.75" x14ac:dyDescent="0.3">
      <c r="A14" s="3" t="s">
        <v>60</v>
      </c>
      <c r="D14" s="28"/>
    </row>
    <row r="15" spans="1:6" x14ac:dyDescent="0.25">
      <c r="A15" s="1" t="s">
        <v>104</v>
      </c>
    </row>
    <row r="16" spans="1:6" s="5" customFormat="1" ht="45" x14ac:dyDescent="0.25">
      <c r="A16" s="20" t="s">
        <v>51</v>
      </c>
      <c r="B16" s="21" t="s">
        <v>92</v>
      </c>
      <c r="C16" s="21" t="s">
        <v>86</v>
      </c>
      <c r="D16" s="22" t="s">
        <v>49</v>
      </c>
    </row>
    <row r="17" spans="1:12" s="6" customFormat="1" ht="18" x14ac:dyDescent="0.25">
      <c r="A17" s="100" t="s">
        <v>89</v>
      </c>
      <c r="B17" s="23" t="s">
        <v>84</v>
      </c>
      <c r="C17" s="23" t="s">
        <v>99</v>
      </c>
      <c r="D17" s="25" t="s">
        <v>3</v>
      </c>
    </row>
    <row r="18" spans="1:12" ht="24.75" customHeight="1" x14ac:dyDescent="0.25">
      <c r="A18" s="79">
        <f>$B18*(kgCO2ePerMile/1000)</f>
        <v>0.78318487011335036</v>
      </c>
      <c r="B18" s="26">
        <f>(CommuteOneWay*2)*(WFHDaysperWeek/7)*365*NumPeople</f>
        <v>1950.1428571428571</v>
      </c>
      <c r="C18" s="26">
        <f>B18/Vehicle_Fuel_Efficiency</f>
        <v>85.159076731129133</v>
      </c>
      <c r="D18" s="27">
        <f>($B18/Vehicle_Fuel_Efficiency)*GasPrice</f>
        <v>425.79538365564565</v>
      </c>
    </row>
    <row r="19" spans="1:12" ht="23.25" customHeight="1" x14ac:dyDescent="0.25"/>
    <row r="20" spans="1:12" x14ac:dyDescent="0.25">
      <c r="A20" s="1" t="s">
        <v>57</v>
      </c>
    </row>
    <row r="21" spans="1:12" ht="30" x14ac:dyDescent="0.25">
      <c r="A21" s="57" t="s">
        <v>69</v>
      </c>
      <c r="B21" s="53" t="s">
        <v>34</v>
      </c>
      <c r="C21" s="53" t="s">
        <v>56</v>
      </c>
      <c r="D21" s="54" t="s">
        <v>36</v>
      </c>
    </row>
    <row r="22" spans="1:12" x14ac:dyDescent="0.25">
      <c r="A22" s="24" t="s">
        <v>39</v>
      </c>
      <c r="B22" s="23" t="s">
        <v>40</v>
      </c>
      <c r="C22" s="73" t="s">
        <v>3</v>
      </c>
      <c r="D22" s="25" t="s">
        <v>38</v>
      </c>
    </row>
    <row r="23" spans="1:12" ht="24.75" customHeight="1" x14ac:dyDescent="0.25">
      <c r="A23" s="50">
        <f>$B18*(kgPM25PerMile)</f>
        <v>1.0357053831213455E-2</v>
      </c>
      <c r="B23" s="55">
        <f>$B$18*(kgBCPerMile)</f>
        <v>4.9906115310856172E-3</v>
      </c>
      <c r="C23" s="76">
        <f>A23*Health_per_kg</f>
        <v>11.956668860715251</v>
      </c>
      <c r="D23" s="56">
        <f>$B$18*kWhPerMile</f>
        <v>3005.3377971462078</v>
      </c>
    </row>
    <row r="24" spans="1:12" ht="24.75" customHeight="1" x14ac:dyDescent="0.25">
      <c r="A24" s="51"/>
      <c r="B24" s="51"/>
      <c r="C24" s="97"/>
      <c r="D24" s="52"/>
    </row>
    <row r="25" spans="1:12" ht="24.75" customHeight="1" x14ac:dyDescent="0.25">
      <c r="A25" s="51"/>
      <c r="B25" s="51"/>
      <c r="C25" s="97"/>
      <c r="D25" s="52"/>
    </row>
    <row r="26" spans="1:12" ht="20.25" customHeight="1" x14ac:dyDescent="0.25">
      <c r="A26" s="75" t="s">
        <v>98</v>
      </c>
      <c r="B26" s="51"/>
      <c r="C26" s="91"/>
      <c r="D26" s="52"/>
      <c r="E26" s="69"/>
    </row>
    <row r="27" spans="1:12" ht="20.25" customHeight="1" x14ac:dyDescent="0.25">
      <c r="A27" s="95" t="s">
        <v>105</v>
      </c>
      <c r="B27" s="96">
        <v>5</v>
      </c>
      <c r="C27" s="91" t="s">
        <v>106</v>
      </c>
      <c r="D27" s="91" t="s">
        <v>107</v>
      </c>
      <c r="E27" s="69"/>
    </row>
    <row r="28" spans="1:12" ht="20.25" customHeight="1" x14ac:dyDescent="0.25">
      <c r="A28" s="92"/>
      <c r="B28" s="105"/>
      <c r="C28" s="91"/>
      <c r="D28" s="52"/>
      <c r="E28" s="69"/>
    </row>
    <row r="29" spans="1:12" ht="20.25" customHeight="1" x14ac:dyDescent="0.25">
      <c r="A29" s="92"/>
      <c r="B29" s="93"/>
      <c r="C29" s="94"/>
      <c r="D29" s="52"/>
      <c r="E29" s="99" t="s">
        <v>88</v>
      </c>
    </row>
    <row r="30" spans="1:12" ht="32.25" customHeight="1" x14ac:dyDescent="0.25">
      <c r="A30" s="20" t="s">
        <v>83</v>
      </c>
      <c r="B30" s="22" t="s">
        <v>93</v>
      </c>
      <c r="C30" s="20" t="s">
        <v>92</v>
      </c>
      <c r="D30" s="102" t="s">
        <v>85</v>
      </c>
      <c r="E30" s="21" t="s">
        <v>100</v>
      </c>
      <c r="F30" s="21" t="s">
        <v>87</v>
      </c>
      <c r="G30" s="20" t="s">
        <v>96</v>
      </c>
      <c r="H30" s="21" t="s">
        <v>91</v>
      </c>
      <c r="I30" s="22" t="s">
        <v>90</v>
      </c>
      <c r="J30" s="21" t="s">
        <v>101</v>
      </c>
      <c r="K30" s="21" t="s">
        <v>102</v>
      </c>
      <c r="L30" s="22" t="s">
        <v>103</v>
      </c>
    </row>
    <row r="31" spans="1:12" ht="20.25" customHeight="1" x14ac:dyDescent="0.25">
      <c r="A31" s="100" t="s">
        <v>89</v>
      </c>
      <c r="B31" s="25" t="s">
        <v>3</v>
      </c>
      <c r="C31" s="24" t="s">
        <v>84</v>
      </c>
      <c r="D31" s="103" t="s">
        <v>84</v>
      </c>
      <c r="E31" s="73" t="s">
        <v>38</v>
      </c>
      <c r="F31" s="73" t="s">
        <v>99</v>
      </c>
      <c r="G31" s="100" t="s">
        <v>89</v>
      </c>
      <c r="H31" s="73" t="s">
        <v>89</v>
      </c>
      <c r="I31" s="74" t="s">
        <v>89</v>
      </c>
      <c r="J31" s="73" t="s">
        <v>3</v>
      </c>
      <c r="K31" s="73" t="s">
        <v>3</v>
      </c>
      <c r="L31" s="74" t="s">
        <v>3</v>
      </c>
    </row>
    <row r="32" spans="1:12" ht="20.25" customHeight="1" x14ac:dyDescent="0.25">
      <c r="A32" s="79">
        <f>A18+I32</f>
        <v>3.3479903178523758</v>
      </c>
      <c r="B32" s="27">
        <f>((B18/Vehicle_Fuel_Efficiency)*GasPrice)+L32</f>
        <v>1831.2484234360377</v>
      </c>
      <c r="C32" s="104">
        <f>B18</f>
        <v>1950.1428571428571</v>
      </c>
      <c r="D32" s="56">
        <f>(CommuteOneWay*2)*((Length_of_Work_Week-WFHDaysperWeek)/7)*365*NumPeople</f>
        <v>7800.5714285714284</v>
      </c>
      <c r="E32" s="98">
        <f>D32*kWhPerMiForEv</f>
        <v>2184.3616642860634</v>
      </c>
      <c r="F32" s="98">
        <f>D32/Vehicle_Fuel_Efficiency</f>
        <v>340.63630692451653</v>
      </c>
      <c r="G32" s="101">
        <f>E32*Electric_GHG_Emissions_Rate</f>
        <v>0.56793403271437648</v>
      </c>
      <c r="H32" s="76">
        <f>D32*(kgCO2ePerMile/1000)</f>
        <v>3.1327394804534014</v>
      </c>
      <c r="I32" s="72">
        <f>H32-G32</f>
        <v>2.5648054477390252</v>
      </c>
      <c r="J32" s="76">
        <f>E32*Cost_of_Electricity</f>
        <v>297.72849484219046</v>
      </c>
      <c r="K32" s="76">
        <f>F32*GasPrice</f>
        <v>1703.1815346225826</v>
      </c>
      <c r="L32" s="72">
        <f>((D32/Vehicle_Fuel_Efficiency)*GasPrice)-J32</f>
        <v>1405.4530397803921</v>
      </c>
    </row>
    <row r="33" spans="1:5" ht="20.25" customHeight="1" x14ac:dyDescent="0.25">
      <c r="A33" s="51"/>
      <c r="B33" s="51"/>
      <c r="C33" s="52"/>
      <c r="D33" s="52"/>
      <c r="E33" s="69"/>
    </row>
    <row r="35" spans="1:5" ht="18" x14ac:dyDescent="0.35">
      <c r="A35" t="s">
        <v>61</v>
      </c>
    </row>
    <row r="37" spans="1:5" x14ac:dyDescent="0.25">
      <c r="A37" t="s">
        <v>14</v>
      </c>
    </row>
    <row r="38" spans="1:5" x14ac:dyDescent="0.25">
      <c r="A38" t="s">
        <v>81</v>
      </c>
    </row>
    <row r="39" spans="1:5" x14ac:dyDescent="0.25">
      <c r="A39" s="4" t="s">
        <v>62</v>
      </c>
    </row>
    <row r="40" spans="1:5" x14ac:dyDescent="0.25">
      <c r="A40" t="s">
        <v>95</v>
      </c>
    </row>
    <row r="41" spans="1:5" x14ac:dyDescent="0.25">
      <c r="A41" s="7"/>
    </row>
  </sheetData>
  <hyperlinks>
    <hyperlink ref="D11" r:id="rId1" xr:uid="{732D506D-8678-4806-B579-F3346EAB1ECB}"/>
    <hyperlink ref="D12" r:id="rId2" xr:uid="{27B1525D-FA09-42CC-A087-5480D0B32E80}"/>
    <hyperlink ref="D13" r:id="rId3" xr:uid="{02AF09C1-476D-44D5-AEA9-B38B2A31E13D}"/>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C10C-5D44-423E-8C90-15819FF8926A}">
  <sheetPr>
    <tabColor theme="8" tint="0.79998168889431442"/>
  </sheetPr>
  <dimension ref="A1:K48"/>
  <sheetViews>
    <sheetView topLeftCell="A13" workbookViewId="0">
      <selection activeCell="F25" sqref="F25"/>
    </sheetView>
  </sheetViews>
  <sheetFormatPr defaultRowHeight="15" x14ac:dyDescent="0.25"/>
  <cols>
    <col min="1" max="1" width="33.7109375" customWidth="1"/>
    <col min="2" max="3" width="13.85546875" customWidth="1"/>
    <col min="4" max="4" width="17.5703125" customWidth="1"/>
    <col min="5" max="6" width="13.85546875" customWidth="1"/>
    <col min="7" max="7" width="15.28515625" customWidth="1"/>
    <col min="8" max="8" width="14.85546875" customWidth="1"/>
    <col min="9" max="9" width="13.140625" customWidth="1"/>
    <col min="10" max="10" width="11.42578125" customWidth="1"/>
    <col min="11" max="11" width="13.42578125" customWidth="1"/>
  </cols>
  <sheetData>
    <row r="1" spans="1:11" ht="15.75" x14ac:dyDescent="0.25">
      <c r="A1" s="88" t="s">
        <v>74</v>
      </c>
    </row>
    <row r="2" spans="1:11" ht="15.75" x14ac:dyDescent="0.25">
      <c r="A2" s="88"/>
    </row>
    <row r="3" spans="1:11" ht="15.75" x14ac:dyDescent="0.25">
      <c r="A3" s="89" t="s">
        <v>78</v>
      </c>
    </row>
    <row r="4" spans="1:11" ht="15.75" x14ac:dyDescent="0.25">
      <c r="A4" s="89" t="s">
        <v>79</v>
      </c>
    </row>
    <row r="5" spans="1:11" ht="15.75" x14ac:dyDescent="0.25">
      <c r="A5" s="89" t="s">
        <v>80</v>
      </c>
    </row>
    <row r="7" spans="1:11" x14ac:dyDescent="0.25">
      <c r="A7" s="1" t="s">
        <v>22</v>
      </c>
    </row>
    <row r="8" spans="1:11" x14ac:dyDescent="0.25">
      <c r="A8" s="58" t="s">
        <v>64</v>
      </c>
      <c r="B8" s="59"/>
      <c r="C8" s="59"/>
      <c r="D8" s="59"/>
      <c r="E8" s="59"/>
      <c r="F8" s="60"/>
      <c r="G8" s="58" t="s">
        <v>65</v>
      </c>
      <c r="H8" s="59"/>
      <c r="I8" s="60"/>
      <c r="J8" s="59"/>
      <c r="K8" s="60"/>
    </row>
    <row r="9" spans="1:11" x14ac:dyDescent="0.25">
      <c r="A9" s="65"/>
      <c r="B9" s="2"/>
      <c r="C9" s="2"/>
      <c r="D9" s="2"/>
      <c r="E9" s="2"/>
      <c r="F9" s="64"/>
      <c r="G9" s="65"/>
      <c r="H9" s="2"/>
      <c r="I9" s="64"/>
      <c r="J9" s="2"/>
      <c r="K9" s="64"/>
    </row>
    <row r="10" spans="1:11" ht="30" x14ac:dyDescent="0.25">
      <c r="A10" s="41" t="s">
        <v>20</v>
      </c>
      <c r="B10" s="42" t="s">
        <v>4</v>
      </c>
      <c r="C10" s="42" t="s">
        <v>27</v>
      </c>
      <c r="D10" s="42" t="s">
        <v>25</v>
      </c>
      <c r="E10" s="42" t="s">
        <v>28</v>
      </c>
      <c r="F10" s="42" t="s">
        <v>6</v>
      </c>
      <c r="G10" s="42" t="s">
        <v>21</v>
      </c>
      <c r="H10" s="42" t="s">
        <v>27</v>
      </c>
      <c r="I10" s="42" t="s">
        <v>25</v>
      </c>
      <c r="J10" s="41" t="s">
        <v>32</v>
      </c>
      <c r="K10" s="43" t="s">
        <v>32</v>
      </c>
    </row>
    <row r="11" spans="1:11" ht="18" x14ac:dyDescent="0.25">
      <c r="A11" s="44"/>
      <c r="B11" s="30" t="s">
        <v>5</v>
      </c>
      <c r="C11" s="30" t="s">
        <v>26</v>
      </c>
      <c r="D11" s="30" t="s">
        <v>26</v>
      </c>
      <c r="E11" s="30" t="s">
        <v>29</v>
      </c>
      <c r="F11" s="30" t="s">
        <v>7</v>
      </c>
      <c r="G11" s="30" t="s">
        <v>33</v>
      </c>
      <c r="H11" s="45" t="s">
        <v>30</v>
      </c>
      <c r="I11" s="45" t="s">
        <v>30</v>
      </c>
      <c r="J11" s="48" t="s">
        <v>31</v>
      </c>
      <c r="K11" s="46" t="s">
        <v>35</v>
      </c>
    </row>
    <row r="12" spans="1:11" x14ac:dyDescent="0.25">
      <c r="D12" s="29"/>
      <c r="E12" s="29"/>
    </row>
    <row r="13" spans="1:11" x14ac:dyDescent="0.25">
      <c r="A13" t="s">
        <v>24</v>
      </c>
      <c r="B13" s="34">
        <v>133767.75161599999</v>
      </c>
      <c r="C13" s="34">
        <v>6.6156119999999987</v>
      </c>
      <c r="D13" s="35">
        <v>0.97769799999999996</v>
      </c>
      <c r="E13" s="37">
        <v>1840504520704</v>
      </c>
      <c r="F13" s="34">
        <v>358269615</v>
      </c>
      <c r="G13" s="40">
        <f>(1000*B13)/$F13</f>
        <v>0.37337174578982923</v>
      </c>
      <c r="H13" s="39">
        <f>(1000*C13)/$F13</f>
        <v>1.8465456524969327E-5</v>
      </c>
      <c r="I13" s="39">
        <f>(1000*D13)/$F13</f>
        <v>2.7289447920388112E-6</v>
      </c>
      <c r="J13" s="34">
        <f>E13/$F13</f>
        <v>5137.2051763418449</v>
      </c>
      <c r="K13" s="33">
        <f>J13/3600</f>
        <v>1.4270014378727347</v>
      </c>
    </row>
    <row r="14" spans="1:11" x14ac:dyDescent="0.25">
      <c r="A14" s="13" t="s">
        <v>10</v>
      </c>
      <c r="B14" s="14">
        <v>8688530.3625279982</v>
      </c>
      <c r="C14" s="14">
        <v>91.935243999999983</v>
      </c>
      <c r="D14" s="36">
        <v>39.290970999999999</v>
      </c>
      <c r="E14" s="38">
        <v>120112391023488</v>
      </c>
      <c r="F14" s="14">
        <v>24967680741</v>
      </c>
      <c r="G14" s="40">
        <f t="shared" ref="G14:G17" si="0">(1000*B14)/$F14</f>
        <v>0.34799108706402049</v>
      </c>
      <c r="H14" s="39">
        <f t="shared" ref="H14:I17" si="1">(1000*C14)/$F14</f>
        <v>3.6821699601850085E-6</v>
      </c>
      <c r="I14" s="39">
        <f t="shared" si="1"/>
        <v>1.5736732381185649E-6</v>
      </c>
      <c r="J14" s="34">
        <f t="shared" ref="J14:J17" si="2">E14/$F14</f>
        <v>4810.7147904310032</v>
      </c>
      <c r="K14" s="33">
        <f t="shared" ref="K14:K17" si="3">J14/3600</f>
        <v>1.3363096640086121</v>
      </c>
    </row>
    <row r="15" spans="1:11" x14ac:dyDescent="0.25">
      <c r="A15" s="13" t="s">
        <v>9</v>
      </c>
      <c r="B15" s="14">
        <v>13733403.924608</v>
      </c>
      <c r="C15" s="14">
        <v>149.43503400000003</v>
      </c>
      <c r="D15" s="36">
        <v>65.998813999999996</v>
      </c>
      <c r="E15" s="38">
        <v>189840414513152</v>
      </c>
      <c r="F15" s="14">
        <v>31317967745</v>
      </c>
      <c r="G15" s="40">
        <f t="shared" si="0"/>
        <v>0.43851516919710015</v>
      </c>
      <c r="H15" s="39">
        <f t="shared" si="1"/>
        <v>4.7715431351339119E-6</v>
      </c>
      <c r="I15" s="39">
        <f t="shared" si="1"/>
        <v>2.1073785673892233E-6</v>
      </c>
      <c r="J15" s="34">
        <f t="shared" si="2"/>
        <v>6061.7092417645954</v>
      </c>
      <c r="K15" s="33">
        <f t="shared" si="3"/>
        <v>1.6838081227123876</v>
      </c>
    </row>
    <row r="16" spans="1:11" x14ac:dyDescent="0.25">
      <c r="A16" s="13" t="s">
        <v>12</v>
      </c>
      <c r="B16" s="14">
        <v>66495.17568</v>
      </c>
      <c r="C16" s="14">
        <v>0.41693399999999997</v>
      </c>
      <c r="D16" s="36">
        <v>0.20318600000000001</v>
      </c>
      <c r="E16" s="38">
        <v>901817113600</v>
      </c>
      <c r="F16" s="14">
        <v>183762326</v>
      </c>
      <c r="G16" s="40">
        <f t="shared" si="0"/>
        <v>0.36185423382157234</v>
      </c>
      <c r="H16" s="39">
        <f t="shared" si="1"/>
        <v>2.2688763745839827E-6</v>
      </c>
      <c r="I16" s="39">
        <f t="shared" si="1"/>
        <v>1.1056999790044017E-6</v>
      </c>
      <c r="J16" s="34">
        <f t="shared" si="2"/>
        <v>4907.5190395663585</v>
      </c>
      <c r="K16" s="33">
        <f t="shared" si="3"/>
        <v>1.3631997332128774</v>
      </c>
    </row>
    <row r="17" spans="1:11" x14ac:dyDescent="0.25">
      <c r="A17" s="13" t="s">
        <v>11</v>
      </c>
      <c r="B17" s="14">
        <v>672896.50176000001</v>
      </c>
      <c r="C17" s="14">
        <v>59.657952999999985</v>
      </c>
      <c r="D17" s="36">
        <v>41.970354</v>
      </c>
      <c r="E17" s="38">
        <v>9112228790272</v>
      </c>
      <c r="F17" s="14">
        <v>1177475636</v>
      </c>
      <c r="G17" s="40">
        <f t="shared" si="0"/>
        <v>0.57147382178190564</v>
      </c>
      <c r="H17" s="39">
        <f t="shared" si="1"/>
        <v>5.0665976582465771E-5</v>
      </c>
      <c r="I17" s="39">
        <f t="shared" si="1"/>
        <v>3.5644350266624115E-5</v>
      </c>
      <c r="J17" s="34">
        <f t="shared" si="2"/>
        <v>7738.7833019009495</v>
      </c>
      <c r="K17" s="33">
        <f t="shared" si="3"/>
        <v>2.1496620283058192</v>
      </c>
    </row>
    <row r="18" spans="1:11" x14ac:dyDescent="0.25">
      <c r="A18" s="17"/>
      <c r="B18" s="18"/>
      <c r="C18" s="2"/>
      <c r="D18" s="2"/>
      <c r="E18" s="2"/>
      <c r="F18" s="18"/>
      <c r="G18" s="2"/>
      <c r="H18" s="2"/>
      <c r="I18" s="2"/>
      <c r="J18" s="2"/>
      <c r="K18" s="49"/>
    </row>
    <row r="19" spans="1:11" x14ac:dyDescent="0.25">
      <c r="A19" t="s">
        <v>23</v>
      </c>
      <c r="B19" s="32">
        <f t="shared" ref="B19:E19" si="4">SUM(B13:B17)</f>
        <v>23295093.716191996</v>
      </c>
      <c r="C19" s="32">
        <f t="shared" si="4"/>
        <v>308.06077699999997</v>
      </c>
      <c r="D19" s="32">
        <f t="shared" si="4"/>
        <v>148.441023</v>
      </c>
      <c r="E19" s="47">
        <f t="shared" si="4"/>
        <v>321807355961216</v>
      </c>
      <c r="F19" s="32">
        <f>SUM(F13:F17)</f>
        <v>58005156063</v>
      </c>
      <c r="G19" s="40">
        <f t="shared" ref="G19" si="5">(1000*B19)/$F19</f>
        <v>0.40160384519767439</v>
      </c>
      <c r="H19" s="39">
        <f>(1000*C19)/$F19</f>
        <v>5.3109205786018747E-6</v>
      </c>
      <c r="I19" s="39">
        <f>(1000*D19)/$F19</f>
        <v>2.5591004847702967E-6</v>
      </c>
      <c r="J19" s="34">
        <f t="shared" ref="J19" si="6">E19/$F19</f>
        <v>5547.9094929371058</v>
      </c>
      <c r="K19" s="33">
        <f>J19/3600</f>
        <v>1.5410859702603072</v>
      </c>
    </row>
    <row r="22" spans="1:11" x14ac:dyDescent="0.25">
      <c r="A22" s="66" t="s">
        <v>50</v>
      </c>
      <c r="B22" s="59"/>
      <c r="C22" s="59"/>
      <c r="D22" s="60"/>
    </row>
    <row r="23" spans="1:11" x14ac:dyDescent="0.25">
      <c r="A23" s="61" t="s">
        <v>44</v>
      </c>
      <c r="B23" s="31"/>
      <c r="C23" s="31"/>
      <c r="D23" s="62"/>
    </row>
    <row r="24" spans="1:11" x14ac:dyDescent="0.25">
      <c r="A24" s="67">
        <v>174</v>
      </c>
      <c r="B24" s="31" t="s">
        <v>41</v>
      </c>
      <c r="C24" s="31" t="s">
        <v>43</v>
      </c>
      <c r="D24" s="62"/>
    </row>
    <row r="25" spans="1:11" x14ac:dyDescent="0.25">
      <c r="A25" s="68">
        <f>(A24/0.6213712)/1000</f>
        <v>0.28002585250169298</v>
      </c>
      <c r="B25" s="31" t="s">
        <v>35</v>
      </c>
      <c r="D25" s="62"/>
    </row>
    <row r="26" spans="1:11" x14ac:dyDescent="0.25">
      <c r="A26" s="68"/>
      <c r="B26" s="31"/>
      <c r="D26" s="62"/>
    </row>
    <row r="27" spans="1:11" x14ac:dyDescent="0.25">
      <c r="A27" s="63" t="s">
        <v>37</v>
      </c>
      <c r="B27" s="2"/>
      <c r="C27" s="2"/>
      <c r="D27" s="64"/>
    </row>
    <row r="28" spans="1:11" x14ac:dyDescent="0.25">
      <c r="A28" s="87"/>
      <c r="B28" s="31"/>
      <c r="C28" s="31"/>
      <c r="D28" s="31"/>
    </row>
    <row r="30" spans="1:11" x14ac:dyDescent="0.25">
      <c r="A30" s="66" t="s">
        <v>45</v>
      </c>
      <c r="B30" s="59"/>
      <c r="C30" s="59"/>
      <c r="D30" s="60"/>
    </row>
    <row r="31" spans="1:11" x14ac:dyDescent="0.25">
      <c r="A31" s="67">
        <v>0.1363</v>
      </c>
      <c r="B31" s="31" t="s">
        <v>42</v>
      </c>
      <c r="C31" s="31" t="s">
        <v>43</v>
      </c>
      <c r="D31" s="62"/>
    </row>
    <row r="32" spans="1:11" x14ac:dyDescent="0.25">
      <c r="A32" s="80" t="s">
        <v>66</v>
      </c>
      <c r="B32" s="2"/>
      <c r="C32" s="2"/>
      <c r="D32" s="64"/>
    </row>
    <row r="33" spans="1:4" x14ac:dyDescent="0.25">
      <c r="A33" s="84"/>
      <c r="B33" s="31"/>
      <c r="C33" s="31"/>
      <c r="D33" s="31"/>
    </row>
    <row r="35" spans="1:4" x14ac:dyDescent="0.25">
      <c r="A35" s="66" t="s">
        <v>46</v>
      </c>
      <c r="B35" s="59"/>
      <c r="C35" s="59"/>
      <c r="D35" s="60"/>
    </row>
    <row r="36" spans="1:4" ht="18" x14ac:dyDescent="0.35">
      <c r="A36" s="70">
        <v>260</v>
      </c>
      <c r="B36" s="31" t="s">
        <v>47</v>
      </c>
      <c r="C36" s="31"/>
      <c r="D36" s="62"/>
    </row>
    <row r="37" spans="1:4" x14ac:dyDescent="0.25">
      <c r="A37" s="71">
        <f>A36/1000000</f>
        <v>2.5999999999999998E-4</v>
      </c>
      <c r="B37" s="31" t="s">
        <v>48</v>
      </c>
      <c r="C37" s="31"/>
      <c r="D37" s="62"/>
    </row>
    <row r="38" spans="1:4" x14ac:dyDescent="0.25">
      <c r="A38" s="65" t="s">
        <v>73</v>
      </c>
      <c r="B38" s="2"/>
      <c r="C38" s="2"/>
      <c r="D38" s="64"/>
    </row>
    <row r="39" spans="1:4" x14ac:dyDescent="0.25">
      <c r="A39" s="31"/>
      <c r="B39" s="31"/>
      <c r="C39" s="31"/>
      <c r="D39" s="31"/>
    </row>
    <row r="40" spans="1:4" x14ac:dyDescent="0.25">
      <c r="A40" s="31"/>
      <c r="B40" s="31"/>
      <c r="C40" s="31"/>
      <c r="D40" s="31"/>
    </row>
    <row r="41" spans="1:4" x14ac:dyDescent="0.25">
      <c r="A41" s="66" t="s">
        <v>56</v>
      </c>
      <c r="B41" s="59"/>
      <c r="C41" s="59"/>
      <c r="D41" s="60"/>
    </row>
    <row r="42" spans="1:4" x14ac:dyDescent="0.25">
      <c r="A42" s="61" t="s">
        <v>70</v>
      </c>
      <c r="B42" s="31"/>
      <c r="C42" s="31"/>
      <c r="D42" s="62"/>
    </row>
    <row r="43" spans="1:4" x14ac:dyDescent="0.25">
      <c r="A43" s="61" t="s">
        <v>71</v>
      </c>
      <c r="B43" s="31"/>
      <c r="C43" s="31"/>
      <c r="D43" s="62"/>
    </row>
    <row r="44" spans="1:4" x14ac:dyDescent="0.25">
      <c r="A44" s="61" t="s">
        <v>63</v>
      </c>
      <c r="B44" s="31"/>
      <c r="C44" s="31"/>
      <c r="D44" s="62"/>
    </row>
    <row r="45" spans="1:4" x14ac:dyDescent="0.25">
      <c r="A45" s="61"/>
      <c r="B45" s="81" t="s">
        <v>53</v>
      </c>
      <c r="C45" s="81" t="s">
        <v>54</v>
      </c>
      <c r="D45" s="82" t="s">
        <v>55</v>
      </c>
    </row>
    <row r="46" spans="1:4" x14ac:dyDescent="0.25">
      <c r="A46" s="86" t="s">
        <v>72</v>
      </c>
      <c r="B46" s="83">
        <v>709.51932297856558</v>
      </c>
      <c r="C46" s="83">
        <v>1599.3745102621142</v>
      </c>
      <c r="D46" s="85">
        <f>AVERAGE(B46:C46)</f>
        <v>1154.4469166203398</v>
      </c>
    </row>
    <row r="47" spans="1:4" x14ac:dyDescent="0.25">
      <c r="A47" s="86"/>
      <c r="B47" s="83"/>
      <c r="C47" s="83"/>
      <c r="D47" s="85"/>
    </row>
    <row r="48" spans="1:4" x14ac:dyDescent="0.25">
      <c r="A48" s="80" t="s">
        <v>52</v>
      </c>
      <c r="B48" s="2"/>
      <c r="C48" s="2"/>
      <c r="D48" s="64"/>
    </row>
  </sheetData>
  <hyperlinks>
    <hyperlink ref="A27" r:id="rId1" xr:uid="{EC2ACDDA-B1F5-4FB9-9AEF-6F9017FBB11C}"/>
    <hyperlink ref="A32" r:id="rId2" xr:uid="{BDF52B2E-CF31-490F-B182-0FB3484F3FF9}"/>
    <hyperlink ref="A48" r:id="rId3" xr:uid="{1B757848-35F2-485E-8D02-B78725982375}"/>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Work-from-Home Calculator</vt:lpstr>
      <vt:lpstr>Assumptions and References</vt:lpstr>
      <vt:lpstr>CommuteOneWay</vt:lpstr>
      <vt:lpstr>Cost_of_Electricity</vt:lpstr>
      <vt:lpstr>Electric_GHG_Emissions_Rate</vt:lpstr>
      <vt:lpstr>EnergySavedPerMile</vt:lpstr>
      <vt:lpstr>GasPrice</vt:lpstr>
      <vt:lpstr>Health_per_kg</vt:lpstr>
      <vt:lpstr>kgBCPerMile</vt:lpstr>
      <vt:lpstr>kgCO2ePerMile</vt:lpstr>
      <vt:lpstr>kgPM25PerMile</vt:lpstr>
      <vt:lpstr>kWhPerMiForEv</vt:lpstr>
      <vt:lpstr>kWhPerMile</vt:lpstr>
      <vt:lpstr>Length_of_Work_Week</vt:lpstr>
      <vt:lpstr>NumPeople</vt:lpstr>
      <vt:lpstr>Vehicle_Fuel_Efficiency</vt:lpstr>
      <vt:lpstr>WFHDaysperWeek</vt:lpstr>
      <vt:lpstr>WorkDaysperYear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Barry, Chris</dc:creator>
  <cp:lastModifiedBy>Barry, Chris [DEP]</cp:lastModifiedBy>
  <dcterms:created xsi:type="dcterms:W3CDTF">2021-10-13T16:28:19Z</dcterms:created>
  <dcterms:modified xsi:type="dcterms:W3CDTF">2022-06-21T19:00:08Z</dcterms:modified>
</cp:coreProperties>
</file>