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2120" windowHeight="9120"/>
  </bookViews>
  <sheets>
    <sheet name="TTILE" sheetId="5" r:id="rId1"/>
    <sheet name="README" sheetId="3" r:id="rId2"/>
    <sheet name="3-TOTAL CMV EMISSIONS" sheetId="7" r:id="rId3"/>
    <sheet name="2-EmisbyCounty (fuel based)" sheetId="2" r:id="rId4"/>
    <sheet name="1-Total Emissions (fuel based)" sheetId="1" r:id="rId5"/>
    <sheet name="Sheet2" sheetId="4" r:id="rId6"/>
    <sheet name="Sheet1" sheetId="6" r:id="rId7"/>
  </sheets>
  <calcPr calcId="145621"/>
</workbook>
</file>

<file path=xl/calcChain.xml><?xml version="1.0" encoding="utf-8"?>
<calcChain xmlns="http://schemas.openxmlformats.org/spreadsheetml/2006/main">
  <c r="O21" i="2" l="1"/>
  <c r="N21" i="2"/>
  <c r="M21" i="2"/>
  <c r="L21" i="2"/>
  <c r="K21" i="2"/>
  <c r="J21" i="2"/>
  <c r="E21" i="2"/>
  <c r="D21" i="2"/>
  <c r="C21" i="2"/>
  <c r="B21" i="2"/>
  <c r="A21" i="2"/>
  <c r="G55" i="1"/>
  <c r="V88" i="1"/>
  <c r="U88" i="1"/>
  <c r="T88" i="1"/>
  <c r="S88" i="1"/>
  <c r="R88" i="1"/>
  <c r="E23" i="2"/>
  <c r="D23" i="2"/>
  <c r="C23" i="2"/>
  <c r="B23" i="2"/>
  <c r="A23" i="2"/>
  <c r="D7" i="1"/>
  <c r="G7" i="1"/>
  <c r="H7" i="1"/>
  <c r="L7" i="1"/>
  <c r="N7" i="1"/>
  <c r="D8" i="1"/>
  <c r="G8" i="1"/>
  <c r="H8" i="1"/>
  <c r="L8" i="1"/>
  <c r="N8" i="1"/>
  <c r="D9" i="1"/>
  <c r="G9" i="1"/>
  <c r="H9" i="1"/>
  <c r="L9" i="1"/>
  <c r="N9" i="1"/>
  <c r="D10" i="1"/>
  <c r="G10" i="1"/>
  <c r="H10" i="1"/>
  <c r="L10" i="1"/>
  <c r="D11" i="1"/>
  <c r="G11" i="1"/>
  <c r="H11" i="1"/>
  <c r="L11" i="1"/>
  <c r="N11" i="1"/>
  <c r="D12" i="1"/>
  <c r="G12" i="1"/>
  <c r="H12" i="1"/>
  <c r="L12" i="1"/>
  <c r="D13" i="1"/>
  <c r="G13" i="1"/>
  <c r="H13" i="1"/>
  <c r="L13" i="1"/>
  <c r="N13" i="1"/>
  <c r="D14" i="1"/>
  <c r="G14" i="1"/>
  <c r="H14" i="1"/>
  <c r="L14" i="1"/>
  <c r="D15" i="1"/>
  <c r="G15" i="1"/>
  <c r="H15" i="1"/>
  <c r="L15" i="1"/>
  <c r="N15" i="1"/>
  <c r="D16" i="1"/>
  <c r="G16" i="1"/>
  <c r="H16" i="1"/>
  <c r="L16" i="1"/>
  <c r="N16" i="1"/>
  <c r="D17" i="1"/>
  <c r="G17" i="1"/>
  <c r="H17" i="1"/>
  <c r="L17" i="1"/>
  <c r="D18" i="1"/>
  <c r="G18" i="1"/>
  <c r="H18" i="1"/>
  <c r="L18" i="1"/>
  <c r="D19" i="1"/>
  <c r="G19" i="1"/>
  <c r="H19" i="1"/>
  <c r="L19" i="1"/>
  <c r="N19" i="1"/>
  <c r="D20" i="1"/>
  <c r="G20" i="1"/>
  <c r="H20" i="1"/>
  <c r="L20" i="1"/>
  <c r="D21" i="1"/>
  <c r="G21" i="1"/>
  <c r="H21" i="1"/>
  <c r="L21" i="1"/>
  <c r="N21" i="1"/>
  <c r="D22" i="1"/>
  <c r="G22" i="1"/>
  <c r="H22" i="1"/>
  <c r="L22" i="1"/>
  <c r="D23" i="1"/>
  <c r="G23" i="1"/>
  <c r="H23" i="1"/>
  <c r="L23" i="1"/>
  <c r="N23" i="1"/>
  <c r="D24" i="1"/>
  <c r="G24" i="1"/>
  <c r="H24" i="1"/>
  <c r="L24" i="1"/>
  <c r="N24" i="1"/>
  <c r="D25" i="1"/>
  <c r="G25" i="1"/>
  <c r="H25" i="1"/>
  <c r="L25" i="1"/>
  <c r="D26" i="1"/>
  <c r="G26" i="1"/>
  <c r="H26" i="1"/>
  <c r="D27" i="1"/>
  <c r="G27" i="1"/>
  <c r="H27" i="1"/>
  <c r="L27" i="1"/>
  <c r="N27" i="1"/>
  <c r="D28" i="1"/>
  <c r="G28" i="1"/>
  <c r="H28" i="1"/>
  <c r="L28" i="1"/>
  <c r="N28" i="1"/>
  <c r="D29" i="1"/>
  <c r="G29" i="1"/>
  <c r="H29" i="1"/>
  <c r="D30" i="1"/>
  <c r="G30" i="1"/>
  <c r="H30" i="1"/>
  <c r="L30" i="1"/>
  <c r="D31" i="1"/>
  <c r="G31" i="1"/>
  <c r="H31" i="1"/>
  <c r="L31" i="1"/>
  <c r="N31" i="1"/>
  <c r="D32" i="1"/>
  <c r="G32" i="1"/>
  <c r="H32" i="1"/>
  <c r="L32" i="1"/>
  <c r="D33" i="1"/>
  <c r="G33" i="1"/>
  <c r="H33" i="1"/>
  <c r="L33" i="1"/>
  <c r="D34" i="1"/>
  <c r="G34" i="1"/>
  <c r="H34" i="1"/>
  <c r="L34" i="1"/>
  <c r="D35" i="1"/>
  <c r="G35" i="1"/>
  <c r="H35" i="1"/>
  <c r="L35" i="1"/>
  <c r="D36" i="1"/>
  <c r="G36" i="1"/>
  <c r="H36" i="1"/>
  <c r="L36" i="1"/>
  <c r="D37" i="1"/>
  <c r="G37" i="1"/>
  <c r="H37" i="1"/>
  <c r="L37" i="1"/>
  <c r="D38" i="1"/>
  <c r="G38" i="1"/>
  <c r="H38" i="1"/>
  <c r="L38" i="1"/>
  <c r="D39" i="1"/>
  <c r="G39" i="1"/>
  <c r="H39" i="1"/>
  <c r="L39" i="1"/>
  <c r="N39" i="1"/>
  <c r="D40" i="1"/>
  <c r="G40" i="1"/>
  <c r="H40" i="1"/>
  <c r="L40" i="1"/>
  <c r="D41" i="1"/>
  <c r="G41" i="1"/>
  <c r="H41" i="1"/>
  <c r="L41" i="1"/>
  <c r="D42" i="1"/>
  <c r="G42" i="1"/>
  <c r="H42" i="1"/>
  <c r="L42" i="1"/>
  <c r="D43" i="1"/>
  <c r="G43" i="1"/>
  <c r="H43" i="1"/>
  <c r="L43" i="1"/>
  <c r="D44" i="1"/>
  <c r="G44" i="1"/>
  <c r="H44" i="1"/>
  <c r="L44" i="1"/>
  <c r="D45" i="1"/>
  <c r="G45" i="1"/>
  <c r="H45" i="1"/>
  <c r="L45" i="1"/>
  <c r="D46" i="1"/>
  <c r="G46" i="1"/>
  <c r="H46" i="1"/>
  <c r="L46" i="1"/>
  <c r="M46" i="1"/>
  <c r="D47" i="1"/>
  <c r="G47" i="1"/>
  <c r="H47" i="1"/>
  <c r="L47" i="1"/>
  <c r="D48" i="1"/>
  <c r="G48" i="1"/>
  <c r="H48" i="1"/>
  <c r="L48" i="1"/>
  <c r="D49" i="1"/>
  <c r="G49" i="1"/>
  <c r="H49" i="1"/>
  <c r="L49" i="1"/>
  <c r="D50" i="1"/>
  <c r="G50" i="1"/>
  <c r="H50" i="1"/>
  <c r="D51" i="1"/>
  <c r="G51" i="1"/>
  <c r="H51" i="1"/>
  <c r="L51" i="1"/>
  <c r="D52" i="1"/>
  <c r="G52" i="1"/>
  <c r="H52" i="1"/>
  <c r="L52" i="1"/>
  <c r="D53" i="1"/>
  <c r="G53" i="1"/>
  <c r="H53" i="1"/>
  <c r="L53" i="1"/>
  <c r="D54" i="1"/>
  <c r="G54" i="1"/>
  <c r="H54" i="1"/>
  <c r="H8" i="2"/>
  <c r="I7" i="2"/>
  <c r="C59" i="1"/>
  <c r="E59" i="1"/>
  <c r="F59" i="1"/>
  <c r="C60" i="1"/>
  <c r="E60" i="1"/>
  <c r="F60" i="1"/>
  <c r="C61" i="1"/>
  <c r="E61" i="1"/>
  <c r="F61" i="1"/>
  <c r="M61" i="1"/>
  <c r="C62" i="1"/>
  <c r="E62" i="1"/>
  <c r="F62" i="1"/>
  <c r="C63" i="1"/>
  <c r="E63" i="1"/>
  <c r="F63" i="1"/>
  <c r="C64" i="1"/>
  <c r="E64" i="1"/>
  <c r="F64" i="1"/>
  <c r="C65" i="1"/>
  <c r="E65" i="1"/>
  <c r="F65" i="1"/>
  <c r="M65" i="1"/>
  <c r="C66" i="1"/>
  <c r="E66" i="1"/>
  <c r="F66" i="1"/>
  <c r="C67" i="1"/>
  <c r="E67" i="1"/>
  <c r="F67" i="1"/>
  <c r="H15" i="2"/>
  <c r="I14" i="2"/>
  <c r="E74" i="1"/>
  <c r="E75" i="1"/>
  <c r="E76" i="1"/>
  <c r="E77" i="1"/>
  <c r="E78" i="1"/>
  <c r="H22" i="2"/>
  <c r="H20" i="2"/>
  <c r="H21" i="2"/>
  <c r="H23" i="2"/>
  <c r="I22" i="2"/>
  <c r="B26" i="2"/>
  <c r="A26" i="2"/>
  <c r="J28" i="2"/>
  <c r="O7" i="1"/>
  <c r="O8" i="1"/>
  <c r="O9" i="1"/>
  <c r="O11" i="1"/>
  <c r="O13" i="1"/>
  <c r="O15" i="1"/>
  <c r="O16" i="1"/>
  <c r="O19" i="1"/>
  <c r="O21" i="1"/>
  <c r="O23" i="1"/>
  <c r="O24" i="1"/>
  <c r="O27" i="1"/>
  <c r="O28" i="1"/>
  <c r="O31" i="1"/>
  <c r="O39" i="1"/>
  <c r="C26" i="2"/>
  <c r="L28" i="2"/>
  <c r="P7" i="1"/>
  <c r="P8" i="1"/>
  <c r="P9" i="1"/>
  <c r="P11" i="1"/>
  <c r="P13" i="1"/>
  <c r="P15" i="1"/>
  <c r="P16" i="1"/>
  <c r="P19" i="1"/>
  <c r="P21" i="1"/>
  <c r="P23" i="1"/>
  <c r="P24" i="1"/>
  <c r="P27" i="1"/>
  <c r="P28" i="1"/>
  <c r="P31" i="1"/>
  <c r="P39" i="1"/>
  <c r="D26" i="2"/>
  <c r="Q7" i="1"/>
  <c r="Q8" i="1"/>
  <c r="Q9" i="1"/>
  <c r="Q11" i="1"/>
  <c r="Q13" i="1"/>
  <c r="Q15" i="1"/>
  <c r="Q16" i="1"/>
  <c r="Q19" i="1"/>
  <c r="Q21" i="1"/>
  <c r="Q23" i="1"/>
  <c r="Q24" i="1"/>
  <c r="Q27" i="1"/>
  <c r="Q28" i="1"/>
  <c r="Q31" i="1"/>
  <c r="Q39" i="1"/>
  <c r="E26" i="2"/>
  <c r="I6" i="2"/>
  <c r="I13" i="2"/>
  <c r="I21" i="2"/>
  <c r="I26" i="2"/>
  <c r="J26" i="2"/>
  <c r="K26" i="2"/>
  <c r="C92" i="1"/>
  <c r="E92" i="1"/>
  <c r="L26" i="2"/>
  <c r="M7" i="1"/>
  <c r="M8" i="1"/>
  <c r="M9" i="1"/>
  <c r="M11" i="1"/>
  <c r="M13" i="1"/>
  <c r="M15" i="1"/>
  <c r="M16" i="1"/>
  <c r="M19" i="1"/>
  <c r="M21" i="1"/>
  <c r="M23" i="1"/>
  <c r="M24" i="1"/>
  <c r="M27" i="1"/>
  <c r="M28" i="1"/>
  <c r="M31" i="1"/>
  <c r="M39" i="1"/>
  <c r="I5" i="2"/>
  <c r="I12" i="2"/>
  <c r="I20" i="2"/>
  <c r="P34" i="2"/>
  <c r="P32" i="2"/>
  <c r="L27" i="2"/>
  <c r="M27" i="2"/>
  <c r="N27" i="2"/>
  <c r="P27" i="2"/>
  <c r="O34" i="2"/>
  <c r="O32" i="2"/>
  <c r="J27" i="2"/>
  <c r="K27" i="2"/>
  <c r="J22" i="1"/>
  <c r="J23" i="1"/>
  <c r="J24" i="1"/>
  <c r="J25" i="1"/>
  <c r="J19" i="1"/>
  <c r="J21" i="1"/>
  <c r="J16" i="1"/>
  <c r="J17" i="1"/>
  <c r="J18" i="1"/>
  <c r="J15" i="1"/>
  <c r="J13" i="1"/>
  <c r="J43" i="1"/>
  <c r="J20" i="1"/>
  <c r="J14" i="1"/>
  <c r="I53" i="1"/>
  <c r="I52" i="1"/>
  <c r="I51" i="1"/>
  <c r="I10" i="1"/>
  <c r="I8" i="1"/>
  <c r="I9" i="1"/>
  <c r="I43" i="1"/>
  <c r="I44" i="1"/>
  <c r="I45" i="1"/>
  <c r="I46" i="1"/>
  <c r="I47" i="1"/>
  <c r="I48" i="1"/>
  <c r="I49" i="1"/>
  <c r="I40" i="1"/>
  <c r="I41" i="1"/>
  <c r="I42" i="1"/>
  <c r="I39" i="1"/>
  <c r="I36" i="1"/>
  <c r="I37" i="1"/>
  <c r="I35" i="1"/>
  <c r="I31" i="1"/>
  <c r="I32" i="1"/>
  <c r="I33" i="1"/>
  <c r="I34" i="1"/>
  <c r="I30" i="1"/>
  <c r="I28" i="1"/>
  <c r="I12" i="1"/>
  <c r="I13" i="1"/>
  <c r="I14" i="1"/>
  <c r="I15" i="1"/>
  <c r="I16" i="1"/>
  <c r="I17" i="1"/>
  <c r="I18" i="1"/>
  <c r="I19" i="1"/>
  <c r="I20" i="1"/>
  <c r="I21" i="1"/>
  <c r="I22" i="1"/>
  <c r="I23" i="1"/>
  <c r="I24" i="1"/>
  <c r="I25" i="1"/>
  <c r="I11" i="1"/>
  <c r="K14" i="1"/>
  <c r="K20" i="1"/>
  <c r="K43" i="1"/>
  <c r="J8" i="1"/>
  <c r="J9" i="1"/>
  <c r="J10" i="1"/>
  <c r="J11" i="1"/>
  <c r="J12" i="1"/>
  <c r="J28" i="1"/>
  <c r="J30" i="1"/>
  <c r="J31" i="1"/>
  <c r="J32" i="1"/>
  <c r="J33" i="1"/>
  <c r="J34" i="1"/>
  <c r="J35" i="1"/>
  <c r="J36" i="1"/>
  <c r="J37" i="1"/>
  <c r="J39" i="1"/>
  <c r="J40" i="1"/>
  <c r="J41" i="1"/>
  <c r="J42" i="1"/>
  <c r="J44" i="1"/>
  <c r="J45" i="1"/>
  <c r="J46" i="1"/>
  <c r="J47" i="1"/>
  <c r="J48" i="1"/>
  <c r="J49" i="1"/>
  <c r="J51" i="1"/>
  <c r="J52" i="1"/>
  <c r="J53" i="1"/>
  <c r="I7" i="1"/>
  <c r="I27" i="1"/>
  <c r="B79" i="1"/>
  <c r="C68" i="1"/>
  <c r="B68" i="1"/>
  <c r="N12" i="1"/>
  <c r="P12" i="1"/>
  <c r="O12" i="1"/>
  <c r="Q12" i="1"/>
  <c r="M12" i="1"/>
  <c r="E80" i="1"/>
  <c r="N38" i="1"/>
  <c r="O38" i="1"/>
  <c r="P38" i="1"/>
  <c r="Q38" i="1"/>
  <c r="M38" i="1"/>
  <c r="N30" i="1"/>
  <c r="O30" i="1"/>
  <c r="P30" i="1"/>
  <c r="Q30" i="1"/>
  <c r="M30" i="1"/>
  <c r="N22" i="1"/>
  <c r="O22" i="1"/>
  <c r="P22" i="1"/>
  <c r="Q22" i="1"/>
  <c r="M22" i="1"/>
  <c r="N14" i="1"/>
  <c r="O14" i="1"/>
  <c r="P14" i="1"/>
  <c r="Q14" i="1"/>
  <c r="M14" i="1"/>
  <c r="D88" i="1"/>
  <c r="D86" i="1"/>
  <c r="E86" i="1"/>
  <c r="D84" i="1"/>
  <c r="E84" i="1"/>
  <c r="N84" i="1"/>
  <c r="D87" i="1"/>
  <c r="D85" i="1"/>
  <c r="D83" i="1"/>
  <c r="L26" i="1"/>
  <c r="I26" i="1"/>
  <c r="N18" i="1"/>
  <c r="O18" i="1"/>
  <c r="P18" i="1"/>
  <c r="Q18" i="1"/>
  <c r="M18" i="1"/>
  <c r="E83" i="1"/>
  <c r="N88" i="1"/>
  <c r="O88" i="1"/>
  <c r="P88" i="1"/>
  <c r="O84" i="1"/>
  <c r="O65" i="1"/>
  <c r="P65" i="1"/>
  <c r="Q65" i="1"/>
  <c r="N65" i="1"/>
  <c r="O61" i="1"/>
  <c r="P61" i="1"/>
  <c r="Q61" i="1"/>
  <c r="N61" i="1"/>
  <c r="N46" i="1"/>
  <c r="O46" i="1"/>
  <c r="P46" i="1"/>
  <c r="Q46" i="1"/>
  <c r="N45" i="1"/>
  <c r="O45" i="1"/>
  <c r="P45" i="1"/>
  <c r="N86" i="1"/>
  <c r="O86" i="1"/>
  <c r="P86" i="1"/>
  <c r="O83" i="1"/>
  <c r="P83" i="1"/>
  <c r="N83" i="1"/>
  <c r="N66" i="1"/>
  <c r="O66" i="1"/>
  <c r="P66" i="1"/>
  <c r="N64" i="1"/>
  <c r="O64" i="1"/>
  <c r="P64" i="1"/>
  <c r="N62" i="1"/>
  <c r="O62" i="1"/>
  <c r="P62" i="1"/>
  <c r="N60" i="1"/>
  <c r="O60" i="1"/>
  <c r="P60" i="1"/>
  <c r="E87" i="1"/>
  <c r="E85" i="1"/>
  <c r="P85" i="1"/>
  <c r="Q86" i="1"/>
  <c r="M86" i="1"/>
  <c r="Q83" i="1"/>
  <c r="M83" i="1"/>
  <c r="N26" i="1"/>
  <c r="O26" i="1"/>
  <c r="P26" i="1"/>
  <c r="Q26" i="1"/>
  <c r="M26" i="1"/>
  <c r="Q84" i="1"/>
  <c r="M84" i="1"/>
  <c r="Q88" i="1"/>
  <c r="M88" i="1"/>
  <c r="O87" i="1"/>
  <c r="P87" i="1"/>
  <c r="N87" i="1"/>
  <c r="Q87" i="1"/>
  <c r="M87" i="1"/>
  <c r="N85" i="1"/>
  <c r="O92" i="1"/>
  <c r="C33" i="2"/>
  <c r="L33" i="2"/>
  <c r="Q92" i="1"/>
  <c r="E33" i="2"/>
  <c r="N33" i="2"/>
  <c r="P33" i="2"/>
  <c r="N92" i="1"/>
  <c r="B33" i="2"/>
  <c r="K33" i="2"/>
  <c r="O33" i="2"/>
  <c r="M92" i="1"/>
  <c r="A33" i="2"/>
  <c r="J33" i="2"/>
  <c r="P92" i="1"/>
  <c r="D33" i="2"/>
  <c r="M33" i="2"/>
  <c r="M67" i="1"/>
  <c r="P67" i="1"/>
  <c r="N67" i="1"/>
  <c r="O67" i="1"/>
  <c r="Q67" i="1"/>
  <c r="M59" i="1"/>
  <c r="P59" i="1"/>
  <c r="N59" i="1"/>
  <c r="O59" i="1"/>
  <c r="Q59" i="1"/>
  <c r="O53" i="1"/>
  <c r="N53" i="1"/>
  <c r="P53" i="1"/>
  <c r="N51" i="1"/>
  <c r="P51" i="1"/>
  <c r="O51" i="1"/>
  <c r="N49" i="1"/>
  <c r="P49" i="1"/>
  <c r="O49" i="1"/>
  <c r="O47" i="1"/>
  <c r="N47" i="1"/>
  <c r="P47" i="1"/>
  <c r="N37" i="1"/>
  <c r="Q37" i="1"/>
  <c r="O37" i="1"/>
  <c r="P37" i="1"/>
  <c r="M37" i="1"/>
  <c r="N35" i="1"/>
  <c r="Q35" i="1"/>
  <c r="O35" i="1"/>
  <c r="P35" i="1"/>
  <c r="M35" i="1"/>
  <c r="L29" i="1"/>
  <c r="I29" i="1"/>
  <c r="N20" i="1"/>
  <c r="O20" i="1"/>
  <c r="P20" i="1"/>
  <c r="M20" i="1"/>
  <c r="Q20" i="1"/>
  <c r="M63" i="1"/>
  <c r="P63" i="1"/>
  <c r="N63" i="1"/>
  <c r="O63" i="1"/>
  <c r="Q63" i="1"/>
  <c r="M52" i="1"/>
  <c r="N52" i="1"/>
  <c r="P52" i="1"/>
  <c r="O52" i="1"/>
  <c r="Q52" i="1"/>
  <c r="M48" i="1"/>
  <c r="O48" i="1"/>
  <c r="Q48" i="1"/>
  <c r="N48" i="1"/>
  <c r="P48" i="1"/>
  <c r="M44" i="1"/>
  <c r="N44" i="1"/>
  <c r="P44" i="1"/>
  <c r="O44" i="1"/>
  <c r="Q44" i="1"/>
  <c r="N36" i="1"/>
  <c r="O36" i="1"/>
  <c r="P36" i="1"/>
  <c r="M36" i="1"/>
  <c r="Q36" i="1"/>
  <c r="N25" i="1"/>
  <c r="O25" i="1"/>
  <c r="P25" i="1"/>
  <c r="M25" i="1"/>
  <c r="Q25" i="1"/>
  <c r="N17" i="1"/>
  <c r="O17" i="1"/>
  <c r="P17" i="1"/>
  <c r="M17" i="1"/>
  <c r="Q17" i="1"/>
  <c r="N10" i="1"/>
  <c r="P10" i="1"/>
  <c r="M10" i="1"/>
  <c r="O10" i="1"/>
  <c r="Q10" i="1"/>
  <c r="N89" i="1"/>
  <c r="B20" i="2"/>
  <c r="J55" i="1"/>
  <c r="M28" i="2"/>
  <c r="N28" i="2"/>
  <c r="E79" i="1"/>
  <c r="Q85" i="1"/>
  <c r="Q89" i="1"/>
  <c r="E20" i="2"/>
  <c r="O85" i="1"/>
  <c r="O89" i="1"/>
  <c r="C20" i="2"/>
  <c r="P84" i="1"/>
  <c r="P89" i="1"/>
  <c r="D20" i="2"/>
  <c r="K55" i="1"/>
  <c r="M26" i="2"/>
  <c r="N26" i="2"/>
  <c r="K28" i="2"/>
  <c r="K20" i="2"/>
  <c r="O20" i="2"/>
  <c r="P21" i="2"/>
  <c r="N20" i="2"/>
  <c r="P20" i="2"/>
  <c r="L20" i="2"/>
  <c r="M85" i="1"/>
  <c r="M89" i="1"/>
  <c r="A20" i="2"/>
  <c r="E89" i="1"/>
  <c r="O27" i="2"/>
  <c r="P28" i="2"/>
  <c r="O28" i="2"/>
  <c r="F87" i="1"/>
  <c r="G87" i="1"/>
  <c r="F85" i="1"/>
  <c r="G85" i="1"/>
  <c r="F83" i="1"/>
  <c r="G83" i="1"/>
  <c r="F86" i="1"/>
  <c r="G86" i="1"/>
  <c r="F84" i="1"/>
  <c r="G84" i="1"/>
  <c r="Q64" i="1"/>
  <c r="M64" i="1"/>
  <c r="Q60" i="1"/>
  <c r="Q68" i="1"/>
  <c r="E12" i="2"/>
  <c r="M60" i="1"/>
  <c r="M45" i="1"/>
  <c r="Q45" i="1"/>
  <c r="O42" i="1"/>
  <c r="Q42" i="1"/>
  <c r="N42" i="1"/>
  <c r="P42" i="1"/>
  <c r="M42" i="1"/>
  <c r="N34" i="1"/>
  <c r="P34" i="1"/>
  <c r="M34" i="1"/>
  <c r="O34" i="1"/>
  <c r="Q34" i="1"/>
  <c r="N33" i="1"/>
  <c r="P33" i="1"/>
  <c r="M33" i="1"/>
  <c r="O33" i="1"/>
  <c r="Q33" i="1"/>
  <c r="Q66" i="1"/>
  <c r="M66" i="1"/>
  <c r="Q62" i="1"/>
  <c r="M62" i="1"/>
  <c r="M68" i="1"/>
  <c r="A12" i="2"/>
  <c r="L54" i="1"/>
  <c r="I54" i="1"/>
  <c r="M53" i="1"/>
  <c r="Q53" i="1"/>
  <c r="Q51" i="1"/>
  <c r="M51" i="1"/>
  <c r="L50" i="1"/>
  <c r="I50" i="1"/>
  <c r="I55" i="1"/>
  <c r="Q49" i="1"/>
  <c r="M49" i="1"/>
  <c r="Q47" i="1"/>
  <c r="M47" i="1"/>
  <c r="N43" i="1"/>
  <c r="O43" i="1"/>
  <c r="Q43" i="1"/>
  <c r="P43" i="1"/>
  <c r="M43" i="1"/>
  <c r="P41" i="1"/>
  <c r="M41" i="1"/>
  <c r="N41" i="1"/>
  <c r="O41" i="1"/>
  <c r="Q41" i="1"/>
  <c r="N40" i="1"/>
  <c r="O40" i="1"/>
  <c r="Q40" i="1"/>
  <c r="P40" i="1"/>
  <c r="M40" i="1"/>
  <c r="N32" i="1"/>
  <c r="O32" i="1"/>
  <c r="Q32" i="1"/>
  <c r="P32" i="1"/>
  <c r="M32" i="1"/>
  <c r="M20" i="2"/>
  <c r="O26" i="2"/>
  <c r="P26" i="2"/>
  <c r="N29" i="1"/>
  <c r="Q29" i="1"/>
  <c r="O29" i="1"/>
  <c r="P29" i="1"/>
  <c r="M29" i="1"/>
  <c r="O68" i="1"/>
  <c r="C12" i="2"/>
  <c r="P68" i="1"/>
  <c r="D12" i="2"/>
  <c r="N68" i="1"/>
  <c r="B12" i="2"/>
  <c r="J14" i="2"/>
  <c r="J13" i="2"/>
  <c r="J12" i="2"/>
  <c r="N14" i="2"/>
  <c r="P14" i="2"/>
  <c r="N13" i="2"/>
  <c r="P13" i="2"/>
  <c r="N12" i="2"/>
  <c r="P12" i="2"/>
  <c r="V86" i="1"/>
  <c r="R86" i="1"/>
  <c r="U86" i="1"/>
  <c r="T86" i="1"/>
  <c r="S86" i="1"/>
  <c r="S85" i="1"/>
  <c r="V85" i="1"/>
  <c r="U85" i="1"/>
  <c r="T85" i="1"/>
  <c r="R85" i="1"/>
  <c r="J20" i="2"/>
  <c r="M50" i="1"/>
  <c r="N50" i="1"/>
  <c r="P50" i="1"/>
  <c r="O50" i="1"/>
  <c r="Q50" i="1"/>
  <c r="M54" i="1"/>
  <c r="O54" i="1"/>
  <c r="Q54" i="1"/>
  <c r="N54" i="1"/>
  <c r="P54" i="1"/>
  <c r="V84" i="1"/>
  <c r="U84" i="1"/>
  <c r="T84" i="1"/>
  <c r="R84" i="1"/>
  <c r="S84" i="1"/>
  <c r="S83" i="1"/>
  <c r="V83" i="1"/>
  <c r="U83" i="1"/>
  <c r="T83" i="1"/>
  <c r="R83" i="1"/>
  <c r="G89" i="1"/>
  <c r="U87" i="1"/>
  <c r="T87" i="1"/>
  <c r="V87" i="1"/>
  <c r="S87" i="1"/>
  <c r="R87" i="1"/>
  <c r="O55" i="1"/>
  <c r="N55" i="1"/>
  <c r="K14" i="2"/>
  <c r="O14" i="2"/>
  <c r="K12" i="2"/>
  <c r="O12" i="2"/>
  <c r="K13" i="2"/>
  <c r="O13" i="2"/>
  <c r="L14" i="2"/>
  <c r="L13" i="2"/>
  <c r="L12" i="2"/>
  <c r="Q55" i="1"/>
  <c r="P55" i="1"/>
  <c r="M55" i="1"/>
  <c r="M14" i="2"/>
  <c r="M13" i="2"/>
  <c r="M12" i="2"/>
  <c r="C5" i="2"/>
  <c r="O99" i="1"/>
  <c r="O100" i="1"/>
  <c r="B5" i="2"/>
  <c r="N99" i="1"/>
  <c r="N100" i="1"/>
  <c r="E5" i="2"/>
  <c r="Q99" i="1"/>
  <c r="Q100" i="1"/>
  <c r="D5" i="2"/>
  <c r="P99" i="1"/>
  <c r="P100" i="1"/>
  <c r="A5" i="2"/>
  <c r="M99" i="1"/>
  <c r="M100" i="1"/>
  <c r="R89" i="1"/>
  <c r="A22" i="2"/>
  <c r="J22" i="2"/>
  <c r="T89" i="1"/>
  <c r="C22" i="2"/>
  <c r="L22" i="2"/>
  <c r="V89" i="1"/>
  <c r="E22" i="2"/>
  <c r="N22" i="2"/>
  <c r="P22" i="2"/>
  <c r="U89" i="1"/>
  <c r="D22" i="2"/>
  <c r="M22" i="2"/>
  <c r="S89" i="1"/>
  <c r="B22" i="2"/>
  <c r="K22" i="2"/>
  <c r="O22" i="2"/>
  <c r="J7" i="2"/>
  <c r="J40" i="2"/>
  <c r="J5" i="2"/>
  <c r="J38" i="2"/>
  <c r="J6" i="2"/>
  <c r="J39" i="2"/>
  <c r="M7" i="2"/>
  <c r="M40" i="2"/>
  <c r="M6" i="2"/>
  <c r="M39" i="2"/>
  <c r="M5" i="2"/>
  <c r="M38" i="2"/>
  <c r="N6" i="2"/>
  <c r="N7" i="2"/>
  <c r="N5" i="2"/>
  <c r="K7" i="2"/>
  <c r="K5" i="2"/>
  <c r="K6" i="2"/>
  <c r="L6" i="2"/>
  <c r="L39" i="2"/>
  <c r="L7" i="2"/>
  <c r="L40" i="2"/>
  <c r="L5" i="2"/>
  <c r="L38" i="2"/>
  <c r="L43" i="2"/>
  <c r="L50" i="2"/>
  <c r="L49" i="2"/>
  <c r="L57" i="2"/>
  <c r="L45" i="2"/>
  <c r="L56" i="2"/>
  <c r="K39" i="2"/>
  <c r="O6" i="2"/>
  <c r="O39" i="2"/>
  <c r="K40" i="2"/>
  <c r="O7" i="2"/>
  <c r="O40" i="2"/>
  <c r="P7" i="2"/>
  <c r="N40" i="2"/>
  <c r="M50" i="2"/>
  <c r="M43" i="2"/>
  <c r="M49" i="2"/>
  <c r="M57" i="2"/>
  <c r="M56" i="2"/>
  <c r="M45" i="2"/>
  <c r="J50" i="2"/>
  <c r="J43" i="2"/>
  <c r="J49" i="2"/>
  <c r="L53" i="2"/>
  <c r="L52" i="2"/>
  <c r="L44" i="2"/>
  <c r="O5" i="2"/>
  <c r="O38" i="2"/>
  <c r="K38" i="2"/>
  <c r="P5" i="2"/>
  <c r="N38" i="2"/>
  <c r="P6" i="2"/>
  <c r="N39" i="2"/>
  <c r="M53" i="2"/>
  <c r="M44" i="2"/>
  <c r="M52" i="2"/>
  <c r="J53" i="2"/>
  <c r="J52" i="2"/>
  <c r="J44" i="2"/>
  <c r="J57" i="2"/>
  <c r="J45" i="2"/>
  <c r="J56" i="2"/>
  <c r="P39" i="2"/>
  <c r="N53" i="2"/>
  <c r="N52" i="2"/>
  <c r="N44" i="2"/>
  <c r="N50" i="2"/>
  <c r="N49" i="2"/>
  <c r="N43" i="2"/>
  <c r="P38" i="2"/>
  <c r="K43" i="2"/>
  <c r="O43" i="2"/>
  <c r="K50" i="2"/>
  <c r="K49" i="2"/>
  <c r="N57" i="2"/>
  <c r="N45" i="2"/>
  <c r="P40" i="2"/>
  <c r="N56" i="2"/>
  <c r="O57" i="2"/>
  <c r="O56" i="2"/>
  <c r="O53" i="2"/>
  <c r="O52" i="2"/>
  <c r="O50" i="2"/>
  <c r="O49" i="2"/>
  <c r="K57" i="2"/>
  <c r="K45" i="2"/>
  <c r="O45" i="2"/>
  <c r="K56" i="2"/>
  <c r="K44" i="2"/>
  <c r="O44" i="2"/>
  <c r="K53" i="2"/>
  <c r="K52" i="2"/>
  <c r="P57" i="2"/>
  <c r="P56" i="2"/>
  <c r="P50" i="2"/>
  <c r="P49" i="2"/>
  <c r="P53" i="2"/>
  <c r="P52" i="2"/>
</calcChain>
</file>

<file path=xl/sharedStrings.xml><?xml version="1.0" encoding="utf-8"?>
<sst xmlns="http://schemas.openxmlformats.org/spreadsheetml/2006/main" count="470" uniqueCount="236">
  <si>
    <t>Manuevering Emissions</t>
  </si>
  <si>
    <t>Berth Location</t>
  </si>
  <si>
    <t>Trips</t>
  </si>
  <si>
    <t>Miles from Delaware Border</t>
  </si>
  <si>
    <t>County</t>
  </si>
  <si>
    <t>Type of Port</t>
  </si>
  <si>
    <t>Total Hours Manuevering</t>
  </si>
  <si>
    <t>Fuel Consumed</t>
  </si>
  <si>
    <t>NOx Emissions</t>
  </si>
  <si>
    <t>CO Emissions</t>
  </si>
  <si>
    <t>Sulfur Emissions</t>
  </si>
  <si>
    <t>Penn Term</t>
  </si>
  <si>
    <t>Delaware</t>
  </si>
  <si>
    <t>Non-Petro/Oil/Chemical</t>
  </si>
  <si>
    <t>Packer Avenue</t>
  </si>
  <si>
    <t>Philadelphia</t>
  </si>
  <si>
    <t>Tioga</t>
  </si>
  <si>
    <t>80-s</t>
  </si>
  <si>
    <t>82-2</t>
  </si>
  <si>
    <t>84-s</t>
  </si>
  <si>
    <t>122-s</t>
  </si>
  <si>
    <t>Novolog</t>
  </si>
  <si>
    <t>Bucks</t>
  </si>
  <si>
    <t>Navy Yard</t>
  </si>
  <si>
    <t>Grows</t>
  </si>
  <si>
    <t>Philadelphia Harbor</t>
  </si>
  <si>
    <t>96-s</t>
  </si>
  <si>
    <t>Fairless</t>
  </si>
  <si>
    <t>1 Girard Point</t>
  </si>
  <si>
    <t>Riverside</t>
  </si>
  <si>
    <t>Peco</t>
  </si>
  <si>
    <t>Penns Landing</t>
  </si>
  <si>
    <t>14 Port Richmond</t>
  </si>
  <si>
    <t xml:space="preserve">Sun Marcos Hook </t>
  </si>
  <si>
    <t>Oil/Petro/Chemical Berths</t>
  </si>
  <si>
    <t>Sun Fort Mifflin</t>
  </si>
  <si>
    <t>Sun Hog Island</t>
  </si>
  <si>
    <t>Sun Girard Point</t>
  </si>
  <si>
    <t>Point Breeze</t>
  </si>
  <si>
    <t>H Port Richmond</t>
  </si>
  <si>
    <t>TCI-Maritank</t>
  </si>
  <si>
    <t>Gloucester</t>
  </si>
  <si>
    <t>Across from Philadelphia</t>
  </si>
  <si>
    <t>Camden Terminal</t>
  </si>
  <si>
    <t>5 Bdwy</t>
  </si>
  <si>
    <t>Del Line</t>
  </si>
  <si>
    <t>Across from Delaware</t>
  </si>
  <si>
    <t>Trans Ocean</t>
  </si>
  <si>
    <t>Bermuda International</t>
  </si>
  <si>
    <t>1 Bdwy</t>
  </si>
  <si>
    <t>Salem Terminal</t>
  </si>
  <si>
    <t>National Gypsum</t>
  </si>
  <si>
    <t>Across from Bucks</t>
  </si>
  <si>
    <t>Pettys Island</t>
  </si>
  <si>
    <t>Georgia Pacific</t>
  </si>
  <si>
    <t>Valero</t>
  </si>
  <si>
    <t>Eagle Point</t>
  </si>
  <si>
    <t>Cigto Asphalt</t>
  </si>
  <si>
    <t>Hess</t>
  </si>
  <si>
    <t>ST Paulsboro</t>
  </si>
  <si>
    <t>Koch Fuels</t>
  </si>
  <si>
    <t>Citgo PETTYS Island</t>
  </si>
  <si>
    <t>BP Paulsboro</t>
  </si>
  <si>
    <t>Gibbs Town</t>
  </si>
  <si>
    <t>Hotelling Emissions</t>
  </si>
  <si>
    <t>Type of Ship</t>
  </si>
  <si>
    <t>Hotelling (hr/call)</t>
  </si>
  <si>
    <t>Hotelling (total hours)</t>
  </si>
  <si>
    <t>Sulfur Oxides</t>
  </si>
  <si>
    <t>Bulk Carrier</t>
  </si>
  <si>
    <t>Container Ship</t>
  </si>
  <si>
    <t>General Cargo</t>
  </si>
  <si>
    <t>Passenger</t>
  </si>
  <si>
    <t>Reefer</t>
  </si>
  <si>
    <t>RORO</t>
  </si>
  <si>
    <t>Tanker</t>
  </si>
  <si>
    <t>Vehicle Carrier</t>
  </si>
  <si>
    <t>Chemical</t>
  </si>
  <si>
    <t>Total Calls</t>
  </si>
  <si>
    <t>Delaware River Trip Types</t>
  </si>
  <si>
    <t>Tugboat Trips</t>
  </si>
  <si>
    <t>Manuevering Time</t>
  </si>
  <si>
    <t>Between Philly and Trenton,ex. Trenton</t>
  </si>
  <si>
    <t xml:space="preserve">Trenton </t>
  </si>
  <si>
    <t>Camden</t>
  </si>
  <si>
    <t>Philly Harbor</t>
  </si>
  <si>
    <t>Schuylkill</t>
  </si>
  <si>
    <t>Tug Horsepower Bins</t>
  </si>
  <si>
    <t>Number of Tugs in Bin</t>
  </si>
  <si>
    <t>Percentage of Tugs in Bin</t>
  </si>
  <si>
    <t>Hours within Bin</t>
  </si>
  <si>
    <t>Fuel Usage</t>
  </si>
  <si>
    <t xml:space="preserve">CO Emissions </t>
  </si>
  <si>
    <t>&lt;750 h.p.</t>
  </si>
  <si>
    <t>750&lt;= and &lt;1500</t>
  </si>
  <si>
    <t>1500&lt;= and &lt;3000</t>
  </si>
  <si>
    <t>3000&lt;= and &lt;5000</t>
  </si>
  <si>
    <t>5000&lt;= and &lt;8000</t>
  </si>
  <si>
    <t>&gt;8000</t>
  </si>
  <si>
    <t>Total Yearly Emissions</t>
  </si>
  <si>
    <t>Total Daily Emissions</t>
  </si>
  <si>
    <t>Emissions by County</t>
  </si>
  <si>
    <t>Tugboat Emissions by County</t>
  </si>
  <si>
    <t>Hours Spent in County</t>
  </si>
  <si>
    <t>Percentage of Time Spent in County</t>
  </si>
  <si>
    <t>NOx</t>
  </si>
  <si>
    <t>VOC</t>
  </si>
  <si>
    <t>CO</t>
  </si>
  <si>
    <t>Total Hotelling Emissions</t>
  </si>
  <si>
    <t>Hotelling Emissions by County</t>
  </si>
  <si>
    <t>Dockings in County</t>
  </si>
  <si>
    <t>Total Manuevering Emissions</t>
  </si>
  <si>
    <t>Maneuvering Emissions by County</t>
  </si>
  <si>
    <t>Calls in Philly/Cam/Del</t>
  </si>
  <si>
    <t xml:space="preserve">NOx </t>
  </si>
  <si>
    <t>Terminal Traffic Reported by Port</t>
  </si>
  <si>
    <t>38-40</t>
  </si>
  <si>
    <t>ConocoPhillips (x-Tosco Trainer)</t>
  </si>
  <si>
    <t>Kinder Morgan - 179 N</t>
  </si>
  <si>
    <t>Ferry Emissions</t>
  </si>
  <si>
    <t>1300 h.p. engine</t>
  </si>
  <si>
    <t>Hours of Operation</t>
  </si>
  <si>
    <t xml:space="preserve">Delaware </t>
  </si>
  <si>
    <t xml:space="preserve">Philadelphia </t>
  </si>
  <si>
    <t xml:space="preserve">Bucks </t>
  </si>
  <si>
    <t>Manuevering in Philly Co. (hours)</t>
  </si>
  <si>
    <t>Maneuvering in Bucks County (hours)</t>
  </si>
  <si>
    <t>Manuevering in Delaware County (hours)</t>
  </si>
  <si>
    <t>Number of Vessel Calls in PA*</t>
  </si>
  <si>
    <r>
      <t>*</t>
    </r>
    <r>
      <rPr>
        <sz val="10"/>
        <rFont val="Arial"/>
      </rPr>
      <t>48% of all calls were to Pennsylvania facilities</t>
    </r>
  </si>
  <si>
    <r>
      <t>**</t>
    </r>
    <r>
      <rPr>
        <sz val="10"/>
        <rFont val="Arial"/>
      </rPr>
      <t>Ships use 660 gallons fuel in 24 hours</t>
    </r>
  </si>
  <si>
    <t>Gallons of Fuel Used**</t>
  </si>
  <si>
    <t>Location Reference             (zero reference point near Ben Franklin Bridge)</t>
  </si>
  <si>
    <t>(Half of all trips on Pa. Side)</t>
  </si>
  <si>
    <t>Ferry Emissions by County</t>
  </si>
  <si>
    <t>HC Emissions</t>
  </si>
  <si>
    <t>HC</t>
  </si>
  <si>
    <t>Corrected column K's equation from K+G to K*G.  1/11/04</t>
  </si>
  <si>
    <t>Maneuvering (hr/trip)</t>
  </si>
  <si>
    <t>Totals</t>
  </si>
  <si>
    <t>Time Downbound</t>
  </si>
  <si>
    <t>Dredging Information</t>
  </si>
  <si>
    <t>Dredge McFarland</t>
  </si>
  <si>
    <t>Total Dredging Emissions</t>
  </si>
  <si>
    <t>Dredging Emissions by County</t>
  </si>
  <si>
    <t>Emission factors were changed to match Efs in Pittsburgh which was based on  email exchange with Mark Janssen from  EPA.  Engines are under load and they would be more like locomotives. 5/28/2007</t>
  </si>
  <si>
    <t>PM10</t>
  </si>
  <si>
    <t>PM2.5</t>
  </si>
  <si>
    <t>Port of Philadelphia - 2008</t>
  </si>
  <si>
    <t>Ferry Trips in 2008</t>
  </si>
  <si>
    <t>5200/2</t>
  </si>
  <si>
    <t>2280002100</t>
  </si>
  <si>
    <t>2280002200</t>
  </si>
  <si>
    <t>Spreadsheet used to calculate Cat 1 &amp; 2 only.  Cat 3 provided by the EPA.</t>
  </si>
  <si>
    <t>.</t>
  </si>
  <si>
    <t>Total Tugboat/Ferry Emissions by County for 2008</t>
  </si>
  <si>
    <t>Total Tugboat/Ferry Emissions by County per Day in 2008</t>
  </si>
  <si>
    <t>Totals not inclduing Philly harbor &amp; Schujikill</t>
  </si>
  <si>
    <t>Fuel usage</t>
  </si>
  <si>
    <t>gloucester</t>
  </si>
  <si>
    <t>camden</t>
  </si>
  <si>
    <t>burlington</t>
  </si>
  <si>
    <t>BUCKS</t>
  </si>
  <si>
    <t>Also, I did not consider port emissions for Burlington County because New Jersey does not have any ports in Burlignton County.  I also assumed zero emissions for mercer county.  There may be a negilible amount of emissions in the lower portion of Mercer County for any barges going to Duck Island.</t>
  </si>
  <si>
    <t>DELAWARE/PHILADELPHIA</t>
  </si>
  <si>
    <t>DELAWARE&amp;PHILDELPHIA(GLOUCESTER&amp;CAMDEN)</t>
  </si>
  <si>
    <t>BUCKS (BURLINGTON)</t>
  </si>
  <si>
    <t>BUCKS(BURLINGTON)</t>
  </si>
  <si>
    <t>NOX</t>
  </si>
  <si>
    <t>The State of New Jersey</t>
  </si>
  <si>
    <t>Department of Envinromental Protection</t>
  </si>
  <si>
    <r>
      <t>State Implementation Plan (SIP) Revision for the Attainment and Maintenance of the Particulate Matter PM</t>
    </r>
    <r>
      <rPr>
        <b/>
        <vertAlign val="subscript"/>
        <sz val="10"/>
        <rFont val="Arial"/>
        <family val="2"/>
      </rPr>
      <t>2.5</t>
    </r>
    <r>
      <rPr>
        <b/>
        <sz val="10"/>
        <rFont val="Arial"/>
        <family val="2"/>
      </rPr>
      <t xml:space="preserve"> National Ambient Air Quality Standards</t>
    </r>
  </si>
  <si>
    <t xml:space="preserve"> Calculations Performed</t>
  </si>
  <si>
    <t>for the Particulate Matter (PM2.5) Nitrogen Oxide (NOx) and Sulfur Dioxide (SO2) Emissions</t>
  </si>
  <si>
    <t>for the Year 2007</t>
  </si>
  <si>
    <t>for the Non-Road Orphan Category of  Commercial Marine Vessels</t>
  </si>
  <si>
    <t>for Southern New Jersey</t>
  </si>
  <si>
    <t>assume same emissions for new jersey camden county</t>
  </si>
  <si>
    <t>STEP 1</t>
  </si>
  <si>
    <t>STEP 2</t>
  </si>
  <si>
    <t>Includes all ships passing downbound on delaware river (btwn trenton &amp; philly, trenton, camden, philly harbor, schukill)</t>
  </si>
  <si>
    <t>Includes above except Philly harbor and schuyikill since these activities were consdiered to relate only to Pennslyvania.</t>
  </si>
  <si>
    <r>
      <t xml:space="preserve">Tugboat emission factors were changed based on an analysis performed on Coast Guard vessel emissions found in </t>
    </r>
    <r>
      <rPr>
        <i/>
        <sz val="10"/>
        <rFont val="Arial"/>
        <family val="2"/>
      </rPr>
      <t xml:space="preserve">Shipboard Marine Engines Emission Testing for the United States Coast Guard.  </t>
    </r>
    <r>
      <rPr>
        <sz val="10"/>
        <rFont val="Arial"/>
        <family val="2"/>
      </rPr>
      <t>1/14/04</t>
    </r>
  </si>
  <si>
    <t>Table 1A: Tugboat Time (Downbound)</t>
  </si>
  <si>
    <t>Table 1B: Tugboat Fuel Usage (Downbound)</t>
  </si>
  <si>
    <t>TABLE 1C: TOTAL TUGBOAT EMISSIONS</t>
  </si>
  <si>
    <t>STEP 3</t>
  </si>
  <si>
    <t>NOT USED</t>
  </si>
  <si>
    <t>TOTAL</t>
  </si>
  <si>
    <t>Table 2B: Total Ferry Emissions</t>
  </si>
  <si>
    <t>Table 2A: Total Tugboat Emissions from table 1C from Total Emissions (fuel based)</t>
  </si>
  <si>
    <t>Assume that NJ does not have any port activity on its side of the Delaware in Burlington ounty so these emissions are zero for NJ.</t>
  </si>
  <si>
    <t>EmisbyCounty (fuel based)</t>
  </si>
  <si>
    <t>Total Emissions (fuel based)</t>
  </si>
  <si>
    <t>Comments</t>
  </si>
  <si>
    <t>Excel spreadsheet</t>
  </si>
  <si>
    <t>Step</t>
  </si>
  <si>
    <r>
      <rPr>
        <b/>
        <vertAlign val="superscript"/>
        <sz val="10"/>
        <color indexed="10"/>
        <rFont val="Arial"/>
        <family val="2"/>
      </rPr>
      <t>1</t>
    </r>
    <r>
      <rPr>
        <b/>
        <sz val="10"/>
        <color indexed="10"/>
        <rFont val="Arial"/>
        <family val="2"/>
      </rPr>
      <t>Assume that 2008 emissions are equivalent to 2007 emissions</t>
    </r>
  </si>
  <si>
    <r>
      <t>Table  2D:Total 2008 Annual Tugboat/Ferry Emissions by county and SCC</t>
    </r>
    <r>
      <rPr>
        <b/>
        <vertAlign val="superscript"/>
        <sz val="10"/>
        <color indexed="10"/>
        <rFont val="Arial"/>
        <family val="2"/>
      </rPr>
      <t xml:space="preserve">1 </t>
    </r>
  </si>
  <si>
    <t>Table 2C: TOTAL 2008 Ferry and Tugboat Nox Emissions by County TonsPerYear (TPY)</t>
  </si>
  <si>
    <t>Table 2A: TOTAL 2008 Tugboats Nox Emissions by County TonsPerYear (TPY)</t>
  </si>
  <si>
    <t>Table 2B: TOTAL 2008 Ferry Nox Emissions by County TonsPerYear (TPY)</t>
  </si>
  <si>
    <t>StateCounty FIPS</t>
  </si>
  <si>
    <t>SCC</t>
  </si>
  <si>
    <t>MODE</t>
  </si>
  <si>
    <t>SOURCE</t>
  </si>
  <si>
    <t>PM10-PRI</t>
  </si>
  <si>
    <t>PM25-PRI</t>
  </si>
  <si>
    <t>SO2</t>
  </si>
  <si>
    <t>2280003200</t>
  </si>
  <si>
    <t>C</t>
  </si>
  <si>
    <t>EPA</t>
  </si>
  <si>
    <t>BURLINGTON</t>
  </si>
  <si>
    <t>34005</t>
  </si>
  <si>
    <t>PA</t>
  </si>
  <si>
    <t>Z</t>
  </si>
  <si>
    <t>CAMDEN</t>
  </si>
  <si>
    <t>34007</t>
  </si>
  <si>
    <t>M</t>
  </si>
  <si>
    <t>2280003100</t>
  </si>
  <si>
    <t>H</t>
  </si>
  <si>
    <t>GLOUCESTER</t>
  </si>
  <si>
    <t>34015</t>
  </si>
  <si>
    <r>
      <rPr>
        <vertAlign val="superscript"/>
        <sz val="10"/>
        <rFont val="Arial"/>
        <family val="2"/>
      </rPr>
      <t>1</t>
    </r>
    <r>
      <rPr>
        <sz val="10"/>
        <rFont val="Arial"/>
      </rPr>
      <t>Assume that 2008 emissions are equivalent to 2007 emissions</t>
    </r>
  </si>
  <si>
    <r>
      <rPr>
        <vertAlign val="superscript"/>
        <sz val="10"/>
        <rFont val="Arial"/>
        <family val="2"/>
      </rPr>
      <t>2</t>
    </r>
    <r>
      <rPr>
        <sz val="10"/>
        <rFont val="Arial"/>
        <family val="2"/>
      </rPr>
      <t>Category 1&amp;2 tugboat and Ferry emissions provided by PADEP and those for Category 3 CMV provided by EPA NEI.</t>
    </r>
  </si>
  <si>
    <t>Total CMV Emissions</t>
  </si>
  <si>
    <t>Total tugboat emissions allocated to the county &amp; SCC level.</t>
  </si>
  <si>
    <t>Total Category 1,2 &amp; 3 CMV Emissions allocated to county &amp; SCC level as provided by both EPA NEI and PADEP.</t>
  </si>
  <si>
    <r>
      <rPr>
        <b/>
        <sz val="10"/>
        <rFont val="Arial"/>
        <family val="2"/>
      </rPr>
      <t>README:</t>
    </r>
    <r>
      <rPr>
        <sz val="10"/>
        <rFont val="Arial"/>
        <family val="2"/>
      </rPr>
      <t xml:space="preserve"> Matty Kelley (kmatty@state.pa.us, 717-787-9494), Pennslyvania Department of Environmental Protection (PADEP) sent me tugboat &amp; ferry emission calculation sheet (08PhillyNJ3.xls) in a January 20, 2011 email.  These emissions are for Delaware, Philadelphia and Bucks counties. These counties correspond respectively to the New Jersey counties of Gloucester, Camden and Burlington.  Note that I made some adaptions to the original PADEP file to better represent NJ emissions.  PADEP developed much larger amounts of portway emissions (SCC:2280002100) for Delaware and Philadelphia Counties in comparision to these counties underway emissions (SCC:2280002200).  I believe that most of the significant port activity occurs on the Pennslyvanian side of the Delaware River. For this reason I adjusted the emissions to decrease the portway emissions in New Jersey for Gloucester and Camden Counties. On the "Total Emissions (fuel based) sheet, the Philly Harbor and Schuykill download times were not included in total time download used in determining tugboat emissions from these counties.   Note that for Bucks County which corresponds to Burlington County, the total time download remained the same because it was assumed that any tugboat emissions associated with Philly Harbor and Schuykill would have no effect to the tugboat emissions from Northern Bucks County. While their consideration for the adjacent Gloucester and Camden counties would disapportionately increase tugboat emissions for these counties especially because the greater majority of these emissions are generated by maneuvers that occur inside the port of Philly Harbor and Schuykill. Thus no adjustments were made for Bucks/Burlington County underway emissions but no portway emissions for considered because their is insignificant port activity in Burlington County.</t>
    </r>
  </si>
  <si>
    <t>Also Note that PADEP only provided tugboat and ferry emissions.  NJDEP relied on the USEPA National Emission Inventory for 2008 to provide emissions for Category 3 OceanGoingVessels (OGV).</t>
  </si>
  <si>
    <t>Calculates total tugboat emissions.</t>
  </si>
  <si>
    <r>
      <t>TABLE 1: 2008  &amp; 2007 CATEGORY 1,2 &amp; 3 CMV EMISSIONS FOR NORTHERN DELAWARE BASIN PROVIDED BY PADEP &amp; EPA</t>
    </r>
    <r>
      <rPr>
        <b/>
        <vertAlign val="superscript"/>
        <sz val="10"/>
        <rFont val="Arial"/>
        <family val="2"/>
      </rPr>
      <t>1 &amp; 2</t>
    </r>
  </si>
  <si>
    <t>Appendix V: 2007 Nonroad Emissions Inventory Attachments</t>
  </si>
  <si>
    <t>Attachment 7-2F</t>
  </si>
  <si>
    <t>Northern Delaware River Basin</t>
  </si>
  <si>
    <t>Tugs  &amp; Ferries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</si>
</sst>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0"/>
    <numFmt numFmtId="166" formatCode="mmmm\ d\,\ yyyy"/>
  </numFmts>
  <fonts count="15" x14ac:knownFonts="1">
    <font>
      <sz val="10"/>
      <name val="Arial"/>
    </font>
    <font>
      <b/>
      <sz val="10"/>
      <name val="Arial"/>
      <family val="2"/>
    </font>
    <font>
      <sz val="10"/>
      <name val="Arial"/>
      <family val="2"/>
    </font>
    <font>
      <sz val="11"/>
      <color indexed="8"/>
      <name val="Calibri"/>
      <family val="2"/>
    </font>
    <font>
      <b/>
      <vertAlign val="subscript"/>
      <sz val="10"/>
      <name val="Arial"/>
      <family val="2"/>
    </font>
    <font>
      <b/>
      <sz val="10"/>
      <color indexed="10"/>
      <name val="Arial"/>
      <family val="2"/>
    </font>
    <font>
      <i/>
      <sz val="10"/>
      <name val="Arial"/>
      <family val="2"/>
    </font>
    <font>
      <sz val="11"/>
      <name val="Arial"/>
      <family val="2"/>
    </font>
    <font>
      <b/>
      <vertAlign val="superscript"/>
      <sz val="10"/>
      <color indexed="10"/>
      <name val="Arial"/>
      <family val="2"/>
    </font>
    <font>
      <vertAlign val="superscript"/>
      <sz val="10"/>
      <name val="Arial"/>
      <family val="2"/>
    </font>
    <font>
      <sz val="10"/>
      <color indexed="8"/>
      <name val="Arial"/>
      <family val="2"/>
    </font>
    <font>
      <b/>
      <vertAlign val="superscript"/>
      <sz val="10"/>
      <name val="Arial"/>
      <family val="2"/>
    </font>
    <font>
      <b/>
      <sz val="10"/>
      <color rgb="FFFF0000"/>
      <name val="Arial"/>
      <family val="2"/>
    </font>
    <font>
      <sz val="10"/>
      <color rgb="FFFF0000"/>
      <name val="Arial"/>
      <family val="2"/>
    </font>
    <font>
      <b/>
      <sz val="11"/>
      <color rgb="FFFF0000"/>
      <name val="Arial"/>
      <family val="2"/>
    </font>
  </fonts>
  <fills count="4">
    <fill>
      <patternFill patternType="none"/>
    </fill>
    <fill>
      <patternFill patternType="gray125"/>
    </fill>
    <fill>
      <patternFill patternType="solid">
        <fgColor indexed="22"/>
        <bgColor indexed="0"/>
      </patternFill>
    </fill>
    <fill>
      <patternFill patternType="solid">
        <fgColor theme="0"/>
        <bgColor indexed="64"/>
      </patternFill>
    </fill>
  </fills>
  <borders count="25">
    <border>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top/>
      <bottom style="medium">
        <color indexed="64"/>
      </bottom>
      <diagonal/>
    </border>
  </borders>
  <cellStyleXfs count="4">
    <xf numFmtId="0" fontId="0" fillId="0" borderId="0"/>
    <xf numFmtId="0" fontId="10" fillId="0" borderId="0"/>
    <xf numFmtId="0" fontId="10" fillId="0" borderId="0"/>
    <xf numFmtId="0" fontId="10" fillId="0" borderId="0"/>
  </cellStyleXfs>
  <cellXfs count="155">
    <xf numFmtId="0" fontId="0" fillId="0" borderId="0" xfId="0"/>
    <xf numFmtId="0" fontId="1" fillId="0" borderId="0" xfId="0" applyFont="1"/>
    <xf numFmtId="0" fontId="1" fillId="0" borderId="0" xfId="0" applyFont="1" applyAlignment="1">
      <alignment horizontal="center"/>
    </xf>
    <xf numFmtId="165" fontId="0" fillId="0" borderId="0" xfId="0" applyNumberFormat="1"/>
    <xf numFmtId="165" fontId="1" fillId="0" borderId="0" xfId="0" applyNumberFormat="1" applyFont="1"/>
    <xf numFmtId="1" fontId="0" fillId="0" borderId="0" xfId="0" applyNumberFormat="1"/>
    <xf numFmtId="0" fontId="1" fillId="0" borderId="0" xfId="0" applyFont="1" applyAlignment="1">
      <alignment horizontal="left"/>
    </xf>
    <xf numFmtId="1" fontId="1" fillId="0" borderId="0" xfId="0" applyNumberFormat="1" applyFont="1"/>
    <xf numFmtId="165" fontId="2" fillId="0" borderId="0" xfId="0" applyNumberFormat="1" applyFont="1"/>
    <xf numFmtId="2" fontId="0" fillId="0" borderId="0" xfId="0" applyNumberFormat="1"/>
    <xf numFmtId="0" fontId="0" fillId="0" borderId="0" xfId="0" applyAlignment="1">
      <alignment wrapText="1"/>
    </xf>
    <xf numFmtId="165" fontId="1" fillId="0" borderId="0" xfId="0" applyNumberFormat="1" applyFont="1" applyAlignment="1">
      <alignment horizontal="center"/>
    </xf>
    <xf numFmtId="0" fontId="2" fillId="0" borderId="0" xfId="0" applyFont="1"/>
    <xf numFmtId="0" fontId="1" fillId="0" borderId="0" xfId="0" applyFont="1" applyAlignment="1">
      <alignment horizontal="center" vertical="top" wrapText="1"/>
    </xf>
    <xf numFmtId="0" fontId="1" fillId="0" borderId="0" xfId="0" applyFont="1" applyAlignment="1">
      <alignment horizontal="center" vertical="top"/>
    </xf>
    <xf numFmtId="0" fontId="0" fillId="0" borderId="0" xfId="0" applyAlignment="1">
      <alignment horizontal="center" vertical="top"/>
    </xf>
    <xf numFmtId="165" fontId="0" fillId="0" borderId="0" xfId="0" applyNumberFormat="1" applyAlignment="1">
      <alignment horizontal="center"/>
    </xf>
    <xf numFmtId="0" fontId="12" fillId="0" borderId="0" xfId="0" applyFont="1"/>
    <xf numFmtId="1" fontId="0" fillId="0" borderId="1" xfId="0" applyNumberFormat="1" applyBorder="1" applyAlignment="1">
      <alignment horizontal="right"/>
    </xf>
    <xf numFmtId="1" fontId="0" fillId="0" borderId="2" xfId="0" applyNumberFormat="1" applyBorder="1" applyAlignment="1">
      <alignment horizontal="right"/>
    </xf>
    <xf numFmtId="0" fontId="0" fillId="0" borderId="3" xfId="0" applyBorder="1" applyAlignment="1">
      <alignment horizontal="right"/>
    </xf>
    <xf numFmtId="0" fontId="0" fillId="0" borderId="1" xfId="0" applyBorder="1"/>
    <xf numFmtId="0" fontId="0" fillId="0" borderId="4" xfId="0" applyBorder="1"/>
    <xf numFmtId="2" fontId="0" fillId="0" borderId="4" xfId="0" applyNumberFormat="1" applyBorder="1"/>
    <xf numFmtId="2" fontId="0" fillId="0" borderId="2" xfId="0" applyNumberFormat="1" applyBorder="1"/>
    <xf numFmtId="0" fontId="2" fillId="0" borderId="1" xfId="0" applyFont="1" applyBorder="1"/>
    <xf numFmtId="0" fontId="0" fillId="0" borderId="4" xfId="0" quotePrefix="1" applyBorder="1"/>
    <xf numFmtId="0" fontId="1" fillId="0" borderId="0" xfId="0" applyFont="1" applyAlignment="1">
      <alignment horizontal="center" wrapText="1"/>
    </xf>
    <xf numFmtId="0" fontId="2" fillId="0" borderId="0" xfId="0" applyFont="1" applyAlignment="1">
      <alignment wrapText="1"/>
    </xf>
    <xf numFmtId="166" fontId="1" fillId="0" borderId="0" xfId="0" applyNumberFormat="1" applyFont="1" applyAlignment="1">
      <alignment horizontal="center"/>
    </xf>
    <xf numFmtId="15" fontId="1" fillId="0" borderId="0" xfId="0" applyNumberFormat="1" applyFont="1" applyAlignment="1">
      <alignment horizontal="center"/>
    </xf>
    <xf numFmtId="0" fontId="12" fillId="0" borderId="0" xfId="0" applyFont="1" applyAlignment="1">
      <alignment horizontal="center" wrapText="1"/>
    </xf>
    <xf numFmtId="0" fontId="12" fillId="0" borderId="5" xfId="0" applyFont="1" applyBorder="1" applyAlignment="1">
      <alignment horizontal="center"/>
    </xf>
    <xf numFmtId="0" fontId="1" fillId="0" borderId="5" xfId="0" applyFont="1" applyBorder="1" applyAlignment="1">
      <alignment horizontal="center"/>
    </xf>
    <xf numFmtId="0" fontId="0" fillId="0" borderId="6" xfId="0" applyBorder="1"/>
    <xf numFmtId="0" fontId="0" fillId="0" borderId="2" xfId="0" applyBorder="1"/>
    <xf numFmtId="0" fontId="12" fillId="0" borderId="2" xfId="0" applyFont="1" applyBorder="1"/>
    <xf numFmtId="1" fontId="12" fillId="0" borderId="4" xfId="0" applyNumberFormat="1" applyFont="1" applyBorder="1"/>
    <xf numFmtId="0" fontId="0" fillId="0" borderId="3" xfId="0" applyBorder="1"/>
    <xf numFmtId="0" fontId="0" fillId="0" borderId="7" xfId="0" applyBorder="1"/>
    <xf numFmtId="1" fontId="12" fillId="0" borderId="7" xfId="0" applyNumberFormat="1" applyFont="1" applyBorder="1"/>
    <xf numFmtId="0" fontId="12" fillId="0" borderId="8" xfId="0" applyFont="1" applyBorder="1"/>
    <xf numFmtId="0" fontId="0" fillId="0" borderId="8" xfId="0" applyBorder="1"/>
    <xf numFmtId="0" fontId="0" fillId="0" borderId="0" xfId="0" applyAlignment="1"/>
    <xf numFmtId="1" fontId="12" fillId="0" borderId="1" xfId="0" applyNumberFormat="1" applyFont="1" applyBorder="1" applyAlignment="1">
      <alignment horizontal="right"/>
    </xf>
    <xf numFmtId="1" fontId="12" fillId="0" borderId="2" xfId="0" applyNumberFormat="1" applyFont="1" applyBorder="1" applyAlignment="1">
      <alignment horizontal="right"/>
    </xf>
    <xf numFmtId="1" fontId="12" fillId="0" borderId="8" xfId="0" applyNumberFormat="1" applyFont="1" applyBorder="1" applyAlignment="1">
      <alignment horizontal="right"/>
    </xf>
    <xf numFmtId="0" fontId="12" fillId="0" borderId="1" xfId="0" applyFont="1" applyBorder="1"/>
    <xf numFmtId="0" fontId="12" fillId="0" borderId="2" xfId="0" applyFont="1" applyBorder="1"/>
    <xf numFmtId="0" fontId="13" fillId="0" borderId="1" xfId="0" applyFont="1" applyBorder="1"/>
    <xf numFmtId="0" fontId="13" fillId="0" borderId="2" xfId="0" applyFont="1" applyBorder="1"/>
    <xf numFmtId="0" fontId="13" fillId="0" borderId="3" xfId="0" applyFont="1" applyBorder="1"/>
    <xf numFmtId="0" fontId="12" fillId="0" borderId="8" xfId="0" applyFont="1" applyBorder="1"/>
    <xf numFmtId="1" fontId="12" fillId="3" borderId="4" xfId="0" applyNumberFormat="1" applyFont="1" applyFill="1" applyBorder="1"/>
    <xf numFmtId="165" fontId="12" fillId="0" borderId="0" xfId="0" applyNumberFormat="1" applyFont="1"/>
    <xf numFmtId="0" fontId="12" fillId="0" borderId="9" xfId="0" applyFont="1" applyBorder="1"/>
    <xf numFmtId="0" fontId="0" fillId="0" borderId="5" xfId="0" applyBorder="1"/>
    <xf numFmtId="165" fontId="12" fillId="0" borderId="1" xfId="0" applyNumberFormat="1" applyFont="1" applyBorder="1"/>
    <xf numFmtId="165" fontId="12" fillId="0" borderId="4" xfId="0" applyNumberFormat="1" applyFont="1" applyBorder="1"/>
    <xf numFmtId="0" fontId="12" fillId="0" borderId="1" xfId="0" applyFont="1" applyBorder="1"/>
    <xf numFmtId="0" fontId="12" fillId="0" borderId="4" xfId="0" applyFont="1" applyBorder="1"/>
    <xf numFmtId="165" fontId="0" fillId="0" borderId="7" xfId="0" applyNumberFormat="1" applyBorder="1"/>
    <xf numFmtId="2" fontId="12" fillId="0" borderId="7" xfId="0" applyNumberFormat="1" applyFont="1" applyBorder="1"/>
    <xf numFmtId="2" fontId="12" fillId="0" borderId="8" xfId="0" applyNumberFormat="1" applyFont="1" applyBorder="1"/>
    <xf numFmtId="0" fontId="12" fillId="0" borderId="5" xfId="0" quotePrefix="1" applyFont="1" applyBorder="1"/>
    <xf numFmtId="2" fontId="12" fillId="0" borderId="5" xfId="0" applyNumberFormat="1" applyFont="1" applyBorder="1"/>
    <xf numFmtId="2" fontId="12" fillId="0" borderId="6" xfId="0" applyNumberFormat="1" applyFont="1" applyBorder="1"/>
    <xf numFmtId="0" fontId="12" fillId="0" borderId="4" xfId="0" quotePrefix="1" applyFont="1" applyBorder="1"/>
    <xf numFmtId="2" fontId="12" fillId="0" borderId="4" xfId="0" applyNumberFormat="1" applyFont="1" applyBorder="1"/>
    <xf numFmtId="2" fontId="12" fillId="0" borderId="2" xfId="0" applyNumberFormat="1" applyFont="1" applyBorder="1"/>
    <xf numFmtId="0" fontId="12" fillId="0" borderId="4" xfId="0" applyFont="1" applyBorder="1"/>
    <xf numFmtId="0" fontId="12" fillId="0" borderId="3" xfId="0" applyFont="1" applyBorder="1"/>
    <xf numFmtId="0" fontId="12" fillId="0" borderId="7" xfId="0" quotePrefix="1" applyFont="1" applyBorder="1"/>
    <xf numFmtId="0" fontId="13" fillId="0" borderId="4" xfId="0" applyFont="1" applyBorder="1"/>
    <xf numFmtId="0" fontId="12" fillId="0" borderId="5" xfId="0" applyFont="1" applyBorder="1"/>
    <xf numFmtId="0" fontId="13" fillId="0" borderId="5" xfId="0" applyFont="1" applyBorder="1"/>
    <xf numFmtId="0" fontId="12" fillId="0" borderId="5" xfId="0" applyFont="1" applyBorder="1" applyAlignment="1">
      <alignment horizontal="center" wrapText="1"/>
    </xf>
    <xf numFmtId="0" fontId="12" fillId="0" borderId="6" xfId="0" applyFont="1" applyBorder="1" applyAlignment="1">
      <alignment horizontal="center"/>
    </xf>
    <xf numFmtId="0" fontId="12" fillId="0" borderId="1" xfId="0" applyFont="1" applyBorder="1" applyAlignment="1">
      <alignment horizontal="center"/>
    </xf>
    <xf numFmtId="0" fontId="12" fillId="0" borderId="4" xfId="0" applyFont="1" applyBorder="1" applyAlignment="1">
      <alignment horizontal="center"/>
    </xf>
    <xf numFmtId="0" fontId="12" fillId="0" borderId="7" xfId="0" applyFont="1" applyBorder="1"/>
    <xf numFmtId="0" fontId="12" fillId="0" borderId="3" xfId="0" applyFont="1" applyBorder="1"/>
    <xf numFmtId="165" fontId="12" fillId="0" borderId="7" xfId="0" applyNumberFormat="1" applyFont="1" applyBorder="1"/>
    <xf numFmtId="2" fontId="12" fillId="0" borderId="4" xfId="0" applyNumberFormat="1" applyFont="1" applyBorder="1"/>
    <xf numFmtId="2" fontId="12" fillId="0" borderId="2" xfId="0" applyNumberFormat="1" applyFont="1" applyBorder="1"/>
    <xf numFmtId="0" fontId="12" fillId="0" borderId="4" xfId="0" applyFont="1" applyBorder="1" applyAlignment="1">
      <alignment horizontal="left"/>
    </xf>
    <xf numFmtId="0" fontId="12" fillId="0" borderId="10" xfId="0" applyFont="1" applyFill="1" applyBorder="1"/>
    <xf numFmtId="0" fontId="2" fillId="0" borderId="5" xfId="0" applyFont="1" applyBorder="1"/>
    <xf numFmtId="0" fontId="12" fillId="0" borderId="6" xfId="0" applyFont="1" applyBorder="1"/>
    <xf numFmtId="0" fontId="12" fillId="0" borderId="9" xfId="0" applyFont="1" applyBorder="1" applyAlignment="1">
      <alignment horizontal="right"/>
    </xf>
    <xf numFmtId="0" fontId="12" fillId="0" borderId="6" xfId="0" applyFont="1" applyBorder="1" applyAlignment="1">
      <alignment horizontal="right"/>
    </xf>
    <xf numFmtId="0" fontId="12" fillId="0" borderId="9" xfId="0" applyFont="1" applyBorder="1" applyAlignment="1">
      <alignment horizontal="left"/>
    </xf>
    <xf numFmtId="0" fontId="12" fillId="0" borderId="1" xfId="0" applyFont="1" applyBorder="1" applyAlignment="1">
      <alignment horizontal="left"/>
    </xf>
    <xf numFmtId="0" fontId="12" fillId="3" borderId="4" xfId="0" applyFont="1" applyFill="1" applyBorder="1"/>
    <xf numFmtId="165" fontId="12" fillId="0" borderId="1" xfId="0" applyNumberFormat="1" applyFont="1" applyBorder="1"/>
    <xf numFmtId="165" fontId="12" fillId="0" borderId="4" xfId="0" applyNumberFormat="1" applyFont="1" applyBorder="1"/>
    <xf numFmtId="0" fontId="12" fillId="0" borderId="2" xfId="0" applyFont="1" applyBorder="1" applyAlignment="1">
      <alignment horizontal="center"/>
    </xf>
    <xf numFmtId="2" fontId="12" fillId="0" borderId="3" xfId="0" applyNumberFormat="1" applyFont="1" applyBorder="1"/>
    <xf numFmtId="0" fontId="2" fillId="0" borderId="0" xfId="0" applyFont="1" applyAlignment="1">
      <alignment horizontal="center" vertical="top" wrapText="1"/>
    </xf>
    <xf numFmtId="2" fontId="12" fillId="0" borderId="1" xfId="0" applyNumberFormat="1" applyFont="1" applyBorder="1"/>
    <xf numFmtId="165" fontId="12" fillId="0" borderId="2" xfId="0" applyNumberFormat="1" applyFont="1" applyBorder="1"/>
    <xf numFmtId="165" fontId="12" fillId="0" borderId="8" xfId="0" applyNumberFormat="1" applyFont="1" applyBorder="1"/>
    <xf numFmtId="0" fontId="0" fillId="0" borderId="9" xfId="0" applyBorder="1"/>
    <xf numFmtId="0" fontId="0" fillId="0" borderId="11" xfId="0" applyBorder="1"/>
    <xf numFmtId="0" fontId="0" fillId="0" borderId="12" xfId="0" applyBorder="1"/>
    <xf numFmtId="0" fontId="1" fillId="0" borderId="13" xfId="0" applyFont="1" applyBorder="1"/>
    <xf numFmtId="0" fontId="1" fillId="0" borderId="14" xfId="0" applyFont="1" applyBorder="1"/>
    <xf numFmtId="0" fontId="1" fillId="0" borderId="15" xfId="0" applyFont="1" applyBorder="1"/>
    <xf numFmtId="0" fontId="1" fillId="0" borderId="16" xfId="0" applyFont="1" applyBorder="1"/>
    <xf numFmtId="0" fontId="10" fillId="2" borderId="5" xfId="3" applyFont="1" applyFill="1" applyBorder="1" applyAlignment="1">
      <alignment horizontal="center"/>
    </xf>
    <xf numFmtId="0" fontId="10" fillId="2" borderId="11" xfId="3" applyFont="1" applyFill="1" applyBorder="1" applyAlignment="1">
      <alignment horizontal="center"/>
    </xf>
    <xf numFmtId="0" fontId="10" fillId="2" borderId="6" xfId="3" applyFont="1" applyFill="1" applyBorder="1" applyAlignment="1">
      <alignment horizontal="center"/>
    </xf>
    <xf numFmtId="0" fontId="3" fillId="0" borderId="4" xfId="1" applyFont="1" applyFill="1" applyBorder="1" applyAlignment="1">
      <alignment wrapText="1"/>
    </xf>
    <xf numFmtId="0" fontId="3" fillId="0" borderId="17" xfId="1" applyFont="1" applyFill="1" applyBorder="1" applyAlignment="1">
      <alignment wrapText="1"/>
    </xf>
    <xf numFmtId="164" fontId="3" fillId="0" borderId="4" xfId="1" applyNumberFormat="1" applyFont="1" applyFill="1" applyBorder="1" applyAlignment="1">
      <alignment horizontal="right" wrapText="1"/>
    </xf>
    <xf numFmtId="164" fontId="3" fillId="0" borderId="2" xfId="1" applyNumberFormat="1" applyFont="1" applyFill="1" applyBorder="1" applyAlignment="1">
      <alignment horizontal="right" wrapText="1"/>
    </xf>
    <xf numFmtId="164" fontId="2" fillId="0" borderId="4" xfId="0" applyNumberFormat="1" applyFont="1" applyBorder="1" applyAlignment="1"/>
    <xf numFmtId="164" fontId="2" fillId="0" borderId="2" xfId="0" applyNumberFormat="1" applyFont="1" applyBorder="1" applyAlignment="1"/>
    <xf numFmtId="164" fontId="2" fillId="0" borderId="4" xfId="0" applyNumberFormat="1" applyFont="1" applyBorder="1"/>
    <xf numFmtId="164" fontId="2" fillId="0" borderId="2" xfId="0" applyNumberFormat="1" applyFont="1" applyBorder="1"/>
    <xf numFmtId="0" fontId="3" fillId="0" borderId="18" xfId="1" applyFont="1" applyFill="1" applyBorder="1" applyAlignment="1">
      <alignment wrapText="1"/>
    </xf>
    <xf numFmtId="0" fontId="3" fillId="0" borderId="19" xfId="1" applyFont="1" applyFill="1" applyBorder="1" applyAlignment="1">
      <alignment wrapText="1"/>
    </xf>
    <xf numFmtId="164" fontId="0" fillId="0" borderId="4" xfId="0" applyNumberFormat="1" applyBorder="1"/>
    <xf numFmtId="164" fontId="0" fillId="0" borderId="2" xfId="0" applyNumberFormat="1" applyBorder="1"/>
    <xf numFmtId="164" fontId="2" fillId="0" borderId="4" xfId="0" applyNumberFormat="1" applyFont="1" applyFill="1" applyBorder="1"/>
    <xf numFmtId="164" fontId="2" fillId="0" borderId="2" xfId="0" applyNumberFormat="1" applyFont="1" applyFill="1" applyBorder="1"/>
    <xf numFmtId="164" fontId="10" fillId="0" borderId="4" xfId="2" applyNumberFormat="1" applyFont="1" applyFill="1" applyBorder="1" applyAlignment="1">
      <alignment horizontal="right" wrapText="1"/>
    </xf>
    <xf numFmtId="164" fontId="10" fillId="0" borderId="2" xfId="2" applyNumberFormat="1" applyFont="1" applyFill="1" applyBorder="1" applyAlignment="1">
      <alignment horizontal="right" wrapText="1"/>
    </xf>
    <xf numFmtId="0" fontId="2" fillId="0" borderId="0" xfId="0" applyFont="1" applyFill="1" applyBorder="1"/>
    <xf numFmtId="0" fontId="0" fillId="0" borderId="20" xfId="0" applyBorder="1"/>
    <xf numFmtId="0" fontId="0" fillId="0" borderId="21" xfId="0" applyBorder="1"/>
    <xf numFmtId="0" fontId="2" fillId="0" borderId="21" xfId="0" applyFont="1" applyBorder="1"/>
    <xf numFmtId="0" fontId="0" fillId="0" borderId="22" xfId="0" applyBorder="1"/>
    <xf numFmtId="0" fontId="0" fillId="0" borderId="7" xfId="0" applyFont="1" applyFill="1" applyBorder="1"/>
    <xf numFmtId="0" fontId="1" fillId="0" borderId="0" xfId="0" applyFont="1" applyAlignment="1">
      <alignment horizontal="center" wrapText="1"/>
    </xf>
    <xf numFmtId="0" fontId="2" fillId="0" borderId="0" xfId="0" applyFont="1" applyAlignment="1">
      <alignment wrapText="1"/>
    </xf>
    <xf numFmtId="0" fontId="0" fillId="0" borderId="0" xfId="0" applyAlignment="1">
      <alignment wrapText="1"/>
    </xf>
    <xf numFmtId="0" fontId="2" fillId="0" borderId="7" xfId="0" applyFont="1" applyFill="1" applyBorder="1" applyAlignment="1">
      <alignment wrapText="1"/>
    </xf>
    <xf numFmtId="0" fontId="0" fillId="0" borderId="7" xfId="0" applyBorder="1" applyAlignment="1">
      <alignment wrapText="1"/>
    </xf>
    <xf numFmtId="0" fontId="0" fillId="0" borderId="8" xfId="0" applyBorder="1" applyAlignment="1">
      <alignment wrapText="1"/>
    </xf>
    <xf numFmtId="0" fontId="12" fillId="0" borderId="23" xfId="0" applyFont="1" applyBorder="1" applyAlignment="1">
      <alignment wrapText="1"/>
    </xf>
    <xf numFmtId="0" fontId="12" fillId="0" borderId="0" xfId="0" applyFont="1" applyAlignment="1">
      <alignment wrapText="1"/>
    </xf>
    <xf numFmtId="0" fontId="12" fillId="0" borderId="24" xfId="0" applyFont="1" applyBorder="1" applyAlignment="1">
      <alignment wrapText="1"/>
    </xf>
    <xf numFmtId="0" fontId="0" fillId="0" borderId="24" xfId="0" applyBorder="1" applyAlignment="1">
      <alignment wrapText="1"/>
    </xf>
    <xf numFmtId="0" fontId="12" fillId="0" borderId="24" xfId="0" applyFont="1" applyBorder="1" applyAlignment="1">
      <alignment horizontal="center" wrapText="1"/>
    </xf>
    <xf numFmtId="0" fontId="13" fillId="0" borderId="24" xfId="0" applyFont="1" applyBorder="1" applyAlignment="1">
      <alignment horizontal="center" wrapText="1"/>
    </xf>
    <xf numFmtId="165" fontId="12" fillId="0" borderId="9" xfId="0" applyNumberFormat="1" applyFont="1" applyBorder="1" applyAlignment="1">
      <alignment horizontal="center" wrapText="1"/>
    </xf>
    <xf numFmtId="0" fontId="12" fillId="0" borderId="5" xfId="0" applyFont="1" applyBorder="1" applyAlignment="1">
      <alignment horizontal="center" wrapText="1"/>
    </xf>
    <xf numFmtId="0" fontId="12" fillId="0" borderId="6" xfId="0" applyFont="1" applyBorder="1" applyAlignment="1">
      <alignment horizontal="center" wrapText="1"/>
    </xf>
    <xf numFmtId="0" fontId="12" fillId="0" borderId="9" xfId="0" applyFont="1" applyBorder="1" applyAlignment="1">
      <alignment horizontal="center" wrapText="1"/>
    </xf>
    <xf numFmtId="0" fontId="13" fillId="0" borderId="5" xfId="0" applyFont="1" applyBorder="1" applyAlignment="1">
      <alignment horizontal="center" wrapText="1"/>
    </xf>
    <xf numFmtId="0" fontId="13" fillId="0" borderId="6" xfId="0" applyFont="1" applyBorder="1" applyAlignment="1">
      <alignment horizontal="center" wrapText="1"/>
    </xf>
    <xf numFmtId="0" fontId="0" fillId="0" borderId="24" xfId="0" applyBorder="1" applyAlignment="1">
      <alignment horizontal="center" wrapText="1"/>
    </xf>
    <xf numFmtId="0" fontId="14" fillId="0" borderId="23" xfId="0" applyFont="1" applyBorder="1" applyAlignment="1">
      <alignment wrapText="1"/>
    </xf>
    <xf numFmtId="0" fontId="7" fillId="0" borderId="0" xfId="0" applyFont="1" applyAlignment="1">
      <alignment wrapText="1"/>
    </xf>
  </cellXfs>
  <cellStyles count="4">
    <cellStyle name="Normal" xfId="0" builtinId="0"/>
    <cellStyle name="Normal_CMVCompareCntyEmissions" xfId="1"/>
    <cellStyle name="Normal_Sheet1" xfId="2"/>
    <cellStyle name="Normal_Sheet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5"/>
  <sheetViews>
    <sheetView tabSelected="1" workbookViewId="0">
      <selection activeCell="A15" sqref="A15"/>
    </sheetView>
  </sheetViews>
  <sheetFormatPr defaultRowHeight="12.75" x14ac:dyDescent="0.2"/>
  <cols>
    <col min="1" max="1" width="35.140625" customWidth="1"/>
  </cols>
  <sheetData>
    <row r="1" spans="1:1" x14ac:dyDescent="0.2">
      <c r="A1" s="2" t="s">
        <v>169</v>
      </c>
    </row>
    <row r="2" spans="1:1" ht="27" customHeight="1" x14ac:dyDescent="0.2">
      <c r="A2" s="27" t="s">
        <v>170</v>
      </c>
    </row>
    <row r="3" spans="1:1" ht="67.5" customHeight="1" x14ac:dyDescent="0.2">
      <c r="A3" s="27" t="s">
        <v>171</v>
      </c>
    </row>
    <row r="4" spans="1:1" ht="25.5" customHeight="1" x14ac:dyDescent="0.2">
      <c r="A4" s="27" t="s">
        <v>232</v>
      </c>
    </row>
    <row r="5" spans="1:1" ht="17.25" customHeight="1" x14ac:dyDescent="0.2">
      <c r="A5" s="27" t="s">
        <v>233</v>
      </c>
    </row>
    <row r="6" spans="1:1" ht="16.5" customHeight="1" x14ac:dyDescent="0.2">
      <c r="A6" s="27" t="s">
        <v>172</v>
      </c>
    </row>
    <row r="7" spans="1:1" ht="41.25" customHeight="1" x14ac:dyDescent="0.2">
      <c r="A7" s="27" t="s">
        <v>173</v>
      </c>
    </row>
    <row r="8" spans="1:1" x14ac:dyDescent="0.2">
      <c r="A8" s="27" t="s">
        <v>174</v>
      </c>
    </row>
    <row r="9" spans="1:1" x14ac:dyDescent="0.2">
      <c r="A9" s="134" t="s">
        <v>175</v>
      </c>
    </row>
    <row r="10" spans="1:1" x14ac:dyDescent="0.2">
      <c r="A10" s="134"/>
    </row>
    <row r="11" spans="1:1" x14ac:dyDescent="0.2">
      <c r="A11" s="2" t="s">
        <v>176</v>
      </c>
    </row>
    <row r="12" spans="1:1" x14ac:dyDescent="0.2">
      <c r="A12" s="2" t="s">
        <v>234</v>
      </c>
    </row>
    <row r="13" spans="1:1" x14ac:dyDescent="0.2">
      <c r="A13" s="29" t="s">
        <v>235</v>
      </c>
    </row>
    <row r="14" spans="1:1" x14ac:dyDescent="0.2">
      <c r="A14" s="30">
        <v>41029</v>
      </c>
    </row>
    <row r="15" spans="1:1" x14ac:dyDescent="0.2">
      <c r="A15" s="2"/>
    </row>
  </sheetData>
  <mergeCells count="1">
    <mergeCell ref="A9:A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workbookViewId="0">
      <selection sqref="A1:I1"/>
    </sheetView>
  </sheetViews>
  <sheetFormatPr defaultRowHeight="12.75" x14ac:dyDescent="0.2"/>
  <cols>
    <col min="2" max="2" width="24.42578125" customWidth="1"/>
    <col min="7" max="7" width="15.85546875" customWidth="1"/>
  </cols>
  <sheetData>
    <row r="1" spans="1:9" ht="210" customHeight="1" x14ac:dyDescent="0.2">
      <c r="A1" s="135" t="s">
        <v>228</v>
      </c>
      <c r="B1" s="136"/>
      <c r="C1" s="136"/>
      <c r="D1" s="136"/>
      <c r="E1" s="136"/>
      <c r="F1" s="136"/>
      <c r="G1" s="136"/>
      <c r="H1" s="136"/>
      <c r="I1" s="136"/>
    </row>
    <row r="2" spans="1:9" ht="28.5" customHeight="1" thickBot="1" x14ac:dyDescent="0.25">
      <c r="A2" s="135" t="s">
        <v>229</v>
      </c>
      <c r="B2" s="136"/>
      <c r="C2" s="136"/>
      <c r="D2" s="136"/>
      <c r="E2" s="136"/>
      <c r="F2" s="136"/>
      <c r="G2" s="136"/>
      <c r="H2" s="136"/>
      <c r="I2" s="136"/>
    </row>
    <row r="3" spans="1:9" ht="13.5" thickBot="1" x14ac:dyDescent="0.25">
      <c r="A3" s="105" t="s">
        <v>196</v>
      </c>
      <c r="B3" s="106" t="s">
        <v>195</v>
      </c>
      <c r="C3" s="107" t="s">
        <v>194</v>
      </c>
      <c r="D3" s="107"/>
      <c r="E3" s="107"/>
      <c r="F3" s="107"/>
      <c r="G3" s="108"/>
    </row>
    <row r="4" spans="1:9" x14ac:dyDescent="0.2">
      <c r="A4" s="102">
        <v>1</v>
      </c>
      <c r="B4" s="56" t="s">
        <v>192</v>
      </c>
      <c r="C4" s="87" t="s">
        <v>230</v>
      </c>
      <c r="D4" s="56"/>
      <c r="E4" s="56"/>
      <c r="F4" s="103"/>
      <c r="G4" s="104"/>
    </row>
    <row r="5" spans="1:9" x14ac:dyDescent="0.2">
      <c r="A5" s="129">
        <v>2</v>
      </c>
      <c r="B5" s="130" t="s">
        <v>193</v>
      </c>
      <c r="C5" s="131" t="s">
        <v>226</v>
      </c>
      <c r="D5" s="130"/>
      <c r="E5" s="130"/>
      <c r="F5" s="130"/>
      <c r="G5" s="132"/>
    </row>
    <row r="6" spans="1:9" ht="27" customHeight="1" thickBot="1" x14ac:dyDescent="0.25">
      <c r="A6" s="38">
        <v>3</v>
      </c>
      <c r="B6" s="133" t="s">
        <v>225</v>
      </c>
      <c r="C6" s="137" t="s">
        <v>227</v>
      </c>
      <c r="D6" s="138"/>
      <c r="E6" s="138"/>
      <c r="F6" s="138"/>
      <c r="G6" s="139"/>
    </row>
    <row r="19" spans="1:9" ht="52.5" customHeight="1" x14ac:dyDescent="0.2">
      <c r="A19" s="136" t="s">
        <v>163</v>
      </c>
      <c r="B19" s="136"/>
      <c r="C19" s="136"/>
      <c r="D19" s="136"/>
      <c r="E19" s="136"/>
      <c r="F19" s="136"/>
      <c r="G19" s="136"/>
      <c r="H19" s="136"/>
      <c r="I19" s="136"/>
    </row>
  </sheetData>
  <mergeCells count="4">
    <mergeCell ref="A1:I1"/>
    <mergeCell ref="A19:I19"/>
    <mergeCell ref="C6:G6"/>
    <mergeCell ref="A2:I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5"/>
  <sheetViews>
    <sheetView topLeftCell="A2" workbookViewId="0">
      <selection activeCell="D5" sqref="D5"/>
    </sheetView>
  </sheetViews>
  <sheetFormatPr defaultRowHeight="12.75" x14ac:dyDescent="0.2"/>
  <cols>
    <col min="2" max="2" width="11.7109375" customWidth="1"/>
  </cols>
  <sheetData>
    <row r="2" spans="1:13" ht="15" thickBot="1" x14ac:dyDescent="0.25">
      <c r="A2" s="1" t="s">
        <v>231</v>
      </c>
      <c r="B2" s="1"/>
      <c r="C2" s="1"/>
      <c r="D2" s="1"/>
      <c r="E2" s="1"/>
      <c r="F2" s="1"/>
      <c r="G2" s="1"/>
      <c r="H2" s="1"/>
      <c r="I2" s="1"/>
      <c r="J2" s="1"/>
      <c r="K2" s="1"/>
      <c r="L2" s="1"/>
      <c r="M2" s="1"/>
    </row>
    <row r="3" spans="1:13" x14ac:dyDescent="0.2">
      <c r="A3" s="102"/>
      <c r="B3" s="109" t="s">
        <v>202</v>
      </c>
      <c r="C3" s="109" t="s">
        <v>203</v>
      </c>
      <c r="D3" s="109" t="s">
        <v>204</v>
      </c>
      <c r="E3" s="110" t="s">
        <v>205</v>
      </c>
      <c r="F3" s="109" t="s">
        <v>107</v>
      </c>
      <c r="G3" s="109" t="s">
        <v>168</v>
      </c>
      <c r="H3" s="109" t="s">
        <v>206</v>
      </c>
      <c r="I3" s="109" t="s">
        <v>207</v>
      </c>
      <c r="J3" s="109" t="s">
        <v>208</v>
      </c>
      <c r="K3" s="111" t="s">
        <v>106</v>
      </c>
    </row>
    <row r="4" spans="1:13" ht="30" x14ac:dyDescent="0.25">
      <c r="A4" s="25" t="s">
        <v>212</v>
      </c>
      <c r="B4" s="112" t="s">
        <v>213</v>
      </c>
      <c r="C4" s="112" t="s">
        <v>152</v>
      </c>
      <c r="D4" s="112" t="s">
        <v>210</v>
      </c>
      <c r="E4" s="113" t="s">
        <v>214</v>
      </c>
      <c r="F4" s="116">
        <v>1.2821429920982861</v>
      </c>
      <c r="G4" s="116">
        <v>10.257143936786289</v>
      </c>
      <c r="H4" s="116">
        <v>0.32053574802457152</v>
      </c>
      <c r="I4" s="116">
        <v>0.29809824566285154</v>
      </c>
      <c r="J4" s="116">
        <v>0.17095239894643816</v>
      </c>
      <c r="K4" s="117">
        <v>5.4003862827179807</v>
      </c>
    </row>
    <row r="5" spans="1:13" ht="30" x14ac:dyDescent="0.25">
      <c r="A5" s="25" t="s">
        <v>212</v>
      </c>
      <c r="B5" s="112" t="s">
        <v>213</v>
      </c>
      <c r="C5" s="112" t="s">
        <v>209</v>
      </c>
      <c r="D5" s="112" t="s">
        <v>215</v>
      </c>
      <c r="E5" s="113" t="s">
        <v>211</v>
      </c>
      <c r="F5" s="114">
        <v>0.43960090000000007</v>
      </c>
      <c r="G5" s="114">
        <v>5.1473130000000005</v>
      </c>
      <c r="H5" s="114">
        <v>0.43727200000000005</v>
      </c>
      <c r="I5" s="114">
        <v>0.40499030000000003</v>
      </c>
      <c r="J5" s="114">
        <v>40.021060000000006</v>
      </c>
      <c r="K5" s="115">
        <v>0.18490879999999998</v>
      </c>
    </row>
    <row r="6" spans="1:13" ht="30" x14ac:dyDescent="0.25">
      <c r="A6" s="25" t="s">
        <v>216</v>
      </c>
      <c r="B6" s="112" t="s">
        <v>217</v>
      </c>
      <c r="C6" s="112" t="s">
        <v>151</v>
      </c>
      <c r="D6" s="112" t="s">
        <v>218</v>
      </c>
      <c r="E6" s="113" t="s">
        <v>214</v>
      </c>
      <c r="F6" s="118">
        <v>28.213841451993183</v>
      </c>
      <c r="G6" s="118">
        <v>225.71073161594546</v>
      </c>
      <c r="H6" s="118">
        <v>7.0534603629982957</v>
      </c>
      <c r="I6" s="118">
        <v>6.5597181375884155</v>
      </c>
      <c r="J6" s="118">
        <v>8.5822201844424857</v>
      </c>
      <c r="K6" s="119">
        <v>118.83670019579529</v>
      </c>
    </row>
    <row r="7" spans="1:13" ht="30" x14ac:dyDescent="0.25">
      <c r="A7" s="25" t="s">
        <v>216</v>
      </c>
      <c r="B7" s="112" t="s">
        <v>217</v>
      </c>
      <c r="C7" s="112" t="s">
        <v>152</v>
      </c>
      <c r="D7" s="112" t="s">
        <v>210</v>
      </c>
      <c r="E7" s="113" t="s">
        <v>214</v>
      </c>
      <c r="F7" s="118">
        <v>3.3452653175741358</v>
      </c>
      <c r="G7" s="118">
        <v>26.762122540593086</v>
      </c>
      <c r="H7" s="118">
        <v>0.83631632939353395</v>
      </c>
      <c r="I7" s="118">
        <v>0.77777418633598661</v>
      </c>
      <c r="J7" s="118">
        <v>0.44603537567655149</v>
      </c>
      <c r="K7" s="119">
        <v>14.090257517622259</v>
      </c>
    </row>
    <row r="8" spans="1:13" ht="30" x14ac:dyDescent="0.25">
      <c r="A8" s="25" t="s">
        <v>216</v>
      </c>
      <c r="B8" s="112" t="s">
        <v>217</v>
      </c>
      <c r="C8" s="112" t="s">
        <v>219</v>
      </c>
      <c r="D8" s="120" t="s">
        <v>220</v>
      </c>
      <c r="E8" s="121" t="s">
        <v>211</v>
      </c>
      <c r="F8" s="122">
        <v>51.808539999999994</v>
      </c>
      <c r="G8" s="122">
        <v>617.29320000000007</v>
      </c>
      <c r="H8" s="122">
        <v>54.01323</v>
      </c>
      <c r="I8" s="122">
        <v>50.706229999999998</v>
      </c>
      <c r="J8" s="122">
        <v>436.51480000000004</v>
      </c>
      <c r="K8" s="123">
        <v>18.73922</v>
      </c>
    </row>
    <row r="9" spans="1:13" ht="30" x14ac:dyDescent="0.25">
      <c r="A9" s="25" t="s">
        <v>216</v>
      </c>
      <c r="B9" s="112" t="s">
        <v>217</v>
      </c>
      <c r="C9" s="112" t="s">
        <v>209</v>
      </c>
      <c r="D9" s="112" t="s">
        <v>215</v>
      </c>
      <c r="E9" s="113" t="s">
        <v>211</v>
      </c>
      <c r="F9" s="114">
        <v>2.5179230000000001</v>
      </c>
      <c r="G9" s="114">
        <v>25.9467</v>
      </c>
      <c r="H9" s="114">
        <v>2.3085150000000003</v>
      </c>
      <c r="I9" s="114">
        <v>2.1347329999999998</v>
      </c>
      <c r="J9" s="114">
        <v>114.8844</v>
      </c>
      <c r="K9" s="115">
        <v>1.1021098999999999</v>
      </c>
    </row>
    <row r="10" spans="1:13" ht="30" x14ac:dyDescent="0.25">
      <c r="A10" s="25" t="s">
        <v>221</v>
      </c>
      <c r="B10" s="112" t="s">
        <v>222</v>
      </c>
      <c r="C10" s="112" t="s">
        <v>151</v>
      </c>
      <c r="D10" s="112" t="s">
        <v>218</v>
      </c>
      <c r="E10" s="113" t="s">
        <v>214</v>
      </c>
      <c r="F10" s="118">
        <v>22.559431602580869</v>
      </c>
      <c r="G10" s="118">
        <v>180.47545282064695</v>
      </c>
      <c r="H10" s="118">
        <v>5.6398579006452172</v>
      </c>
      <c r="I10" s="118">
        <v>5.2450678476000521</v>
      </c>
      <c r="J10" s="118">
        <v>3.00792421367745</v>
      </c>
      <c r="K10" s="119">
        <v>95.020325910070611</v>
      </c>
    </row>
    <row r="11" spans="1:13" ht="30" x14ac:dyDescent="0.25">
      <c r="A11" s="25" t="s">
        <v>221</v>
      </c>
      <c r="B11" s="112" t="s">
        <v>222</v>
      </c>
      <c r="C11" s="112" t="s">
        <v>152</v>
      </c>
      <c r="D11" s="112" t="s">
        <v>210</v>
      </c>
      <c r="E11" s="113" t="s">
        <v>214</v>
      </c>
      <c r="F11" s="118">
        <v>2.6748319349816243</v>
      </c>
      <c r="G11" s="118">
        <v>21.398655479852994</v>
      </c>
      <c r="H11" s="118">
        <v>0.66870798374540608</v>
      </c>
      <c r="I11" s="118">
        <v>0.62189842488322766</v>
      </c>
      <c r="J11" s="118">
        <v>0.35664425799755001</v>
      </c>
      <c r="K11" s="119">
        <v>11.266392110142601</v>
      </c>
    </row>
    <row r="12" spans="1:13" ht="30" x14ac:dyDescent="0.25">
      <c r="A12" s="25" t="s">
        <v>221</v>
      </c>
      <c r="B12" s="112" t="s">
        <v>222</v>
      </c>
      <c r="C12" s="112" t="s">
        <v>219</v>
      </c>
      <c r="D12" s="112" t="s">
        <v>220</v>
      </c>
      <c r="E12" s="113" t="s">
        <v>211</v>
      </c>
      <c r="F12" s="124">
        <v>28.660040000000002</v>
      </c>
      <c r="G12" s="124">
        <v>335.10230000000001</v>
      </c>
      <c r="H12" s="124">
        <v>29.762330000000002</v>
      </c>
      <c r="I12" s="124">
        <v>27.557730000000003</v>
      </c>
      <c r="J12" s="124">
        <v>235.89389999999997</v>
      </c>
      <c r="K12" s="125">
        <v>11.023099999999999</v>
      </c>
    </row>
    <row r="13" spans="1:13" ht="30" x14ac:dyDescent="0.25">
      <c r="A13" s="25" t="s">
        <v>221</v>
      </c>
      <c r="B13" s="112" t="s">
        <v>222</v>
      </c>
      <c r="C13" s="112" t="s">
        <v>209</v>
      </c>
      <c r="D13" s="112" t="s">
        <v>215</v>
      </c>
      <c r="E13" s="113" t="s">
        <v>211</v>
      </c>
      <c r="F13" s="126">
        <v>9.3200099999999981</v>
      </c>
      <c r="G13" s="126">
        <v>97.102900000000005</v>
      </c>
      <c r="H13" s="126">
        <v>8.5846860000000014</v>
      </c>
      <c r="I13" s="126">
        <v>7.945424</v>
      </c>
      <c r="J13" s="126">
        <v>556.03886999999997</v>
      </c>
      <c r="K13" s="127">
        <v>3.8642731000000001</v>
      </c>
    </row>
    <row r="14" spans="1:13" ht="14.25" x14ac:dyDescent="0.2">
      <c r="A14" s="12" t="s">
        <v>223</v>
      </c>
    </row>
    <row r="15" spans="1:13" ht="14.25" x14ac:dyDescent="0.2">
      <c r="A15" s="128" t="s">
        <v>224</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8"/>
  <sheetViews>
    <sheetView topLeftCell="E28" zoomScale="75" workbookViewId="0">
      <selection activeCell="H46" sqref="H46"/>
    </sheetView>
  </sheetViews>
  <sheetFormatPr defaultRowHeight="12.75" x14ac:dyDescent="0.2"/>
  <cols>
    <col min="1" max="1" width="23.140625" customWidth="1"/>
    <col min="2" max="2" width="18.7109375" customWidth="1"/>
    <col min="3" max="3" width="27.140625" customWidth="1"/>
    <col min="4" max="4" width="18.42578125" bestFit="1" customWidth="1"/>
    <col min="5" max="5" width="17.28515625" customWidth="1"/>
    <col min="7" max="7" width="64.7109375" bestFit="1" customWidth="1"/>
    <col min="8" max="8" width="24" bestFit="1" customWidth="1"/>
    <col min="9" max="9" width="30.85546875" customWidth="1"/>
    <col min="10" max="10" width="12.5703125" bestFit="1" customWidth="1"/>
    <col min="11" max="11" width="11.5703125" bestFit="1" customWidth="1"/>
    <col min="12" max="12" width="11.7109375" customWidth="1"/>
    <col min="13" max="13" width="8.28515625" customWidth="1"/>
    <col min="14" max="14" width="9.28515625" customWidth="1"/>
    <col min="15" max="15" width="10.28515625" customWidth="1"/>
  </cols>
  <sheetData>
    <row r="1" spans="1:16" x14ac:dyDescent="0.2">
      <c r="A1" s="1" t="s">
        <v>101</v>
      </c>
    </row>
    <row r="3" spans="1:16" x14ac:dyDescent="0.2">
      <c r="A3" s="1" t="s">
        <v>111</v>
      </c>
      <c r="B3" s="1"/>
      <c r="C3" s="1"/>
      <c r="D3" s="1"/>
      <c r="E3" s="1"/>
      <c r="G3" s="1" t="s">
        <v>112</v>
      </c>
      <c r="H3" s="1" t="s">
        <v>103</v>
      </c>
      <c r="I3" s="1" t="s">
        <v>104</v>
      </c>
      <c r="J3" s="2" t="s">
        <v>114</v>
      </c>
      <c r="K3" s="2" t="s">
        <v>136</v>
      </c>
      <c r="L3" s="2" t="s">
        <v>107</v>
      </c>
      <c r="M3" s="2" t="s">
        <v>10</v>
      </c>
      <c r="N3" s="2" t="s">
        <v>146</v>
      </c>
      <c r="O3" s="2" t="s">
        <v>106</v>
      </c>
      <c r="P3" s="2" t="s">
        <v>147</v>
      </c>
    </row>
    <row r="4" spans="1:16" x14ac:dyDescent="0.2">
      <c r="A4" s="2" t="s">
        <v>105</v>
      </c>
      <c r="B4" s="2" t="s">
        <v>136</v>
      </c>
      <c r="C4" s="2" t="s">
        <v>107</v>
      </c>
      <c r="D4" s="2" t="s">
        <v>10</v>
      </c>
      <c r="E4" s="2" t="s">
        <v>146</v>
      </c>
    </row>
    <row r="5" spans="1:16" x14ac:dyDescent="0.2">
      <c r="A5" s="4">
        <f>'1-Total Emissions (fuel based)'!M55</f>
        <v>0</v>
      </c>
      <c r="B5" s="4">
        <f>'1-Total Emissions (fuel based)'!N55</f>
        <v>0</v>
      </c>
      <c r="C5" s="4">
        <f>'1-Total Emissions (fuel based)'!O55</f>
        <v>0</v>
      </c>
      <c r="D5" s="4">
        <f>'1-Total Emissions (fuel based)'!P55</f>
        <v>0</v>
      </c>
      <c r="E5" s="4">
        <f>'1-Total Emissions (fuel based)'!Q55</f>
        <v>0</v>
      </c>
      <c r="G5" t="s">
        <v>12</v>
      </c>
      <c r="H5">
        <v>2487</v>
      </c>
      <c r="I5" s="9">
        <f>H5/H8</f>
        <v>0.48366394399066509</v>
      </c>
      <c r="J5" s="3">
        <f>$A$5*I5</f>
        <v>0</v>
      </c>
      <c r="K5" s="3">
        <f>$B$5*I5</f>
        <v>0</v>
      </c>
      <c r="L5" s="3">
        <f>$C$5*I5</f>
        <v>0</v>
      </c>
      <c r="M5" s="3">
        <f t="shared" ref="M5:N7" si="0">D$5*$I5</f>
        <v>0</v>
      </c>
      <c r="N5" s="3">
        <f t="shared" si="0"/>
        <v>0</v>
      </c>
      <c r="O5">
        <f>K5*1.053</f>
        <v>0</v>
      </c>
      <c r="P5">
        <f>+N5*0.93</f>
        <v>0</v>
      </c>
    </row>
    <row r="6" spans="1:16" x14ac:dyDescent="0.2">
      <c r="G6" t="s">
        <v>15</v>
      </c>
      <c r="H6">
        <v>2458</v>
      </c>
      <c r="I6" s="9">
        <f>H6/H8</f>
        <v>0.47802411513029952</v>
      </c>
      <c r="J6" s="3">
        <f>$A$5*I6</f>
        <v>0</v>
      </c>
      <c r="K6" s="3">
        <f>$B$5*I6</f>
        <v>0</v>
      </c>
      <c r="L6" s="3">
        <f>$C$5*I6</f>
        <v>0</v>
      </c>
      <c r="M6" s="3">
        <f t="shared" si="0"/>
        <v>0</v>
      </c>
      <c r="N6" s="3">
        <f t="shared" si="0"/>
        <v>0</v>
      </c>
      <c r="O6">
        <f>K6*1.053</f>
        <v>0</v>
      </c>
      <c r="P6">
        <f>+N6*0.93</f>
        <v>0</v>
      </c>
    </row>
    <row r="7" spans="1:16" x14ac:dyDescent="0.2">
      <c r="G7" t="s">
        <v>22</v>
      </c>
      <c r="H7">
        <v>197</v>
      </c>
      <c r="I7" s="9">
        <f>H7/H8</f>
        <v>3.8311940879035396E-2</v>
      </c>
      <c r="J7" s="3">
        <f>$A$5*I7</f>
        <v>0</v>
      </c>
      <c r="K7" s="3">
        <f>$B$5*I7</f>
        <v>0</v>
      </c>
      <c r="L7" s="3">
        <f>$C$5*I7</f>
        <v>0</v>
      </c>
      <c r="M7" s="3">
        <f t="shared" si="0"/>
        <v>0</v>
      </c>
      <c r="N7" s="3">
        <f t="shared" si="0"/>
        <v>0</v>
      </c>
      <c r="O7">
        <f>K7*1.053</f>
        <v>0</v>
      </c>
      <c r="P7">
        <f>+N7*0.93</f>
        <v>0</v>
      </c>
    </row>
    <row r="8" spans="1:16" x14ac:dyDescent="0.2">
      <c r="H8" s="1">
        <f>SUM(H5:H7)</f>
        <v>5142</v>
      </c>
    </row>
    <row r="9" spans="1:16" x14ac:dyDescent="0.2">
      <c r="H9" s="1"/>
    </row>
    <row r="10" spans="1:16" x14ac:dyDescent="0.2">
      <c r="A10" s="1" t="s">
        <v>108</v>
      </c>
      <c r="B10" s="1"/>
      <c r="C10" s="1"/>
      <c r="D10" s="1"/>
      <c r="E10" s="1"/>
      <c r="G10" s="1" t="s">
        <v>109</v>
      </c>
      <c r="H10" s="1" t="s">
        <v>110</v>
      </c>
      <c r="I10" s="1" t="s">
        <v>104</v>
      </c>
    </row>
    <row r="11" spans="1:16" x14ac:dyDescent="0.2">
      <c r="A11" s="2" t="s">
        <v>105</v>
      </c>
      <c r="B11" s="2" t="s">
        <v>136</v>
      </c>
      <c r="C11" s="2" t="s">
        <v>107</v>
      </c>
      <c r="D11" s="2" t="s">
        <v>10</v>
      </c>
      <c r="E11" s="2" t="s">
        <v>146</v>
      </c>
    </row>
    <row r="12" spans="1:16" x14ac:dyDescent="0.2">
      <c r="A12" s="4">
        <f>'1-Total Emissions (fuel based)'!M68</f>
        <v>0</v>
      </c>
      <c r="B12" s="4">
        <f>'1-Total Emissions (fuel based)'!N68</f>
        <v>0</v>
      </c>
      <c r="C12" s="4">
        <f>'1-Total Emissions (fuel based)'!O68</f>
        <v>0</v>
      </c>
      <c r="D12" s="4">
        <f>'1-Total Emissions (fuel based)'!P68</f>
        <v>0</v>
      </c>
      <c r="E12" s="4">
        <f>'1-Total Emissions (fuel based)'!Q68</f>
        <v>0</v>
      </c>
      <c r="G12" t="s">
        <v>12</v>
      </c>
      <c r="H12">
        <v>524</v>
      </c>
      <c r="I12" s="9">
        <f>H12/H15</f>
        <v>0.36592178770949718</v>
      </c>
      <c r="J12" s="3">
        <f>$A$12*I12</f>
        <v>0</v>
      </c>
      <c r="K12" s="3">
        <f>$B$12*I12</f>
        <v>0</v>
      </c>
      <c r="L12" s="3">
        <f>$C$12*I12</f>
        <v>0</v>
      </c>
      <c r="M12" s="3">
        <f>$D$12*I12</f>
        <v>0</v>
      </c>
      <c r="N12" s="3">
        <f>E12*I12</f>
        <v>0</v>
      </c>
      <c r="O12">
        <f>K12*1.053</f>
        <v>0</v>
      </c>
      <c r="P12">
        <f>+N12*0.93</f>
        <v>0</v>
      </c>
    </row>
    <row r="13" spans="1:16" x14ac:dyDescent="0.2">
      <c r="G13" t="s">
        <v>15</v>
      </c>
      <c r="H13">
        <v>831</v>
      </c>
      <c r="I13" s="9">
        <f>H13/H15</f>
        <v>0.58030726256983245</v>
      </c>
      <c r="J13" s="3">
        <f>$A$12*I13</f>
        <v>0</v>
      </c>
      <c r="K13" s="3">
        <f>$B$12*I13</f>
        <v>0</v>
      </c>
      <c r="L13" s="3">
        <f>$C$12*I13</f>
        <v>0</v>
      </c>
      <c r="M13" s="3">
        <f>$D$12*I13</f>
        <v>0</v>
      </c>
      <c r="N13" s="3">
        <f>E12*I13</f>
        <v>0</v>
      </c>
      <c r="O13">
        <f>K13*1.053</f>
        <v>0</v>
      </c>
      <c r="P13">
        <f>+N13*0.93</f>
        <v>0</v>
      </c>
    </row>
    <row r="14" spans="1:16" x14ac:dyDescent="0.2">
      <c r="G14" t="s">
        <v>22</v>
      </c>
      <c r="H14">
        <v>77</v>
      </c>
      <c r="I14" s="9">
        <f>H14/H15</f>
        <v>5.377094972067039E-2</v>
      </c>
      <c r="J14" s="3">
        <f>$A$12*I14</f>
        <v>0</v>
      </c>
      <c r="K14" s="3">
        <f>$B$12*I14</f>
        <v>0</v>
      </c>
      <c r="L14" s="3">
        <f>$C$12*I14</f>
        <v>0</v>
      </c>
      <c r="M14" s="3">
        <f>$D$12*I14</f>
        <v>0</v>
      </c>
      <c r="N14" s="3">
        <f>E12*I14</f>
        <v>0</v>
      </c>
      <c r="O14">
        <f>K14*1.053</f>
        <v>0</v>
      </c>
      <c r="P14">
        <f>+N14*0.93</f>
        <v>0</v>
      </c>
    </row>
    <row r="15" spans="1:16" x14ac:dyDescent="0.2">
      <c r="H15" s="1">
        <f>SUM(H12:H14)</f>
        <v>1432</v>
      </c>
      <c r="J15" s="3"/>
      <c r="K15" s="3"/>
      <c r="L15" s="3"/>
      <c r="M15" s="3"/>
      <c r="N15" s="3"/>
      <c r="O15" s="3"/>
    </row>
    <row r="16" spans="1:16" x14ac:dyDescent="0.2">
      <c r="J16" s="3"/>
      <c r="K16" s="3"/>
      <c r="L16" s="3"/>
      <c r="M16" s="3"/>
      <c r="N16" s="3"/>
      <c r="O16" s="3"/>
    </row>
    <row r="17" spans="1:16" ht="13.5" thickBot="1" x14ac:dyDescent="0.25">
      <c r="A17" s="17" t="s">
        <v>200</v>
      </c>
      <c r="E17" s="17"/>
      <c r="F17" s="17"/>
      <c r="G17" s="17"/>
      <c r="H17" s="17"/>
      <c r="J17" s="3"/>
      <c r="K17" s="3"/>
      <c r="L17" s="3"/>
      <c r="M17" s="3"/>
      <c r="N17" s="3"/>
      <c r="O17" s="3"/>
    </row>
    <row r="18" spans="1:16" ht="27" customHeight="1" x14ac:dyDescent="0.2">
      <c r="A18" s="55" t="s">
        <v>190</v>
      </c>
      <c r="B18" s="74"/>
      <c r="C18" s="74"/>
      <c r="D18" s="74"/>
      <c r="E18" s="74"/>
      <c r="F18" s="74"/>
      <c r="G18" s="74" t="s">
        <v>102</v>
      </c>
      <c r="H18" s="74" t="s">
        <v>103</v>
      </c>
      <c r="I18" s="74" t="s">
        <v>104</v>
      </c>
      <c r="J18" s="32" t="s">
        <v>105</v>
      </c>
      <c r="K18" s="32" t="s">
        <v>136</v>
      </c>
      <c r="L18" s="32" t="s">
        <v>107</v>
      </c>
      <c r="M18" s="76" t="s">
        <v>10</v>
      </c>
      <c r="N18" s="32" t="s">
        <v>146</v>
      </c>
      <c r="O18" s="32" t="s">
        <v>106</v>
      </c>
      <c r="P18" s="77" t="s">
        <v>147</v>
      </c>
    </row>
    <row r="19" spans="1:16" ht="27" customHeight="1" x14ac:dyDescent="0.2">
      <c r="A19" s="78" t="s">
        <v>105</v>
      </c>
      <c r="B19" s="79" t="s">
        <v>136</v>
      </c>
      <c r="C19" s="79" t="s">
        <v>107</v>
      </c>
      <c r="D19" s="79" t="s">
        <v>10</v>
      </c>
      <c r="E19" s="79" t="s">
        <v>146</v>
      </c>
      <c r="F19" s="60"/>
      <c r="G19" s="60"/>
      <c r="H19" s="60"/>
      <c r="I19" s="60"/>
      <c r="J19" s="60"/>
      <c r="K19" s="60"/>
      <c r="L19" s="60"/>
      <c r="M19" s="60"/>
      <c r="N19" s="60"/>
      <c r="O19" s="79"/>
      <c r="P19" s="36"/>
    </row>
    <row r="20" spans="1:16" x14ac:dyDescent="0.2">
      <c r="A20" s="57">
        <f>'1-Total Emissions (fuel based)'!M89</f>
        <v>477.93325799999991</v>
      </c>
      <c r="B20" s="58">
        <f>'1-Total Emissions (fuel based)'!N89</f>
        <v>238.96662899999995</v>
      </c>
      <c r="C20" s="58">
        <f>'1-Total Emissions (fuel based)'!O89</f>
        <v>59.741657249999989</v>
      </c>
      <c r="D20" s="58">
        <f>'1-Total Emissions (fuel based)'!P89</f>
        <v>7.9655543</v>
      </c>
      <c r="E20" s="58">
        <f>'1-Total Emissions (fuel based)'!Q89</f>
        <v>14.935414312499997</v>
      </c>
      <c r="F20" s="60"/>
      <c r="G20" s="60" t="s">
        <v>122</v>
      </c>
      <c r="H20" s="37">
        <f>(9223+14082+8610)/2 + 1798/3</f>
        <v>16556.833333333332</v>
      </c>
      <c r="I20" s="83">
        <f>H20/H23</f>
        <v>0.42238974777624705</v>
      </c>
      <c r="J20" s="83">
        <f>$A$20*I20</f>
        <v>201.87410830049996</v>
      </c>
      <c r="K20" s="83">
        <f>$B$20*I20</f>
        <v>100.93705415024998</v>
      </c>
      <c r="L20" s="83">
        <f>$C$20*I20</f>
        <v>25.234263537562494</v>
      </c>
      <c r="M20" s="83">
        <f>$D$20*I20</f>
        <v>3.3645684716750002</v>
      </c>
      <c r="N20" s="83">
        <f>$E$20*I20</f>
        <v>6.3085658843906236</v>
      </c>
      <c r="O20" s="83">
        <f>K20*1.053</f>
        <v>106.28671802021321</v>
      </c>
      <c r="P20" s="84">
        <f>+N20*0.93</f>
        <v>5.8669662724832801</v>
      </c>
    </row>
    <row r="21" spans="1:16" x14ac:dyDescent="0.2">
      <c r="A21" s="57">
        <f>A20</f>
        <v>477.93325799999991</v>
      </c>
      <c r="B21" s="58">
        <f>B20</f>
        <v>238.96662899999995</v>
      </c>
      <c r="C21" s="58">
        <f>C20</f>
        <v>59.741657249999989</v>
      </c>
      <c r="D21" s="58">
        <f>D20</f>
        <v>7.9655543</v>
      </c>
      <c r="E21" s="58">
        <f>E20</f>
        <v>14.935414312499997</v>
      </c>
      <c r="F21" s="60"/>
      <c r="G21" s="60" t="s">
        <v>123</v>
      </c>
      <c r="H21" s="37">
        <f>(9223+14082+8610)/2 + 1798/3 + 5485/2</f>
        <v>19299.333333333332</v>
      </c>
      <c r="I21" s="83">
        <f>H21/H23</f>
        <v>0.49235505212850994</v>
      </c>
      <c r="J21" s="83">
        <f>$A$21*I21</f>
        <v>235.31285415653855</v>
      </c>
      <c r="K21" s="83">
        <f>$B$21*I21</f>
        <v>117.65642707826927</v>
      </c>
      <c r="L21" s="83">
        <f>$C$21*I21</f>
        <v>29.414106769567319</v>
      </c>
      <c r="M21" s="83">
        <f>$D$21*I21</f>
        <v>3.9218809026089767</v>
      </c>
      <c r="N21" s="83">
        <f>$E$21*I21</f>
        <v>7.3535266923918297</v>
      </c>
      <c r="O21" s="83">
        <f>K21*1.053</f>
        <v>123.89221771341754</v>
      </c>
      <c r="P21" s="84">
        <f>+N21*0.93</f>
        <v>6.8387798239244022</v>
      </c>
    </row>
    <row r="22" spans="1:16" x14ac:dyDescent="0.2">
      <c r="A22" s="59">
        <f>'1-Total Emissions (fuel based)'!R89</f>
        <v>1135.010049</v>
      </c>
      <c r="B22" s="60">
        <f>'1-Total Emissions (fuel based)'!S89</f>
        <v>567.50502449999999</v>
      </c>
      <c r="C22" s="60">
        <f>'1-Total Emissions (fuel based)'!T89</f>
        <v>141.876256125</v>
      </c>
      <c r="D22" s="60">
        <f>'1-Total Emissions (fuel based)'!U89</f>
        <v>18.91683415</v>
      </c>
      <c r="E22" s="60">
        <f>'1-Total Emissions (fuel based)'!V89</f>
        <v>35.469064031249999</v>
      </c>
      <c r="F22" s="60"/>
      <c r="G22" s="60" t="s">
        <v>124</v>
      </c>
      <c r="H22" s="37">
        <f>(5485)/2 + 1798/3</f>
        <v>3341.8333333333335</v>
      </c>
      <c r="I22" s="83">
        <f>H22/H23</f>
        <v>8.5255200095242956E-2</v>
      </c>
      <c r="J22" s="83">
        <f>$A$22*I22</f>
        <v>96.765508837606504</v>
      </c>
      <c r="K22" s="83">
        <f>$B$22*I22</f>
        <v>48.382754418803252</v>
      </c>
      <c r="L22" s="83">
        <f>$C$22*I22</f>
        <v>12.095688604700813</v>
      </c>
      <c r="M22" s="83">
        <f>$D$22*I22</f>
        <v>1.6127584806267752</v>
      </c>
      <c r="N22" s="83">
        <f>$E$22*I22</f>
        <v>3.0239221511752032</v>
      </c>
      <c r="O22" s="83">
        <f>K22*1.053</f>
        <v>50.947040402999818</v>
      </c>
      <c r="P22" s="84">
        <f>+N22*0.93</f>
        <v>2.8122476005929391</v>
      </c>
    </row>
    <row r="23" spans="1:16" ht="13.5" thickBot="1" x14ac:dyDescent="0.25">
      <c r="A23" s="81" t="str">
        <f>'1-Total Emissions (fuel based)'!M91</f>
        <v>NOx Emissions</v>
      </c>
      <c r="B23" s="80" t="str">
        <f>'1-Total Emissions (fuel based)'!N91</f>
        <v>HC Emissions</v>
      </c>
      <c r="C23" s="80" t="str">
        <f>'1-Total Emissions (fuel based)'!O91</f>
        <v xml:space="preserve">CO Emissions </v>
      </c>
      <c r="D23" s="80" t="str">
        <f>'1-Total Emissions (fuel based)'!P91</f>
        <v>Sulfur Emissions</v>
      </c>
      <c r="E23" s="80" t="str">
        <f>'1-Total Emissions (fuel based)'!Q91</f>
        <v>PM10</v>
      </c>
      <c r="F23" s="80"/>
      <c r="G23" s="80" t="s">
        <v>188</v>
      </c>
      <c r="H23" s="80">
        <f>SUM(H20:H22)</f>
        <v>39198</v>
      </c>
      <c r="I23" s="80"/>
      <c r="J23" s="80"/>
      <c r="K23" s="80"/>
      <c r="L23" s="80"/>
      <c r="M23" s="80"/>
      <c r="N23" s="80"/>
      <c r="O23" s="82"/>
      <c r="P23" s="41"/>
    </row>
    <row r="24" spans="1:16" x14ac:dyDescent="0.2">
      <c r="A24" s="1" t="s">
        <v>143</v>
      </c>
      <c r="G24" s="1"/>
      <c r="H24" s="1"/>
      <c r="O24" s="3"/>
    </row>
    <row r="25" spans="1:16" x14ac:dyDescent="0.2">
      <c r="A25" s="2" t="s">
        <v>105</v>
      </c>
      <c r="B25" s="2" t="s">
        <v>136</v>
      </c>
      <c r="C25" s="2" t="s">
        <v>107</v>
      </c>
      <c r="D25" s="2" t="s">
        <v>10</v>
      </c>
      <c r="E25" s="2" t="s">
        <v>146</v>
      </c>
      <c r="G25" s="1" t="s">
        <v>144</v>
      </c>
      <c r="H25" s="1"/>
      <c r="O25" s="3"/>
    </row>
    <row r="26" spans="1:16" x14ac:dyDescent="0.2">
      <c r="A26" s="1">
        <f>'1-Total Emissions (fuel based)'!M96</f>
        <v>0</v>
      </c>
      <c r="B26" s="1">
        <f>'1-Total Emissions (fuel based)'!N96</f>
        <v>0</v>
      </c>
      <c r="C26" s="1">
        <f>'1-Total Emissions (fuel based)'!O96</f>
        <v>0</v>
      </c>
      <c r="D26" s="1">
        <f>'1-Total Emissions (fuel based)'!P96</f>
        <v>0</v>
      </c>
      <c r="E26" s="1">
        <f>'1-Total Emissions (fuel based)'!Q96</f>
        <v>0</v>
      </c>
      <c r="G26" t="s">
        <v>122</v>
      </c>
      <c r="H26" s="1"/>
      <c r="I26" s="3">
        <f>0.4</f>
        <v>0.4</v>
      </c>
      <c r="J26">
        <f>A26*I26</f>
        <v>0</v>
      </c>
      <c r="K26" s="3">
        <f>B26*J26</f>
        <v>0</v>
      </c>
      <c r="L26">
        <f>C26*I26</f>
        <v>0</v>
      </c>
      <c r="M26" s="3">
        <f>D26*L26</f>
        <v>0</v>
      </c>
      <c r="N26" s="3">
        <f>E26*M26</f>
        <v>0</v>
      </c>
      <c r="O26" s="3">
        <f>F26*N26</f>
        <v>0</v>
      </c>
      <c r="P26" s="3">
        <f>+N26*0.93</f>
        <v>0</v>
      </c>
    </row>
    <row r="27" spans="1:16" x14ac:dyDescent="0.2">
      <c r="G27" t="s">
        <v>123</v>
      </c>
      <c r="H27" s="1"/>
      <c r="I27" s="3">
        <v>0.49249999999999999</v>
      </c>
      <c r="J27">
        <f>A26*I27</f>
        <v>0</v>
      </c>
      <c r="K27" s="3">
        <f>B26*J27</f>
        <v>0</v>
      </c>
      <c r="L27">
        <f>C26*I27</f>
        <v>0</v>
      </c>
      <c r="M27" s="3">
        <f>D26*L27</f>
        <v>0</v>
      </c>
      <c r="N27" s="3">
        <f>E26*M27</f>
        <v>0</v>
      </c>
      <c r="O27" s="3">
        <f>F26*N27</f>
        <v>0</v>
      </c>
      <c r="P27" s="3">
        <f>+N27*0.93</f>
        <v>0</v>
      </c>
    </row>
    <row r="28" spans="1:16" x14ac:dyDescent="0.2">
      <c r="G28" t="s">
        <v>124</v>
      </c>
      <c r="H28" s="1"/>
      <c r="I28" s="3">
        <v>0.1075</v>
      </c>
      <c r="J28">
        <f>A26*I28</f>
        <v>0</v>
      </c>
      <c r="K28" s="3">
        <f>B26*J28</f>
        <v>0</v>
      </c>
      <c r="L28">
        <f>C26*I28</f>
        <v>0</v>
      </c>
      <c r="M28" s="3">
        <f>D26*L28</f>
        <v>0</v>
      </c>
      <c r="N28" s="3">
        <f>E26*M28</f>
        <v>0</v>
      </c>
      <c r="O28" s="3">
        <f>F26*N28</f>
        <v>0</v>
      </c>
      <c r="P28" s="3">
        <f>+N28*0.93</f>
        <v>0</v>
      </c>
    </row>
    <row r="29" spans="1:16" x14ac:dyDescent="0.2">
      <c r="H29" s="1"/>
      <c r="O29" s="3"/>
    </row>
    <row r="30" spans="1:16" ht="13.5" thickBot="1" x14ac:dyDescent="0.25">
      <c r="A30" s="17" t="s">
        <v>201</v>
      </c>
      <c r="H30" s="1"/>
      <c r="O30" s="3"/>
    </row>
    <row r="31" spans="1:16" ht="38.25" x14ac:dyDescent="0.2">
      <c r="A31" s="55" t="s">
        <v>189</v>
      </c>
      <c r="B31" s="75"/>
      <c r="C31" s="75"/>
      <c r="D31" s="75"/>
      <c r="E31" s="75"/>
      <c r="F31" s="75"/>
      <c r="G31" s="74" t="s">
        <v>134</v>
      </c>
      <c r="H31" s="75"/>
      <c r="I31" s="75"/>
      <c r="J31" s="32" t="s">
        <v>105</v>
      </c>
      <c r="K31" s="32" t="s">
        <v>136</v>
      </c>
      <c r="L31" s="32" t="s">
        <v>107</v>
      </c>
      <c r="M31" s="76" t="s">
        <v>10</v>
      </c>
      <c r="N31" s="32" t="s">
        <v>146</v>
      </c>
      <c r="O31" s="32" t="s">
        <v>106</v>
      </c>
      <c r="P31" s="77" t="s">
        <v>147</v>
      </c>
    </row>
    <row r="32" spans="1:16" x14ac:dyDescent="0.2">
      <c r="A32" s="78" t="s">
        <v>105</v>
      </c>
      <c r="B32" s="79" t="s">
        <v>136</v>
      </c>
      <c r="C32" s="79" t="s">
        <v>107</v>
      </c>
      <c r="D32" s="79" t="s">
        <v>10</v>
      </c>
      <c r="E32" s="79" t="s">
        <v>146</v>
      </c>
      <c r="F32" s="73"/>
      <c r="G32" s="85" t="s">
        <v>12</v>
      </c>
      <c r="H32" s="60"/>
      <c r="I32" s="60"/>
      <c r="J32" s="58">
        <v>0</v>
      </c>
      <c r="K32" s="58">
        <v>0</v>
      </c>
      <c r="L32" s="58">
        <v>0</v>
      </c>
      <c r="M32" s="58">
        <v>0</v>
      </c>
      <c r="N32" s="58">
        <v>0</v>
      </c>
      <c r="O32" s="58">
        <f>K32*1.053</f>
        <v>0</v>
      </c>
      <c r="P32" s="36">
        <f>+N32*0.93</f>
        <v>0</v>
      </c>
    </row>
    <row r="33" spans="1:21" x14ac:dyDescent="0.2">
      <c r="A33" s="57">
        <f>'1-Total Emissions (fuel based)'!M92</f>
        <v>17.16</v>
      </c>
      <c r="B33" s="58">
        <f>'1-Total Emissions (fuel based)'!N92</f>
        <v>8.58</v>
      </c>
      <c r="C33" s="58">
        <f>'1-Total Emissions (fuel based)'!O92</f>
        <v>2.145</v>
      </c>
      <c r="D33" s="58">
        <f>'1-Total Emissions (fuel based)'!P92</f>
        <v>0.28599999999999998</v>
      </c>
      <c r="E33" s="58">
        <f>'1-Total Emissions (fuel based)'!Q92</f>
        <v>0.53625</v>
      </c>
      <c r="F33" s="73"/>
      <c r="G33" s="60" t="s">
        <v>15</v>
      </c>
      <c r="H33" s="60"/>
      <c r="I33" s="60"/>
      <c r="J33" s="58">
        <f>$A$33</f>
        <v>17.16</v>
      </c>
      <c r="K33" s="58">
        <f>$B$33</f>
        <v>8.58</v>
      </c>
      <c r="L33" s="58">
        <f>$C$33</f>
        <v>2.145</v>
      </c>
      <c r="M33" s="58">
        <f>$D$33</f>
        <v>0.28599999999999998</v>
      </c>
      <c r="N33" s="58">
        <f>$E$33</f>
        <v>0.53625</v>
      </c>
      <c r="O33" s="58">
        <f>K33*1.053</f>
        <v>9.0347399999999993</v>
      </c>
      <c r="P33" s="36">
        <f>+N33*0.93</f>
        <v>0.4987125</v>
      </c>
      <c r="Q33" s="17" t="s">
        <v>177</v>
      </c>
      <c r="R33" s="17"/>
      <c r="S33" s="17"/>
      <c r="T33" s="17"/>
      <c r="U33" s="17"/>
    </row>
    <row r="34" spans="1:21" x14ac:dyDescent="0.2">
      <c r="A34" s="21"/>
      <c r="B34" s="22"/>
      <c r="C34" s="22"/>
      <c r="D34" s="22"/>
      <c r="E34" s="22"/>
      <c r="F34" s="22"/>
      <c r="G34" s="60" t="s">
        <v>22</v>
      </c>
      <c r="H34" s="60"/>
      <c r="I34" s="60"/>
      <c r="J34" s="58">
        <v>0</v>
      </c>
      <c r="K34" s="58">
        <v>0</v>
      </c>
      <c r="L34" s="58">
        <v>0</v>
      </c>
      <c r="M34" s="58">
        <v>0</v>
      </c>
      <c r="N34" s="58">
        <v>0</v>
      </c>
      <c r="O34" s="58">
        <f>K34*1.053</f>
        <v>0</v>
      </c>
      <c r="P34" s="36">
        <f>+N34*0.93</f>
        <v>0</v>
      </c>
    </row>
    <row r="35" spans="1:21" ht="13.5" thickBot="1" x14ac:dyDescent="0.25">
      <c r="A35" s="38"/>
      <c r="B35" s="39"/>
      <c r="C35" s="39"/>
      <c r="D35" s="39"/>
      <c r="E35" s="39"/>
      <c r="F35" s="39"/>
      <c r="G35" s="39"/>
      <c r="H35" s="39"/>
      <c r="I35" s="39"/>
      <c r="J35" s="61"/>
      <c r="K35" s="61"/>
      <c r="L35" s="61"/>
      <c r="M35" s="61"/>
      <c r="N35" s="61"/>
      <c r="O35" s="61"/>
      <c r="P35" s="42"/>
    </row>
    <row r="36" spans="1:21" ht="13.5" thickBot="1" x14ac:dyDescent="0.25">
      <c r="G36" s="17" t="s">
        <v>199</v>
      </c>
      <c r="O36" s="3"/>
    </row>
    <row r="37" spans="1:21" ht="38.25" x14ac:dyDescent="0.2">
      <c r="G37" s="55" t="s">
        <v>155</v>
      </c>
      <c r="H37" s="74"/>
      <c r="I37" s="74"/>
      <c r="J37" s="32" t="s">
        <v>105</v>
      </c>
      <c r="K37" s="32" t="s">
        <v>136</v>
      </c>
      <c r="L37" s="32" t="s">
        <v>107</v>
      </c>
      <c r="M37" s="76" t="s">
        <v>10</v>
      </c>
      <c r="N37" s="32" t="s">
        <v>146</v>
      </c>
      <c r="O37" s="32" t="s">
        <v>106</v>
      </c>
      <c r="P37" s="77" t="s">
        <v>147</v>
      </c>
    </row>
    <row r="38" spans="1:21" x14ac:dyDescent="0.2">
      <c r="G38" s="59" t="s">
        <v>12</v>
      </c>
      <c r="H38" s="60"/>
      <c r="I38" s="60"/>
      <c r="J38" s="58">
        <f t="shared" ref="J38:O38" si="1">J5+J12+J20+J25</f>
        <v>201.87410830049996</v>
      </c>
      <c r="K38" s="58">
        <f t="shared" si="1"/>
        <v>100.93705415024998</v>
      </c>
      <c r="L38" s="58">
        <f t="shared" si="1"/>
        <v>25.234263537562494</v>
      </c>
      <c r="M38" s="58">
        <f t="shared" si="1"/>
        <v>3.3645684716750002</v>
      </c>
      <c r="N38" s="58">
        <f t="shared" si="1"/>
        <v>6.3085658843906236</v>
      </c>
      <c r="O38" s="58">
        <f t="shared" si="1"/>
        <v>106.28671802021321</v>
      </c>
      <c r="P38" s="100">
        <f>+N38*0.93</f>
        <v>5.8669662724832801</v>
      </c>
    </row>
    <row r="39" spans="1:21" x14ac:dyDescent="0.2">
      <c r="G39" s="59" t="s">
        <v>15</v>
      </c>
      <c r="H39" s="60"/>
      <c r="I39" s="60"/>
      <c r="J39" s="58">
        <f t="shared" ref="J39:O39" si="2">J6+J13+J21+J26+J33</f>
        <v>252.47285415653855</v>
      </c>
      <c r="K39" s="58">
        <f t="shared" si="2"/>
        <v>126.23642707826927</v>
      </c>
      <c r="L39" s="58">
        <f t="shared" si="2"/>
        <v>31.559106769567318</v>
      </c>
      <c r="M39" s="58">
        <f t="shared" si="2"/>
        <v>4.2078809026089763</v>
      </c>
      <c r="N39" s="58">
        <f t="shared" si="2"/>
        <v>7.8897766923918295</v>
      </c>
      <c r="O39" s="58">
        <f t="shared" si="2"/>
        <v>132.92695771341755</v>
      </c>
      <c r="P39" s="100">
        <f>+N39*0.93</f>
        <v>7.3374923239244021</v>
      </c>
    </row>
    <row r="40" spans="1:21" ht="13.5" thickBot="1" x14ac:dyDescent="0.25">
      <c r="G40" s="81" t="s">
        <v>22</v>
      </c>
      <c r="H40" s="80"/>
      <c r="I40" s="80"/>
      <c r="J40" s="82">
        <f t="shared" ref="J40:O40" si="3">J7+J14+J22+J28</f>
        <v>96.765508837606504</v>
      </c>
      <c r="K40" s="82">
        <f t="shared" si="3"/>
        <v>48.382754418803252</v>
      </c>
      <c r="L40" s="82">
        <f t="shared" si="3"/>
        <v>12.095688604700813</v>
      </c>
      <c r="M40" s="82">
        <f t="shared" si="3"/>
        <v>1.6127584806267752</v>
      </c>
      <c r="N40" s="82">
        <f t="shared" si="3"/>
        <v>3.0239221511752032</v>
      </c>
      <c r="O40" s="82">
        <f t="shared" si="3"/>
        <v>50.947040402999818</v>
      </c>
      <c r="P40" s="101">
        <f>+N40*0.93</f>
        <v>2.8122476005929391</v>
      </c>
    </row>
    <row r="41" spans="1:21" x14ac:dyDescent="0.2">
      <c r="J41" s="3"/>
      <c r="O41" s="3"/>
    </row>
    <row r="42" spans="1:21" x14ac:dyDescent="0.2">
      <c r="G42" s="1" t="s">
        <v>156</v>
      </c>
      <c r="O42" s="3"/>
    </row>
    <row r="43" spans="1:21" x14ac:dyDescent="0.2">
      <c r="G43" t="s">
        <v>12</v>
      </c>
      <c r="J43" s="3">
        <f>J38/365</f>
        <v>0.55307974876849297</v>
      </c>
      <c r="K43" s="3">
        <f>K38/365</f>
        <v>0.27653987438424649</v>
      </c>
      <c r="L43" s="3">
        <f>L38/365</f>
        <v>6.9134968596061622E-2</v>
      </c>
      <c r="M43" s="3">
        <f>M38/365</f>
        <v>9.2179958128082197E-3</v>
      </c>
      <c r="N43" s="3">
        <f>N38/365</f>
        <v>1.7283742149015405E-2</v>
      </c>
      <c r="O43" s="3">
        <f>K43/1.053</f>
        <v>0.26262096332786944</v>
      </c>
    </row>
    <row r="44" spans="1:21" x14ac:dyDescent="0.2">
      <c r="G44" t="s">
        <v>15</v>
      </c>
      <c r="J44" s="3">
        <f t="shared" ref="J44:N45" si="4">J39/365</f>
        <v>0.69170644974394124</v>
      </c>
      <c r="K44" s="3">
        <f t="shared" si="4"/>
        <v>0.34585322487197062</v>
      </c>
      <c r="L44" s="3">
        <f t="shared" si="4"/>
        <v>8.6463306217992655E-2</v>
      </c>
      <c r="M44" s="3">
        <f t="shared" si="4"/>
        <v>1.1528440829065689E-2</v>
      </c>
      <c r="N44" s="3">
        <f t="shared" si="4"/>
        <v>2.1615826554498164E-2</v>
      </c>
      <c r="O44" s="3">
        <f>K44/1.053</f>
        <v>0.32844560766568914</v>
      </c>
    </row>
    <row r="45" spans="1:21" x14ac:dyDescent="0.2">
      <c r="G45" t="s">
        <v>22</v>
      </c>
      <c r="J45" s="3">
        <f t="shared" si="4"/>
        <v>0.26511098311673015</v>
      </c>
      <c r="K45" s="3">
        <f t="shared" si="4"/>
        <v>0.13255549155836507</v>
      </c>
      <c r="L45" s="3">
        <f t="shared" si="4"/>
        <v>3.3138872889591268E-2</v>
      </c>
      <c r="M45" s="3">
        <f t="shared" si="4"/>
        <v>4.4185163852788357E-3</v>
      </c>
      <c r="N45" s="3">
        <f t="shared" si="4"/>
        <v>8.2847182223978171E-3</v>
      </c>
      <c r="O45" s="3">
        <f>K45/1.053</f>
        <v>0.12588365770025173</v>
      </c>
    </row>
    <row r="48" spans="1:21" ht="26.25" customHeight="1" thickBot="1" x14ac:dyDescent="0.25">
      <c r="G48" t="s">
        <v>12</v>
      </c>
      <c r="H48" s="142" t="s">
        <v>198</v>
      </c>
      <c r="I48" s="143"/>
      <c r="J48" s="17" t="s">
        <v>168</v>
      </c>
      <c r="K48" s="17" t="s">
        <v>136</v>
      </c>
      <c r="L48" s="17" t="s">
        <v>107</v>
      </c>
      <c r="M48" s="17" t="s">
        <v>10</v>
      </c>
      <c r="N48" s="17" t="s">
        <v>146</v>
      </c>
      <c r="O48" s="17" t="s">
        <v>106</v>
      </c>
      <c r="P48" s="17" t="s">
        <v>147</v>
      </c>
    </row>
    <row r="49" spans="7:22" x14ac:dyDescent="0.2">
      <c r="H49" s="55" t="s">
        <v>159</v>
      </c>
      <c r="I49" s="64" t="s">
        <v>151</v>
      </c>
      <c r="J49" s="65">
        <f>+J38-J50</f>
        <v>180.47545282064695</v>
      </c>
      <c r="K49" s="65">
        <f t="shared" ref="K49:P49" si="5">+K38-K50</f>
        <v>90.237726410323475</v>
      </c>
      <c r="L49" s="65">
        <f t="shared" si="5"/>
        <v>22.559431602580869</v>
      </c>
      <c r="M49" s="65">
        <f t="shared" si="5"/>
        <v>3.00792421367745</v>
      </c>
      <c r="N49" s="65">
        <f t="shared" si="5"/>
        <v>5.6398579006452172</v>
      </c>
      <c r="O49" s="65">
        <f t="shared" si="5"/>
        <v>95.020325910070611</v>
      </c>
      <c r="P49" s="66">
        <f t="shared" si="5"/>
        <v>5.2450678476000521</v>
      </c>
    </row>
    <row r="50" spans="7:22" x14ac:dyDescent="0.2">
      <c r="H50" s="47" t="s">
        <v>159</v>
      </c>
      <c r="I50" s="67" t="s">
        <v>152</v>
      </c>
      <c r="J50" s="68">
        <f>+J38*0.106</f>
        <v>21.398655479852994</v>
      </c>
      <c r="K50" s="68">
        <f t="shared" ref="K50:P50" si="6">+K38*0.106</f>
        <v>10.699327739926497</v>
      </c>
      <c r="L50" s="68">
        <f t="shared" si="6"/>
        <v>2.6748319349816243</v>
      </c>
      <c r="M50" s="68">
        <f t="shared" si="6"/>
        <v>0.35664425799755001</v>
      </c>
      <c r="N50" s="68">
        <f t="shared" si="6"/>
        <v>0.66870798374540608</v>
      </c>
      <c r="O50" s="68">
        <f t="shared" si="6"/>
        <v>11.266392110142601</v>
      </c>
      <c r="P50" s="69">
        <f t="shared" si="6"/>
        <v>0.62189842488322766</v>
      </c>
    </row>
    <row r="51" spans="7:22" x14ac:dyDescent="0.2">
      <c r="G51" t="s">
        <v>15</v>
      </c>
      <c r="H51" s="47"/>
      <c r="I51" s="70"/>
      <c r="J51" s="68"/>
      <c r="K51" s="68"/>
      <c r="L51" s="68"/>
      <c r="M51" s="68"/>
      <c r="N51" s="68"/>
      <c r="O51" s="68"/>
      <c r="P51" s="69"/>
    </row>
    <row r="52" spans="7:22" x14ac:dyDescent="0.2">
      <c r="H52" s="47" t="s">
        <v>160</v>
      </c>
      <c r="I52" s="67" t="s">
        <v>151</v>
      </c>
      <c r="J52" s="68">
        <f>+J39-J53</f>
        <v>225.71073161594546</v>
      </c>
      <c r="K52" s="68">
        <f t="shared" ref="K52:P52" si="7">+K39-K53</f>
        <v>112.85536580797273</v>
      </c>
      <c r="L52" s="68">
        <f t="shared" si="7"/>
        <v>28.213841451993183</v>
      </c>
      <c r="M52" s="68">
        <f t="shared" si="7"/>
        <v>3.7618455269324249</v>
      </c>
      <c r="N52" s="68">
        <f t="shared" si="7"/>
        <v>7.0534603629982957</v>
      </c>
      <c r="O52" s="68">
        <f t="shared" si="7"/>
        <v>118.83670019579529</v>
      </c>
      <c r="P52" s="69">
        <f t="shared" si="7"/>
        <v>6.5597181375884155</v>
      </c>
    </row>
    <row r="53" spans="7:22" x14ac:dyDescent="0.2">
      <c r="H53" s="47" t="s">
        <v>160</v>
      </c>
      <c r="I53" s="67" t="s">
        <v>152</v>
      </c>
      <c r="J53" s="68">
        <f>+J39*0.106</f>
        <v>26.762122540593086</v>
      </c>
      <c r="K53" s="68">
        <f t="shared" ref="K53:P53" si="8">+K39*0.106</f>
        <v>13.381061270296543</v>
      </c>
      <c r="L53" s="68">
        <f t="shared" si="8"/>
        <v>3.3452653175741358</v>
      </c>
      <c r="M53" s="68">
        <f t="shared" si="8"/>
        <v>0.44603537567655149</v>
      </c>
      <c r="N53" s="68">
        <f t="shared" si="8"/>
        <v>0.83631632939353395</v>
      </c>
      <c r="O53" s="68">
        <f t="shared" si="8"/>
        <v>14.090257517622259</v>
      </c>
      <c r="P53" s="69">
        <f t="shared" si="8"/>
        <v>0.77777418633598661</v>
      </c>
    </row>
    <row r="54" spans="7:22" x14ac:dyDescent="0.2">
      <c r="G54" t="s">
        <v>22</v>
      </c>
      <c r="H54" s="21"/>
      <c r="I54" s="22"/>
      <c r="J54" s="23"/>
      <c r="K54" s="23"/>
      <c r="L54" s="23"/>
      <c r="M54" s="23"/>
      <c r="N54" s="23"/>
      <c r="O54" s="23"/>
      <c r="P54" s="24"/>
    </row>
    <row r="55" spans="7:22" x14ac:dyDescent="0.2">
      <c r="H55" s="21"/>
      <c r="I55" s="22"/>
      <c r="J55" s="23"/>
      <c r="K55" s="23"/>
      <c r="L55" s="23"/>
      <c r="M55" s="23"/>
      <c r="N55" s="23"/>
      <c r="O55" s="23"/>
      <c r="P55" s="24"/>
    </row>
    <row r="56" spans="7:22" ht="42.75" customHeight="1" x14ac:dyDescent="0.2">
      <c r="H56" s="25" t="s">
        <v>161</v>
      </c>
      <c r="I56" s="26" t="s">
        <v>151</v>
      </c>
      <c r="J56" s="23">
        <f>+J40-J57</f>
        <v>86.508364900820212</v>
      </c>
      <c r="K56" s="23">
        <f t="shared" ref="K56:P56" si="9">+K40-K57</f>
        <v>43.254182450410106</v>
      </c>
      <c r="L56" s="23">
        <f t="shared" si="9"/>
        <v>10.813545612602526</v>
      </c>
      <c r="M56" s="23">
        <f t="shared" si="9"/>
        <v>1.4418060816803371</v>
      </c>
      <c r="N56" s="23">
        <f t="shared" si="9"/>
        <v>2.7033864031506316</v>
      </c>
      <c r="O56" s="23">
        <f t="shared" si="9"/>
        <v>45.546654120281836</v>
      </c>
      <c r="P56" s="24">
        <f t="shared" si="9"/>
        <v>2.5141493549300877</v>
      </c>
      <c r="Q56" s="140" t="s">
        <v>191</v>
      </c>
      <c r="R56" s="141"/>
      <c r="S56" s="141"/>
      <c r="T56" s="141"/>
      <c r="U56" s="141"/>
      <c r="V56" s="141"/>
    </row>
    <row r="57" spans="7:22" ht="13.5" thickBot="1" x14ac:dyDescent="0.25">
      <c r="H57" s="71" t="s">
        <v>161</v>
      </c>
      <c r="I57" s="72" t="s">
        <v>152</v>
      </c>
      <c r="J57" s="62">
        <f>+J40*0.106</f>
        <v>10.257143936786289</v>
      </c>
      <c r="K57" s="62">
        <f t="shared" ref="K57:P57" si="10">+K40*0.106</f>
        <v>5.1285719683931443</v>
      </c>
      <c r="L57" s="62">
        <f t="shared" si="10"/>
        <v>1.2821429920982861</v>
      </c>
      <c r="M57" s="62">
        <f t="shared" si="10"/>
        <v>0.17095239894643816</v>
      </c>
      <c r="N57" s="62">
        <f t="shared" si="10"/>
        <v>0.32053574802457152</v>
      </c>
      <c r="O57" s="62">
        <f t="shared" si="10"/>
        <v>5.4003862827179807</v>
      </c>
      <c r="P57" s="63">
        <f t="shared" si="10"/>
        <v>0.29809824566285154</v>
      </c>
    </row>
    <row r="58" spans="7:22" ht="14.25" x14ac:dyDescent="0.2">
      <c r="H58" s="86" t="s">
        <v>197</v>
      </c>
      <c r="J58" s="3"/>
      <c r="K58" s="3"/>
      <c r="L58" s="3"/>
      <c r="M58" s="3"/>
      <c r="N58" s="3"/>
      <c r="O58" s="3"/>
      <c r="P58" s="3"/>
    </row>
  </sheetData>
  <mergeCells count="2">
    <mergeCell ref="Q56:V56"/>
    <mergeCell ref="H48:I48"/>
  </mergeCells>
  <phoneticPr fontId="0" type="noConversion"/>
  <pageMargins left="0.75" right="0.75" top="1" bottom="1" header="0.5" footer="0.5"/>
  <pageSetup paperSize="3" scale="6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8"/>
  <sheetViews>
    <sheetView topLeftCell="J1" zoomScale="75" workbookViewId="0">
      <pane ySplit="6" topLeftCell="A80" activePane="bottomLeft" state="frozen"/>
      <selection pane="bottomLeft" activeCell="M81" sqref="M81:Q81"/>
    </sheetView>
  </sheetViews>
  <sheetFormatPr defaultRowHeight="12.75" x14ac:dyDescent="0.2"/>
  <cols>
    <col min="1" max="1" width="41.7109375" customWidth="1"/>
    <col min="2" max="2" width="25.28515625" bestFit="1" customWidth="1"/>
    <col min="3" max="3" width="31.140625" bestFit="1" customWidth="1"/>
    <col min="4" max="4" width="24.7109375" bestFit="1" customWidth="1"/>
    <col min="5" max="5" width="30.85546875" bestFit="1" customWidth="1"/>
    <col min="6" max="6" width="22.85546875" customWidth="1"/>
    <col min="7" max="7" width="23" bestFit="1" customWidth="1"/>
    <col min="8" max="8" width="27" bestFit="1" customWidth="1"/>
    <col min="9" max="9" width="23" customWidth="1"/>
    <col min="10" max="10" width="25.42578125" bestFit="1" customWidth="1"/>
    <col min="11" max="11" width="25.85546875" bestFit="1" customWidth="1"/>
    <col min="12" max="12" width="15" customWidth="1"/>
    <col min="13" max="13" width="12.85546875" customWidth="1"/>
    <col min="14" max="14" width="10.28515625" customWidth="1"/>
    <col min="15" max="15" width="13.5703125" customWidth="1"/>
    <col min="16" max="16" width="10.28515625" customWidth="1"/>
    <col min="17" max="17" width="11.85546875" bestFit="1" customWidth="1"/>
  </cols>
  <sheetData>
    <row r="1" spans="1:17" x14ac:dyDescent="0.2">
      <c r="A1" s="1" t="s">
        <v>148</v>
      </c>
    </row>
    <row r="2" spans="1:17" x14ac:dyDescent="0.2">
      <c r="A2" s="1" t="s">
        <v>115</v>
      </c>
    </row>
    <row r="3" spans="1:17" x14ac:dyDescent="0.2">
      <c r="A3" s="1"/>
    </row>
    <row r="4" spans="1:17" x14ac:dyDescent="0.2">
      <c r="A4" s="27" t="s">
        <v>0</v>
      </c>
    </row>
    <row r="5" spans="1:17" x14ac:dyDescent="0.2">
      <c r="A5" s="1"/>
    </row>
    <row r="6" spans="1:17" s="15" customFormat="1" ht="38.25" x14ac:dyDescent="0.2">
      <c r="A6" s="13" t="s">
        <v>1</v>
      </c>
      <c r="B6" s="14" t="s">
        <v>2</v>
      </c>
      <c r="C6" s="13" t="s">
        <v>132</v>
      </c>
      <c r="D6" s="13" t="s">
        <v>3</v>
      </c>
      <c r="E6" s="14" t="s">
        <v>4</v>
      </c>
      <c r="F6" s="14" t="s">
        <v>5</v>
      </c>
      <c r="G6" s="14" t="s">
        <v>138</v>
      </c>
      <c r="H6" s="14" t="s">
        <v>6</v>
      </c>
      <c r="I6" s="13" t="s">
        <v>127</v>
      </c>
      <c r="J6" s="13" t="s">
        <v>125</v>
      </c>
      <c r="K6" s="98" t="s">
        <v>126</v>
      </c>
      <c r="L6" s="14" t="s">
        <v>7</v>
      </c>
      <c r="M6" s="14" t="s">
        <v>8</v>
      </c>
      <c r="N6" s="14" t="s">
        <v>135</v>
      </c>
      <c r="O6" s="14" t="s">
        <v>9</v>
      </c>
      <c r="P6" s="14" t="s">
        <v>10</v>
      </c>
      <c r="Q6" s="14" t="s">
        <v>146</v>
      </c>
    </row>
    <row r="7" spans="1:17" x14ac:dyDescent="0.2">
      <c r="A7" t="s">
        <v>11</v>
      </c>
      <c r="B7">
        <v>0</v>
      </c>
      <c r="C7">
        <v>-19.100000000000001</v>
      </c>
      <c r="D7">
        <f>C7+24.6</f>
        <v>5.5</v>
      </c>
      <c r="E7" t="s">
        <v>12</v>
      </c>
      <c r="F7" t="s">
        <v>13</v>
      </c>
      <c r="G7" s="3">
        <f>(D7-4)/11+4/4</f>
        <v>1.1363636363636362</v>
      </c>
      <c r="H7" s="9">
        <f t="shared" ref="H7:H54" si="0">B7*G7</f>
        <v>0</v>
      </c>
      <c r="I7" s="3">
        <f>H7</f>
        <v>0</v>
      </c>
      <c r="J7" s="3"/>
      <c r="K7" s="3"/>
      <c r="L7" s="5">
        <f>(H7)*128</f>
        <v>0</v>
      </c>
      <c r="M7" s="3">
        <f>L7/1000*550/2000</f>
        <v>0</v>
      </c>
      <c r="N7" s="3">
        <f>L7/1000*24/2000</f>
        <v>0</v>
      </c>
      <c r="O7" s="3">
        <f>L7/1000*60/2000</f>
        <v>0</v>
      </c>
      <c r="P7" s="3">
        <f t="shared" ref="P7:P54" si="1">L7/1000*27/2000</f>
        <v>0</v>
      </c>
      <c r="Q7" s="3">
        <f>L7/1000*33/2000</f>
        <v>0</v>
      </c>
    </row>
    <row r="8" spans="1:17" x14ac:dyDescent="0.2">
      <c r="A8" t="s">
        <v>14</v>
      </c>
      <c r="B8">
        <v>0</v>
      </c>
      <c r="C8">
        <v>-6.5</v>
      </c>
      <c r="D8">
        <f t="shared" ref="D8:D54" si="2">C8+24.6</f>
        <v>18.100000000000001</v>
      </c>
      <c r="E8" t="s">
        <v>15</v>
      </c>
      <c r="F8" t="s">
        <v>13</v>
      </c>
      <c r="G8" s="3">
        <f t="shared" ref="G8:G54" si="3">(D8-4)/11+4/4</f>
        <v>2.2818181818181822</v>
      </c>
      <c r="H8" s="9">
        <f t="shared" si="0"/>
        <v>0</v>
      </c>
      <c r="I8" s="3">
        <f t="shared" ref="I8:I25" si="4">11.1/11*B8</f>
        <v>0</v>
      </c>
      <c r="J8" s="3">
        <f t="shared" ref="J8:J13" si="5">((D8-11.1-4)/11+4/4)*B8</f>
        <v>0</v>
      </c>
      <c r="K8" s="3"/>
      <c r="L8" s="5">
        <f t="shared" ref="L8:L54" si="6">(H8)*128</f>
        <v>0</v>
      </c>
      <c r="M8" s="3">
        <f>L8/1000*550/2000</f>
        <v>0</v>
      </c>
      <c r="N8" s="3">
        <f>L8/1000*24/2000</f>
        <v>0</v>
      </c>
      <c r="O8" s="3">
        <f t="shared" ref="O8:O54" si="7">L8/1000*60/2000</f>
        <v>0</v>
      </c>
      <c r="P8" s="3">
        <f t="shared" si="1"/>
        <v>0</v>
      </c>
      <c r="Q8" s="3">
        <f t="shared" ref="Q8:Q54" si="8">L8/1000*33/2000</f>
        <v>0</v>
      </c>
    </row>
    <row r="9" spans="1:17" x14ac:dyDescent="0.2">
      <c r="A9" t="s">
        <v>16</v>
      </c>
      <c r="B9">
        <v>0</v>
      </c>
      <c r="C9">
        <v>0.5</v>
      </c>
      <c r="D9">
        <f t="shared" si="2"/>
        <v>25.1</v>
      </c>
      <c r="E9" t="s">
        <v>15</v>
      </c>
      <c r="F9" t="s">
        <v>13</v>
      </c>
      <c r="G9" s="3">
        <f t="shared" si="3"/>
        <v>2.918181818181818</v>
      </c>
      <c r="H9" s="9">
        <f t="shared" si="0"/>
        <v>0</v>
      </c>
      <c r="I9" s="3">
        <f t="shared" si="4"/>
        <v>0</v>
      </c>
      <c r="J9" s="3">
        <f t="shared" si="5"/>
        <v>0</v>
      </c>
      <c r="K9" s="3"/>
      <c r="L9" s="5">
        <f t="shared" si="6"/>
        <v>0</v>
      </c>
      <c r="M9" s="3">
        <f t="shared" ref="M9:M54" si="9">L9/1000*550/2000</f>
        <v>0</v>
      </c>
      <c r="N9" s="3">
        <f t="shared" ref="N9:N54" si="10">L9/1000*24/2000</f>
        <v>0</v>
      </c>
      <c r="O9" s="3">
        <f t="shared" si="7"/>
        <v>0</v>
      </c>
      <c r="P9" s="3">
        <f t="shared" si="1"/>
        <v>0</v>
      </c>
      <c r="Q9" s="3">
        <f t="shared" si="8"/>
        <v>0</v>
      </c>
    </row>
    <row r="10" spans="1:17" x14ac:dyDescent="0.2">
      <c r="A10" t="s">
        <v>17</v>
      </c>
      <c r="B10">
        <v>0</v>
      </c>
      <c r="C10">
        <v>-5.2</v>
      </c>
      <c r="D10">
        <f t="shared" si="2"/>
        <v>19.400000000000002</v>
      </c>
      <c r="E10" t="s">
        <v>15</v>
      </c>
      <c r="F10" t="s">
        <v>13</v>
      </c>
      <c r="G10" s="3">
        <f t="shared" si="3"/>
        <v>2.4000000000000004</v>
      </c>
      <c r="H10" s="9">
        <f t="shared" si="0"/>
        <v>0</v>
      </c>
      <c r="I10" s="3">
        <f t="shared" si="4"/>
        <v>0</v>
      </c>
      <c r="J10" s="3">
        <f t="shared" si="5"/>
        <v>0</v>
      </c>
      <c r="K10" s="3"/>
      <c r="L10" s="5">
        <f t="shared" si="6"/>
        <v>0</v>
      </c>
      <c r="M10" s="3">
        <f t="shared" si="9"/>
        <v>0</v>
      </c>
      <c r="N10" s="3">
        <f t="shared" si="10"/>
        <v>0</v>
      </c>
      <c r="O10" s="3">
        <f t="shared" si="7"/>
        <v>0</v>
      </c>
      <c r="P10" s="3">
        <f t="shared" si="1"/>
        <v>0</v>
      </c>
      <c r="Q10" s="3">
        <f t="shared" si="8"/>
        <v>0</v>
      </c>
    </row>
    <row r="11" spans="1:17" x14ac:dyDescent="0.2">
      <c r="A11" t="s">
        <v>18</v>
      </c>
      <c r="B11">
        <v>0</v>
      </c>
      <c r="C11">
        <v>-5.2</v>
      </c>
      <c r="D11">
        <f t="shared" si="2"/>
        <v>19.400000000000002</v>
      </c>
      <c r="E11" t="s">
        <v>15</v>
      </c>
      <c r="F11" t="s">
        <v>13</v>
      </c>
      <c r="G11" s="3">
        <f t="shared" si="3"/>
        <v>2.4000000000000004</v>
      </c>
      <c r="H11" s="9">
        <f t="shared" si="0"/>
        <v>0</v>
      </c>
      <c r="I11" s="3">
        <f t="shared" si="4"/>
        <v>0</v>
      </c>
      <c r="J11" s="3">
        <f t="shared" si="5"/>
        <v>0</v>
      </c>
      <c r="K11" s="3"/>
      <c r="L11" s="5">
        <f t="shared" si="6"/>
        <v>0</v>
      </c>
      <c r="M11" s="3">
        <f t="shared" si="9"/>
        <v>0</v>
      </c>
      <c r="N11" s="3">
        <f t="shared" si="10"/>
        <v>0</v>
      </c>
      <c r="O11" s="3">
        <f t="shared" si="7"/>
        <v>0</v>
      </c>
      <c r="P11" s="3">
        <f t="shared" si="1"/>
        <v>0</v>
      </c>
      <c r="Q11" s="3">
        <f t="shared" si="8"/>
        <v>0</v>
      </c>
    </row>
    <row r="12" spans="1:17" x14ac:dyDescent="0.2">
      <c r="A12" t="s">
        <v>19</v>
      </c>
      <c r="B12">
        <v>0</v>
      </c>
      <c r="C12">
        <v>-5.3</v>
      </c>
      <c r="D12">
        <f t="shared" si="2"/>
        <v>19.3</v>
      </c>
      <c r="E12" t="s">
        <v>15</v>
      </c>
      <c r="F12" t="s">
        <v>13</v>
      </c>
      <c r="G12" s="3">
        <f t="shared" si="3"/>
        <v>2.3909090909090907</v>
      </c>
      <c r="H12" s="9">
        <f t="shared" si="0"/>
        <v>0</v>
      </c>
      <c r="I12" s="3">
        <f t="shared" si="4"/>
        <v>0</v>
      </c>
      <c r="J12" s="3">
        <f t="shared" si="5"/>
        <v>0</v>
      </c>
      <c r="K12" s="3"/>
      <c r="L12" s="5">
        <f t="shared" si="6"/>
        <v>0</v>
      </c>
      <c r="M12" s="3">
        <f t="shared" si="9"/>
        <v>0</v>
      </c>
      <c r="N12" s="3">
        <f t="shared" si="10"/>
        <v>0</v>
      </c>
      <c r="O12" s="3">
        <f t="shared" si="7"/>
        <v>0</v>
      </c>
      <c r="P12" s="3">
        <f t="shared" si="1"/>
        <v>0</v>
      </c>
      <c r="Q12" s="3">
        <f t="shared" si="8"/>
        <v>0</v>
      </c>
    </row>
    <row r="13" spans="1:17" x14ac:dyDescent="0.2">
      <c r="A13" t="s">
        <v>20</v>
      </c>
      <c r="B13">
        <v>0</v>
      </c>
      <c r="C13">
        <v>-5.4</v>
      </c>
      <c r="D13">
        <f t="shared" si="2"/>
        <v>19.200000000000003</v>
      </c>
      <c r="E13" t="s">
        <v>15</v>
      </c>
      <c r="F13" t="s">
        <v>13</v>
      </c>
      <c r="G13" s="3">
        <f t="shared" si="3"/>
        <v>2.3818181818181818</v>
      </c>
      <c r="H13" s="9">
        <f t="shared" si="0"/>
        <v>0</v>
      </c>
      <c r="I13" s="3">
        <f t="shared" si="4"/>
        <v>0</v>
      </c>
      <c r="J13" s="3">
        <f t="shared" si="5"/>
        <v>0</v>
      </c>
      <c r="K13" s="3"/>
      <c r="L13" s="5">
        <f t="shared" si="6"/>
        <v>0</v>
      </c>
      <c r="M13" s="3">
        <f t="shared" si="9"/>
        <v>0</v>
      </c>
      <c r="N13" s="3">
        <f t="shared" si="10"/>
        <v>0</v>
      </c>
      <c r="O13" s="3">
        <f t="shared" si="7"/>
        <v>0</v>
      </c>
      <c r="P13" s="3">
        <f t="shared" si="1"/>
        <v>0</v>
      </c>
      <c r="Q13" s="3">
        <f t="shared" si="8"/>
        <v>0</v>
      </c>
    </row>
    <row r="14" spans="1:17" x14ac:dyDescent="0.2">
      <c r="A14" t="s">
        <v>21</v>
      </c>
      <c r="B14">
        <v>0</v>
      </c>
      <c r="C14">
        <v>19</v>
      </c>
      <c r="D14">
        <f t="shared" si="2"/>
        <v>43.6</v>
      </c>
      <c r="E14" t="s">
        <v>22</v>
      </c>
      <c r="F14" t="s">
        <v>13</v>
      </c>
      <c r="G14" s="3">
        <f t="shared" si="3"/>
        <v>4.5999999999999996</v>
      </c>
      <c r="H14" s="9">
        <f t="shared" si="0"/>
        <v>0</v>
      </c>
      <c r="I14" s="3">
        <f t="shared" si="4"/>
        <v>0</v>
      </c>
      <c r="J14" s="3">
        <f>(15.1/11)*B14</f>
        <v>0</v>
      </c>
      <c r="K14" s="3">
        <f>((D14-26.1-4)/11+4/4)*B14</f>
        <v>0</v>
      </c>
      <c r="L14" s="5">
        <f t="shared" si="6"/>
        <v>0</v>
      </c>
      <c r="M14" s="3">
        <f t="shared" si="9"/>
        <v>0</v>
      </c>
      <c r="N14" s="3">
        <f t="shared" si="10"/>
        <v>0</v>
      </c>
      <c r="O14" s="3">
        <f t="shared" si="7"/>
        <v>0</v>
      </c>
      <c r="P14" s="3">
        <f t="shared" si="1"/>
        <v>0</v>
      </c>
      <c r="Q14" s="3">
        <f t="shared" si="8"/>
        <v>0</v>
      </c>
    </row>
    <row r="15" spans="1:17" x14ac:dyDescent="0.2">
      <c r="A15" t="s">
        <v>23</v>
      </c>
      <c r="B15">
        <v>0</v>
      </c>
      <c r="C15">
        <v>-10</v>
      </c>
      <c r="D15">
        <f t="shared" si="2"/>
        <v>14.600000000000001</v>
      </c>
      <c r="E15" t="s">
        <v>15</v>
      </c>
      <c r="F15" t="s">
        <v>13</v>
      </c>
      <c r="G15" s="3">
        <f t="shared" si="3"/>
        <v>1.9636363636363638</v>
      </c>
      <c r="H15" s="9">
        <f t="shared" si="0"/>
        <v>0</v>
      </c>
      <c r="I15" s="3">
        <f t="shared" si="4"/>
        <v>0</v>
      </c>
      <c r="J15" s="3">
        <f>((D15-11.1-4)/11+4/4)*B15</f>
        <v>0</v>
      </c>
      <c r="K15" s="3"/>
      <c r="L15" s="5">
        <f t="shared" si="6"/>
        <v>0</v>
      </c>
      <c r="M15" s="3">
        <f t="shared" si="9"/>
        <v>0</v>
      </c>
      <c r="N15" s="3">
        <f t="shared" si="10"/>
        <v>0</v>
      </c>
      <c r="O15" s="3">
        <f t="shared" si="7"/>
        <v>0</v>
      </c>
      <c r="P15" s="3">
        <f t="shared" si="1"/>
        <v>0</v>
      </c>
      <c r="Q15" s="3">
        <f t="shared" si="8"/>
        <v>0</v>
      </c>
    </row>
    <row r="16" spans="1:17" x14ac:dyDescent="0.2">
      <c r="A16" t="s">
        <v>116</v>
      </c>
      <c r="B16">
        <v>0</v>
      </c>
      <c r="C16">
        <v>-1.5</v>
      </c>
      <c r="D16">
        <f t="shared" si="2"/>
        <v>23.1</v>
      </c>
      <c r="E16" t="s">
        <v>15</v>
      </c>
      <c r="F16" t="s">
        <v>13</v>
      </c>
      <c r="G16" s="3">
        <f t="shared" si="3"/>
        <v>2.7363636363636363</v>
      </c>
      <c r="H16" s="9">
        <f t="shared" si="0"/>
        <v>0</v>
      </c>
      <c r="I16" s="3">
        <f t="shared" si="4"/>
        <v>0</v>
      </c>
      <c r="J16" s="3">
        <f>((D16-11.1-4)/11+4/4)*B16</f>
        <v>0</v>
      </c>
      <c r="K16" s="3"/>
      <c r="L16" s="5">
        <f t="shared" si="6"/>
        <v>0</v>
      </c>
      <c r="M16" s="3">
        <f t="shared" si="9"/>
        <v>0</v>
      </c>
      <c r="N16" s="3">
        <f t="shared" si="10"/>
        <v>0</v>
      </c>
      <c r="O16" s="3">
        <f t="shared" si="7"/>
        <v>0</v>
      </c>
      <c r="P16" s="3">
        <f t="shared" si="1"/>
        <v>0</v>
      </c>
      <c r="Q16" s="3">
        <f t="shared" si="8"/>
        <v>0</v>
      </c>
    </row>
    <row r="17" spans="1:17" x14ac:dyDescent="0.2">
      <c r="A17" t="s">
        <v>24</v>
      </c>
      <c r="B17">
        <v>0</v>
      </c>
      <c r="C17">
        <v>-10</v>
      </c>
      <c r="D17">
        <f t="shared" si="2"/>
        <v>14.600000000000001</v>
      </c>
      <c r="E17" t="s">
        <v>15</v>
      </c>
      <c r="F17" t="s">
        <v>13</v>
      </c>
      <c r="G17" s="3">
        <f t="shared" si="3"/>
        <v>1.9636363636363638</v>
      </c>
      <c r="H17" s="9">
        <f t="shared" si="0"/>
        <v>0</v>
      </c>
      <c r="I17" s="3">
        <f t="shared" si="4"/>
        <v>0</v>
      </c>
      <c r="J17" s="3">
        <f>((D17-11.1-4)/11+4/4)*B17</f>
        <v>0</v>
      </c>
      <c r="K17" s="3"/>
      <c r="L17" s="5">
        <f t="shared" si="6"/>
        <v>0</v>
      </c>
      <c r="M17" s="3">
        <f t="shared" si="9"/>
        <v>0</v>
      </c>
      <c r="N17" s="3">
        <f t="shared" si="10"/>
        <v>0</v>
      </c>
      <c r="O17" s="3">
        <f t="shared" si="7"/>
        <v>0</v>
      </c>
      <c r="P17" s="3">
        <f t="shared" si="1"/>
        <v>0</v>
      </c>
      <c r="Q17" s="3">
        <f t="shared" si="8"/>
        <v>0</v>
      </c>
    </row>
    <row r="18" spans="1:17" x14ac:dyDescent="0.2">
      <c r="A18" t="s">
        <v>25</v>
      </c>
      <c r="B18">
        <v>0</v>
      </c>
      <c r="C18">
        <v>-9</v>
      </c>
      <c r="D18">
        <f t="shared" si="2"/>
        <v>15.600000000000001</v>
      </c>
      <c r="E18" t="s">
        <v>15</v>
      </c>
      <c r="F18" t="s">
        <v>13</v>
      </c>
      <c r="G18" s="3">
        <f t="shared" si="3"/>
        <v>2.0545454545454547</v>
      </c>
      <c r="H18" s="9">
        <f t="shared" si="0"/>
        <v>0</v>
      </c>
      <c r="I18" s="3">
        <f t="shared" si="4"/>
        <v>0</v>
      </c>
      <c r="J18" s="3">
        <f>((D18-11.1-4)/11+4/4)*B18</f>
        <v>0</v>
      </c>
      <c r="K18" s="3"/>
      <c r="L18" s="5">
        <f t="shared" si="6"/>
        <v>0</v>
      </c>
      <c r="M18" s="3">
        <f t="shared" si="9"/>
        <v>0</v>
      </c>
      <c r="N18" s="3">
        <f t="shared" si="10"/>
        <v>0</v>
      </c>
      <c r="O18" s="3">
        <f t="shared" si="7"/>
        <v>0</v>
      </c>
      <c r="P18" s="3">
        <f t="shared" si="1"/>
        <v>0</v>
      </c>
      <c r="Q18" s="3">
        <f t="shared" si="8"/>
        <v>0</v>
      </c>
    </row>
    <row r="19" spans="1:17" x14ac:dyDescent="0.2">
      <c r="A19" t="s">
        <v>26</v>
      </c>
      <c r="B19">
        <v>0</v>
      </c>
      <c r="C19">
        <v>-5.7</v>
      </c>
      <c r="D19">
        <f t="shared" si="2"/>
        <v>18.900000000000002</v>
      </c>
      <c r="E19" t="s">
        <v>15</v>
      </c>
      <c r="F19" t="s">
        <v>13</v>
      </c>
      <c r="G19" s="3">
        <f t="shared" si="3"/>
        <v>2.3545454545454545</v>
      </c>
      <c r="H19" s="9">
        <f t="shared" si="0"/>
        <v>0</v>
      </c>
      <c r="I19" s="3">
        <f t="shared" si="4"/>
        <v>0</v>
      </c>
      <c r="J19" s="3">
        <f>((D19-11.1-4)/11+4/4)*B19</f>
        <v>0</v>
      </c>
      <c r="K19" s="3"/>
      <c r="L19" s="5">
        <f t="shared" si="6"/>
        <v>0</v>
      </c>
      <c r="M19" s="3">
        <f t="shared" si="9"/>
        <v>0</v>
      </c>
      <c r="N19" s="3">
        <f t="shared" si="10"/>
        <v>0</v>
      </c>
      <c r="O19" s="3">
        <f t="shared" si="7"/>
        <v>0</v>
      </c>
      <c r="P19" s="3">
        <f t="shared" si="1"/>
        <v>0</v>
      </c>
      <c r="Q19" s="3">
        <f t="shared" si="8"/>
        <v>0</v>
      </c>
    </row>
    <row r="20" spans="1:17" x14ac:dyDescent="0.2">
      <c r="A20" t="s">
        <v>27</v>
      </c>
      <c r="B20">
        <v>0</v>
      </c>
      <c r="C20">
        <v>19</v>
      </c>
      <c r="D20">
        <f t="shared" si="2"/>
        <v>43.6</v>
      </c>
      <c r="E20" t="s">
        <v>22</v>
      </c>
      <c r="F20" t="s">
        <v>13</v>
      </c>
      <c r="G20" s="3">
        <f t="shared" si="3"/>
        <v>4.5999999999999996</v>
      </c>
      <c r="H20" s="9">
        <f t="shared" si="0"/>
        <v>0</v>
      </c>
      <c r="I20" s="3">
        <f t="shared" si="4"/>
        <v>0</v>
      </c>
      <c r="J20" s="3">
        <f>(15.1/11)*B20</f>
        <v>0</v>
      </c>
      <c r="K20" s="3">
        <f>((D20-26.1-4)/11+4/4)*B20</f>
        <v>0</v>
      </c>
      <c r="L20" s="5">
        <f t="shared" si="6"/>
        <v>0</v>
      </c>
      <c r="M20" s="3">
        <f t="shared" si="9"/>
        <v>0</v>
      </c>
      <c r="N20" s="3">
        <f t="shared" si="10"/>
        <v>0</v>
      </c>
      <c r="O20" s="3">
        <f t="shared" si="7"/>
        <v>0</v>
      </c>
      <c r="P20" s="3">
        <f t="shared" si="1"/>
        <v>0</v>
      </c>
      <c r="Q20" s="3">
        <f t="shared" si="8"/>
        <v>0</v>
      </c>
    </row>
    <row r="21" spans="1:17" x14ac:dyDescent="0.2">
      <c r="A21" t="s">
        <v>28</v>
      </c>
      <c r="B21">
        <v>0</v>
      </c>
      <c r="C21">
        <v>0.6</v>
      </c>
      <c r="D21">
        <f t="shared" si="2"/>
        <v>25.200000000000003</v>
      </c>
      <c r="E21" t="s">
        <v>15</v>
      </c>
      <c r="F21" t="s">
        <v>13</v>
      </c>
      <c r="G21" s="3">
        <f t="shared" si="3"/>
        <v>2.9272727272727277</v>
      </c>
      <c r="H21" s="9">
        <f t="shared" si="0"/>
        <v>0</v>
      </c>
      <c r="I21" s="3">
        <f t="shared" si="4"/>
        <v>0</v>
      </c>
      <c r="J21" s="3">
        <f>((D21-11.1-4)/11+4/4)*B21</f>
        <v>0</v>
      </c>
      <c r="K21" s="3"/>
      <c r="L21" s="5">
        <f t="shared" si="6"/>
        <v>0</v>
      </c>
      <c r="M21" s="3">
        <f t="shared" si="9"/>
        <v>0</v>
      </c>
      <c r="N21" s="3">
        <f t="shared" si="10"/>
        <v>0</v>
      </c>
      <c r="O21" s="3">
        <f t="shared" si="7"/>
        <v>0</v>
      </c>
      <c r="P21" s="3">
        <f t="shared" si="1"/>
        <v>0</v>
      </c>
      <c r="Q21" s="3">
        <f t="shared" si="8"/>
        <v>0</v>
      </c>
    </row>
    <row r="22" spans="1:17" x14ac:dyDescent="0.2">
      <c r="A22" t="s">
        <v>29</v>
      </c>
      <c r="B22">
        <v>0</v>
      </c>
      <c r="C22">
        <v>-12.2</v>
      </c>
      <c r="D22">
        <f t="shared" si="2"/>
        <v>12.400000000000002</v>
      </c>
      <c r="E22" t="s">
        <v>15</v>
      </c>
      <c r="F22" t="s">
        <v>13</v>
      </c>
      <c r="G22" s="3">
        <f t="shared" si="3"/>
        <v>1.7636363636363637</v>
      </c>
      <c r="H22" s="9">
        <f t="shared" si="0"/>
        <v>0</v>
      </c>
      <c r="I22" s="3">
        <f t="shared" si="4"/>
        <v>0</v>
      </c>
      <c r="J22" s="3">
        <f>((D22-11.1-4)/11+4/4)*B22</f>
        <v>0</v>
      </c>
      <c r="K22" s="3"/>
      <c r="L22" s="5">
        <f t="shared" si="6"/>
        <v>0</v>
      </c>
      <c r="M22" s="3">
        <f t="shared" si="9"/>
        <v>0</v>
      </c>
      <c r="N22" s="3">
        <f t="shared" si="10"/>
        <v>0</v>
      </c>
      <c r="O22" s="3">
        <f t="shared" si="7"/>
        <v>0</v>
      </c>
      <c r="P22" s="3">
        <f t="shared" si="1"/>
        <v>0</v>
      </c>
      <c r="Q22" s="3">
        <f t="shared" si="8"/>
        <v>0</v>
      </c>
    </row>
    <row r="23" spans="1:17" x14ac:dyDescent="0.2">
      <c r="A23" t="s">
        <v>30</v>
      </c>
      <c r="B23">
        <v>0</v>
      </c>
      <c r="C23">
        <v>1.4</v>
      </c>
      <c r="D23">
        <f t="shared" si="2"/>
        <v>26</v>
      </c>
      <c r="E23" t="s">
        <v>15</v>
      </c>
      <c r="F23" t="s">
        <v>13</v>
      </c>
      <c r="G23" s="3">
        <f t="shared" si="3"/>
        <v>3</v>
      </c>
      <c r="H23" s="9">
        <f t="shared" si="0"/>
        <v>0</v>
      </c>
      <c r="I23" s="3">
        <f t="shared" si="4"/>
        <v>0</v>
      </c>
      <c r="J23" s="3">
        <f>((D23-11.1-4)/11+4/4)*B23</f>
        <v>0</v>
      </c>
      <c r="K23" s="3"/>
      <c r="L23" s="5">
        <f t="shared" si="6"/>
        <v>0</v>
      </c>
      <c r="M23" s="3">
        <f t="shared" si="9"/>
        <v>0</v>
      </c>
      <c r="N23" s="3">
        <f t="shared" si="10"/>
        <v>0</v>
      </c>
      <c r="O23" s="3">
        <f t="shared" si="7"/>
        <v>0</v>
      </c>
      <c r="P23" s="3">
        <f t="shared" si="1"/>
        <v>0</v>
      </c>
      <c r="Q23" s="3">
        <f t="shared" si="8"/>
        <v>0</v>
      </c>
    </row>
    <row r="24" spans="1:17" x14ac:dyDescent="0.2">
      <c r="A24" t="s">
        <v>31</v>
      </c>
      <c r="B24">
        <v>0</v>
      </c>
      <c r="C24">
        <v>-3.5</v>
      </c>
      <c r="D24">
        <f t="shared" si="2"/>
        <v>21.1</v>
      </c>
      <c r="E24" t="s">
        <v>15</v>
      </c>
      <c r="F24" t="s">
        <v>13</v>
      </c>
      <c r="G24" s="3">
        <f t="shared" si="3"/>
        <v>2.5545454545454547</v>
      </c>
      <c r="H24" s="9">
        <f t="shared" si="0"/>
        <v>0</v>
      </c>
      <c r="I24" s="3">
        <f t="shared" si="4"/>
        <v>0</v>
      </c>
      <c r="J24" s="3">
        <f>((D24-11.1-4)/11+4/4)*B24</f>
        <v>0</v>
      </c>
      <c r="K24" s="3"/>
      <c r="L24" s="5">
        <f t="shared" si="6"/>
        <v>0</v>
      </c>
      <c r="M24" s="3">
        <f t="shared" si="9"/>
        <v>0</v>
      </c>
      <c r="N24" s="3">
        <f t="shared" si="10"/>
        <v>0</v>
      </c>
      <c r="O24" s="3">
        <f t="shared" si="7"/>
        <v>0</v>
      </c>
      <c r="P24" s="3">
        <f t="shared" si="1"/>
        <v>0</v>
      </c>
      <c r="Q24" s="3">
        <f t="shared" si="8"/>
        <v>0</v>
      </c>
    </row>
    <row r="25" spans="1:17" x14ac:dyDescent="0.2">
      <c r="A25" t="s">
        <v>32</v>
      </c>
      <c r="B25">
        <v>0</v>
      </c>
      <c r="C25">
        <v>-0.9</v>
      </c>
      <c r="D25">
        <f t="shared" si="2"/>
        <v>23.700000000000003</v>
      </c>
      <c r="E25" t="s">
        <v>15</v>
      </c>
      <c r="F25" t="s">
        <v>34</v>
      </c>
      <c r="G25" s="3">
        <f t="shared" si="3"/>
        <v>2.790909090909091</v>
      </c>
      <c r="H25" s="9">
        <f t="shared" si="0"/>
        <v>0</v>
      </c>
      <c r="I25" s="3">
        <f t="shared" si="4"/>
        <v>0</v>
      </c>
      <c r="J25" s="3">
        <f>((D25-11.1-4)/11+4/4)*B25</f>
        <v>0</v>
      </c>
      <c r="K25" s="3"/>
      <c r="L25" s="5">
        <f t="shared" si="6"/>
        <v>0</v>
      </c>
      <c r="M25" s="3">
        <f t="shared" si="9"/>
        <v>0</v>
      </c>
      <c r="N25" s="3">
        <f t="shared" si="10"/>
        <v>0</v>
      </c>
      <c r="O25" s="3">
        <f t="shared" si="7"/>
        <v>0</v>
      </c>
      <c r="P25" s="3">
        <f t="shared" si="1"/>
        <v>0</v>
      </c>
      <c r="Q25" s="3">
        <f t="shared" si="8"/>
        <v>0</v>
      </c>
    </row>
    <row r="26" spans="1:17" x14ac:dyDescent="0.2">
      <c r="A26" t="s">
        <v>33</v>
      </c>
      <c r="B26">
        <v>0</v>
      </c>
      <c r="C26">
        <v>-23.9</v>
      </c>
      <c r="D26">
        <f t="shared" si="2"/>
        <v>0.70000000000000284</v>
      </c>
      <c r="E26" t="s">
        <v>12</v>
      </c>
      <c r="F26" t="s">
        <v>34</v>
      </c>
      <c r="G26" s="3">
        <f t="shared" si="3"/>
        <v>0.70000000000000018</v>
      </c>
      <c r="H26" s="9">
        <f t="shared" si="0"/>
        <v>0</v>
      </c>
      <c r="I26" s="3">
        <f>H26</f>
        <v>0</v>
      </c>
      <c r="J26" s="3"/>
      <c r="K26" s="3"/>
      <c r="L26" s="5">
        <f t="shared" si="6"/>
        <v>0</v>
      </c>
      <c r="M26" s="3">
        <f t="shared" si="9"/>
        <v>0</v>
      </c>
      <c r="N26" s="3">
        <f t="shared" si="10"/>
        <v>0</v>
      </c>
      <c r="O26" s="3">
        <f t="shared" si="7"/>
        <v>0</v>
      </c>
      <c r="P26" s="3">
        <f t="shared" si="1"/>
        <v>0</v>
      </c>
      <c r="Q26" s="3">
        <f t="shared" si="8"/>
        <v>0</v>
      </c>
    </row>
    <row r="27" spans="1:17" x14ac:dyDescent="0.2">
      <c r="A27" t="s">
        <v>117</v>
      </c>
      <c r="B27">
        <v>0</v>
      </c>
      <c r="C27">
        <v>-23.2</v>
      </c>
      <c r="D27">
        <f t="shared" si="2"/>
        <v>1.4000000000000021</v>
      </c>
      <c r="E27" t="s">
        <v>12</v>
      </c>
      <c r="F27" t="s">
        <v>34</v>
      </c>
      <c r="G27" s="3">
        <f t="shared" si="3"/>
        <v>0.76363636363636389</v>
      </c>
      <c r="H27" s="9">
        <f t="shared" si="0"/>
        <v>0</v>
      </c>
      <c r="I27" s="3">
        <f>H27</f>
        <v>0</v>
      </c>
      <c r="J27" s="3"/>
      <c r="K27" s="3"/>
      <c r="L27" s="5">
        <f t="shared" si="6"/>
        <v>0</v>
      </c>
      <c r="M27" s="3">
        <f t="shared" si="9"/>
        <v>0</v>
      </c>
      <c r="N27" s="3">
        <f t="shared" si="10"/>
        <v>0</v>
      </c>
      <c r="O27" s="3">
        <f t="shared" si="7"/>
        <v>0</v>
      </c>
      <c r="P27" s="3">
        <f t="shared" si="1"/>
        <v>0</v>
      </c>
      <c r="Q27" s="3">
        <f t="shared" si="8"/>
        <v>0</v>
      </c>
    </row>
    <row r="28" spans="1:17" x14ac:dyDescent="0.2">
      <c r="A28" t="s">
        <v>35</v>
      </c>
      <c r="B28">
        <v>0</v>
      </c>
      <c r="C28">
        <v>-12.2</v>
      </c>
      <c r="D28">
        <f t="shared" si="2"/>
        <v>12.400000000000002</v>
      </c>
      <c r="E28" t="s">
        <v>15</v>
      </c>
      <c r="F28" t="s">
        <v>34</v>
      </c>
      <c r="G28" s="3">
        <f t="shared" si="3"/>
        <v>1.7636363636363637</v>
      </c>
      <c r="H28" s="9">
        <f t="shared" si="0"/>
        <v>0</v>
      </c>
      <c r="I28" s="3">
        <f>11.1/11*B28</f>
        <v>0</v>
      </c>
      <c r="J28" s="3">
        <f>((D28-11.1-4)/11+4/4)*B28</f>
        <v>0</v>
      </c>
      <c r="K28" s="3"/>
      <c r="L28" s="5">
        <f t="shared" si="6"/>
        <v>0</v>
      </c>
      <c r="M28" s="3">
        <f t="shared" si="9"/>
        <v>0</v>
      </c>
      <c r="N28" s="3">
        <f t="shared" si="10"/>
        <v>0</v>
      </c>
      <c r="O28" s="3">
        <f t="shared" si="7"/>
        <v>0</v>
      </c>
      <c r="P28" s="3">
        <f t="shared" si="1"/>
        <v>0</v>
      </c>
      <c r="Q28" s="3">
        <f t="shared" si="8"/>
        <v>0</v>
      </c>
    </row>
    <row r="29" spans="1:17" x14ac:dyDescent="0.2">
      <c r="A29" t="s">
        <v>118</v>
      </c>
      <c r="B29">
        <v>0</v>
      </c>
      <c r="C29">
        <v>-14.3</v>
      </c>
      <c r="D29">
        <f t="shared" si="2"/>
        <v>10.3</v>
      </c>
      <c r="E29" t="s">
        <v>12</v>
      </c>
      <c r="F29" t="s">
        <v>34</v>
      </c>
      <c r="G29" s="3">
        <f t="shared" si="3"/>
        <v>1.5727272727272728</v>
      </c>
      <c r="H29" s="9">
        <f t="shared" si="0"/>
        <v>0</v>
      </c>
      <c r="I29" s="3">
        <f>H29</f>
        <v>0</v>
      </c>
      <c r="J29" s="3"/>
      <c r="K29" s="3"/>
      <c r="L29" s="5">
        <f t="shared" si="6"/>
        <v>0</v>
      </c>
      <c r="M29" s="3">
        <f t="shared" si="9"/>
        <v>0</v>
      </c>
      <c r="N29" s="3">
        <f t="shared" si="10"/>
        <v>0</v>
      </c>
      <c r="O29" s="3">
        <f t="shared" si="7"/>
        <v>0</v>
      </c>
      <c r="P29" s="3">
        <f t="shared" si="1"/>
        <v>0</v>
      </c>
      <c r="Q29" s="3">
        <f t="shared" si="8"/>
        <v>0</v>
      </c>
    </row>
    <row r="30" spans="1:17" x14ac:dyDescent="0.2">
      <c r="A30" t="s">
        <v>36</v>
      </c>
      <c r="B30">
        <v>0</v>
      </c>
      <c r="C30">
        <v>-13.3</v>
      </c>
      <c r="D30">
        <f t="shared" si="2"/>
        <v>11.3</v>
      </c>
      <c r="E30" t="s">
        <v>15</v>
      </c>
      <c r="F30" t="s">
        <v>34</v>
      </c>
      <c r="G30" s="3">
        <f t="shared" si="3"/>
        <v>1.6636363636363636</v>
      </c>
      <c r="H30" s="9">
        <f t="shared" si="0"/>
        <v>0</v>
      </c>
      <c r="I30" s="3">
        <f t="shared" ref="I30:I37" si="11">11.1/11*B30</f>
        <v>0</v>
      </c>
      <c r="J30" s="3">
        <f t="shared" ref="J30:J37" si="12">((D30-11.1-4)/11+4/4)*B30</f>
        <v>0</v>
      </c>
      <c r="K30" s="3"/>
      <c r="L30" s="5">
        <f t="shared" si="6"/>
        <v>0</v>
      </c>
      <c r="M30" s="3">
        <f t="shared" si="9"/>
        <v>0</v>
      </c>
      <c r="N30" s="3">
        <f t="shared" si="10"/>
        <v>0</v>
      </c>
      <c r="O30" s="3">
        <f t="shared" si="7"/>
        <v>0</v>
      </c>
      <c r="P30" s="3">
        <f t="shared" si="1"/>
        <v>0</v>
      </c>
      <c r="Q30" s="3">
        <f t="shared" si="8"/>
        <v>0</v>
      </c>
    </row>
    <row r="31" spans="1:17" x14ac:dyDescent="0.2">
      <c r="A31" t="s">
        <v>37</v>
      </c>
      <c r="B31">
        <v>0</v>
      </c>
      <c r="C31">
        <v>1.2</v>
      </c>
      <c r="D31">
        <f t="shared" si="2"/>
        <v>25.8</v>
      </c>
      <c r="E31" t="s">
        <v>15</v>
      </c>
      <c r="F31" t="s">
        <v>34</v>
      </c>
      <c r="G31" s="3">
        <f t="shared" si="3"/>
        <v>2.9818181818181819</v>
      </c>
      <c r="H31" s="9">
        <f t="shared" si="0"/>
        <v>0</v>
      </c>
      <c r="I31" s="3">
        <f t="shared" si="11"/>
        <v>0</v>
      </c>
      <c r="J31" s="3">
        <f t="shared" si="12"/>
        <v>0</v>
      </c>
      <c r="K31" s="3"/>
      <c r="L31" s="5">
        <f t="shared" si="6"/>
        <v>0</v>
      </c>
      <c r="M31" s="3">
        <f t="shared" si="9"/>
        <v>0</v>
      </c>
      <c r="N31" s="3">
        <f t="shared" si="10"/>
        <v>0</v>
      </c>
      <c r="O31" s="3">
        <f t="shared" si="7"/>
        <v>0</v>
      </c>
      <c r="P31" s="3">
        <f t="shared" si="1"/>
        <v>0</v>
      </c>
      <c r="Q31" s="3">
        <f t="shared" si="8"/>
        <v>0</v>
      </c>
    </row>
    <row r="32" spans="1:17" x14ac:dyDescent="0.2">
      <c r="A32" t="s">
        <v>38</v>
      </c>
      <c r="B32">
        <v>0</v>
      </c>
      <c r="C32">
        <v>-8</v>
      </c>
      <c r="D32">
        <f t="shared" si="2"/>
        <v>16.600000000000001</v>
      </c>
      <c r="E32" t="s">
        <v>15</v>
      </c>
      <c r="F32" t="s">
        <v>34</v>
      </c>
      <c r="G32" s="3">
        <f t="shared" si="3"/>
        <v>2.1454545454545455</v>
      </c>
      <c r="H32" s="9">
        <f t="shared" si="0"/>
        <v>0</v>
      </c>
      <c r="I32" s="3">
        <f t="shared" si="11"/>
        <v>0</v>
      </c>
      <c r="J32" s="3">
        <f t="shared" si="12"/>
        <v>0</v>
      </c>
      <c r="K32" s="3"/>
      <c r="L32" s="5">
        <f t="shared" si="6"/>
        <v>0</v>
      </c>
      <c r="M32" s="3">
        <f t="shared" si="9"/>
        <v>0</v>
      </c>
      <c r="N32" s="3">
        <f t="shared" si="10"/>
        <v>0</v>
      </c>
      <c r="O32" s="3">
        <f t="shared" si="7"/>
        <v>0</v>
      </c>
      <c r="P32" s="3">
        <f t="shared" si="1"/>
        <v>0</v>
      </c>
      <c r="Q32" s="3">
        <f t="shared" si="8"/>
        <v>0</v>
      </c>
    </row>
    <row r="33" spans="1:17" x14ac:dyDescent="0.2">
      <c r="A33" t="s">
        <v>39</v>
      </c>
      <c r="B33">
        <v>0</v>
      </c>
      <c r="C33">
        <v>0.1</v>
      </c>
      <c r="D33">
        <f t="shared" si="2"/>
        <v>24.700000000000003</v>
      </c>
      <c r="E33" t="s">
        <v>15</v>
      </c>
      <c r="F33" t="s">
        <v>34</v>
      </c>
      <c r="G33" s="3">
        <f t="shared" si="3"/>
        <v>2.8818181818181818</v>
      </c>
      <c r="H33" s="9">
        <f t="shared" si="0"/>
        <v>0</v>
      </c>
      <c r="I33" s="3">
        <f t="shared" si="11"/>
        <v>0</v>
      </c>
      <c r="J33" s="3">
        <f t="shared" si="12"/>
        <v>0</v>
      </c>
      <c r="K33" s="3"/>
      <c r="L33" s="5">
        <f t="shared" si="6"/>
        <v>0</v>
      </c>
      <c r="M33" s="3">
        <f t="shared" si="9"/>
        <v>0</v>
      </c>
      <c r="N33" s="3">
        <f t="shared" si="10"/>
        <v>0</v>
      </c>
      <c r="O33" s="3">
        <f t="shared" si="7"/>
        <v>0</v>
      </c>
      <c r="P33" s="3">
        <f t="shared" si="1"/>
        <v>0</v>
      </c>
      <c r="Q33" s="3">
        <f t="shared" si="8"/>
        <v>0</v>
      </c>
    </row>
    <row r="34" spans="1:17" x14ac:dyDescent="0.2">
      <c r="A34" t="s">
        <v>40</v>
      </c>
      <c r="B34">
        <v>0</v>
      </c>
      <c r="C34">
        <v>-10</v>
      </c>
      <c r="D34">
        <f t="shared" si="2"/>
        <v>14.600000000000001</v>
      </c>
      <c r="E34" t="s">
        <v>15</v>
      </c>
      <c r="F34" t="s">
        <v>13</v>
      </c>
      <c r="G34" s="3">
        <f t="shared" si="3"/>
        <v>1.9636363636363638</v>
      </c>
      <c r="H34" s="9">
        <f t="shared" si="0"/>
        <v>0</v>
      </c>
      <c r="I34" s="3">
        <f t="shared" si="11"/>
        <v>0</v>
      </c>
      <c r="J34" s="3">
        <f t="shared" si="12"/>
        <v>0</v>
      </c>
      <c r="K34" s="3"/>
      <c r="L34" s="5">
        <f t="shared" si="6"/>
        <v>0</v>
      </c>
      <c r="M34" s="3">
        <f t="shared" si="9"/>
        <v>0</v>
      </c>
      <c r="N34" s="3">
        <f t="shared" si="10"/>
        <v>0</v>
      </c>
      <c r="O34" s="3">
        <f t="shared" si="7"/>
        <v>0</v>
      </c>
      <c r="P34" s="3">
        <f t="shared" si="1"/>
        <v>0</v>
      </c>
      <c r="Q34" s="3">
        <f t="shared" si="8"/>
        <v>0</v>
      </c>
    </row>
    <row r="35" spans="1:17" x14ac:dyDescent="0.2">
      <c r="A35" t="s">
        <v>41</v>
      </c>
      <c r="B35">
        <v>0</v>
      </c>
      <c r="C35">
        <v>-6.6</v>
      </c>
      <c r="D35">
        <f t="shared" si="2"/>
        <v>18</v>
      </c>
      <c r="E35" t="s">
        <v>42</v>
      </c>
      <c r="F35" t="s">
        <v>13</v>
      </c>
      <c r="G35" s="3">
        <f t="shared" si="3"/>
        <v>2.2727272727272725</v>
      </c>
      <c r="H35" s="9">
        <f t="shared" si="0"/>
        <v>0</v>
      </c>
      <c r="I35" s="3">
        <f t="shared" si="11"/>
        <v>0</v>
      </c>
      <c r="J35" s="3">
        <f t="shared" si="12"/>
        <v>0</v>
      </c>
      <c r="K35" s="3"/>
      <c r="L35" s="5">
        <f t="shared" si="6"/>
        <v>0</v>
      </c>
      <c r="M35" s="3">
        <f t="shared" si="9"/>
        <v>0</v>
      </c>
      <c r="N35" s="3">
        <f t="shared" si="10"/>
        <v>0</v>
      </c>
      <c r="O35" s="3">
        <f t="shared" si="7"/>
        <v>0</v>
      </c>
      <c r="P35" s="3">
        <f t="shared" si="1"/>
        <v>0</v>
      </c>
      <c r="Q35" s="3">
        <f t="shared" si="8"/>
        <v>0</v>
      </c>
    </row>
    <row r="36" spans="1:17" x14ac:dyDescent="0.2">
      <c r="A36" t="s">
        <v>43</v>
      </c>
      <c r="B36">
        <v>0</v>
      </c>
      <c r="C36">
        <v>1</v>
      </c>
      <c r="D36">
        <f t="shared" si="2"/>
        <v>25.6</v>
      </c>
      <c r="E36" t="s">
        <v>42</v>
      </c>
      <c r="F36" t="s">
        <v>13</v>
      </c>
      <c r="G36" s="3">
        <f t="shared" si="3"/>
        <v>2.9636363636363638</v>
      </c>
      <c r="H36" s="9">
        <f t="shared" si="0"/>
        <v>0</v>
      </c>
      <c r="I36" s="3">
        <f t="shared" si="11"/>
        <v>0</v>
      </c>
      <c r="J36" s="3">
        <f t="shared" si="12"/>
        <v>0</v>
      </c>
      <c r="K36" s="3"/>
      <c r="L36" s="5">
        <f t="shared" si="6"/>
        <v>0</v>
      </c>
      <c r="M36" s="3">
        <f t="shared" si="9"/>
        <v>0</v>
      </c>
      <c r="N36" s="3">
        <f t="shared" si="10"/>
        <v>0</v>
      </c>
      <c r="O36" s="3">
        <f t="shared" si="7"/>
        <v>0</v>
      </c>
      <c r="P36" s="3">
        <f t="shared" si="1"/>
        <v>0</v>
      </c>
      <c r="Q36" s="3">
        <f t="shared" si="8"/>
        <v>0</v>
      </c>
    </row>
    <row r="37" spans="1:17" x14ac:dyDescent="0.2">
      <c r="A37" t="s">
        <v>44</v>
      </c>
      <c r="B37">
        <v>0</v>
      </c>
      <c r="C37">
        <v>-5.9</v>
      </c>
      <c r="D37">
        <f t="shared" si="2"/>
        <v>18.700000000000003</v>
      </c>
      <c r="E37" t="s">
        <v>42</v>
      </c>
      <c r="F37" t="s">
        <v>13</v>
      </c>
      <c r="G37" s="3">
        <f t="shared" si="3"/>
        <v>2.3363636363636369</v>
      </c>
      <c r="H37" s="9">
        <f t="shared" si="0"/>
        <v>0</v>
      </c>
      <c r="I37" s="3">
        <f t="shared" si="11"/>
        <v>0</v>
      </c>
      <c r="J37" s="3">
        <f t="shared" si="12"/>
        <v>0</v>
      </c>
      <c r="K37" s="3"/>
      <c r="L37" s="5">
        <f t="shared" si="6"/>
        <v>0</v>
      </c>
      <c r="M37" s="3">
        <f t="shared" si="9"/>
        <v>0</v>
      </c>
      <c r="N37" s="3">
        <f t="shared" si="10"/>
        <v>0</v>
      </c>
      <c r="O37" s="3">
        <f t="shared" si="7"/>
        <v>0</v>
      </c>
      <c r="P37" s="3">
        <f t="shared" si="1"/>
        <v>0</v>
      </c>
      <c r="Q37" s="3">
        <f t="shared" si="8"/>
        <v>0</v>
      </c>
    </row>
    <row r="38" spans="1:17" x14ac:dyDescent="0.2">
      <c r="A38" t="s">
        <v>45</v>
      </c>
      <c r="B38">
        <v>0</v>
      </c>
      <c r="C38">
        <v>-24.6</v>
      </c>
      <c r="D38">
        <f t="shared" si="2"/>
        <v>0</v>
      </c>
      <c r="E38" t="s">
        <v>46</v>
      </c>
      <c r="F38" t="s">
        <v>13</v>
      </c>
      <c r="G38" s="3">
        <f t="shared" si="3"/>
        <v>0.63636363636363635</v>
      </c>
      <c r="H38" s="9">
        <f t="shared" si="0"/>
        <v>0</v>
      </c>
      <c r="I38" s="3"/>
      <c r="J38" s="3"/>
      <c r="K38" s="3"/>
      <c r="L38" s="5">
        <f t="shared" si="6"/>
        <v>0</v>
      </c>
      <c r="M38" s="3">
        <f t="shared" si="9"/>
        <v>0</v>
      </c>
      <c r="N38" s="3">
        <f t="shared" si="10"/>
        <v>0</v>
      </c>
      <c r="O38" s="3">
        <f t="shared" si="7"/>
        <v>0</v>
      </c>
      <c r="P38" s="3">
        <f t="shared" si="1"/>
        <v>0</v>
      </c>
      <c r="Q38" s="3">
        <f t="shared" si="8"/>
        <v>0</v>
      </c>
    </row>
    <row r="39" spans="1:17" x14ac:dyDescent="0.2">
      <c r="A39" t="s">
        <v>47</v>
      </c>
      <c r="B39">
        <v>0</v>
      </c>
      <c r="C39">
        <v>-6.6</v>
      </c>
      <c r="D39">
        <f t="shared" si="2"/>
        <v>18</v>
      </c>
      <c r="E39" t="s">
        <v>42</v>
      </c>
      <c r="F39" t="s">
        <v>13</v>
      </c>
      <c r="G39" s="3">
        <f t="shared" si="3"/>
        <v>2.2727272727272725</v>
      </c>
      <c r="H39" s="9">
        <f t="shared" si="0"/>
        <v>0</v>
      </c>
      <c r="I39" s="3">
        <f t="shared" ref="I39:I49" si="13">11.1/11*B39</f>
        <v>0</v>
      </c>
      <c r="J39" s="3">
        <f>((D39-11.1-4)/11+4/4)*B39</f>
        <v>0</v>
      </c>
      <c r="K39" s="3"/>
      <c r="L39" s="5">
        <f t="shared" si="6"/>
        <v>0</v>
      </c>
      <c r="M39" s="3">
        <f t="shared" si="9"/>
        <v>0</v>
      </c>
      <c r="N39" s="3">
        <f t="shared" si="10"/>
        <v>0</v>
      </c>
      <c r="O39" s="3">
        <f t="shared" si="7"/>
        <v>0</v>
      </c>
      <c r="P39" s="3">
        <f t="shared" si="1"/>
        <v>0</v>
      </c>
      <c r="Q39" s="3">
        <f t="shared" si="8"/>
        <v>0</v>
      </c>
    </row>
    <row r="40" spans="1:17" x14ac:dyDescent="0.2">
      <c r="A40" t="s">
        <v>48</v>
      </c>
      <c r="B40">
        <v>0</v>
      </c>
      <c r="C40">
        <v>1</v>
      </c>
      <c r="D40">
        <f t="shared" si="2"/>
        <v>25.6</v>
      </c>
      <c r="E40" t="s">
        <v>42</v>
      </c>
      <c r="F40" t="s">
        <v>13</v>
      </c>
      <c r="G40" s="3">
        <f t="shared" si="3"/>
        <v>2.9636363636363638</v>
      </c>
      <c r="H40" s="9">
        <f t="shared" si="0"/>
        <v>0</v>
      </c>
      <c r="I40" s="3">
        <f t="shared" si="13"/>
        <v>0</v>
      </c>
      <c r="J40" s="3">
        <f>((D40-11.1-4)/11+4/4)*B40</f>
        <v>0</v>
      </c>
      <c r="K40" s="3"/>
      <c r="L40" s="5">
        <f t="shared" si="6"/>
        <v>0</v>
      </c>
      <c r="M40" s="3">
        <f t="shared" si="9"/>
        <v>0</v>
      </c>
      <c r="N40" s="3">
        <f t="shared" si="10"/>
        <v>0</v>
      </c>
      <c r="O40" s="3">
        <f t="shared" si="7"/>
        <v>0</v>
      </c>
      <c r="P40" s="3">
        <f t="shared" si="1"/>
        <v>0</v>
      </c>
      <c r="Q40" s="3">
        <f t="shared" si="8"/>
        <v>0</v>
      </c>
    </row>
    <row r="41" spans="1:17" x14ac:dyDescent="0.2">
      <c r="A41" t="s">
        <v>49</v>
      </c>
      <c r="B41">
        <v>0</v>
      </c>
      <c r="C41">
        <v>-5.6</v>
      </c>
      <c r="D41">
        <f t="shared" si="2"/>
        <v>19</v>
      </c>
      <c r="E41" t="s">
        <v>42</v>
      </c>
      <c r="F41" t="s">
        <v>13</v>
      </c>
      <c r="G41" s="3">
        <f t="shared" si="3"/>
        <v>2.3636363636363633</v>
      </c>
      <c r="H41" s="9">
        <f t="shared" si="0"/>
        <v>0</v>
      </c>
      <c r="I41" s="3">
        <f t="shared" si="13"/>
        <v>0</v>
      </c>
      <c r="J41" s="3">
        <f>((D41-11.1-4)/11+4/4)*B41</f>
        <v>0</v>
      </c>
      <c r="K41" s="3"/>
      <c r="L41" s="5">
        <f t="shared" si="6"/>
        <v>0</v>
      </c>
      <c r="M41" s="3">
        <f t="shared" si="9"/>
        <v>0</v>
      </c>
      <c r="N41" s="3">
        <f t="shared" si="10"/>
        <v>0</v>
      </c>
      <c r="O41" s="3">
        <f t="shared" si="7"/>
        <v>0</v>
      </c>
      <c r="P41" s="3">
        <f t="shared" si="1"/>
        <v>0</v>
      </c>
      <c r="Q41" s="3">
        <f t="shared" si="8"/>
        <v>0</v>
      </c>
    </row>
    <row r="42" spans="1:17" x14ac:dyDescent="0.2">
      <c r="A42" t="s">
        <v>50</v>
      </c>
      <c r="B42">
        <v>0</v>
      </c>
      <c r="C42">
        <v>0</v>
      </c>
      <c r="D42">
        <f t="shared" si="2"/>
        <v>24.6</v>
      </c>
      <c r="E42" t="s">
        <v>42</v>
      </c>
      <c r="F42" t="s">
        <v>13</v>
      </c>
      <c r="G42" s="3">
        <f t="shared" si="3"/>
        <v>2.872727272727273</v>
      </c>
      <c r="H42" s="9">
        <f t="shared" si="0"/>
        <v>0</v>
      </c>
      <c r="I42" s="3">
        <f t="shared" si="13"/>
        <v>0</v>
      </c>
      <c r="J42" s="3">
        <f>((D42-11.1-4)/11+4/4)*B42</f>
        <v>0</v>
      </c>
      <c r="K42" s="3"/>
      <c r="L42" s="5">
        <f t="shared" si="6"/>
        <v>0</v>
      </c>
      <c r="M42" s="3">
        <f t="shared" si="9"/>
        <v>0</v>
      </c>
      <c r="N42" s="3">
        <f t="shared" si="10"/>
        <v>0</v>
      </c>
      <c r="O42" s="3">
        <f t="shared" si="7"/>
        <v>0</v>
      </c>
      <c r="P42" s="3">
        <f t="shared" si="1"/>
        <v>0</v>
      </c>
      <c r="Q42" s="3">
        <f t="shared" si="8"/>
        <v>0</v>
      </c>
    </row>
    <row r="43" spans="1:17" x14ac:dyDescent="0.2">
      <c r="A43" t="s">
        <v>51</v>
      </c>
      <c r="B43">
        <v>0</v>
      </c>
      <c r="C43">
        <v>17.8</v>
      </c>
      <c r="D43">
        <f t="shared" si="2"/>
        <v>42.400000000000006</v>
      </c>
      <c r="E43" t="s">
        <v>52</v>
      </c>
      <c r="F43" t="s">
        <v>13</v>
      </c>
      <c r="G43" s="3">
        <f t="shared" si="3"/>
        <v>4.4909090909090921</v>
      </c>
      <c r="H43" s="9">
        <f t="shared" si="0"/>
        <v>0</v>
      </c>
      <c r="I43" s="3">
        <f t="shared" si="13"/>
        <v>0</v>
      </c>
      <c r="J43" s="3">
        <f>(15.1/11)*B43</f>
        <v>0</v>
      </c>
      <c r="K43" s="3">
        <f>((D43-26.1-4)/11+4/4)*B43</f>
        <v>0</v>
      </c>
      <c r="L43" s="5">
        <f t="shared" si="6"/>
        <v>0</v>
      </c>
      <c r="M43" s="3">
        <f t="shared" si="9"/>
        <v>0</v>
      </c>
      <c r="N43" s="3">
        <f t="shared" si="10"/>
        <v>0</v>
      </c>
      <c r="O43" s="3">
        <f t="shared" si="7"/>
        <v>0</v>
      </c>
      <c r="P43" s="3">
        <f t="shared" si="1"/>
        <v>0</v>
      </c>
      <c r="Q43" s="3">
        <f t="shared" si="8"/>
        <v>0</v>
      </c>
    </row>
    <row r="44" spans="1:17" x14ac:dyDescent="0.2">
      <c r="A44" t="s">
        <v>53</v>
      </c>
      <c r="B44">
        <v>0</v>
      </c>
      <c r="C44">
        <v>0.8</v>
      </c>
      <c r="D44">
        <f t="shared" si="2"/>
        <v>25.400000000000002</v>
      </c>
      <c r="E44" t="s">
        <v>42</v>
      </c>
      <c r="F44" t="s">
        <v>13</v>
      </c>
      <c r="G44" s="3">
        <f t="shared" si="3"/>
        <v>2.9454545454545453</v>
      </c>
      <c r="H44" s="9">
        <f t="shared" si="0"/>
        <v>0</v>
      </c>
      <c r="I44" s="3">
        <f t="shared" si="13"/>
        <v>0</v>
      </c>
      <c r="J44" s="3">
        <f>((D44-26.1)/11)*B44</f>
        <v>0</v>
      </c>
      <c r="K44" s="3"/>
      <c r="L44" s="5">
        <f t="shared" si="6"/>
        <v>0</v>
      </c>
      <c r="M44" s="3">
        <f t="shared" si="9"/>
        <v>0</v>
      </c>
      <c r="N44" s="3">
        <f t="shared" si="10"/>
        <v>0</v>
      </c>
      <c r="O44" s="3">
        <f t="shared" si="7"/>
        <v>0</v>
      </c>
      <c r="P44" s="3">
        <f t="shared" si="1"/>
        <v>0</v>
      </c>
      <c r="Q44" s="3">
        <f t="shared" si="8"/>
        <v>0</v>
      </c>
    </row>
    <row r="45" spans="1:17" x14ac:dyDescent="0.2">
      <c r="A45" t="s">
        <v>54</v>
      </c>
      <c r="B45">
        <v>0</v>
      </c>
      <c r="C45">
        <v>-4.4000000000000004</v>
      </c>
      <c r="D45">
        <f t="shared" si="2"/>
        <v>20.200000000000003</v>
      </c>
      <c r="E45" t="s">
        <v>42</v>
      </c>
      <c r="F45" t="s">
        <v>34</v>
      </c>
      <c r="G45" s="3">
        <f t="shared" si="3"/>
        <v>2.4727272727272727</v>
      </c>
      <c r="H45" s="9">
        <f t="shared" si="0"/>
        <v>0</v>
      </c>
      <c r="I45" s="3">
        <f t="shared" si="13"/>
        <v>0</v>
      </c>
      <c r="J45" s="3">
        <f>((D45-11.1-4)/11+4/4)*B45</f>
        <v>0</v>
      </c>
      <c r="K45" s="3"/>
      <c r="L45" s="5">
        <f t="shared" si="6"/>
        <v>0</v>
      </c>
      <c r="M45" s="3">
        <f t="shared" si="9"/>
        <v>0</v>
      </c>
      <c r="N45" s="3">
        <f t="shared" si="10"/>
        <v>0</v>
      </c>
      <c r="O45" s="3">
        <f t="shared" si="7"/>
        <v>0</v>
      </c>
      <c r="P45" s="3">
        <f t="shared" si="1"/>
        <v>0</v>
      </c>
      <c r="Q45" s="3">
        <f t="shared" si="8"/>
        <v>0</v>
      </c>
    </row>
    <row r="46" spans="1:17" x14ac:dyDescent="0.2">
      <c r="A46" t="s">
        <v>55</v>
      </c>
      <c r="B46">
        <v>0</v>
      </c>
      <c r="C46">
        <v>-13.5</v>
      </c>
      <c r="D46">
        <f t="shared" si="2"/>
        <v>11.100000000000001</v>
      </c>
      <c r="E46" t="s">
        <v>42</v>
      </c>
      <c r="F46" t="s">
        <v>34</v>
      </c>
      <c r="G46" s="3">
        <f t="shared" si="3"/>
        <v>1.6454545454545455</v>
      </c>
      <c r="H46" s="9">
        <f t="shared" si="0"/>
        <v>0</v>
      </c>
      <c r="I46" s="3">
        <f t="shared" si="13"/>
        <v>0</v>
      </c>
      <c r="J46" s="3">
        <f>((D46-11.1-4)/11+4/4)*B46</f>
        <v>0</v>
      </c>
      <c r="K46" s="3"/>
      <c r="L46" s="5">
        <f t="shared" si="6"/>
        <v>0</v>
      </c>
      <c r="M46" s="3">
        <f t="shared" si="9"/>
        <v>0</v>
      </c>
      <c r="N46" s="3">
        <f t="shared" si="10"/>
        <v>0</v>
      </c>
      <c r="O46" s="3">
        <f t="shared" si="7"/>
        <v>0</v>
      </c>
      <c r="P46" s="3">
        <f t="shared" si="1"/>
        <v>0</v>
      </c>
      <c r="Q46" s="3">
        <f t="shared" si="8"/>
        <v>0</v>
      </c>
    </row>
    <row r="47" spans="1:17" x14ac:dyDescent="0.2">
      <c r="A47" t="s">
        <v>56</v>
      </c>
      <c r="B47">
        <v>0</v>
      </c>
      <c r="C47">
        <v>-8.8000000000000007</v>
      </c>
      <c r="D47">
        <f t="shared" si="2"/>
        <v>15.8</v>
      </c>
      <c r="E47" t="s">
        <v>42</v>
      </c>
      <c r="F47" t="s">
        <v>34</v>
      </c>
      <c r="G47" s="3">
        <f t="shared" si="3"/>
        <v>2.0727272727272728</v>
      </c>
      <c r="H47" s="9">
        <f t="shared" si="0"/>
        <v>0</v>
      </c>
      <c r="I47" s="3">
        <f t="shared" si="13"/>
        <v>0</v>
      </c>
      <c r="J47" s="3">
        <f>((D47-11.1-4)/11+4/4)*B47</f>
        <v>0</v>
      </c>
      <c r="K47" s="3"/>
      <c r="L47" s="5">
        <f t="shared" si="6"/>
        <v>0</v>
      </c>
      <c r="M47" s="3">
        <f t="shared" si="9"/>
        <v>0</v>
      </c>
      <c r="N47" s="3">
        <f t="shared" si="10"/>
        <v>0</v>
      </c>
      <c r="O47" s="3">
        <f t="shared" si="7"/>
        <v>0</v>
      </c>
      <c r="P47" s="3">
        <f t="shared" si="1"/>
        <v>0</v>
      </c>
      <c r="Q47" s="3">
        <f t="shared" si="8"/>
        <v>0</v>
      </c>
    </row>
    <row r="48" spans="1:17" x14ac:dyDescent="0.2">
      <c r="A48" t="s">
        <v>57</v>
      </c>
      <c r="B48">
        <v>0</v>
      </c>
      <c r="C48">
        <v>-13.2</v>
      </c>
      <c r="D48">
        <f t="shared" si="2"/>
        <v>11.400000000000002</v>
      </c>
      <c r="E48" t="s">
        <v>42</v>
      </c>
      <c r="F48" t="s">
        <v>34</v>
      </c>
      <c r="G48" s="3">
        <f t="shared" si="3"/>
        <v>1.6727272727272728</v>
      </c>
      <c r="H48" s="9">
        <f t="shared" si="0"/>
        <v>0</v>
      </c>
      <c r="I48" s="3">
        <f t="shared" si="13"/>
        <v>0</v>
      </c>
      <c r="J48" s="3">
        <f>((D48-11.1-4)/11+4/4)*B48</f>
        <v>0</v>
      </c>
      <c r="K48" s="3"/>
      <c r="L48" s="5">
        <f t="shared" si="6"/>
        <v>0</v>
      </c>
      <c r="M48" s="3">
        <f t="shared" si="9"/>
        <v>0</v>
      </c>
      <c r="N48" s="3">
        <f t="shared" si="10"/>
        <v>0</v>
      </c>
      <c r="O48" s="3">
        <f t="shared" si="7"/>
        <v>0</v>
      </c>
      <c r="P48" s="3">
        <f t="shared" si="1"/>
        <v>0</v>
      </c>
      <c r="Q48" s="3">
        <f t="shared" si="8"/>
        <v>0</v>
      </c>
    </row>
    <row r="49" spans="1:17" x14ac:dyDescent="0.2">
      <c r="A49" t="s">
        <v>58</v>
      </c>
      <c r="B49">
        <v>0</v>
      </c>
      <c r="C49">
        <v>1.5</v>
      </c>
      <c r="D49">
        <f t="shared" si="2"/>
        <v>26.1</v>
      </c>
      <c r="E49" t="s">
        <v>42</v>
      </c>
      <c r="F49" t="s">
        <v>34</v>
      </c>
      <c r="G49" s="3">
        <f t="shared" si="3"/>
        <v>3.0090909090909093</v>
      </c>
      <c r="H49" s="9">
        <f t="shared" si="0"/>
        <v>0</v>
      </c>
      <c r="I49" s="3">
        <f t="shared" si="13"/>
        <v>0</v>
      </c>
      <c r="J49" s="3">
        <f>((D49-11.1-4)/11+4/4)*B49</f>
        <v>0</v>
      </c>
      <c r="K49" s="3"/>
      <c r="L49" s="5">
        <f t="shared" si="6"/>
        <v>0</v>
      </c>
      <c r="M49" s="3">
        <f t="shared" si="9"/>
        <v>0</v>
      </c>
      <c r="N49" s="3">
        <f t="shared" si="10"/>
        <v>0</v>
      </c>
      <c r="O49" s="3">
        <f t="shared" si="7"/>
        <v>0</v>
      </c>
      <c r="P49" s="3">
        <f t="shared" si="1"/>
        <v>0</v>
      </c>
      <c r="Q49" s="3">
        <f t="shared" si="8"/>
        <v>0</v>
      </c>
    </row>
    <row r="50" spans="1:17" x14ac:dyDescent="0.2">
      <c r="A50" t="s">
        <v>59</v>
      </c>
      <c r="B50">
        <v>0</v>
      </c>
      <c r="C50">
        <v>-14.3</v>
      </c>
      <c r="D50">
        <f t="shared" si="2"/>
        <v>10.3</v>
      </c>
      <c r="E50" t="s">
        <v>46</v>
      </c>
      <c r="F50" t="s">
        <v>34</v>
      </c>
      <c r="G50" s="3">
        <f t="shared" si="3"/>
        <v>1.5727272727272728</v>
      </c>
      <c r="H50" s="9">
        <f t="shared" si="0"/>
        <v>0</v>
      </c>
      <c r="I50" s="3">
        <f>H50</f>
        <v>0</v>
      </c>
      <c r="J50" s="3"/>
      <c r="K50" s="3"/>
      <c r="L50" s="5">
        <f t="shared" si="6"/>
        <v>0</v>
      </c>
      <c r="M50" s="3">
        <f t="shared" si="9"/>
        <v>0</v>
      </c>
      <c r="N50" s="3">
        <f t="shared" si="10"/>
        <v>0</v>
      </c>
      <c r="O50" s="3">
        <f t="shared" si="7"/>
        <v>0</v>
      </c>
      <c r="P50" s="3">
        <f t="shared" si="1"/>
        <v>0</v>
      </c>
      <c r="Q50" s="3">
        <f t="shared" si="8"/>
        <v>0</v>
      </c>
    </row>
    <row r="51" spans="1:17" x14ac:dyDescent="0.2">
      <c r="A51" t="s">
        <v>60</v>
      </c>
      <c r="B51">
        <v>0</v>
      </c>
      <c r="C51">
        <v>-6.9</v>
      </c>
      <c r="D51">
        <f t="shared" si="2"/>
        <v>17.700000000000003</v>
      </c>
      <c r="E51" t="s">
        <v>42</v>
      </c>
      <c r="F51" t="s">
        <v>34</v>
      </c>
      <c r="G51" s="3">
        <f t="shared" si="3"/>
        <v>2.245454545454546</v>
      </c>
      <c r="H51" s="9">
        <f t="shared" si="0"/>
        <v>0</v>
      </c>
      <c r="I51" s="3">
        <f>11.1/11*B51</f>
        <v>0</v>
      </c>
      <c r="J51" s="3">
        <f>((D51-11.1-4)/11+4/4)*B51</f>
        <v>0</v>
      </c>
      <c r="K51" s="3"/>
      <c r="L51" s="5">
        <f t="shared" si="6"/>
        <v>0</v>
      </c>
      <c r="M51" s="3">
        <f t="shared" si="9"/>
        <v>0</v>
      </c>
      <c r="N51" s="3">
        <f t="shared" si="10"/>
        <v>0</v>
      </c>
      <c r="O51" s="3">
        <f t="shared" si="7"/>
        <v>0</v>
      </c>
      <c r="P51" s="3">
        <f t="shared" si="1"/>
        <v>0</v>
      </c>
      <c r="Q51" s="3">
        <f t="shared" si="8"/>
        <v>0</v>
      </c>
    </row>
    <row r="52" spans="1:17" x14ac:dyDescent="0.2">
      <c r="A52" t="s">
        <v>61</v>
      </c>
      <c r="B52">
        <v>0</v>
      </c>
      <c r="C52">
        <v>-0.3</v>
      </c>
      <c r="D52">
        <f t="shared" si="2"/>
        <v>24.3</v>
      </c>
      <c r="E52" t="s">
        <v>42</v>
      </c>
      <c r="F52" t="s">
        <v>34</v>
      </c>
      <c r="G52" s="3">
        <f t="shared" si="3"/>
        <v>2.8454545454545457</v>
      </c>
      <c r="H52" s="9">
        <f t="shared" si="0"/>
        <v>0</v>
      </c>
      <c r="I52" s="3">
        <f>11.1/11*B52</f>
        <v>0</v>
      </c>
      <c r="J52" s="3">
        <f>((D52-11.1-4)/11+4/4)*B52</f>
        <v>0</v>
      </c>
      <c r="K52" s="3"/>
      <c r="L52" s="5">
        <f t="shared" si="6"/>
        <v>0</v>
      </c>
      <c r="M52" s="3">
        <f t="shared" si="9"/>
        <v>0</v>
      </c>
      <c r="N52" s="3">
        <f t="shared" si="10"/>
        <v>0</v>
      </c>
      <c r="O52" s="3">
        <f t="shared" si="7"/>
        <v>0</v>
      </c>
      <c r="P52" s="3">
        <f t="shared" si="1"/>
        <v>0</v>
      </c>
      <c r="Q52" s="3">
        <f t="shared" si="8"/>
        <v>0</v>
      </c>
    </row>
    <row r="53" spans="1:17" x14ac:dyDescent="0.2">
      <c r="A53" t="s">
        <v>62</v>
      </c>
      <c r="B53">
        <v>0</v>
      </c>
      <c r="C53">
        <v>-13.5</v>
      </c>
      <c r="D53">
        <f t="shared" si="2"/>
        <v>11.100000000000001</v>
      </c>
      <c r="E53" t="s">
        <v>42</v>
      </c>
      <c r="F53" t="s">
        <v>34</v>
      </c>
      <c r="G53" s="3">
        <f t="shared" si="3"/>
        <v>1.6454545454545455</v>
      </c>
      <c r="H53" s="9">
        <f t="shared" si="0"/>
        <v>0</v>
      </c>
      <c r="I53" s="3">
        <f>11.1/11*B53</f>
        <v>0</v>
      </c>
      <c r="J53" s="3">
        <f>((D53-11.1-4)/11+4/4)*B53</f>
        <v>0</v>
      </c>
      <c r="K53" s="3"/>
      <c r="L53" s="5">
        <f t="shared" si="6"/>
        <v>0</v>
      </c>
      <c r="M53" s="3">
        <f t="shared" si="9"/>
        <v>0</v>
      </c>
      <c r="N53" s="3">
        <f t="shared" si="10"/>
        <v>0</v>
      </c>
      <c r="O53" s="3">
        <f t="shared" si="7"/>
        <v>0</v>
      </c>
      <c r="P53" s="3">
        <f t="shared" si="1"/>
        <v>0</v>
      </c>
      <c r="Q53" s="3">
        <f t="shared" si="8"/>
        <v>0</v>
      </c>
    </row>
    <row r="54" spans="1:17" x14ac:dyDescent="0.2">
      <c r="A54" t="s">
        <v>63</v>
      </c>
      <c r="B54">
        <v>0</v>
      </c>
      <c r="C54">
        <v>-14.3</v>
      </c>
      <c r="D54">
        <f t="shared" si="2"/>
        <v>10.3</v>
      </c>
      <c r="E54" t="s">
        <v>46</v>
      </c>
      <c r="F54" t="s">
        <v>34</v>
      </c>
      <c r="G54" s="3">
        <f t="shared" si="3"/>
        <v>1.5727272727272728</v>
      </c>
      <c r="H54" s="9">
        <f t="shared" si="0"/>
        <v>0</v>
      </c>
      <c r="I54" s="3">
        <f>H54</f>
        <v>0</v>
      </c>
      <c r="J54" s="3"/>
      <c r="K54" s="3"/>
      <c r="L54" s="5">
        <f t="shared" si="6"/>
        <v>0</v>
      </c>
      <c r="M54" s="3">
        <f t="shared" si="9"/>
        <v>0</v>
      </c>
      <c r="N54" s="3">
        <f t="shared" si="10"/>
        <v>0</v>
      </c>
      <c r="O54" s="3">
        <f t="shared" si="7"/>
        <v>0</v>
      </c>
      <c r="P54" s="3">
        <f t="shared" si="1"/>
        <v>0</v>
      </c>
      <c r="Q54" s="3">
        <f t="shared" si="8"/>
        <v>0</v>
      </c>
    </row>
    <row r="55" spans="1:17" x14ac:dyDescent="0.2">
      <c r="G55" s="3">
        <f>SUM(G7:G54)</f>
        <v>112.52727272727275</v>
      </c>
      <c r="H55" s="3"/>
      <c r="I55" s="5">
        <f>SUM(I7:I54)</f>
        <v>0</v>
      </c>
      <c r="J55" s="5">
        <f>SUM(J8:J54)</f>
        <v>0</v>
      </c>
      <c r="K55" s="5">
        <f>SUM(K14:K54)</f>
        <v>0</v>
      </c>
      <c r="M55" s="4">
        <f>SUM(M7:M54)</f>
        <v>0</v>
      </c>
      <c r="N55" s="4">
        <f>SUM(N7:N54)</f>
        <v>0</v>
      </c>
      <c r="O55" s="4">
        <f>SUM(O7:O54)</f>
        <v>0</v>
      </c>
      <c r="P55" s="4">
        <f>SUM(P7:P54)</f>
        <v>0</v>
      </c>
      <c r="Q55" s="4">
        <f>SUM(Q7:Q54)</f>
        <v>0</v>
      </c>
    </row>
    <row r="56" spans="1:17" x14ac:dyDescent="0.2">
      <c r="M56" s="4"/>
      <c r="N56" s="4"/>
      <c r="O56" s="4"/>
      <c r="P56" s="4"/>
    </row>
    <row r="57" spans="1:17" x14ac:dyDescent="0.2">
      <c r="A57" s="1" t="s">
        <v>64</v>
      </c>
      <c r="M57" s="3"/>
      <c r="N57" s="3"/>
      <c r="O57" s="3"/>
      <c r="P57" s="3"/>
    </row>
    <row r="58" spans="1:17" x14ac:dyDescent="0.2">
      <c r="A58" s="6" t="s">
        <v>65</v>
      </c>
      <c r="B58" s="6" t="s">
        <v>113</v>
      </c>
      <c r="C58" s="6" t="s">
        <v>128</v>
      </c>
      <c r="D58" s="6" t="s">
        <v>66</v>
      </c>
      <c r="E58" s="6" t="s">
        <v>67</v>
      </c>
      <c r="F58" s="6" t="s">
        <v>131</v>
      </c>
      <c r="M58" s="11" t="s">
        <v>8</v>
      </c>
      <c r="N58" s="11" t="s">
        <v>135</v>
      </c>
      <c r="O58" s="11" t="s">
        <v>9</v>
      </c>
      <c r="P58" s="11" t="s">
        <v>68</v>
      </c>
      <c r="Q58" s="11" t="s">
        <v>146</v>
      </c>
    </row>
    <row r="59" spans="1:17" x14ac:dyDescent="0.2">
      <c r="A59" t="s">
        <v>69</v>
      </c>
      <c r="B59">
        <v>0</v>
      </c>
      <c r="C59" s="5">
        <f t="shared" ref="C59:C67" si="14">B59*0.48</f>
        <v>0</v>
      </c>
      <c r="D59">
        <v>95.8</v>
      </c>
      <c r="E59" s="5">
        <f>C59*D59</f>
        <v>0</v>
      </c>
      <c r="F59" s="5">
        <f>E59*660/24</f>
        <v>0</v>
      </c>
      <c r="M59" s="3">
        <f>F59/1000*364/2000</f>
        <v>0</v>
      </c>
      <c r="N59" s="3">
        <f>F59/1000*59/2000</f>
        <v>0</v>
      </c>
      <c r="O59" s="3">
        <f>F59/1000*44/2000</f>
        <v>0</v>
      </c>
      <c r="P59" s="3">
        <f>F59/1000*27/2000</f>
        <v>0</v>
      </c>
      <c r="Q59" s="3">
        <f>F59/1000*15/2000</f>
        <v>0</v>
      </c>
    </row>
    <row r="60" spans="1:17" x14ac:dyDescent="0.2">
      <c r="A60" t="s">
        <v>70</v>
      </c>
      <c r="B60">
        <v>0</v>
      </c>
      <c r="C60" s="5">
        <f t="shared" si="14"/>
        <v>0</v>
      </c>
      <c r="D60">
        <v>33.5</v>
      </c>
      <c r="E60" s="5">
        <f t="shared" ref="E60:E66" si="15">C60*D60</f>
        <v>0</v>
      </c>
      <c r="F60" s="5">
        <f t="shared" ref="F60:F67" si="16">E60*660/24</f>
        <v>0</v>
      </c>
      <c r="M60" s="3">
        <f t="shared" ref="M60:M67" si="17">F60/1000*364/2000</f>
        <v>0</v>
      </c>
      <c r="N60" s="3">
        <f t="shared" ref="N60:N67" si="18">F60/1000*59/2000</f>
        <v>0</v>
      </c>
      <c r="O60" s="3">
        <f t="shared" ref="O60:O67" si="19">F60/1000*44/2000</f>
        <v>0</v>
      </c>
      <c r="P60" s="3">
        <f t="shared" ref="P60:P67" si="20">F60/1000*27/2000</f>
        <v>0</v>
      </c>
      <c r="Q60" s="3">
        <f t="shared" ref="Q60:Q67" si="21">F60/1000*15/2000</f>
        <v>0</v>
      </c>
    </row>
    <row r="61" spans="1:17" x14ac:dyDescent="0.2">
      <c r="A61" t="s">
        <v>71</v>
      </c>
      <c r="B61">
        <v>0</v>
      </c>
      <c r="C61" s="5">
        <f t="shared" si="14"/>
        <v>0</v>
      </c>
      <c r="D61">
        <v>91.3</v>
      </c>
      <c r="E61" s="5">
        <f t="shared" si="15"/>
        <v>0</v>
      </c>
      <c r="F61" s="5">
        <f t="shared" si="16"/>
        <v>0</v>
      </c>
      <c r="M61" s="3">
        <f t="shared" si="17"/>
        <v>0</v>
      </c>
      <c r="N61" s="3">
        <f t="shared" si="18"/>
        <v>0</v>
      </c>
      <c r="O61" s="3">
        <f t="shared" si="19"/>
        <v>0</v>
      </c>
      <c r="P61" s="3">
        <f t="shared" si="20"/>
        <v>0</v>
      </c>
      <c r="Q61" s="3">
        <f t="shared" si="21"/>
        <v>0</v>
      </c>
    </row>
    <row r="62" spans="1:17" x14ac:dyDescent="0.2">
      <c r="A62" t="s">
        <v>72</v>
      </c>
      <c r="B62">
        <v>0</v>
      </c>
      <c r="C62" s="5">
        <f t="shared" si="14"/>
        <v>0</v>
      </c>
      <c r="D62">
        <v>20.5</v>
      </c>
      <c r="E62" s="5">
        <f t="shared" si="15"/>
        <v>0</v>
      </c>
      <c r="F62" s="5">
        <f t="shared" si="16"/>
        <v>0</v>
      </c>
      <c r="M62" s="3">
        <f t="shared" si="17"/>
        <v>0</v>
      </c>
      <c r="N62" s="3">
        <f t="shared" si="18"/>
        <v>0</v>
      </c>
      <c r="O62" s="3">
        <f t="shared" si="19"/>
        <v>0</v>
      </c>
      <c r="P62" s="3">
        <f t="shared" si="20"/>
        <v>0</v>
      </c>
      <c r="Q62" s="3">
        <f t="shared" si="21"/>
        <v>0</v>
      </c>
    </row>
    <row r="63" spans="1:17" x14ac:dyDescent="0.2">
      <c r="A63" t="s">
        <v>73</v>
      </c>
      <c r="B63">
        <v>0</v>
      </c>
      <c r="C63" s="5">
        <f t="shared" si="14"/>
        <v>0</v>
      </c>
      <c r="D63">
        <v>63</v>
      </c>
      <c r="E63" s="5">
        <f>C63*D63</f>
        <v>0</v>
      </c>
      <c r="F63" s="5">
        <f t="shared" si="16"/>
        <v>0</v>
      </c>
      <c r="M63" s="3">
        <f t="shared" si="17"/>
        <v>0</v>
      </c>
      <c r="N63" s="3">
        <f t="shared" si="18"/>
        <v>0</v>
      </c>
      <c r="O63" s="3">
        <f t="shared" si="19"/>
        <v>0</v>
      </c>
      <c r="P63" s="3">
        <f t="shared" si="20"/>
        <v>0</v>
      </c>
      <c r="Q63" s="3">
        <f t="shared" si="21"/>
        <v>0</v>
      </c>
    </row>
    <row r="64" spans="1:17" x14ac:dyDescent="0.2">
      <c r="A64" t="s">
        <v>74</v>
      </c>
      <c r="B64">
        <v>0</v>
      </c>
      <c r="C64" s="5">
        <f t="shared" si="14"/>
        <v>0</v>
      </c>
      <c r="D64">
        <v>60.7</v>
      </c>
      <c r="E64" s="5">
        <f t="shared" si="15"/>
        <v>0</v>
      </c>
      <c r="F64" s="5">
        <f t="shared" si="16"/>
        <v>0</v>
      </c>
      <c r="M64" s="3">
        <f t="shared" si="17"/>
        <v>0</v>
      </c>
      <c r="N64" s="3">
        <f t="shared" si="18"/>
        <v>0</v>
      </c>
      <c r="O64" s="3">
        <f t="shared" si="19"/>
        <v>0</v>
      </c>
      <c r="P64" s="3">
        <f t="shared" si="20"/>
        <v>0</v>
      </c>
      <c r="Q64" s="3">
        <f t="shared" si="21"/>
        <v>0</v>
      </c>
    </row>
    <row r="65" spans="1:17" x14ac:dyDescent="0.2">
      <c r="A65" t="s">
        <v>75</v>
      </c>
      <c r="B65">
        <v>0</v>
      </c>
      <c r="C65" s="5">
        <f t="shared" si="14"/>
        <v>0</v>
      </c>
      <c r="D65">
        <v>85.1</v>
      </c>
      <c r="E65" s="5">
        <f t="shared" si="15"/>
        <v>0</v>
      </c>
      <c r="F65" s="5">
        <f t="shared" si="16"/>
        <v>0</v>
      </c>
      <c r="M65" s="3">
        <f t="shared" si="17"/>
        <v>0</v>
      </c>
      <c r="N65" s="3">
        <f t="shared" si="18"/>
        <v>0</v>
      </c>
      <c r="O65" s="3">
        <f t="shared" si="19"/>
        <v>0</v>
      </c>
      <c r="P65" s="3">
        <f t="shared" si="20"/>
        <v>0</v>
      </c>
      <c r="Q65" s="3">
        <f t="shared" si="21"/>
        <v>0</v>
      </c>
    </row>
    <row r="66" spans="1:17" x14ac:dyDescent="0.2">
      <c r="A66" t="s">
        <v>76</v>
      </c>
      <c r="B66">
        <v>0</v>
      </c>
      <c r="C66" s="5">
        <f t="shared" si="14"/>
        <v>0</v>
      </c>
      <c r="D66">
        <v>22.7</v>
      </c>
      <c r="E66" s="5">
        <f t="shared" si="15"/>
        <v>0</v>
      </c>
      <c r="F66" s="5">
        <f t="shared" si="16"/>
        <v>0</v>
      </c>
      <c r="M66" s="3">
        <f t="shared" si="17"/>
        <v>0</v>
      </c>
      <c r="N66" s="3">
        <f t="shared" si="18"/>
        <v>0</v>
      </c>
      <c r="O66" s="3">
        <f t="shared" si="19"/>
        <v>0</v>
      </c>
      <c r="P66" s="3">
        <f t="shared" si="20"/>
        <v>0</v>
      </c>
      <c r="Q66" s="3">
        <f t="shared" si="21"/>
        <v>0</v>
      </c>
    </row>
    <row r="67" spans="1:17" x14ac:dyDescent="0.2">
      <c r="A67" t="s">
        <v>77</v>
      </c>
      <c r="B67">
        <v>0</v>
      </c>
      <c r="C67" s="5">
        <f t="shared" si="14"/>
        <v>0</v>
      </c>
      <c r="D67">
        <v>44</v>
      </c>
      <c r="E67" s="5">
        <f>C67*D67</f>
        <v>0</v>
      </c>
      <c r="F67" s="5">
        <f t="shared" si="16"/>
        <v>0</v>
      </c>
      <c r="M67" s="8">
        <f t="shared" si="17"/>
        <v>0</v>
      </c>
      <c r="N67" s="8">
        <f t="shared" si="18"/>
        <v>0</v>
      </c>
      <c r="O67" s="8">
        <f t="shared" si="19"/>
        <v>0</v>
      </c>
      <c r="P67" s="8">
        <f t="shared" si="20"/>
        <v>0</v>
      </c>
      <c r="Q67" s="3">
        <f t="shared" si="21"/>
        <v>0</v>
      </c>
    </row>
    <row r="68" spans="1:17" x14ac:dyDescent="0.2">
      <c r="A68" t="s">
        <v>78</v>
      </c>
      <c r="B68" s="1">
        <f>SUM(B59:B67)</f>
        <v>0</v>
      </c>
      <c r="C68" s="7">
        <f>SUM(C59:C67)</f>
        <v>0</v>
      </c>
      <c r="M68" s="4">
        <f>SUM(M59:M67)</f>
        <v>0</v>
      </c>
      <c r="N68" s="4">
        <f>SUM(N59:N67)</f>
        <v>0</v>
      </c>
      <c r="O68" s="4">
        <f>SUM(O59:O67)</f>
        <v>0</v>
      </c>
      <c r="P68" s="4">
        <f>SUM(P59:P67)</f>
        <v>0</v>
      </c>
      <c r="Q68" s="4">
        <f>SUM(Q59:Q67)</f>
        <v>0</v>
      </c>
    </row>
    <row r="69" spans="1:17" x14ac:dyDescent="0.2">
      <c r="A69" s="1" t="s">
        <v>129</v>
      </c>
      <c r="M69" s="3"/>
      <c r="N69" s="3"/>
      <c r="O69" s="3"/>
      <c r="P69" s="3"/>
    </row>
    <row r="70" spans="1:17" x14ac:dyDescent="0.2">
      <c r="A70" s="1" t="s">
        <v>130</v>
      </c>
      <c r="M70" s="3"/>
      <c r="N70" s="3"/>
      <c r="O70" s="3"/>
      <c r="P70" s="3"/>
    </row>
    <row r="71" spans="1:17" ht="13.5" thickBot="1" x14ac:dyDescent="0.25">
      <c r="A71" s="144"/>
      <c r="B71" s="152"/>
      <c r="M71" s="3"/>
      <c r="N71" s="3"/>
      <c r="O71" s="3"/>
      <c r="P71" s="3"/>
    </row>
    <row r="72" spans="1:17" x14ac:dyDescent="0.2">
      <c r="A72" s="91" t="s">
        <v>183</v>
      </c>
      <c r="B72" s="32" t="s">
        <v>178</v>
      </c>
      <c r="C72" s="32"/>
      <c r="D72" s="32"/>
      <c r="E72" s="33"/>
      <c r="F72" s="34"/>
      <c r="M72" s="3"/>
      <c r="N72" s="3"/>
      <c r="O72" s="3"/>
      <c r="P72" s="3"/>
    </row>
    <row r="73" spans="1:17" x14ac:dyDescent="0.2">
      <c r="A73" s="92" t="s">
        <v>79</v>
      </c>
      <c r="B73" s="79" t="s">
        <v>80</v>
      </c>
      <c r="C73" s="79" t="s">
        <v>3</v>
      </c>
      <c r="D73" s="79" t="s">
        <v>81</v>
      </c>
      <c r="E73" s="79" t="s">
        <v>140</v>
      </c>
      <c r="F73" s="35"/>
      <c r="M73" s="3"/>
      <c r="N73" s="3"/>
      <c r="O73" s="3"/>
      <c r="P73" s="3"/>
    </row>
    <row r="74" spans="1:17" x14ac:dyDescent="0.2">
      <c r="A74" s="59" t="s">
        <v>82</v>
      </c>
      <c r="B74" s="60">
        <v>2194</v>
      </c>
      <c r="C74" s="60">
        <v>12</v>
      </c>
      <c r="D74" s="60">
        <v>2.5</v>
      </c>
      <c r="E74" s="53">
        <f>B74*D74</f>
        <v>5485</v>
      </c>
      <c r="F74" s="35"/>
      <c r="M74" s="3"/>
      <c r="N74" s="3"/>
      <c r="O74" s="3"/>
      <c r="P74" s="3"/>
    </row>
    <row r="75" spans="1:17" x14ac:dyDescent="0.2">
      <c r="A75" s="59" t="s">
        <v>83</v>
      </c>
      <c r="B75" s="93">
        <v>248</v>
      </c>
      <c r="C75" s="60">
        <v>50</v>
      </c>
      <c r="D75" s="60">
        <v>7.25</v>
      </c>
      <c r="E75" s="53">
        <f>B75*D75</f>
        <v>1798</v>
      </c>
      <c r="F75" s="35"/>
      <c r="M75" s="3"/>
      <c r="N75" s="3"/>
      <c r="O75" s="3"/>
      <c r="P75" s="3"/>
    </row>
    <row r="76" spans="1:17" x14ac:dyDescent="0.2">
      <c r="A76" s="59" t="s">
        <v>84</v>
      </c>
      <c r="B76" s="60">
        <v>2635</v>
      </c>
      <c r="C76" s="60">
        <v>20</v>
      </c>
      <c r="D76" s="60">
        <v>3.5</v>
      </c>
      <c r="E76" s="53">
        <f>B76*D76</f>
        <v>9222.5</v>
      </c>
      <c r="F76" s="35"/>
      <c r="M76" s="3"/>
      <c r="N76" s="3"/>
      <c r="O76" s="3"/>
      <c r="P76" s="3"/>
    </row>
    <row r="77" spans="1:17" x14ac:dyDescent="0.2">
      <c r="A77" s="59" t="s">
        <v>85</v>
      </c>
      <c r="B77" s="60">
        <v>4333</v>
      </c>
      <c r="C77" s="60">
        <v>18</v>
      </c>
      <c r="D77" s="83">
        <v>3.25</v>
      </c>
      <c r="E77" s="53">
        <f>B77*D77</f>
        <v>14082.25</v>
      </c>
      <c r="F77" s="35"/>
      <c r="M77" s="3"/>
      <c r="N77" s="3"/>
      <c r="O77" s="3"/>
      <c r="P77" s="3"/>
    </row>
    <row r="78" spans="1:17" x14ac:dyDescent="0.2">
      <c r="A78" s="59" t="s">
        <v>86</v>
      </c>
      <c r="B78" s="60">
        <v>2870</v>
      </c>
      <c r="C78" s="60">
        <v>16</v>
      </c>
      <c r="D78" s="60">
        <v>3</v>
      </c>
      <c r="E78" s="53">
        <f>B78*D78</f>
        <v>8610</v>
      </c>
      <c r="F78" s="36"/>
      <c r="M78" s="3"/>
      <c r="N78" s="3"/>
      <c r="O78" s="3"/>
      <c r="P78" s="3"/>
    </row>
    <row r="79" spans="1:17" ht="27.75" customHeight="1" x14ac:dyDescent="0.25">
      <c r="A79" s="59" t="s">
        <v>139</v>
      </c>
      <c r="B79" s="60">
        <f>SUM(B74:B78)</f>
        <v>12280</v>
      </c>
      <c r="C79" s="60"/>
      <c r="D79" s="60"/>
      <c r="E79" s="37">
        <f>SUM(E74:E78)</f>
        <v>39197.75</v>
      </c>
      <c r="F79" s="36" t="s">
        <v>162</v>
      </c>
      <c r="G79" s="153" t="s">
        <v>180</v>
      </c>
      <c r="H79" s="154"/>
      <c r="I79" s="154"/>
      <c r="J79" s="43"/>
      <c r="M79" s="3"/>
      <c r="N79" s="3"/>
      <c r="O79" s="3"/>
      <c r="P79" s="3"/>
    </row>
    <row r="80" spans="1:17" ht="31.5" customHeight="1" thickBot="1" x14ac:dyDescent="0.3">
      <c r="A80" s="81" t="s">
        <v>157</v>
      </c>
      <c r="B80" s="80"/>
      <c r="C80" s="80"/>
      <c r="D80" s="80"/>
      <c r="E80" s="40">
        <f>SUM(E74:E76)</f>
        <v>16505.5</v>
      </c>
      <c r="F80" s="41" t="s">
        <v>164</v>
      </c>
      <c r="G80" s="153" t="s">
        <v>181</v>
      </c>
      <c r="H80" s="154"/>
      <c r="I80" s="154"/>
      <c r="J80" s="17"/>
      <c r="M80" s="54" t="s">
        <v>185</v>
      </c>
      <c r="N80" s="54"/>
      <c r="O80" s="54"/>
      <c r="P80" s="54"/>
      <c r="Q80" s="17" t="s">
        <v>186</v>
      </c>
    </row>
    <row r="81" spans="1:22" ht="13.5" thickBot="1" x14ac:dyDescent="0.25">
      <c r="A81" s="86" t="s">
        <v>184</v>
      </c>
      <c r="B81" s="31" t="s">
        <v>179</v>
      </c>
      <c r="C81" s="17"/>
      <c r="D81" s="144" t="s">
        <v>165</v>
      </c>
      <c r="E81" s="144"/>
      <c r="F81" s="144" t="s">
        <v>166</v>
      </c>
      <c r="G81" s="145"/>
      <c r="M81" s="146" t="s">
        <v>165</v>
      </c>
      <c r="N81" s="147"/>
      <c r="O81" s="147"/>
      <c r="P81" s="147"/>
      <c r="Q81" s="148"/>
      <c r="R81" s="149" t="s">
        <v>167</v>
      </c>
      <c r="S81" s="150"/>
      <c r="T81" s="150"/>
      <c r="U81" s="150"/>
      <c r="V81" s="151"/>
    </row>
    <row r="82" spans="1:22" x14ac:dyDescent="0.2">
      <c r="A82" s="55" t="s">
        <v>87</v>
      </c>
      <c r="B82" s="74" t="s">
        <v>88</v>
      </c>
      <c r="C82" s="88" t="s">
        <v>89</v>
      </c>
      <c r="D82" s="89" t="s">
        <v>90</v>
      </c>
      <c r="E82" s="90" t="s">
        <v>91</v>
      </c>
      <c r="F82" s="55" t="s">
        <v>90</v>
      </c>
      <c r="G82" s="88" t="s">
        <v>158</v>
      </c>
      <c r="M82" s="94" t="s">
        <v>8</v>
      </c>
      <c r="N82" s="95" t="s">
        <v>135</v>
      </c>
      <c r="O82" s="95" t="s">
        <v>92</v>
      </c>
      <c r="P82" s="95" t="s">
        <v>10</v>
      </c>
      <c r="Q82" s="96" t="s">
        <v>146</v>
      </c>
      <c r="R82" s="47" t="s">
        <v>8</v>
      </c>
      <c r="S82" s="70" t="s">
        <v>135</v>
      </c>
      <c r="T82" s="70" t="s">
        <v>92</v>
      </c>
      <c r="U82" s="70" t="s">
        <v>10</v>
      </c>
      <c r="V82" s="48" t="s">
        <v>146</v>
      </c>
    </row>
    <row r="83" spans="1:22" x14ac:dyDescent="0.2">
      <c r="A83" s="59" t="s">
        <v>93</v>
      </c>
      <c r="B83" s="60">
        <v>11</v>
      </c>
      <c r="C83" s="36">
        <v>0.21</v>
      </c>
      <c r="D83" s="44">
        <f t="shared" ref="D83:D88" si="22">$E$80*C83</f>
        <v>3466.1549999999997</v>
      </c>
      <c r="E83" s="45">
        <f>D83*25</f>
        <v>86653.875</v>
      </c>
      <c r="F83" s="47">
        <f>E$79*C83</f>
        <v>8231.5275000000001</v>
      </c>
      <c r="G83" s="48">
        <f>F83*25</f>
        <v>205788.1875</v>
      </c>
      <c r="M83" s="99">
        <f>E83*0.48/2000</f>
        <v>20.79693</v>
      </c>
      <c r="N83" s="68">
        <f t="shared" ref="N83:N88" si="23">E83*0.24/2000</f>
        <v>10.398465</v>
      </c>
      <c r="O83" s="68">
        <f t="shared" ref="O83:O88" si="24">E83*0.06/2000</f>
        <v>2.59961625</v>
      </c>
      <c r="P83" s="68">
        <f t="shared" ref="P83:P88" si="25">E83*0.008/2000</f>
        <v>0.34661550000000002</v>
      </c>
      <c r="Q83" s="69">
        <f t="shared" ref="Q83:Q88" si="26">E83*0.015/2000</f>
        <v>0.64990406249999999</v>
      </c>
      <c r="R83" s="99">
        <f>G83*0.48/2000</f>
        <v>49.389164999999998</v>
      </c>
      <c r="S83" s="68">
        <f t="shared" ref="S83:S88" si="27">G83*0.24/2000</f>
        <v>24.694582499999999</v>
      </c>
      <c r="T83" s="68">
        <f t="shared" ref="T83:T88" si="28">G83*0.06/2000</f>
        <v>6.1736456249999998</v>
      </c>
      <c r="U83" s="68">
        <f t="shared" ref="U83:U88" si="29">G83*0.008/2000</f>
        <v>0.82315274999999999</v>
      </c>
      <c r="V83" s="69">
        <f t="shared" ref="V83:V88" si="30">G83*0.015/2000</f>
        <v>1.54341140625</v>
      </c>
    </row>
    <row r="84" spans="1:22" x14ac:dyDescent="0.2">
      <c r="A84" s="59" t="s">
        <v>94</v>
      </c>
      <c r="B84" s="60">
        <v>3</v>
      </c>
      <c r="C84" s="36">
        <v>0.06</v>
      </c>
      <c r="D84" s="44">
        <f t="shared" si="22"/>
        <v>990.32999999999993</v>
      </c>
      <c r="E84" s="45">
        <f>D84*55</f>
        <v>54468.149999999994</v>
      </c>
      <c r="F84" s="47">
        <f>E$79*C84</f>
        <v>2351.8649999999998</v>
      </c>
      <c r="G84" s="48">
        <f>F84*55</f>
        <v>129352.57499999998</v>
      </c>
      <c r="M84" s="99">
        <f>E84*0.48/2000</f>
        <v>13.072355999999997</v>
      </c>
      <c r="N84" s="68">
        <f t="shared" si="23"/>
        <v>6.5361779999999987</v>
      </c>
      <c r="O84" s="68">
        <f t="shared" si="24"/>
        <v>1.6340444999999997</v>
      </c>
      <c r="P84" s="68">
        <f t="shared" si="25"/>
        <v>0.21787259999999997</v>
      </c>
      <c r="Q84" s="69">
        <f t="shared" si="26"/>
        <v>0.40851112499999992</v>
      </c>
      <c r="R84" s="99">
        <f>G84*0.48/2000</f>
        <v>31.044617999999996</v>
      </c>
      <c r="S84" s="68">
        <f t="shared" si="27"/>
        <v>15.522308999999998</v>
      </c>
      <c r="T84" s="68">
        <f t="shared" si="28"/>
        <v>3.8805772499999995</v>
      </c>
      <c r="U84" s="68">
        <f t="shared" si="29"/>
        <v>0.51741029999999988</v>
      </c>
      <c r="V84" s="69">
        <f t="shared" si="30"/>
        <v>0.97014431249999988</v>
      </c>
    </row>
    <row r="85" spans="1:22" x14ac:dyDescent="0.2">
      <c r="A85" s="59" t="s">
        <v>95</v>
      </c>
      <c r="B85" s="60">
        <v>24</v>
      </c>
      <c r="C85" s="36">
        <v>0.42</v>
      </c>
      <c r="D85" s="44">
        <f t="shared" si="22"/>
        <v>6932.3099999999995</v>
      </c>
      <c r="E85" s="45">
        <f>D85*105</f>
        <v>727892.54999999993</v>
      </c>
      <c r="F85" s="47">
        <f>E$79*C85</f>
        <v>16463.055</v>
      </c>
      <c r="G85" s="48">
        <f>F85*105</f>
        <v>1728620.7750000001</v>
      </c>
      <c r="M85" s="99">
        <f>E85*0.48/2000</f>
        <v>174.69421199999996</v>
      </c>
      <c r="N85" s="68">
        <f t="shared" si="23"/>
        <v>87.347105999999982</v>
      </c>
      <c r="O85" s="68">
        <f t="shared" si="24"/>
        <v>21.836776499999996</v>
      </c>
      <c r="P85" s="68">
        <f t="shared" si="25"/>
        <v>2.9115701999999994</v>
      </c>
      <c r="Q85" s="69">
        <f t="shared" si="26"/>
        <v>5.4591941249999989</v>
      </c>
      <c r="R85" s="99">
        <f>G85*0.48/2000</f>
        <v>414.86898600000001</v>
      </c>
      <c r="S85" s="68">
        <f t="shared" si="27"/>
        <v>207.434493</v>
      </c>
      <c r="T85" s="68">
        <f t="shared" si="28"/>
        <v>51.858623250000001</v>
      </c>
      <c r="U85" s="68">
        <f t="shared" si="29"/>
        <v>6.9144831</v>
      </c>
      <c r="V85" s="69">
        <f t="shared" si="30"/>
        <v>12.9646558125</v>
      </c>
    </row>
    <row r="86" spans="1:22" x14ac:dyDescent="0.2">
      <c r="A86" s="59" t="s">
        <v>96</v>
      </c>
      <c r="B86" s="60">
        <v>13</v>
      </c>
      <c r="C86" s="36">
        <v>0.25</v>
      </c>
      <c r="D86" s="44">
        <f t="shared" si="22"/>
        <v>4126.375</v>
      </c>
      <c r="E86" s="45">
        <f>D86*194</f>
        <v>800516.75</v>
      </c>
      <c r="F86" s="47">
        <f>E$79*C86</f>
        <v>9799.4375</v>
      </c>
      <c r="G86" s="48">
        <f>F86*194</f>
        <v>1901090.875</v>
      </c>
      <c r="M86" s="99">
        <f>E86*0.48/2000</f>
        <v>192.12402</v>
      </c>
      <c r="N86" s="68">
        <f t="shared" si="23"/>
        <v>96.062010000000001</v>
      </c>
      <c r="O86" s="68">
        <f t="shared" si="24"/>
        <v>24.0155025</v>
      </c>
      <c r="P86" s="68">
        <f t="shared" si="25"/>
        <v>3.202067</v>
      </c>
      <c r="Q86" s="69">
        <f t="shared" si="26"/>
        <v>6.003875625</v>
      </c>
      <c r="R86" s="99">
        <f>G86*0.48/2000</f>
        <v>456.26181000000003</v>
      </c>
      <c r="S86" s="68">
        <f t="shared" si="27"/>
        <v>228.13090500000001</v>
      </c>
      <c r="T86" s="68">
        <f t="shared" si="28"/>
        <v>57.032726250000003</v>
      </c>
      <c r="U86" s="68">
        <f t="shared" si="29"/>
        <v>7.6043635000000007</v>
      </c>
      <c r="V86" s="69">
        <f t="shared" si="30"/>
        <v>14.258181562500001</v>
      </c>
    </row>
    <row r="87" spans="1:22" x14ac:dyDescent="0.2">
      <c r="A87" s="59" t="s">
        <v>97</v>
      </c>
      <c r="B87" s="60">
        <v>3</v>
      </c>
      <c r="C87" s="36">
        <v>0.06</v>
      </c>
      <c r="D87" s="44">
        <f t="shared" si="22"/>
        <v>990.32999999999993</v>
      </c>
      <c r="E87" s="45">
        <f>D87*325</f>
        <v>321857.25</v>
      </c>
      <c r="F87" s="47">
        <f>E$79*C87</f>
        <v>2351.8649999999998</v>
      </c>
      <c r="G87" s="48">
        <f>F87*325</f>
        <v>764356.12499999988</v>
      </c>
      <c r="M87" s="99">
        <f>E87*0.48/2000</f>
        <v>77.245739999999984</v>
      </c>
      <c r="N87" s="68">
        <f t="shared" si="23"/>
        <v>38.622869999999992</v>
      </c>
      <c r="O87" s="68">
        <f t="shared" si="24"/>
        <v>9.655717499999998</v>
      </c>
      <c r="P87" s="68">
        <f t="shared" si="25"/>
        <v>1.2874290000000002</v>
      </c>
      <c r="Q87" s="69">
        <f t="shared" si="26"/>
        <v>2.4139293749999995</v>
      </c>
      <c r="R87" s="99">
        <f>G87*0.48/2000</f>
        <v>183.44546999999997</v>
      </c>
      <c r="S87" s="68">
        <f t="shared" si="27"/>
        <v>91.722734999999986</v>
      </c>
      <c r="T87" s="68">
        <f t="shared" si="28"/>
        <v>22.930683749999996</v>
      </c>
      <c r="U87" s="68">
        <f t="shared" si="29"/>
        <v>3.0574244999999998</v>
      </c>
      <c r="V87" s="69">
        <f t="shared" si="30"/>
        <v>5.7326709374999991</v>
      </c>
    </row>
    <row r="88" spans="1:22" x14ac:dyDescent="0.2">
      <c r="A88" s="59" t="s">
        <v>98</v>
      </c>
      <c r="B88" s="60">
        <v>0</v>
      </c>
      <c r="C88" s="36">
        <v>0</v>
      </c>
      <c r="D88" s="18">
        <f t="shared" si="22"/>
        <v>0</v>
      </c>
      <c r="E88" s="19"/>
      <c r="F88" s="49"/>
      <c r="G88" s="50"/>
      <c r="M88" s="99">
        <f>E88*0.41/2000</f>
        <v>0</v>
      </c>
      <c r="N88" s="68">
        <f t="shared" si="23"/>
        <v>0</v>
      </c>
      <c r="O88" s="68">
        <f t="shared" si="24"/>
        <v>0</v>
      </c>
      <c r="P88" s="68">
        <f t="shared" si="25"/>
        <v>0</v>
      </c>
      <c r="Q88" s="69">
        <f t="shared" si="26"/>
        <v>0</v>
      </c>
      <c r="R88" s="99">
        <f>G88*0.41/2000</f>
        <v>0</v>
      </c>
      <c r="S88" s="68">
        <f t="shared" si="27"/>
        <v>0</v>
      </c>
      <c r="T88" s="68">
        <f t="shared" si="28"/>
        <v>0</v>
      </c>
      <c r="U88" s="68">
        <f t="shared" si="29"/>
        <v>0</v>
      </c>
      <c r="V88" s="69">
        <f t="shared" si="30"/>
        <v>0</v>
      </c>
    </row>
    <row r="89" spans="1:22" ht="13.5" thickBot="1" x14ac:dyDescent="0.25">
      <c r="A89" s="38"/>
      <c r="B89" s="39"/>
      <c r="C89" s="42"/>
      <c r="D89" s="20"/>
      <c r="E89" s="46">
        <f>SUM(E83:E88)</f>
        <v>1991388.575</v>
      </c>
      <c r="F89" s="51"/>
      <c r="G89" s="52">
        <f>SUM(G83:G87)</f>
        <v>4729208.5374999996</v>
      </c>
      <c r="M89" s="97">
        <f t="shared" ref="M89:V89" si="31">SUM(M83:M88)</f>
        <v>477.93325799999991</v>
      </c>
      <c r="N89" s="62">
        <f t="shared" si="31"/>
        <v>238.96662899999995</v>
      </c>
      <c r="O89" s="62">
        <f t="shared" si="31"/>
        <v>59.741657249999989</v>
      </c>
      <c r="P89" s="62">
        <f t="shared" si="31"/>
        <v>7.9655543</v>
      </c>
      <c r="Q89" s="63">
        <f t="shared" si="31"/>
        <v>14.935414312499997</v>
      </c>
      <c r="R89" s="97">
        <f t="shared" si="31"/>
        <v>1135.010049</v>
      </c>
      <c r="S89" s="62">
        <f t="shared" si="31"/>
        <v>567.50502449999999</v>
      </c>
      <c r="T89" s="62">
        <f t="shared" si="31"/>
        <v>141.876256125</v>
      </c>
      <c r="U89" s="62">
        <f t="shared" si="31"/>
        <v>18.91683415</v>
      </c>
      <c r="V89" s="63">
        <f t="shared" si="31"/>
        <v>35.469064031249999</v>
      </c>
    </row>
    <row r="90" spans="1:22" x14ac:dyDescent="0.2">
      <c r="F90" s="12" t="s">
        <v>187</v>
      </c>
      <c r="M90" s="3"/>
      <c r="N90" s="3"/>
      <c r="O90" s="3"/>
      <c r="P90" s="3"/>
    </row>
    <row r="91" spans="1:22" x14ac:dyDescent="0.2">
      <c r="A91" s="1" t="s">
        <v>119</v>
      </c>
      <c r="B91" s="1" t="s">
        <v>149</v>
      </c>
      <c r="C91" s="1" t="s">
        <v>121</v>
      </c>
      <c r="D91" s="1"/>
      <c r="M91" s="4" t="s">
        <v>8</v>
      </c>
      <c r="N91" s="4" t="s">
        <v>135</v>
      </c>
      <c r="O91" s="4" t="s">
        <v>92</v>
      </c>
      <c r="P91" s="4" t="s">
        <v>10</v>
      </c>
      <c r="Q91" s="2" t="s">
        <v>146</v>
      </c>
    </row>
    <row r="92" spans="1:22" x14ac:dyDescent="0.2">
      <c r="A92" s="12" t="s">
        <v>120</v>
      </c>
      <c r="B92" t="s">
        <v>150</v>
      </c>
      <c r="C92">
        <f>2600*0.5</f>
        <v>1300</v>
      </c>
      <c r="E92">
        <f>+C92*55</f>
        <v>71500</v>
      </c>
      <c r="M92" s="4">
        <f>E92*0.48/2000</f>
        <v>17.16</v>
      </c>
      <c r="N92" s="4">
        <f>E92*0.24/2000</f>
        <v>8.58</v>
      </c>
      <c r="O92" s="4">
        <f>E92*0.06/2000</f>
        <v>2.145</v>
      </c>
      <c r="P92" s="4">
        <f>E92*0.008/2000</f>
        <v>0.28599999999999998</v>
      </c>
      <c r="Q92" s="4">
        <f>E92*0.015/2000</f>
        <v>0.53625</v>
      </c>
    </row>
    <row r="93" spans="1:22" x14ac:dyDescent="0.2">
      <c r="A93" s="1" t="s">
        <v>133</v>
      </c>
      <c r="M93" s="3"/>
      <c r="N93" s="3"/>
      <c r="O93" s="3"/>
      <c r="P93" s="3"/>
    </row>
    <row r="94" spans="1:22" x14ac:dyDescent="0.2">
      <c r="A94" s="1"/>
      <c r="G94">
        <v>71500</v>
      </c>
      <c r="M94" s="3"/>
      <c r="N94" s="3"/>
      <c r="O94" s="3"/>
      <c r="P94" s="3"/>
    </row>
    <row r="95" spans="1:22" x14ac:dyDescent="0.2">
      <c r="A95" s="1" t="s">
        <v>141</v>
      </c>
      <c r="M95" s="11" t="s">
        <v>8</v>
      </c>
      <c r="N95" s="16"/>
      <c r="O95" s="11" t="s">
        <v>9</v>
      </c>
      <c r="P95" s="3"/>
    </row>
    <row r="96" spans="1:22" ht="13.5" customHeight="1" x14ac:dyDescent="0.2">
      <c r="A96" s="1" t="s">
        <v>142</v>
      </c>
      <c r="M96" s="4">
        <v>0</v>
      </c>
      <c r="N96" s="4"/>
      <c r="O96" s="4">
        <v>0</v>
      </c>
      <c r="P96" s="3"/>
    </row>
    <row r="97" spans="1:17" x14ac:dyDescent="0.2">
      <c r="A97" s="1"/>
      <c r="M97" s="3"/>
      <c r="N97" s="3"/>
      <c r="O97" s="3"/>
      <c r="P97" s="3"/>
    </row>
    <row r="98" spans="1:17" x14ac:dyDescent="0.2">
      <c r="M98" s="3"/>
      <c r="N98" s="3"/>
      <c r="O98" s="3"/>
      <c r="P98" s="3"/>
    </row>
    <row r="99" spans="1:17" x14ac:dyDescent="0.2">
      <c r="A99" s="1" t="s">
        <v>99</v>
      </c>
      <c r="M99" s="4">
        <f>M55+M68+M89+M92+M96</f>
        <v>495.09325799999993</v>
      </c>
      <c r="N99" s="4">
        <f>N55+N68+N89+N92</f>
        <v>247.54662899999997</v>
      </c>
      <c r="O99" s="4">
        <f>O55+O68+O89+O92+O96</f>
        <v>61.886657249999992</v>
      </c>
      <c r="P99" s="4">
        <f>P55+P68+P89+P92</f>
        <v>8.2515543000000005</v>
      </c>
      <c r="Q99" s="4">
        <f>Q55+Q68+Q89+Q92</f>
        <v>15.471664312499998</v>
      </c>
    </row>
    <row r="100" spans="1:17" x14ac:dyDescent="0.2">
      <c r="A100" s="1" t="s">
        <v>100</v>
      </c>
      <c r="M100" s="4">
        <f>M99/365</f>
        <v>1.3564198849315068</v>
      </c>
      <c r="N100" s="4">
        <f>N99/365</f>
        <v>0.67820994246575339</v>
      </c>
      <c r="O100" s="4">
        <f>O99/365</f>
        <v>0.16955248561643835</v>
      </c>
      <c r="P100" s="4">
        <f>P99/365</f>
        <v>2.2606998082191781E-2</v>
      </c>
      <c r="Q100" s="4">
        <f>Q99/365</f>
        <v>4.2388121404109587E-2</v>
      </c>
    </row>
    <row r="103" spans="1:17" x14ac:dyDescent="0.2">
      <c r="A103" s="10"/>
    </row>
    <row r="104" spans="1:17" ht="25.5" x14ac:dyDescent="0.2">
      <c r="A104" s="28" t="s">
        <v>137</v>
      </c>
    </row>
    <row r="105" spans="1:17" ht="63.75" x14ac:dyDescent="0.2">
      <c r="A105" s="28" t="s">
        <v>182</v>
      </c>
    </row>
    <row r="106" spans="1:17" ht="61.5" customHeight="1" x14ac:dyDescent="0.2">
      <c r="A106" s="28" t="s">
        <v>145</v>
      </c>
    </row>
    <row r="107" spans="1:17" ht="25.5" x14ac:dyDescent="0.2">
      <c r="A107" s="28" t="s">
        <v>153</v>
      </c>
    </row>
    <row r="108" spans="1:17" x14ac:dyDescent="0.2">
      <c r="A108" s="10" t="s">
        <v>154</v>
      </c>
    </row>
  </sheetData>
  <mergeCells count="7">
    <mergeCell ref="D81:E81"/>
    <mergeCell ref="F81:G81"/>
    <mergeCell ref="M81:Q81"/>
    <mergeCell ref="R81:V81"/>
    <mergeCell ref="A71:B71"/>
    <mergeCell ref="G79:I79"/>
    <mergeCell ref="G80:I80"/>
  </mergeCells>
  <phoneticPr fontId="0" type="noConversion"/>
  <pageMargins left="0.75" right="0.75" top="1" bottom="1" header="0.5" footer="0.5"/>
  <pageSetup paperSize="3" scale="43"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22" sqref="E22"/>
    </sheetView>
  </sheetViews>
  <sheetFormatPr defaultRowHeight="12.75" x14ac:dyDescent="0.2"/>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TTILE</vt:lpstr>
      <vt:lpstr>README</vt:lpstr>
      <vt:lpstr>3-TOTAL CMV EMISSIONS</vt:lpstr>
      <vt:lpstr>2-EmisbyCounty (fuel based)</vt:lpstr>
      <vt:lpstr>1-Total Emissions (fuel based)</vt:lpstr>
      <vt:lpstr>Sheet2</vt: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Jim Koroniades</cp:lastModifiedBy>
  <cp:lastPrinted>2012-04-02T15:09:19Z</cp:lastPrinted>
  <dcterms:created xsi:type="dcterms:W3CDTF">1996-10-14T23:33:28Z</dcterms:created>
  <dcterms:modified xsi:type="dcterms:W3CDTF">2012-05-21T15:40:10Z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212050271</vt:i4>
  </property>
  <property fmtid="{D5CDD505-2E9C-101B-9397-08002B2CF9AE}" pid="3" name="_EmailSubject">
    <vt:lpwstr>CMV</vt:lpwstr>
  </property>
  <property fmtid="{D5CDD505-2E9C-101B-9397-08002B2CF9AE}" pid="4" name="_AuthorEmail">
    <vt:lpwstr>kmatty@state.pa.us</vt:lpwstr>
  </property>
  <property fmtid="{D5CDD505-2E9C-101B-9397-08002B2CF9AE}" pid="5" name="_AuthorEmailDisplayName">
    <vt:lpwstr>Matty, Kelley</vt:lpwstr>
  </property>
  <property fmtid="{D5CDD505-2E9C-101B-9397-08002B2CF9AE}" pid="6" name="_ReviewingToolsShownOnce">
    <vt:lpwstr/>
  </property>
</Properties>
</file>