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45" yWindow="-15" windowWidth="5160" windowHeight="4005" tabRatio="595"/>
  </bookViews>
  <sheets>
    <sheet name="README" sheetId="13" r:id="rId1"/>
    <sheet name="SNJ CTY EMISSIONS" sheetId="12" r:id="rId2"/>
    <sheet name="Activity Data" sheetId="4" r:id="rId3"/>
    <sheet name="Emission Factors" sheetId="8" r:id="rId4"/>
    <sheet name="Calculations" sheetId="5" r:id="rId5"/>
    <sheet name="NIF Translation" sheetId="9" r:id="rId6"/>
    <sheet name="NIF Values" sheetId="10" r:id="rId7"/>
    <sheet name="QA_QC" sheetId="11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M9" i="12" l="1"/>
  <c r="L9" i="12"/>
  <c r="K9" i="12"/>
  <c r="J9" i="12"/>
  <c r="I9" i="12"/>
  <c r="H9" i="12"/>
  <c r="E7" i="8" l="1"/>
  <c r="E5" i="8"/>
  <c r="E6" i="8"/>
  <c r="D7" i="8"/>
  <c r="D6" i="8"/>
  <c r="D5" i="8"/>
  <c r="C7" i="8"/>
  <c r="C6" i="8"/>
  <c r="C5" i="8"/>
  <c r="F5" i="8"/>
  <c r="F6" i="8"/>
  <c r="F7" i="8"/>
  <c r="G7" i="8"/>
  <c r="G6" i="8"/>
  <c r="G5" i="8"/>
  <c r="U7" i="8"/>
  <c r="V7" i="8" s="1"/>
  <c r="T7" i="8"/>
  <c r="U6" i="8"/>
  <c r="V6" i="8" s="1"/>
  <c r="T6" i="8"/>
  <c r="U5" i="8"/>
  <c r="V5" i="8" s="1"/>
  <c r="T5" i="8"/>
  <c r="F7" i="12" l="1"/>
  <c r="F6" i="12"/>
  <c r="D42" i="4"/>
  <c r="D41" i="4"/>
  <c r="D40" i="4"/>
  <c r="D35" i="4"/>
  <c r="D27" i="4"/>
  <c r="H17" i="4" l="1"/>
  <c r="C17" i="4" l="1"/>
  <c r="E17" i="4"/>
  <c r="D17" i="4"/>
  <c r="D9" i="4"/>
  <c r="L44" i="9" l="1"/>
  <c r="L43" i="9"/>
  <c r="L42" i="9"/>
  <c r="L41" i="9"/>
  <c r="L40" i="9"/>
  <c r="L39" i="9"/>
  <c r="L62" i="9" l="1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38" i="9" l="1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J77" i="4"/>
  <c r="O73" i="4"/>
  <c r="B68" i="4" s="1"/>
  <c r="B67" i="4"/>
  <c r="B66" i="4"/>
  <c r="B65" i="4"/>
  <c r="B64" i="4"/>
  <c r="AS32" i="9" s="1"/>
  <c r="B63" i="4"/>
  <c r="L8" i="9"/>
  <c r="L7" i="9"/>
  <c r="L6" i="9"/>
  <c r="L5" i="9"/>
  <c r="L4" i="9"/>
  <c r="L3" i="9"/>
  <c r="H43" i="9" l="1"/>
  <c r="H41" i="9"/>
  <c r="H39" i="9"/>
  <c r="H44" i="9"/>
  <c r="H42" i="9"/>
  <c r="H40" i="9"/>
  <c r="H61" i="9"/>
  <c r="H59" i="9"/>
  <c r="H57" i="9"/>
  <c r="H55" i="9"/>
  <c r="H53" i="9"/>
  <c r="H51" i="9"/>
  <c r="H49" i="9"/>
  <c r="H47" i="9"/>
  <c r="H45" i="9"/>
  <c r="H62" i="9"/>
  <c r="H60" i="9"/>
  <c r="H58" i="9"/>
  <c r="H56" i="9"/>
  <c r="H54" i="9"/>
  <c r="H52" i="9"/>
  <c r="H50" i="9"/>
  <c r="H48" i="9"/>
  <c r="H46" i="9"/>
  <c r="H37" i="9"/>
  <c r="H35" i="9"/>
  <c r="H33" i="9"/>
  <c r="H31" i="9"/>
  <c r="H29" i="9"/>
  <c r="H38" i="9"/>
  <c r="H36" i="9"/>
  <c r="H34" i="9"/>
  <c r="H32" i="9"/>
  <c r="H30" i="9"/>
  <c r="H28" i="9"/>
  <c r="H26" i="9"/>
  <c r="H24" i="9"/>
  <c r="H22" i="9"/>
  <c r="H20" i="9"/>
  <c r="H18" i="9"/>
  <c r="H16" i="9"/>
  <c r="H14" i="9"/>
  <c r="H12" i="9"/>
  <c r="H10" i="9"/>
  <c r="H8" i="9"/>
  <c r="H7" i="9"/>
  <c r="H6" i="9"/>
  <c r="H5" i="9"/>
  <c r="H4" i="9"/>
  <c r="H3" i="9"/>
  <c r="H27" i="9"/>
  <c r="H25" i="9"/>
  <c r="H23" i="9"/>
  <c r="H21" i="9"/>
  <c r="H19" i="9"/>
  <c r="H17" i="9"/>
  <c r="H15" i="9"/>
  <c r="H13" i="9"/>
  <c r="H11" i="9"/>
  <c r="H9" i="9"/>
  <c r="AR44" i="9"/>
  <c r="AR43" i="9"/>
  <c r="AR42" i="9"/>
  <c r="AR41" i="9"/>
  <c r="AR40" i="9"/>
  <c r="AR39" i="9"/>
  <c r="AR61" i="9"/>
  <c r="AR59" i="9"/>
  <c r="AR57" i="9"/>
  <c r="AR55" i="9"/>
  <c r="AR53" i="9"/>
  <c r="AR51" i="9"/>
  <c r="AR49" i="9"/>
  <c r="AR47" i="9"/>
  <c r="AR45" i="9"/>
  <c r="AR62" i="9"/>
  <c r="AR60" i="9"/>
  <c r="AR58" i="9"/>
  <c r="AR56" i="9"/>
  <c r="AR54" i="9"/>
  <c r="AR52" i="9"/>
  <c r="AR50" i="9"/>
  <c r="AR48" i="9"/>
  <c r="AR46" i="9"/>
  <c r="AR38" i="9"/>
  <c r="AR37" i="9"/>
  <c r="AR36" i="9"/>
  <c r="AR35" i="9"/>
  <c r="AR34" i="9"/>
  <c r="AR33" i="9"/>
  <c r="AR32" i="9"/>
  <c r="AR31" i="9"/>
  <c r="AR30" i="9"/>
  <c r="AR29" i="9"/>
  <c r="AR28" i="9"/>
  <c r="AR27" i="9"/>
  <c r="AR26" i="9"/>
  <c r="AR25" i="9"/>
  <c r="AR24" i="9"/>
  <c r="AR23" i="9"/>
  <c r="AR22" i="9"/>
  <c r="AR21" i="9"/>
  <c r="AR20" i="9"/>
  <c r="AR19" i="9"/>
  <c r="AR18" i="9"/>
  <c r="AR17" i="9"/>
  <c r="AR16" i="9"/>
  <c r="AR15" i="9"/>
  <c r="AR14" i="9"/>
  <c r="E44" i="9"/>
  <c r="E42" i="9"/>
  <c r="E40" i="9"/>
  <c r="E43" i="9"/>
  <c r="E41" i="9"/>
  <c r="E39" i="9"/>
  <c r="E62" i="9"/>
  <c r="E60" i="9"/>
  <c r="E58" i="9"/>
  <c r="E56" i="9"/>
  <c r="E54" i="9"/>
  <c r="E52" i="9"/>
  <c r="E50" i="9"/>
  <c r="E48" i="9"/>
  <c r="E46" i="9"/>
  <c r="E45" i="9"/>
  <c r="E61" i="9"/>
  <c r="E59" i="9"/>
  <c r="E57" i="9"/>
  <c r="E55" i="9"/>
  <c r="E53" i="9"/>
  <c r="E51" i="9"/>
  <c r="E49" i="9"/>
  <c r="E47" i="9"/>
  <c r="E38" i="9"/>
  <c r="E36" i="9"/>
  <c r="E34" i="9"/>
  <c r="E32" i="9"/>
  <c r="E30" i="9"/>
  <c r="E37" i="9"/>
  <c r="E35" i="9"/>
  <c r="E33" i="9"/>
  <c r="E31" i="9"/>
  <c r="E29" i="9"/>
  <c r="E27" i="9"/>
  <c r="E25" i="9"/>
  <c r="E23" i="9"/>
  <c r="E21" i="9"/>
  <c r="E19" i="9"/>
  <c r="E17" i="9"/>
  <c r="E15" i="9"/>
  <c r="E13" i="9"/>
  <c r="E11" i="9"/>
  <c r="E9" i="9"/>
  <c r="G44" i="9"/>
  <c r="G42" i="9"/>
  <c r="G40" i="9"/>
  <c r="G43" i="9"/>
  <c r="G41" i="9"/>
  <c r="G39" i="9"/>
  <c r="G62" i="9"/>
  <c r="G60" i="9"/>
  <c r="G58" i="9"/>
  <c r="G56" i="9"/>
  <c r="G54" i="9"/>
  <c r="G52" i="9"/>
  <c r="G50" i="9"/>
  <c r="G48" i="9"/>
  <c r="G46" i="9"/>
  <c r="G45" i="9"/>
  <c r="G61" i="9"/>
  <c r="G59" i="9"/>
  <c r="G57" i="9"/>
  <c r="G55" i="9"/>
  <c r="G53" i="9"/>
  <c r="G51" i="9"/>
  <c r="G49" i="9"/>
  <c r="G47" i="9"/>
  <c r="G38" i="9"/>
  <c r="G36" i="9"/>
  <c r="G34" i="9"/>
  <c r="G32" i="9"/>
  <c r="G30" i="9"/>
  <c r="G28" i="9"/>
  <c r="G37" i="9"/>
  <c r="G35" i="9"/>
  <c r="G33" i="9"/>
  <c r="G31" i="9"/>
  <c r="G29" i="9"/>
  <c r="G27" i="9"/>
  <c r="G25" i="9"/>
  <c r="G23" i="9"/>
  <c r="G21" i="9"/>
  <c r="G19" i="9"/>
  <c r="G17" i="9"/>
  <c r="G15" i="9"/>
  <c r="G13" i="9"/>
  <c r="G11" i="9"/>
  <c r="G9" i="9"/>
  <c r="E3" i="9"/>
  <c r="G3" i="9"/>
  <c r="E4" i="9"/>
  <c r="G4" i="9"/>
  <c r="E5" i="9"/>
  <c r="G5" i="9"/>
  <c r="E6" i="9"/>
  <c r="G6" i="9"/>
  <c r="E7" i="9"/>
  <c r="G7" i="9"/>
  <c r="E8" i="9"/>
  <c r="G8" i="9"/>
  <c r="AR3" i="9"/>
  <c r="AR4" i="9"/>
  <c r="AR5" i="9"/>
  <c r="AR6" i="9"/>
  <c r="AR7" i="9"/>
  <c r="AR8" i="9"/>
  <c r="AR9" i="9"/>
  <c r="AR10" i="9"/>
  <c r="AR11" i="9"/>
  <c r="AR12" i="9"/>
  <c r="AR13" i="9"/>
  <c r="AS14" i="9"/>
  <c r="AS16" i="9"/>
  <c r="AS18" i="9"/>
  <c r="AS20" i="9"/>
  <c r="AS22" i="9"/>
  <c r="AS24" i="9"/>
  <c r="AS26" i="9"/>
  <c r="AS28" i="9"/>
  <c r="AS30" i="9"/>
  <c r="E10" i="9"/>
  <c r="E12" i="9"/>
  <c r="E14" i="9"/>
  <c r="E16" i="9"/>
  <c r="E18" i="9"/>
  <c r="E20" i="9"/>
  <c r="E22" i="9"/>
  <c r="E24" i="9"/>
  <c r="E26" i="9"/>
  <c r="E28" i="9"/>
  <c r="AS44" i="9"/>
  <c r="AS43" i="9"/>
  <c r="AS42" i="9"/>
  <c r="AS41" i="9"/>
  <c r="AS40" i="9"/>
  <c r="AS39" i="9"/>
  <c r="AS62" i="9"/>
  <c r="AS60" i="9"/>
  <c r="AS58" i="9"/>
  <c r="AS56" i="9"/>
  <c r="AS54" i="9"/>
  <c r="AS52" i="9"/>
  <c r="AS50" i="9"/>
  <c r="AS48" i="9"/>
  <c r="AS46" i="9"/>
  <c r="AS45" i="9"/>
  <c r="AS61" i="9"/>
  <c r="AS59" i="9"/>
  <c r="AS57" i="9"/>
  <c r="AS55" i="9"/>
  <c r="AS53" i="9"/>
  <c r="AS51" i="9"/>
  <c r="AS49" i="9"/>
  <c r="AS47" i="9"/>
  <c r="AS38" i="9"/>
  <c r="AS37" i="9"/>
  <c r="AS36" i="9"/>
  <c r="AS35" i="9"/>
  <c r="AS34" i="9"/>
  <c r="AS33" i="9"/>
  <c r="F43" i="9"/>
  <c r="F41" i="9"/>
  <c r="F39" i="9"/>
  <c r="F44" i="9"/>
  <c r="F42" i="9"/>
  <c r="F40" i="9"/>
  <c r="F61" i="9"/>
  <c r="F59" i="9"/>
  <c r="F57" i="9"/>
  <c r="F55" i="9"/>
  <c r="F53" i="9"/>
  <c r="F51" i="9"/>
  <c r="F49" i="9"/>
  <c r="F47" i="9"/>
  <c r="F45" i="9"/>
  <c r="F62" i="9"/>
  <c r="F60" i="9"/>
  <c r="F58" i="9"/>
  <c r="F56" i="9"/>
  <c r="F54" i="9"/>
  <c r="F52" i="9"/>
  <c r="F50" i="9"/>
  <c r="F48" i="9"/>
  <c r="F46" i="9"/>
  <c r="F37" i="9"/>
  <c r="F35" i="9"/>
  <c r="F33" i="9"/>
  <c r="F31" i="9"/>
  <c r="F29" i="9"/>
  <c r="F38" i="9"/>
  <c r="F36" i="9"/>
  <c r="F34" i="9"/>
  <c r="F32" i="9"/>
  <c r="F30" i="9"/>
  <c r="F28" i="9"/>
  <c r="F26" i="9"/>
  <c r="F24" i="9"/>
  <c r="F22" i="9"/>
  <c r="F20" i="9"/>
  <c r="F18" i="9"/>
  <c r="F16" i="9"/>
  <c r="F14" i="9"/>
  <c r="F12" i="9"/>
  <c r="F10" i="9"/>
  <c r="F3" i="9"/>
  <c r="F4" i="9"/>
  <c r="F5" i="9"/>
  <c r="F6" i="9"/>
  <c r="F7" i="9"/>
  <c r="F8" i="9"/>
  <c r="AS3" i="9"/>
  <c r="AS4" i="9"/>
  <c r="AS5" i="9"/>
  <c r="AS6" i="9"/>
  <c r="AS7" i="9"/>
  <c r="AS8" i="9"/>
  <c r="AS9" i="9"/>
  <c r="AS10" i="9"/>
  <c r="AS11" i="9"/>
  <c r="AS12" i="9"/>
  <c r="AS13" i="9"/>
  <c r="AS15" i="9"/>
  <c r="AS17" i="9"/>
  <c r="AS19" i="9"/>
  <c r="AS21" i="9"/>
  <c r="AS23" i="9"/>
  <c r="AS25" i="9"/>
  <c r="AS27" i="9"/>
  <c r="AS29" i="9"/>
  <c r="AS31" i="9"/>
  <c r="F9" i="9"/>
  <c r="G10" i="9"/>
  <c r="F11" i="9"/>
  <c r="G12" i="9"/>
  <c r="F13" i="9"/>
  <c r="G14" i="9"/>
  <c r="F15" i="9"/>
  <c r="G16" i="9"/>
  <c r="F17" i="9"/>
  <c r="G18" i="9"/>
  <c r="F19" i="9"/>
  <c r="G20" i="9"/>
  <c r="F21" i="9"/>
  <c r="G22" i="9"/>
  <c r="F23" i="9"/>
  <c r="G24" i="9"/>
  <c r="F25" i="9"/>
  <c r="G26" i="9"/>
  <c r="F27" i="9"/>
  <c r="J10" i="4"/>
  <c r="I10" i="4"/>
  <c r="I56" i="4"/>
  <c r="I55" i="4"/>
  <c r="I54" i="4"/>
  <c r="F56" i="4"/>
  <c r="F55" i="4"/>
  <c r="F54" i="4"/>
  <c r="C56" i="4"/>
  <c r="C55" i="4"/>
  <c r="C54" i="4"/>
  <c r="I49" i="4"/>
  <c r="I48" i="4"/>
  <c r="I47" i="4"/>
  <c r="F49" i="4"/>
  <c r="F48" i="4"/>
  <c r="F47" i="4"/>
  <c r="C49" i="4"/>
  <c r="C48" i="4"/>
  <c r="C47" i="4"/>
  <c r="J17" i="4" l="1"/>
  <c r="J23" i="4" s="1"/>
  <c r="K54" i="4"/>
  <c r="C10" i="5" s="1"/>
  <c r="H54" i="4"/>
  <c r="C9" i="5" s="1"/>
  <c r="E54" i="4"/>
  <c r="C8" i="5" s="1"/>
  <c r="H7" i="8"/>
  <c r="H6" i="8"/>
  <c r="H5" i="8"/>
  <c r="M9" i="5" l="1"/>
  <c r="J9" i="5"/>
  <c r="L8" i="5"/>
  <c r="J8" i="5"/>
  <c r="L10" i="5"/>
  <c r="J10" i="5"/>
  <c r="G34" i="5"/>
  <c r="M39" i="9" s="1"/>
  <c r="D8" i="5"/>
  <c r="D10" i="5"/>
  <c r="E8" i="5"/>
  <c r="G8" i="5"/>
  <c r="I8" i="5"/>
  <c r="F9" i="5"/>
  <c r="H9" i="5"/>
  <c r="E10" i="5"/>
  <c r="G10" i="5"/>
  <c r="I10" i="5"/>
  <c r="K8" i="5"/>
  <c r="M8" i="5"/>
  <c r="L9" i="5"/>
  <c r="P34" i="5" s="1"/>
  <c r="Z51" i="9" s="1"/>
  <c r="K10" i="5"/>
  <c r="M10" i="5"/>
  <c r="D9" i="5"/>
  <c r="F8" i="5"/>
  <c r="H8" i="5"/>
  <c r="E9" i="5"/>
  <c r="G9" i="5"/>
  <c r="I9" i="5"/>
  <c r="F10" i="5"/>
  <c r="H10" i="5"/>
  <c r="K9" i="5"/>
  <c r="D39" i="4"/>
  <c r="D38" i="4"/>
  <c r="D37" i="4"/>
  <c r="D36" i="4"/>
  <c r="H18" i="4"/>
  <c r="H19" i="4"/>
  <c r="G19" i="4"/>
  <c r="F19" i="4"/>
  <c r="D34" i="4"/>
  <c r="D33" i="4"/>
  <c r="D32" i="4"/>
  <c r="D31" i="4"/>
  <c r="D30" i="4"/>
  <c r="D29" i="4"/>
  <c r="D28" i="4"/>
  <c r="I18" i="4"/>
  <c r="G18" i="4"/>
  <c r="F18" i="4"/>
  <c r="D18" i="4"/>
  <c r="N4" i="4"/>
  <c r="N14" i="4"/>
  <c r="N15" i="4"/>
  <c r="I19" i="4"/>
  <c r="I20" i="4"/>
  <c r="E19" i="4"/>
  <c r="D19" i="4"/>
  <c r="C19" i="4"/>
  <c r="D11" i="4"/>
  <c r="I17" i="4" s="1"/>
  <c r="D10" i="4"/>
  <c r="F17" i="4" s="1"/>
  <c r="D8" i="4"/>
  <c r="D7" i="4"/>
  <c r="O39" i="9" l="1"/>
  <c r="Q39" i="9"/>
  <c r="H34" i="5"/>
  <c r="N34" i="5"/>
  <c r="Z39" i="9" s="1"/>
  <c r="M57" i="9"/>
  <c r="M51" i="9"/>
  <c r="M45" i="9"/>
  <c r="AB51" i="9"/>
  <c r="AG51" i="9" s="1"/>
  <c r="AF51" i="9"/>
  <c r="AD51" i="9"/>
  <c r="AH51" i="9" s="1"/>
  <c r="M33" i="9"/>
  <c r="M21" i="9"/>
  <c r="M15" i="9"/>
  <c r="M9" i="9"/>
  <c r="M3" i="9"/>
  <c r="M27" i="9"/>
  <c r="N16" i="4"/>
  <c r="C18" i="4" s="1"/>
  <c r="L34" i="5"/>
  <c r="Z27" i="9" s="1"/>
  <c r="Q34" i="5"/>
  <c r="Z57" i="9" s="1"/>
  <c r="J34" i="5"/>
  <c r="Z3" i="9" s="1"/>
  <c r="O34" i="5"/>
  <c r="Z45" i="9" s="1"/>
  <c r="M34" i="5"/>
  <c r="Z33" i="9" s="1"/>
  <c r="I34" i="5"/>
  <c r="Z9" i="9" s="1"/>
  <c r="K34" i="5"/>
  <c r="Z21" i="9" s="1"/>
  <c r="Z15" i="9"/>
  <c r="H20" i="4"/>
  <c r="I22" i="4"/>
  <c r="E42" i="4" s="1"/>
  <c r="I23" i="4"/>
  <c r="B56" i="4" s="1"/>
  <c r="G17" i="4"/>
  <c r="AD39" i="9" l="1"/>
  <c r="AH39" i="9" s="1"/>
  <c r="AF39" i="9"/>
  <c r="AB39" i="9"/>
  <c r="AG39" i="9" s="1"/>
  <c r="AF45" i="9"/>
  <c r="AD45" i="9"/>
  <c r="AH45" i="9" s="1"/>
  <c r="AB45" i="9"/>
  <c r="AG45" i="9" s="1"/>
  <c r="Q45" i="9"/>
  <c r="O45" i="9"/>
  <c r="Q57" i="9"/>
  <c r="O57" i="9"/>
  <c r="AF57" i="9"/>
  <c r="AD57" i="9"/>
  <c r="AH57" i="9" s="1"/>
  <c r="AB57" i="9"/>
  <c r="AG57" i="9" s="1"/>
  <c r="O51" i="9"/>
  <c r="Q51" i="9"/>
  <c r="AD21" i="9"/>
  <c r="AH21" i="9" s="1"/>
  <c r="AF21" i="9"/>
  <c r="AB21" i="9"/>
  <c r="AG21" i="9" s="1"/>
  <c r="AD15" i="9"/>
  <c r="AH15" i="9" s="1"/>
  <c r="AF15" i="9"/>
  <c r="AB15" i="9"/>
  <c r="AG15" i="9" s="1"/>
  <c r="AD9" i="9"/>
  <c r="AH9" i="9" s="1"/>
  <c r="AF9" i="9"/>
  <c r="AB9" i="9"/>
  <c r="AG9" i="9" s="1"/>
  <c r="Q3" i="9"/>
  <c r="O3" i="9"/>
  <c r="Q15" i="9"/>
  <c r="O15" i="9"/>
  <c r="Q33" i="9"/>
  <c r="O33" i="9"/>
  <c r="AD33" i="9"/>
  <c r="AH33" i="9" s="1"/>
  <c r="AF33" i="9"/>
  <c r="AB33" i="9"/>
  <c r="AG33" i="9" s="1"/>
  <c r="AD3" i="9"/>
  <c r="AH3" i="9" s="1"/>
  <c r="AF3" i="9"/>
  <c r="AB3" i="9"/>
  <c r="AG3" i="9" s="1"/>
  <c r="AD27" i="9"/>
  <c r="AH27" i="9" s="1"/>
  <c r="AF27" i="9"/>
  <c r="AB27" i="9"/>
  <c r="AG27" i="9" s="1"/>
  <c r="Q27" i="9"/>
  <c r="O27" i="9"/>
  <c r="Q9" i="9"/>
  <c r="O9" i="9"/>
  <c r="Q21" i="9"/>
  <c r="O21" i="9"/>
  <c r="H56" i="4"/>
  <c r="C27" i="5" s="1"/>
  <c r="J27" i="5" s="1"/>
  <c r="E56" i="4"/>
  <c r="C26" i="5" s="1"/>
  <c r="J26" i="5" s="1"/>
  <c r="K56" i="4"/>
  <c r="C28" i="5" s="1"/>
  <c r="J28" i="5" s="1"/>
  <c r="H23" i="4"/>
  <c r="H22" i="4"/>
  <c r="E40" i="4" s="1"/>
  <c r="G20" i="4"/>
  <c r="G22" i="4" s="1"/>
  <c r="E41" i="4" s="1"/>
  <c r="F20" i="4"/>
  <c r="F22" i="4" s="1"/>
  <c r="E37" i="4" s="1"/>
  <c r="D20" i="4"/>
  <c r="C20" i="4"/>
  <c r="E18" i="4"/>
  <c r="E20" i="4" s="1"/>
  <c r="E22" i="4" s="1"/>
  <c r="E35" i="4" s="1"/>
  <c r="G23" i="4"/>
  <c r="D23" i="4"/>
  <c r="D22" i="4"/>
  <c r="F23" i="4"/>
  <c r="E23" i="4"/>
  <c r="N36" i="5" l="1"/>
  <c r="Z41" i="9" s="1"/>
  <c r="B55" i="4"/>
  <c r="B57" i="4" s="1"/>
  <c r="L28" i="5"/>
  <c r="D28" i="5"/>
  <c r="H28" i="5"/>
  <c r="M28" i="5"/>
  <c r="G28" i="5"/>
  <c r="F28" i="5"/>
  <c r="K28" i="5"/>
  <c r="E28" i="5"/>
  <c r="I28" i="5"/>
  <c r="L27" i="5"/>
  <c r="H27" i="5"/>
  <c r="M27" i="5"/>
  <c r="E27" i="5"/>
  <c r="I27" i="5"/>
  <c r="F27" i="5"/>
  <c r="K27" i="5"/>
  <c r="D27" i="5"/>
  <c r="G27" i="5"/>
  <c r="L26" i="5"/>
  <c r="P36" i="5" s="1"/>
  <c r="Z53" i="9" s="1"/>
  <c r="D26" i="5"/>
  <c r="F26" i="5"/>
  <c r="K26" i="5"/>
  <c r="G26" i="5"/>
  <c r="G36" i="5"/>
  <c r="M41" i="9" s="1"/>
  <c r="H26" i="5"/>
  <c r="L36" i="5" s="1"/>
  <c r="Z29" i="9" s="1"/>
  <c r="M26" i="5"/>
  <c r="Q36" i="5" s="1"/>
  <c r="Z59" i="9" s="1"/>
  <c r="E26" i="5"/>
  <c r="I36" i="5" s="1"/>
  <c r="Z11" i="9" s="1"/>
  <c r="I26" i="5"/>
  <c r="E38" i="4"/>
  <c r="E39" i="4"/>
  <c r="E36" i="4"/>
  <c r="E32" i="4"/>
  <c r="E31" i="4"/>
  <c r="E34" i="4"/>
  <c r="E33" i="4"/>
  <c r="K55" i="4"/>
  <c r="C19" i="5" s="1"/>
  <c r="J19" i="5" s="1"/>
  <c r="C22" i="4"/>
  <c r="C23" i="4"/>
  <c r="J36" i="5" l="1"/>
  <c r="Z5" i="9" s="1"/>
  <c r="AD5" i="9" s="1"/>
  <c r="AH5" i="9" s="1"/>
  <c r="M36" i="5"/>
  <c r="Z35" i="9" s="1"/>
  <c r="E55" i="4"/>
  <c r="C17" i="5" s="1"/>
  <c r="J17" i="5" s="1"/>
  <c r="AD41" i="9"/>
  <c r="AH41" i="9" s="1"/>
  <c r="AF41" i="9"/>
  <c r="AN41" i="9" s="1"/>
  <c r="AB41" i="9"/>
  <c r="AG41" i="9" s="1"/>
  <c r="O41" i="9"/>
  <c r="Q41" i="9"/>
  <c r="E57" i="4"/>
  <c r="H55" i="4"/>
  <c r="C18" i="5" s="1"/>
  <c r="J18" i="5" s="1"/>
  <c r="AF59" i="9"/>
  <c r="AD59" i="9"/>
  <c r="AH59" i="9" s="1"/>
  <c r="AB59" i="9"/>
  <c r="AG59" i="9" s="1"/>
  <c r="M59" i="9"/>
  <c r="M53" i="9"/>
  <c r="M47" i="9"/>
  <c r="AF53" i="9"/>
  <c r="AN53" i="9" s="1"/>
  <c r="AD53" i="9"/>
  <c r="AH53" i="9" s="1"/>
  <c r="AB53" i="9"/>
  <c r="AG53" i="9" s="1"/>
  <c r="AD11" i="9"/>
  <c r="AH11" i="9" s="1"/>
  <c r="AF11" i="9"/>
  <c r="AB11" i="9"/>
  <c r="AG11" i="9" s="1"/>
  <c r="AD29" i="9"/>
  <c r="AH29" i="9" s="1"/>
  <c r="AF29" i="9"/>
  <c r="AB29" i="9"/>
  <c r="AG29" i="9" s="1"/>
  <c r="AD35" i="9"/>
  <c r="AH35" i="9" s="1"/>
  <c r="AF35" i="9"/>
  <c r="AB35" i="9"/>
  <c r="AG35" i="9" s="1"/>
  <c r="M29" i="9"/>
  <c r="M17" i="9"/>
  <c r="M5" i="9"/>
  <c r="M35" i="9"/>
  <c r="M23" i="9"/>
  <c r="M11" i="9"/>
  <c r="O36" i="5"/>
  <c r="Z47" i="9" s="1"/>
  <c r="L19" i="5"/>
  <c r="D19" i="5"/>
  <c r="H19" i="5"/>
  <c r="M19" i="5"/>
  <c r="G19" i="5"/>
  <c r="F19" i="5"/>
  <c r="K19" i="5"/>
  <c r="E19" i="5"/>
  <c r="I19" i="5"/>
  <c r="H36" i="5"/>
  <c r="Z17" i="9" s="1"/>
  <c r="L18" i="5"/>
  <c r="H18" i="5"/>
  <c r="M18" i="5"/>
  <c r="E18" i="5"/>
  <c r="I18" i="5"/>
  <c r="F18" i="5"/>
  <c r="K18" i="5"/>
  <c r="D18" i="5"/>
  <c r="G18" i="5"/>
  <c r="K36" i="5"/>
  <c r="Z23" i="9" s="1"/>
  <c r="L17" i="5"/>
  <c r="P35" i="5" s="1"/>
  <c r="Z52" i="9" s="1"/>
  <c r="G35" i="5"/>
  <c r="M40" i="9" s="1"/>
  <c r="D17" i="5"/>
  <c r="F17" i="5"/>
  <c r="K17" i="5"/>
  <c r="G17" i="5"/>
  <c r="H17" i="5"/>
  <c r="L35" i="5" s="1"/>
  <c r="Z28" i="9" s="1"/>
  <c r="M17" i="5"/>
  <c r="E17" i="5"/>
  <c r="I17" i="5"/>
  <c r="K57" i="4"/>
  <c r="E30" i="4"/>
  <c r="B49" i="4" s="1"/>
  <c r="E28" i="4"/>
  <c r="E27" i="4"/>
  <c r="E29" i="4"/>
  <c r="B47" i="4" s="1"/>
  <c r="AF5" i="9" l="1"/>
  <c r="AB5" i="9"/>
  <c r="AG5" i="9" s="1"/>
  <c r="J35" i="5"/>
  <c r="Z4" i="9" s="1"/>
  <c r="I35" i="5"/>
  <c r="Z10" i="9" s="1"/>
  <c r="AF10" i="9" s="1"/>
  <c r="N35" i="5"/>
  <c r="Z40" i="9" s="1"/>
  <c r="AF40" i="9" s="1"/>
  <c r="AN40" i="9" s="1"/>
  <c r="O40" i="9"/>
  <c r="Q40" i="9"/>
  <c r="H57" i="4"/>
  <c r="O35" i="5"/>
  <c r="Z46" i="9" s="1"/>
  <c r="AF46" i="9" s="1"/>
  <c r="M35" i="5"/>
  <c r="Z34" i="9" s="1"/>
  <c r="AB34" i="9" s="1"/>
  <c r="AG34" i="9" s="1"/>
  <c r="Q35" i="5"/>
  <c r="Z58" i="9" s="1"/>
  <c r="Q53" i="9"/>
  <c r="O53" i="9"/>
  <c r="AN59" i="9"/>
  <c r="AF47" i="9"/>
  <c r="AN47" i="9" s="1"/>
  <c r="AD47" i="9"/>
  <c r="AH47" i="9" s="1"/>
  <c r="AB47" i="9"/>
  <c r="AG47" i="9" s="1"/>
  <c r="O47" i="9"/>
  <c r="Q47" i="9"/>
  <c r="O59" i="9"/>
  <c r="Q59" i="9"/>
  <c r="AD46" i="9"/>
  <c r="AH46" i="9" s="1"/>
  <c r="AF52" i="9"/>
  <c r="AD52" i="9"/>
  <c r="AH52" i="9" s="1"/>
  <c r="AB52" i="9"/>
  <c r="AG52" i="9" s="1"/>
  <c r="AF58" i="9"/>
  <c r="AD58" i="9"/>
  <c r="AH58" i="9" s="1"/>
  <c r="AB58" i="9"/>
  <c r="AG58" i="9" s="1"/>
  <c r="M46" i="9"/>
  <c r="M58" i="9"/>
  <c r="M52" i="9"/>
  <c r="AF34" i="9"/>
  <c r="AB10" i="9"/>
  <c r="AG10" i="9" s="1"/>
  <c r="AD10" i="9"/>
  <c r="AH10" i="9" s="1"/>
  <c r="AD28" i="9"/>
  <c r="AH28" i="9" s="1"/>
  <c r="AF28" i="9"/>
  <c r="AB28" i="9"/>
  <c r="AG28" i="9" s="1"/>
  <c r="Q23" i="9"/>
  <c r="O23" i="9"/>
  <c r="Q5" i="9"/>
  <c r="O5" i="9"/>
  <c r="Q29" i="9"/>
  <c r="O29" i="9"/>
  <c r="AN35" i="9"/>
  <c r="AN29" i="9"/>
  <c r="AF4" i="9"/>
  <c r="AD4" i="9"/>
  <c r="AH4" i="9" s="1"/>
  <c r="AB4" i="9"/>
  <c r="AG4" i="9" s="1"/>
  <c r="M34" i="9"/>
  <c r="M22" i="9"/>
  <c r="M28" i="9"/>
  <c r="M16" i="9"/>
  <c r="M10" i="9"/>
  <c r="M4" i="9"/>
  <c r="AD23" i="9"/>
  <c r="AH23" i="9" s="1"/>
  <c r="AF23" i="9"/>
  <c r="AN23" i="9" s="1"/>
  <c r="AB23" i="9"/>
  <c r="AG23" i="9" s="1"/>
  <c r="AD17" i="9"/>
  <c r="AH17" i="9" s="1"/>
  <c r="AF17" i="9"/>
  <c r="AN17" i="9" s="1"/>
  <c r="AB17" i="9"/>
  <c r="AG17" i="9" s="1"/>
  <c r="Q11" i="9"/>
  <c r="O11" i="9"/>
  <c r="Q35" i="9"/>
  <c r="O35" i="9"/>
  <c r="Q17" i="9"/>
  <c r="O17" i="9"/>
  <c r="AN5" i="9"/>
  <c r="AN11" i="9"/>
  <c r="H35" i="5"/>
  <c r="Z16" i="9" s="1"/>
  <c r="K35" i="5"/>
  <c r="Z22" i="9" s="1"/>
  <c r="H47" i="4"/>
  <c r="C6" i="5" s="1"/>
  <c r="J6" i="5" s="1"/>
  <c r="E47" i="4"/>
  <c r="C5" i="5" s="1"/>
  <c r="J5" i="5" s="1"/>
  <c r="E49" i="4"/>
  <c r="C23" i="5" s="1"/>
  <c r="J23" i="5" s="1"/>
  <c r="H49" i="4"/>
  <c r="C24" i="5" s="1"/>
  <c r="J24" i="5" s="1"/>
  <c r="B48" i="4"/>
  <c r="E43" i="4"/>
  <c r="K49" i="4"/>
  <c r="C25" i="5" s="1"/>
  <c r="J25" i="5" s="1"/>
  <c r="K47" i="4"/>
  <c r="C7" i="5" s="1"/>
  <c r="J7" i="5" s="1"/>
  <c r="AB46" i="9" l="1"/>
  <c r="AG46" i="9" s="1"/>
  <c r="AD40" i="9"/>
  <c r="AH40" i="9" s="1"/>
  <c r="AB40" i="9"/>
  <c r="AG40" i="9" s="1"/>
  <c r="N37" i="5"/>
  <c r="Z42" i="9" s="1"/>
  <c r="N39" i="5"/>
  <c r="Z44" i="9" s="1"/>
  <c r="AD34" i="9"/>
  <c r="AH34" i="9" s="1"/>
  <c r="Q58" i="9"/>
  <c r="O58" i="9"/>
  <c r="AN58" i="9"/>
  <c r="AN46" i="9"/>
  <c r="O52" i="9"/>
  <c r="Q52" i="9"/>
  <c r="Q46" i="9"/>
  <c r="O46" i="9"/>
  <c r="AN52" i="9"/>
  <c r="AF22" i="9"/>
  <c r="AN22" i="9" s="1"/>
  <c r="AB22" i="9"/>
  <c r="AG22" i="9" s="1"/>
  <c r="AD22" i="9"/>
  <c r="AH22" i="9" s="1"/>
  <c r="AF16" i="9"/>
  <c r="AN16" i="9" s="1"/>
  <c r="AB16" i="9"/>
  <c r="AG16" i="9" s="1"/>
  <c r="AD16" i="9"/>
  <c r="AH16" i="9" s="1"/>
  <c r="Q10" i="9"/>
  <c r="O10" i="9"/>
  <c r="O28" i="9"/>
  <c r="Q28" i="9"/>
  <c r="O34" i="9"/>
  <c r="Q34" i="9"/>
  <c r="AN34" i="9"/>
  <c r="Q4" i="9"/>
  <c r="O4" i="9"/>
  <c r="O16" i="9"/>
  <c r="Q16" i="9"/>
  <c r="O22" i="9"/>
  <c r="Q22" i="9"/>
  <c r="AN4" i="9"/>
  <c r="AN28" i="9"/>
  <c r="AN10" i="9"/>
  <c r="L25" i="5"/>
  <c r="F25" i="5"/>
  <c r="K25" i="5"/>
  <c r="D25" i="5"/>
  <c r="E25" i="5"/>
  <c r="I25" i="5"/>
  <c r="H25" i="5"/>
  <c r="M25" i="5"/>
  <c r="G25" i="5"/>
  <c r="M7" i="5"/>
  <c r="F7" i="5"/>
  <c r="L7" i="5"/>
  <c r="D7" i="5"/>
  <c r="E7" i="5"/>
  <c r="I7" i="5"/>
  <c r="K7" i="5"/>
  <c r="H7" i="5"/>
  <c r="G7" i="5"/>
  <c r="L24" i="5"/>
  <c r="D24" i="5"/>
  <c r="H24" i="5"/>
  <c r="M24" i="5"/>
  <c r="G24" i="5"/>
  <c r="F24" i="5"/>
  <c r="K24" i="5"/>
  <c r="E24" i="5"/>
  <c r="I24" i="5"/>
  <c r="L6" i="5"/>
  <c r="D6" i="5"/>
  <c r="G6" i="5"/>
  <c r="K6" i="5"/>
  <c r="F6" i="5"/>
  <c r="E6" i="5"/>
  <c r="I6" i="5"/>
  <c r="M6" i="5"/>
  <c r="H6" i="5"/>
  <c r="L23" i="5"/>
  <c r="P39" i="5" s="1"/>
  <c r="Z56" i="9" s="1"/>
  <c r="G39" i="5"/>
  <c r="F23" i="5"/>
  <c r="K23" i="5"/>
  <c r="D23" i="5"/>
  <c r="H39" i="5" s="1"/>
  <c r="G23" i="5"/>
  <c r="H23" i="5"/>
  <c r="L39" i="5" s="1"/>
  <c r="M23" i="5"/>
  <c r="Q39" i="5" s="1"/>
  <c r="Z62" i="9" s="1"/>
  <c r="E23" i="5"/>
  <c r="I39" i="5" s="1"/>
  <c r="I23" i="5"/>
  <c r="M5" i="5"/>
  <c r="Q37" i="5" s="1"/>
  <c r="Z60" i="9" s="1"/>
  <c r="G37" i="5"/>
  <c r="F5" i="5"/>
  <c r="D5" i="5"/>
  <c r="G5" i="5"/>
  <c r="K37" i="5" s="1"/>
  <c r="K5" i="5"/>
  <c r="H5" i="5"/>
  <c r="L37" i="5" s="1"/>
  <c r="L5" i="5"/>
  <c r="P37" i="5" s="1"/>
  <c r="Z54" i="9" s="1"/>
  <c r="E5" i="5"/>
  <c r="I37" i="5" s="1"/>
  <c r="I5" i="5"/>
  <c r="K48" i="4"/>
  <c r="C16" i="5" s="1"/>
  <c r="J16" i="5" s="1"/>
  <c r="E48" i="4"/>
  <c r="C14" i="5" s="1"/>
  <c r="J14" i="5" s="1"/>
  <c r="H48" i="4"/>
  <c r="B50" i="4"/>
  <c r="M42" i="9" l="1"/>
  <c r="G6" i="12"/>
  <c r="M44" i="9"/>
  <c r="G8" i="12"/>
  <c r="J37" i="5"/>
  <c r="J39" i="5"/>
  <c r="Z14" i="9"/>
  <c r="I8" i="12"/>
  <c r="Z12" i="9"/>
  <c r="I6" i="12"/>
  <c r="Z20" i="9"/>
  <c r="H8" i="12"/>
  <c r="Z32" i="9"/>
  <c r="J8" i="12"/>
  <c r="Z30" i="9"/>
  <c r="J6" i="12"/>
  <c r="Z24" i="9"/>
  <c r="L6" i="12"/>
  <c r="AD42" i="9"/>
  <c r="AH42" i="9" s="1"/>
  <c r="AF42" i="9"/>
  <c r="AN42" i="9" s="1"/>
  <c r="AB42" i="9"/>
  <c r="AG42" i="9" s="1"/>
  <c r="O42" i="9"/>
  <c r="Q42" i="9"/>
  <c r="O44" i="9"/>
  <c r="Q44" i="9"/>
  <c r="AD44" i="9"/>
  <c r="AH44" i="9" s="1"/>
  <c r="AF44" i="9"/>
  <c r="AN44" i="9" s="1"/>
  <c r="AB44" i="9"/>
  <c r="AG44" i="9" s="1"/>
  <c r="AF60" i="9"/>
  <c r="AD60" i="9"/>
  <c r="AH60" i="9" s="1"/>
  <c r="AB60" i="9"/>
  <c r="AG60" i="9" s="1"/>
  <c r="AF56" i="9"/>
  <c r="AD56" i="9"/>
  <c r="AH56" i="9" s="1"/>
  <c r="AB56" i="9"/>
  <c r="AG56" i="9" s="1"/>
  <c r="AB54" i="9"/>
  <c r="AG54" i="9" s="1"/>
  <c r="AF54" i="9"/>
  <c r="AD54" i="9"/>
  <c r="AH54" i="9" s="1"/>
  <c r="M54" i="9"/>
  <c r="M60" i="9"/>
  <c r="M48" i="9"/>
  <c r="AF62" i="9"/>
  <c r="AD62" i="9"/>
  <c r="AH62" i="9" s="1"/>
  <c r="AB62" i="9"/>
  <c r="AG62" i="9" s="1"/>
  <c r="M50" i="9"/>
  <c r="M62" i="9"/>
  <c r="M56" i="9"/>
  <c r="AF12" i="9"/>
  <c r="AB12" i="9"/>
  <c r="AG12" i="9" s="1"/>
  <c r="AD12" i="9"/>
  <c r="AH12" i="9" s="1"/>
  <c r="AF30" i="9"/>
  <c r="AB30" i="9"/>
  <c r="AG30" i="9" s="1"/>
  <c r="AD30" i="9"/>
  <c r="AH30" i="9" s="1"/>
  <c r="AF24" i="9"/>
  <c r="AB24" i="9"/>
  <c r="AG24" i="9" s="1"/>
  <c r="AD24" i="9"/>
  <c r="AH24" i="9" s="1"/>
  <c r="AF14" i="9"/>
  <c r="AB14" i="9"/>
  <c r="AG14" i="9" s="1"/>
  <c r="AD14" i="9"/>
  <c r="AH14" i="9" s="1"/>
  <c r="AF32" i="9"/>
  <c r="AB32" i="9"/>
  <c r="AG32" i="9" s="1"/>
  <c r="AD32" i="9"/>
  <c r="AH32" i="9" s="1"/>
  <c r="AF20" i="9"/>
  <c r="AB20" i="9"/>
  <c r="AG20" i="9" s="1"/>
  <c r="AD20" i="9"/>
  <c r="AH20" i="9" s="1"/>
  <c r="M30" i="9"/>
  <c r="M18" i="9"/>
  <c r="M12" i="9"/>
  <c r="M36" i="9"/>
  <c r="M24" i="9"/>
  <c r="M6" i="9"/>
  <c r="M38" i="9"/>
  <c r="M26" i="9"/>
  <c r="M32" i="9"/>
  <c r="M20" i="9"/>
  <c r="M14" i="9"/>
  <c r="M8" i="9"/>
  <c r="M37" i="5"/>
  <c r="O37" i="5"/>
  <c r="Z48" i="9" s="1"/>
  <c r="H37" i="5"/>
  <c r="M39" i="5"/>
  <c r="K39" i="5"/>
  <c r="O39" i="5"/>
  <c r="Z50" i="9" s="1"/>
  <c r="L16" i="5"/>
  <c r="F16" i="5"/>
  <c r="K16" i="5"/>
  <c r="D16" i="5"/>
  <c r="E16" i="5"/>
  <c r="I16" i="5"/>
  <c r="H16" i="5"/>
  <c r="M16" i="5"/>
  <c r="G16" i="5"/>
  <c r="H50" i="4"/>
  <c r="C15" i="5"/>
  <c r="J15" i="5" s="1"/>
  <c r="N38" i="5" s="1"/>
  <c r="Z43" i="9" s="1"/>
  <c r="L14" i="5"/>
  <c r="G38" i="5"/>
  <c r="H14" i="5"/>
  <c r="M14" i="5"/>
  <c r="E14" i="5"/>
  <c r="I14" i="5"/>
  <c r="F14" i="5"/>
  <c r="K14" i="5"/>
  <c r="D14" i="5"/>
  <c r="G14" i="5"/>
  <c r="K50" i="4"/>
  <c r="E50" i="4"/>
  <c r="M43" i="9" l="1"/>
  <c r="G7" i="12"/>
  <c r="Z8" i="9"/>
  <c r="M8" i="12"/>
  <c r="Z6" i="9"/>
  <c r="M6" i="12"/>
  <c r="Z18" i="9"/>
  <c r="H6" i="12"/>
  <c r="Z38" i="9"/>
  <c r="K8" i="12"/>
  <c r="Z36" i="9"/>
  <c r="K6" i="12"/>
  <c r="Z26" i="9"/>
  <c r="L8" i="12"/>
  <c r="AF43" i="9"/>
  <c r="AN43" i="9" s="1"/>
  <c r="AB43" i="9"/>
  <c r="AG43" i="9" s="1"/>
  <c r="AD43" i="9"/>
  <c r="AH43" i="9" s="1"/>
  <c r="O43" i="9"/>
  <c r="Q43" i="9"/>
  <c r="E59" i="4"/>
  <c r="M61" i="9"/>
  <c r="M55" i="9"/>
  <c r="M49" i="9"/>
  <c r="Q62" i="9"/>
  <c r="O62" i="9"/>
  <c r="Q60" i="9"/>
  <c r="O60" i="9"/>
  <c r="AF50" i="9"/>
  <c r="AN50" i="9" s="1"/>
  <c r="AB50" i="9"/>
  <c r="AG50" i="9" s="1"/>
  <c r="AD50" i="9"/>
  <c r="AH50" i="9" s="1"/>
  <c r="AF48" i="9"/>
  <c r="AN48" i="9" s="1"/>
  <c r="AD48" i="9"/>
  <c r="AH48" i="9" s="1"/>
  <c r="AB48" i="9"/>
  <c r="AG48" i="9" s="1"/>
  <c r="O56" i="9"/>
  <c r="Q56" i="9"/>
  <c r="Q50" i="9"/>
  <c r="O50" i="9"/>
  <c r="Q48" i="9"/>
  <c r="O48" i="9"/>
  <c r="O54" i="9"/>
  <c r="Q54" i="9"/>
  <c r="AN62" i="9"/>
  <c r="AN60" i="9"/>
  <c r="AN54" i="9"/>
  <c r="AN56" i="9"/>
  <c r="M37" i="9"/>
  <c r="M25" i="9"/>
  <c r="M13" i="9"/>
  <c r="M7" i="9"/>
  <c r="M31" i="9"/>
  <c r="M19" i="9"/>
  <c r="AF26" i="9"/>
  <c r="AN26" i="9" s="1"/>
  <c r="AB26" i="9"/>
  <c r="AG26" i="9" s="1"/>
  <c r="AD26" i="9"/>
  <c r="AH26" i="9" s="1"/>
  <c r="AF18" i="9"/>
  <c r="AN18" i="9" s="1"/>
  <c r="AB18" i="9"/>
  <c r="AG18" i="9" s="1"/>
  <c r="AD18" i="9"/>
  <c r="AH18" i="9" s="1"/>
  <c r="AF36" i="9"/>
  <c r="AN36" i="9" s="1"/>
  <c r="AB36" i="9"/>
  <c r="AG36" i="9" s="1"/>
  <c r="AD36" i="9"/>
  <c r="AH36" i="9" s="1"/>
  <c r="O14" i="9"/>
  <c r="Q14" i="9"/>
  <c r="O32" i="9"/>
  <c r="Q32" i="9"/>
  <c r="O38" i="9"/>
  <c r="Q38" i="9"/>
  <c r="O24" i="9"/>
  <c r="Q24" i="9"/>
  <c r="Q12" i="9"/>
  <c r="O12" i="9"/>
  <c r="O30" i="9"/>
  <c r="Q30" i="9"/>
  <c r="AN20" i="9"/>
  <c r="AN14" i="9"/>
  <c r="AN24" i="9"/>
  <c r="AN12" i="9"/>
  <c r="AF38" i="9"/>
  <c r="AN38" i="9" s="1"/>
  <c r="AB38" i="9"/>
  <c r="AG38" i="9" s="1"/>
  <c r="AD38" i="9"/>
  <c r="AH38" i="9" s="1"/>
  <c r="Q8" i="9"/>
  <c r="O8" i="9"/>
  <c r="O20" i="9"/>
  <c r="Q20" i="9"/>
  <c r="O26" i="9"/>
  <c r="Q26" i="9"/>
  <c r="Q6" i="9"/>
  <c r="O6" i="9"/>
  <c r="O36" i="9"/>
  <c r="Q36" i="9"/>
  <c r="O18" i="9"/>
  <c r="Q18" i="9"/>
  <c r="AN32" i="9"/>
  <c r="AN30" i="9"/>
  <c r="L15" i="5"/>
  <c r="P38" i="5" s="1"/>
  <c r="Z55" i="9" s="1"/>
  <c r="D15" i="5"/>
  <c r="H38" i="5" s="1"/>
  <c r="H15" i="5"/>
  <c r="L38" i="5" s="1"/>
  <c r="M15" i="5"/>
  <c r="Q38" i="5" s="1"/>
  <c r="Z61" i="9" s="1"/>
  <c r="G15" i="5"/>
  <c r="K38" i="5" s="1"/>
  <c r="F15" i="5"/>
  <c r="J38" i="5" s="1"/>
  <c r="K15" i="5"/>
  <c r="O38" i="5" s="1"/>
  <c r="Z49" i="9" s="1"/>
  <c r="E15" i="5"/>
  <c r="I38" i="5" s="1"/>
  <c r="I15" i="5"/>
  <c r="M38" i="5" s="1"/>
  <c r="Z7" i="9" l="1"/>
  <c r="M7" i="12"/>
  <c r="AD6" i="9"/>
  <c r="AH6" i="9" s="1"/>
  <c r="AF6" i="9"/>
  <c r="AN6" i="9" s="1"/>
  <c r="AB6" i="9"/>
  <c r="AG6" i="9" s="1"/>
  <c r="AD8" i="9"/>
  <c r="AH8" i="9" s="1"/>
  <c r="AF8" i="9"/>
  <c r="AN8" i="9" s="1"/>
  <c r="AB8" i="9"/>
  <c r="AG8" i="9" s="1"/>
  <c r="Z13" i="9"/>
  <c r="I7" i="12"/>
  <c r="Z19" i="9"/>
  <c r="H7" i="12"/>
  <c r="Z37" i="9"/>
  <c r="K7" i="12"/>
  <c r="Z31" i="9"/>
  <c r="J7" i="12"/>
  <c r="Z25" i="9"/>
  <c r="L7" i="12"/>
  <c r="AF49" i="9"/>
  <c r="AN49" i="9" s="1"/>
  <c r="AD49" i="9"/>
  <c r="AH49" i="9" s="1"/>
  <c r="AB49" i="9"/>
  <c r="AG49" i="9" s="1"/>
  <c r="AD61" i="9"/>
  <c r="AH61" i="9" s="1"/>
  <c r="AB61" i="9"/>
  <c r="AG61" i="9" s="1"/>
  <c r="AF61" i="9"/>
  <c r="AN61" i="9" s="1"/>
  <c r="O49" i="9"/>
  <c r="Q49" i="9"/>
  <c r="O61" i="9"/>
  <c r="Q61" i="9"/>
  <c r="AF55" i="9"/>
  <c r="AN55" i="9" s="1"/>
  <c r="AD55" i="9"/>
  <c r="AH55" i="9" s="1"/>
  <c r="AB55" i="9"/>
  <c r="AG55" i="9" s="1"/>
  <c r="Q55" i="9"/>
  <c r="O55" i="9"/>
  <c r="AD7" i="9"/>
  <c r="AH7" i="9" s="1"/>
  <c r="AF7" i="9"/>
  <c r="AN7" i="9" s="1"/>
  <c r="AB7" i="9"/>
  <c r="AG7" i="9" s="1"/>
  <c r="AD19" i="9"/>
  <c r="AH19" i="9" s="1"/>
  <c r="AF19" i="9"/>
  <c r="AN19" i="9" s="1"/>
  <c r="AB19" i="9"/>
  <c r="AG19" i="9" s="1"/>
  <c r="AD37" i="9"/>
  <c r="AH37" i="9" s="1"/>
  <c r="AF37" i="9"/>
  <c r="AN37" i="9" s="1"/>
  <c r="AB37" i="9"/>
  <c r="AG37" i="9" s="1"/>
  <c r="AD25" i="9"/>
  <c r="AH25" i="9" s="1"/>
  <c r="AF25" i="9"/>
  <c r="AN25" i="9" s="1"/>
  <c r="AB25" i="9"/>
  <c r="AG25" i="9" s="1"/>
  <c r="AD31" i="9"/>
  <c r="AH31" i="9" s="1"/>
  <c r="AF31" i="9"/>
  <c r="AN31" i="9" s="1"/>
  <c r="AB31" i="9"/>
  <c r="AG31" i="9" s="1"/>
  <c r="Q31" i="9"/>
  <c r="O31" i="9"/>
  <c r="Q13" i="9"/>
  <c r="O13" i="9"/>
  <c r="Q37" i="9"/>
  <c r="O37" i="9"/>
  <c r="AD13" i="9"/>
  <c r="AH13" i="9" s="1"/>
  <c r="AF13" i="9"/>
  <c r="AN13" i="9" s="1"/>
  <c r="AB13" i="9"/>
  <c r="AG13" i="9" s="1"/>
  <c r="Q19" i="9"/>
  <c r="O19" i="9"/>
  <c r="Q7" i="9"/>
  <c r="O7" i="9"/>
  <c r="Q25" i="9"/>
  <c r="O25" i="9"/>
</calcChain>
</file>

<file path=xl/comments1.xml><?xml version="1.0" encoding="utf-8"?>
<comments xmlns="http://schemas.openxmlformats.org/spreadsheetml/2006/main">
  <authors>
    <author>david.fees</author>
  </authors>
  <commentList>
    <comment ref="F9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Tug assist picks up OGV in Delaware waters.</t>
        </r>
      </text>
    </comment>
    <comment ref="F12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per e-mail from Scott Anderson of the Maritime Exchange, gas carriers require tug escorts.</t>
        </r>
      </text>
    </comment>
    <comment ref="J17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two tug "trips" for every berth of an OGV, one into dock and one leaving dock.</t>
        </r>
      </text>
    </comment>
    <comment ref="D45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per EPA420-R-08-001a, May 2008, 25% of tugs/towboats use Cat 2 engines for propulsion.</t>
        </r>
      </text>
    </comment>
    <comment ref="C46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Power given for an assist tug in EPA 2009 report.</t>
        </r>
      </text>
    </comment>
    <comment ref="F46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Power given for a harbor tug in EPA 2009 report.</t>
        </r>
      </text>
    </comment>
    <comment ref="I46" authorId="0">
      <text>
        <r>
          <rPr>
            <b/>
            <sz val="8"/>
            <color indexed="81"/>
            <rFont val="Tahoma"/>
            <family val="2"/>
          </rPr>
          <t>david.fees:</t>
        </r>
        <r>
          <rPr>
            <sz val="8"/>
            <color indexed="81"/>
            <rFont val="Tahoma"/>
            <family val="2"/>
          </rPr>
          <t xml:space="preserve">
Power given for an assist tug in EPA 2009 report.</t>
        </r>
      </text>
    </comment>
  </commentList>
</comments>
</file>

<file path=xl/sharedStrings.xml><?xml version="1.0" encoding="utf-8"?>
<sst xmlns="http://schemas.openxmlformats.org/spreadsheetml/2006/main" count="1917" uniqueCount="300">
  <si>
    <t>miles</t>
  </si>
  <si>
    <t>Distance</t>
  </si>
  <si>
    <t>kW</t>
  </si>
  <si>
    <t>Total Activity (kW-hr)</t>
  </si>
  <si>
    <t>Engine Category</t>
  </si>
  <si>
    <t>CO</t>
  </si>
  <si>
    <t>NOX</t>
  </si>
  <si>
    <t>VOC (HC)</t>
  </si>
  <si>
    <t>SO2</t>
  </si>
  <si>
    <t>[kW]</t>
  </si>
  <si>
    <t>[g/kW-hr]</t>
  </si>
  <si>
    <t>Category 2</t>
  </si>
  <si>
    <t>Power</t>
  </si>
  <si>
    <t>PM10-PRI</t>
  </si>
  <si>
    <t>grams</t>
  </si>
  <si>
    <t>PM25-PRI</t>
  </si>
  <si>
    <t>PM10</t>
  </si>
  <si>
    <t>C&amp;D Canal</t>
  </si>
  <si>
    <t>Trips</t>
  </si>
  <si>
    <t>hours</t>
  </si>
  <si>
    <t>Speed</t>
  </si>
  <si>
    <t>mph</t>
  </si>
  <si>
    <t>(miles)</t>
  </si>
  <si>
    <t>C&amp;D Canal turnoff to NCC/KC line</t>
  </si>
  <si>
    <t>New Castle</t>
  </si>
  <si>
    <t>NCC/KC line to KC/SC line</t>
  </si>
  <si>
    <t xml:space="preserve">Kent </t>
  </si>
  <si>
    <t>KC/SC line to the Sea</t>
  </si>
  <si>
    <t>Sussex</t>
  </si>
  <si>
    <t>County</t>
  </si>
  <si>
    <t>New Castle County</t>
  </si>
  <si>
    <t>Average Power (kW)</t>
  </si>
  <si>
    <t>Average Load Factor</t>
  </si>
  <si>
    <t>Kent County</t>
  </si>
  <si>
    <t>Sussex County</t>
  </si>
  <si>
    <t>Total Activity      (kW-hr)</t>
  </si>
  <si>
    <t>Mode</t>
  </si>
  <si>
    <t>RSZ</t>
  </si>
  <si>
    <t>SCC</t>
  </si>
  <si>
    <t>003</t>
  </si>
  <si>
    <t>001</t>
  </si>
  <si>
    <t>005</t>
  </si>
  <si>
    <t>VOC</t>
  </si>
  <si>
    <t>DE River</t>
  </si>
  <si>
    <t>hr/trip</t>
  </si>
  <si>
    <t>Port</t>
  </si>
  <si>
    <t>Cat 2</t>
  </si>
  <si>
    <t>Waterway Segment</t>
  </si>
  <si>
    <t>PA/DE to Sea</t>
  </si>
  <si>
    <t>PA/DE line to NCC/KC line</t>
  </si>
  <si>
    <t>POW to NCC/KC line</t>
  </si>
  <si>
    <t>PA/DE line to C&amp;D Canal turnoff</t>
  </si>
  <si>
    <t>PA/DE line to POW</t>
  </si>
  <si>
    <t>C&amp;D North</t>
  </si>
  <si>
    <t>C&amp;D South</t>
  </si>
  <si>
    <t>Units</t>
  </si>
  <si>
    <t>Total Activity</t>
  </si>
  <si>
    <t>POW North</t>
  </si>
  <si>
    <t>POW South</t>
  </si>
  <si>
    <t>Parameter</t>
  </si>
  <si>
    <t>RSZ Total Time</t>
  </si>
  <si>
    <t>Man. Total Time</t>
  </si>
  <si>
    <t>RSZ Allocation</t>
  </si>
  <si>
    <t>Allocated RSZ Time</t>
  </si>
  <si>
    <t>Summary of RSZ Activity</t>
  </si>
  <si>
    <t>Maneuver</t>
  </si>
  <si>
    <t>Summary of Maneuvering Activity</t>
  </si>
  <si>
    <r>
      <t>Latitude 39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30' to PA/DE line</t>
    </r>
  </si>
  <si>
    <r>
      <t>Latitude 39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30' to POW</t>
    </r>
  </si>
  <si>
    <r>
      <t>Latitude 39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30' to C&amp;D Canal turnoff</t>
    </r>
  </si>
  <si>
    <t>Distances from Google Earth, 2008</t>
  </si>
  <si>
    <t>C&amp;D Canal from MD/DE line to DE Bay</t>
  </si>
  <si>
    <t>Average  Power  (kW)</t>
  </si>
  <si>
    <t>PA to the Sea</t>
  </si>
  <si>
    <t>Port of Wilmington</t>
  </si>
  <si>
    <t>inbound</t>
  </si>
  <si>
    <t>outbound</t>
  </si>
  <si>
    <t>Nanticoke River</t>
  </si>
  <si>
    <t>total</t>
  </si>
  <si>
    <t>hp   =</t>
  </si>
  <si>
    <t>knot   =</t>
  </si>
  <si>
    <t>miles/hr</t>
  </si>
  <si>
    <t>Nanticoke</t>
  </si>
  <si>
    <r>
      <t>Latitude 39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30' to NCC/KC line</t>
    </r>
  </si>
  <si>
    <t>DE-NJ    Activity Ratio</t>
  </si>
  <si>
    <t>C&amp;D East-West</t>
  </si>
  <si>
    <t>C&amp;D E-W</t>
  </si>
  <si>
    <t>Nanticoke River - Seaford to MD/DE Line</t>
  </si>
  <si>
    <t>Kent</t>
  </si>
  <si>
    <t>Aux Engine</t>
  </si>
  <si>
    <t>Category 2 Prop Engine</t>
  </si>
  <si>
    <t>Category 1 Prop Engine</t>
  </si>
  <si>
    <t>Category 1 - propulsion</t>
  </si>
  <si>
    <t>Category 1 - auxiliary</t>
  </si>
  <si>
    <t>PM2.5</t>
  </si>
  <si>
    <t>CO2</t>
  </si>
  <si>
    <t>CH4</t>
  </si>
  <si>
    <t>N2O</t>
  </si>
  <si>
    <t>Engine Type</t>
  </si>
  <si>
    <t>Cat 1 prop</t>
  </si>
  <si>
    <t>Cat 1 aux</t>
  </si>
  <si>
    <t>Maneuvering</t>
  </si>
  <si>
    <t>TONS/YEAR</t>
  </si>
  <si>
    <t>ton =</t>
  </si>
  <si>
    <t>Allocated Time (hours)</t>
  </si>
  <si>
    <t>EMISSION CALCULATIONS</t>
  </si>
  <si>
    <t>SUMMARY</t>
  </si>
  <si>
    <t>Underway</t>
  </si>
  <si>
    <t>Wilmington</t>
  </si>
  <si>
    <t>Premcor</t>
  </si>
  <si>
    <t>Oceanport</t>
  </si>
  <si>
    <t>Magellan</t>
  </si>
  <si>
    <t>Salem Creek, NJ</t>
  </si>
  <si>
    <t>PG - Gas Carriers</t>
  </si>
  <si>
    <t>Number of Towboat Trips (defined as one way)</t>
  </si>
  <si>
    <t>&lt; 20K DWT</t>
  </si>
  <si>
    <t>&gt; 20K DWT</t>
  </si>
  <si>
    <t>Number of OGV Tug Assists to Port</t>
  </si>
  <si>
    <t>Number of OGV Tug Escorts</t>
  </si>
  <si>
    <t>Total</t>
  </si>
  <si>
    <t>Port Calls &amp; Shifts</t>
  </si>
  <si>
    <t>Tug Assists</t>
  </si>
  <si>
    <t>na</t>
  </si>
  <si>
    <t>No. of tugs based on vessel DWT</t>
  </si>
  <si>
    <t>State_FIPS</t>
  </si>
  <si>
    <t>County_FIPS</t>
  </si>
  <si>
    <t>Tribal_Code</t>
  </si>
  <si>
    <t>Winter_Throughput_PCT</t>
  </si>
  <si>
    <t>Spring_Throughput_PCT</t>
  </si>
  <si>
    <t>Summer_Throughput_PCT</t>
  </si>
  <si>
    <t>Fall_Throughput_PCT</t>
  </si>
  <si>
    <t>Annual_Avg_Days_Per_Week</t>
  </si>
  <si>
    <t>Annual_Avg_Weeks_Per_Year</t>
  </si>
  <si>
    <t>Annual_Avg_Hours_Per_Day</t>
  </si>
  <si>
    <t>Annual_Avg_Hours_Per_Year</t>
  </si>
  <si>
    <t>Actual_Throughput_Annual</t>
  </si>
  <si>
    <t>Throughput_Unit_Numerator_Annual</t>
  </si>
  <si>
    <t>Actual_Throughput_SSWD</t>
  </si>
  <si>
    <t>Throughput_unit_numerator_SSWD</t>
  </si>
  <si>
    <t>Actual_Throughput_WSWD</t>
  </si>
  <si>
    <t>Throughput_unit_numerator_WSWD</t>
  </si>
  <si>
    <t>Material</t>
  </si>
  <si>
    <t>Material_IO</t>
  </si>
  <si>
    <t>Pollutant_Code</t>
  </si>
  <si>
    <t>Start_Date</t>
  </si>
  <si>
    <t>End_Date</t>
  </si>
  <si>
    <t>Start_Time</t>
  </si>
  <si>
    <t>End_Time</t>
  </si>
  <si>
    <t>Emission_Numeric_Value_Annual</t>
  </si>
  <si>
    <t>Emission_Unit_Numerator_Annual</t>
  </si>
  <si>
    <t>Emission_Numeric_Value_SSWD</t>
  </si>
  <si>
    <t>Emission_Unit_Numerator_SSWD</t>
  </si>
  <si>
    <t>Emission_Numeric_Value_WSWD</t>
  </si>
  <si>
    <t>Emission_Unit_Numerator_WSWD</t>
  </si>
  <si>
    <t>Emission_TON_Value_Annual</t>
  </si>
  <si>
    <t>Emission_TON_Value_SSWD</t>
  </si>
  <si>
    <t>Emission_TON_Value_WSWD</t>
  </si>
  <si>
    <t>Emission_Process_Description</t>
  </si>
  <si>
    <t>Primary_Control_Efficiency</t>
  </si>
  <si>
    <t>Rule_Effectiveness</t>
  </si>
  <si>
    <t>Rule_Penetration</t>
  </si>
  <si>
    <t>Primary_Device_Type</t>
  </si>
  <si>
    <t>Factor_Numeric_Value</t>
  </si>
  <si>
    <t>Factor_Unit_Numerator</t>
  </si>
  <si>
    <t>Factor_Unit_Denominator</t>
  </si>
  <si>
    <t>Emission_Calc_Method_Code</t>
  </si>
  <si>
    <t>SSWD_Alloc_Factor</t>
  </si>
  <si>
    <t>WSWD_Alloc_Factor</t>
  </si>
  <si>
    <t>Process_Mact_Code</t>
  </si>
  <si>
    <t>Process_Mact_Compliance_Status</t>
  </si>
  <si>
    <t>Data_Source</t>
  </si>
  <si>
    <t>CAP_HAP</t>
  </si>
  <si>
    <t>Year</t>
  </si>
  <si>
    <t>Revision_Date</t>
  </si>
  <si>
    <t>KW-hr</t>
  </si>
  <si>
    <t>Temporal Allocation Data - Adjust the Profile Values Only</t>
  </si>
  <si>
    <t>SSWD Factor</t>
  </si>
  <si>
    <t>WSWD Factor</t>
  </si>
  <si>
    <t>Winter Thruput</t>
  </si>
  <si>
    <t>Spring Thruput</t>
  </si>
  <si>
    <t>Summer Thruput</t>
  </si>
  <si>
    <t>Fall Thruput</t>
  </si>
  <si>
    <t>Monthly Profile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</si>
  <si>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</si>
  <si>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</si>
  <si>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</si>
  <si>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</si>
  <si>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</si>
  <si>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</si>
  <si>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</si>
  <si>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</si>
  <si>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</si>
  <si>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</si>
  <si>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</si>
  <si>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</si>
  <si>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</si>
  <si>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</si>
  <si>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Weekly Profile</t>
  </si>
  <si>
    <t>DAY</t>
  </si>
  <si>
    <t>MON</t>
  </si>
  <si>
    <t>TUE</t>
  </si>
  <si>
    <t>WED</t>
  </si>
  <si>
    <t>THU</t>
  </si>
  <si>
    <t>FRI</t>
  </si>
  <si>
    <t>SAT</t>
  </si>
  <si>
    <t>SUN</t>
  </si>
  <si>
    <t>Weekday Day Profile</t>
  </si>
  <si>
    <t>HOUR</t>
  </si>
  <si>
    <t>HR1</t>
  </si>
  <si>
    <t>HR2</t>
  </si>
  <si>
    <t>HR3</t>
  </si>
  <si>
    <t>HR4</t>
  </si>
  <si>
    <t>HR5</t>
  </si>
  <si>
    <t>HR6</t>
  </si>
  <si>
    <t>HR7</t>
  </si>
  <si>
    <t>HR8</t>
  </si>
  <si>
    <t>HR9</t>
  </si>
  <si>
    <t>HR10</t>
  </si>
  <si>
    <t>HR11</t>
  </si>
  <si>
    <t>HR12</t>
  </si>
  <si>
    <t>HR13</t>
  </si>
  <si>
    <t>HR14</t>
  </si>
  <si>
    <t>HR15</t>
  </si>
  <si>
    <t>HR16</t>
  </si>
  <si>
    <t>HR17</t>
  </si>
  <si>
    <t>HR18</t>
  </si>
  <si>
    <t>HR19</t>
  </si>
  <si>
    <t>HR20</t>
  </si>
  <si>
    <t>HR21</t>
  </si>
  <si>
    <t>HR22</t>
  </si>
  <si>
    <t>HR23</t>
  </si>
  <si>
    <t>HR24</t>
  </si>
  <si>
    <t>Weekend Day Profile</t>
  </si>
  <si>
    <t>CAP</t>
  </si>
  <si>
    <t>TON</t>
  </si>
  <si>
    <t>g</t>
  </si>
  <si>
    <t xml:space="preserve">Overall Review </t>
  </si>
  <si>
    <t>Reviewer</t>
  </si>
  <si>
    <t>Date</t>
  </si>
  <si>
    <t>Issue</t>
  </si>
  <si>
    <t>D. Fees</t>
  </si>
  <si>
    <t>Assumes 50% the vessels travel North and 50% travel South from/to POW and entering/exiting C&amp;D at Reedy Point.</t>
  </si>
  <si>
    <t>GHG</t>
  </si>
  <si>
    <t>NH3</t>
  </si>
  <si>
    <t>mg/gallon</t>
  </si>
  <si>
    <t>BSFC</t>
  </si>
  <si>
    <t>[gal/kW-hr]</t>
  </si>
  <si>
    <t>Estimation of Towboat &amp; Tug Assist Activity in Delaware for 2011</t>
  </si>
  <si>
    <r>
      <t xml:space="preserve">Source: </t>
    </r>
    <r>
      <rPr>
        <i/>
        <sz val="9"/>
        <rFont val="Arial"/>
        <family val="2"/>
      </rPr>
      <t>2011 Waterborne Commerce</t>
    </r>
    <r>
      <rPr>
        <sz val="9"/>
        <rFont val="Arial"/>
        <family val="2"/>
      </rPr>
      <t>, USACE</t>
    </r>
  </si>
  <si>
    <t>New Castle Area</t>
  </si>
  <si>
    <t>Marcus Hook, PA</t>
  </si>
  <si>
    <t>Developed spreadsheet for 2011 with data from 2011 Waterborne Commerce report.</t>
  </si>
  <si>
    <t xml:space="preserve">Changes for 2011 are as follows: </t>
  </si>
  <si>
    <t xml:space="preserve">3) Trip data for "New Castle Area", as a new destination for towboats and tugs, were included in the POW due to relative proximity and no knowledge of the exact location of the "New Castle Area". </t>
  </si>
  <si>
    <t>2) Adjustment factors per EPA, 2009 applied to base EFs for SO2 and PMx based on lower sulfur content of marine diesel fuel.</t>
  </si>
  <si>
    <t>1) EPA non-road, locomotive and marine diesel fuel sulfur content limits in effect for 2011 (500 ppm).</t>
  </si>
  <si>
    <t>Cumberland</t>
  </si>
  <si>
    <t>Salem</t>
  </si>
  <si>
    <t>cape may</t>
  </si>
  <si>
    <t>34011</t>
  </si>
  <si>
    <t>34033</t>
  </si>
  <si>
    <t>34009</t>
  </si>
  <si>
    <t>Z</t>
  </si>
  <si>
    <t>only for del b/c only for del ports on del river</t>
  </si>
  <si>
    <t>Kent (cumberland)</t>
  </si>
  <si>
    <t>New Castle (Salem)</t>
  </si>
  <si>
    <t>Sussex (cape May)</t>
  </si>
  <si>
    <t>Diesel</t>
  </si>
  <si>
    <t>The State of New Jersey</t>
  </si>
  <si>
    <t>Department of Environmental Protection</t>
  </si>
  <si>
    <t>2011 Year Inventory</t>
  </si>
  <si>
    <t xml:space="preserve"> Calculations Performed</t>
  </si>
  <si>
    <t>for the Volatile Organic Compounds (VOC), Nitrogen Oxide (NOx) and Carbon Monoxide (CO), Particulate Matter (PM2.5 and PM10), Sulfur Oxide (SO2) and Ammonia (NH3) Emissions</t>
  </si>
  <si>
    <t>for the Year 2011</t>
  </si>
  <si>
    <t>for the Non-Road Orphan Category of  Commercial Marine Vessels</t>
  </si>
  <si>
    <t>for Southern New Jersey</t>
  </si>
  <si>
    <t>Southern Delaware River Basin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</si>
  <si>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David Fees May 24, 2013 email to NJDEP with attached file: Tows and Tugs 5-23-2013 final 2011.xlsx.</t>
    </r>
  </si>
  <si>
    <t>Tows and Tugs</t>
  </si>
  <si>
    <t>TOWS &amp; TUGS</t>
  </si>
  <si>
    <t>ANNUAL EMISSIONS TONSPERYEAR (TPY)</t>
  </si>
  <si>
    <t>TABLE 1: COMMERCIAL MARINE VESSELS (CMV)</t>
  </si>
  <si>
    <t>HC</t>
  </si>
  <si>
    <t>NOx</t>
  </si>
  <si>
    <t>class 1 aux</t>
  </si>
  <si>
    <t>class 1</t>
  </si>
  <si>
    <t>class 2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</si>
  <si>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Emission Factors from </t>
    </r>
    <r>
      <rPr>
        <i/>
        <sz val="10"/>
        <rFont val="Arial"/>
        <family val="2"/>
      </rPr>
      <t>Current Methodologies in Preparing Mobile Source Port-Related Emission Inventories</t>
    </r>
    <r>
      <rPr>
        <sz val="10"/>
        <rFont val="Arial"/>
        <family val="2"/>
      </rPr>
      <t>, EPA 2009, Table 3-8, Tier 0 Engines</t>
    </r>
  </si>
  <si>
    <r>
      <t>6</t>
    </r>
    <r>
      <rPr>
        <sz val="10"/>
        <rFont val="Arial"/>
        <family val="2"/>
      </rPr>
      <t>C1 Auxiliary EF total sheet, C1&amp;C2_Efs_byCY_7-13-09_w no clt EF.xls spreadsheet from Penny Carey,USEPA, June 7, 2011</t>
    </r>
  </si>
  <si>
    <r>
      <t>7</t>
    </r>
    <r>
      <rPr>
        <sz val="10"/>
        <rFont val="Arial"/>
        <family val="2"/>
      </rPr>
      <t>C2 EF total sheet, C1&amp;C2_Efs_byCY_7-13-09_w no clt EF.xls spreadsheet from Penny Carey,USEPA, June 7, 2011</t>
    </r>
  </si>
  <si>
    <r>
      <t>8</t>
    </r>
    <r>
      <rPr>
        <sz val="10"/>
        <rFont val="Arial"/>
        <family val="2"/>
      </rPr>
      <t>C1 EF total sheet, C1&amp;C2_Efs_byCY_7-13-09_w no clt EF.xls spreadsheet from Penny Carey,USEPA, June 7, 2011</t>
    </r>
  </si>
  <si>
    <r>
      <t>Tug and Tow Control Efficiency for 2011 Incorporated into Emission Factors Included in Table above</t>
    </r>
    <r>
      <rPr>
        <vertAlign val="superscript"/>
        <sz val="10"/>
        <rFont val="Arial"/>
        <family val="2"/>
      </rPr>
      <t>6,7&amp;8</t>
    </r>
  </si>
  <si>
    <r>
      <t>Emissions Factors</t>
    </r>
    <r>
      <rPr>
        <b/>
        <vertAlign val="superscript"/>
        <sz val="12"/>
        <rFont val="Arial"/>
        <family val="2"/>
      </rPr>
      <t>1-5</t>
    </r>
    <r>
      <rPr>
        <b/>
        <sz val="12"/>
        <rFont val="Arial"/>
        <family val="2"/>
      </rPr>
      <t xml:space="preserve"> </t>
    </r>
  </si>
  <si>
    <r>
      <t>SOUTHERN NJ PORTION OF LOWER DELAWARE RIVER</t>
    </r>
    <r>
      <rPr>
        <b/>
        <vertAlign val="superscript"/>
        <sz val="10"/>
        <rFont val="Arial"/>
        <family val="2"/>
      </rPr>
      <t>1</t>
    </r>
  </si>
  <si>
    <t>TOTAL TOWS &amp; TUGS EMISSIONS TPY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</si>
  <si>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PM2.5 estimated to be 97% of PM10 in accordance with page 3-9 of above reference.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</si>
  <si>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Ammonia emission factor from "</t>
    </r>
    <r>
      <rPr>
        <i/>
        <sz val="10"/>
        <rFont val="Arial"/>
        <family val="2"/>
      </rPr>
      <t>Draft Documentation for the NONROAD Model……..</t>
    </r>
    <r>
      <rPr>
        <sz val="10"/>
        <rFont val="Arial"/>
        <family val="2"/>
      </rPr>
      <t>", EPA 2003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</si>
  <si>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Category 1 and 2 brake-specific fuel consumption from CA South Coast District, AQMD, 2004</t>
    </r>
  </si>
  <si>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>Category 3 BSFC from a 2000 IMO report - see Delaware 2002 PM SIP Inventory Report (March 2008) for reference details.</t>
    </r>
  </si>
  <si>
    <t>2011 Nonroad Sources Emission Inventory Attachments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</si>
</sst>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0000"/>
    <numFmt numFmtId="165" formatCode="0.0000"/>
    <numFmt numFmtId="166" formatCode="0.0"/>
    <numFmt numFmtId="167" formatCode="_(* #,##0_);_(* \(#,##0\);_(* &quot;-&quot;??_);_(@_)"/>
    <numFmt numFmtId="168" formatCode="#,##0.0"/>
    <numFmt numFmtId="169" formatCode="0.000"/>
    <numFmt numFmtId="170" formatCode="mmmm\ d\,\ yyyy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vertAlign val="superscript"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0" fontId="1" fillId="0" borderId="0"/>
  </cellStyleXfs>
  <cellXfs count="236">
    <xf numFmtId="0" fontId="0" fillId="0" borderId="0" xfId="0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2" xfId="0" applyFont="1" applyBorder="1"/>
    <xf numFmtId="0" fontId="4" fillId="0" borderId="0" xfId="0" applyFont="1" applyBorder="1"/>
    <xf numFmtId="0" fontId="4" fillId="0" borderId="4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5" xfId="0" applyFont="1" applyBorder="1" applyAlignment="1">
      <alignment horizontal="center" wrapText="1"/>
    </xf>
    <xf numFmtId="0" fontId="4" fillId="3" borderId="0" xfId="0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3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5" fillId="0" borderId="5" xfId="0" applyFont="1" applyBorder="1" applyAlignment="1">
      <alignment horizontal="center"/>
    </xf>
    <xf numFmtId="0" fontId="4" fillId="0" borderId="6" xfId="0" applyFont="1" applyBorder="1"/>
    <xf numFmtId="0" fontId="4" fillId="3" borderId="0" xfId="0" applyFont="1" applyFill="1" applyAlignment="1">
      <alignment horizontal="right"/>
    </xf>
    <xf numFmtId="0" fontId="4" fillId="0" borderId="0" xfId="0" applyFont="1" applyBorder="1" applyAlignment="1"/>
    <xf numFmtId="0" fontId="2" fillId="0" borderId="0" xfId="0" applyFont="1"/>
    <xf numFmtId="0" fontId="5" fillId="0" borderId="0" xfId="0" applyFont="1"/>
    <xf numFmtId="0" fontId="5" fillId="2" borderId="0" xfId="0" applyFont="1" applyFill="1"/>
    <xf numFmtId="0" fontId="6" fillId="0" borderId="0" xfId="0" applyFont="1"/>
    <xf numFmtId="3" fontId="5" fillId="0" borderId="0" xfId="0" applyNumberFormat="1" applyFont="1"/>
    <xf numFmtId="0" fontId="2" fillId="0" borderId="0" xfId="0" applyFont="1" applyFill="1"/>
    <xf numFmtId="0" fontId="5" fillId="0" borderId="5" xfId="0" applyFont="1" applyBorder="1"/>
    <xf numFmtId="164" fontId="4" fillId="3" borderId="0" xfId="0" applyNumberFormat="1" applyFont="1" applyFill="1" applyBorder="1" applyAlignment="1">
      <alignment horizontal="right"/>
    </xf>
    <xf numFmtId="0" fontId="5" fillId="2" borderId="6" xfId="0" applyFont="1" applyFill="1" applyBorder="1"/>
    <xf numFmtId="0" fontId="5" fillId="0" borderId="0" xfId="0" applyFont="1" applyFill="1"/>
    <xf numFmtId="0" fontId="0" fillId="0" borderId="0" xfId="0" applyFill="1"/>
    <xf numFmtId="3" fontId="4" fillId="0" borderId="0" xfId="0" applyNumberFormat="1" applyFont="1" applyFill="1"/>
    <xf numFmtId="3" fontId="5" fillId="0" borderId="0" xfId="0" applyNumberFormat="1" applyFont="1" applyBorder="1"/>
    <xf numFmtId="168" fontId="4" fillId="0" borderId="0" xfId="0" applyNumberFormat="1" applyFont="1"/>
    <xf numFmtId="168" fontId="5" fillId="0" borderId="0" xfId="0" applyNumberFormat="1" applyFont="1"/>
    <xf numFmtId="0" fontId="5" fillId="0" borderId="0" xfId="0" applyFont="1" applyFill="1" applyBorder="1" applyAlignment="1">
      <alignment horizontal="center"/>
    </xf>
    <xf numFmtId="3" fontId="4" fillId="0" borderId="7" xfId="0" applyNumberFormat="1" applyFont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165" fontId="4" fillId="0" borderId="0" xfId="0" applyNumberFormat="1" applyFont="1" applyBorder="1"/>
    <xf numFmtId="3" fontId="4" fillId="0" borderId="0" xfId="0" applyNumberFormat="1" applyFont="1" applyBorder="1"/>
    <xf numFmtId="167" fontId="4" fillId="0" borderId="0" xfId="1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65" fontId="4" fillId="0" borderId="4" xfId="0" applyNumberFormat="1" applyFont="1" applyBorder="1"/>
    <xf numFmtId="3" fontId="4" fillId="0" borderId="4" xfId="0" applyNumberFormat="1" applyFont="1" applyBorder="1"/>
    <xf numFmtId="0" fontId="4" fillId="0" borderId="0" xfId="0" applyFont="1" applyAlignment="1"/>
    <xf numFmtId="165" fontId="4" fillId="0" borderId="0" xfId="0" applyNumberFormat="1" applyFont="1"/>
    <xf numFmtId="0" fontId="4" fillId="0" borderId="4" xfId="0" applyFont="1" applyBorder="1" applyAlignment="1"/>
    <xf numFmtId="0" fontId="4" fillId="0" borderId="6" xfId="0" applyFont="1" applyBorder="1" applyAlignment="1"/>
    <xf numFmtId="3" fontId="4" fillId="0" borderId="6" xfId="0" applyNumberFormat="1" applyFont="1" applyBorder="1"/>
    <xf numFmtId="167" fontId="4" fillId="0" borderId="0" xfId="1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center" wrapText="1"/>
    </xf>
    <xf numFmtId="3" fontId="4" fillId="0" borderId="1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167" fontId="5" fillId="0" borderId="0" xfId="0" applyNumberFormat="1" applyFont="1"/>
    <xf numFmtId="0" fontId="5" fillId="2" borderId="6" xfId="0" applyFont="1" applyFill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2" xfId="0" applyFont="1" applyBorder="1"/>
    <xf numFmtId="3" fontId="5" fillId="0" borderId="2" xfId="0" applyNumberFormat="1" applyFont="1" applyBorder="1"/>
    <xf numFmtId="0" fontId="6" fillId="0" borderId="0" xfId="0" applyFont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Border="1"/>
    <xf numFmtId="166" fontId="2" fillId="0" borderId="0" xfId="0" applyNumberFormat="1" applyFont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4" fontId="4" fillId="0" borderId="4" xfId="0" applyNumberFormat="1" applyFont="1" applyBorder="1"/>
    <xf numFmtId="0" fontId="4" fillId="0" borderId="0" xfId="0" applyNumberFormat="1" applyFont="1"/>
    <xf numFmtId="167" fontId="5" fillId="2" borderId="0" xfId="0" applyNumberFormat="1" applyFont="1" applyFill="1"/>
    <xf numFmtId="0" fontId="4" fillId="0" borderId="0" xfId="0" applyFont="1" applyFill="1" applyAlignment="1">
      <alignment horizontal="center"/>
    </xf>
    <xf numFmtId="0" fontId="4" fillId="4" borderId="0" xfId="0" applyFont="1" applyFill="1" applyAlignment="1">
      <alignment horizontal="right"/>
    </xf>
    <xf numFmtId="0" fontId="4" fillId="4" borderId="0" xfId="0" applyFont="1" applyFill="1"/>
    <xf numFmtId="0" fontId="3" fillId="4" borderId="0" xfId="0" applyFont="1" applyFill="1"/>
    <xf numFmtId="166" fontId="4" fillId="0" borderId="0" xfId="0" applyNumberFormat="1" applyFont="1"/>
    <xf numFmtId="165" fontId="4" fillId="0" borderId="6" xfId="0" applyNumberFormat="1" applyFont="1" applyBorder="1"/>
    <xf numFmtId="165" fontId="4" fillId="0" borderId="7" xfId="0" applyNumberFormat="1" applyFont="1" applyBorder="1"/>
    <xf numFmtId="166" fontId="4" fillId="0" borderId="7" xfId="0" applyNumberFormat="1" applyFont="1" applyBorder="1"/>
    <xf numFmtId="166" fontId="4" fillId="0" borderId="6" xfId="0" applyNumberFormat="1" applyFont="1" applyBorder="1"/>
    <xf numFmtId="166" fontId="0" fillId="0" borderId="0" xfId="0" applyNumberFormat="1"/>
    <xf numFmtId="0" fontId="5" fillId="5" borderId="6" xfId="0" applyFont="1" applyFill="1" applyBorder="1" applyAlignment="1">
      <alignment horizontal="center"/>
    </xf>
    <xf numFmtId="0" fontId="3" fillId="5" borderId="8" xfId="0" applyFont="1" applyFill="1" applyBorder="1"/>
    <xf numFmtId="3" fontId="4" fillId="0" borderId="2" xfId="1" applyNumberFormat="1" applyFont="1" applyBorder="1" applyAlignment="1">
      <alignment horizontal="right"/>
    </xf>
    <xf numFmtId="3" fontId="4" fillId="0" borderId="9" xfId="1" applyNumberFormat="1" applyFont="1" applyBorder="1" applyAlignment="1">
      <alignment horizontal="right"/>
    </xf>
    <xf numFmtId="3" fontId="4" fillId="0" borderId="6" xfId="1" applyNumberFormat="1" applyFont="1" applyBorder="1" applyAlignment="1">
      <alignment horizontal="right"/>
    </xf>
    <xf numFmtId="0" fontId="5" fillId="0" borderId="13" xfId="0" applyFont="1" applyBorder="1" applyAlignment="1">
      <alignment horizontal="center" wrapText="1"/>
    </xf>
    <xf numFmtId="3" fontId="4" fillId="0" borderId="14" xfId="0" applyNumberFormat="1" applyFont="1" applyBorder="1"/>
    <xf numFmtId="0" fontId="4" fillId="0" borderId="12" xfId="0" applyFont="1" applyBorder="1"/>
    <xf numFmtId="3" fontId="4" fillId="0" borderId="15" xfId="0" applyNumberFormat="1" applyFont="1" applyBorder="1"/>
    <xf numFmtId="167" fontId="5" fillId="0" borderId="0" xfId="0" applyNumberFormat="1" applyFont="1" applyAlignment="1">
      <alignment horizontal="right"/>
    </xf>
    <xf numFmtId="3" fontId="4" fillId="0" borderId="16" xfId="0" applyNumberFormat="1" applyFont="1" applyBorder="1"/>
    <xf numFmtId="3" fontId="4" fillId="0" borderId="8" xfId="0" applyNumberFormat="1" applyFont="1" applyBorder="1"/>
    <xf numFmtId="0" fontId="0" fillId="5" borderId="6" xfId="0" applyFill="1" applyBorder="1" applyAlignment="1"/>
    <xf numFmtId="0" fontId="0" fillId="5" borderId="9" xfId="0" applyFill="1" applyBorder="1" applyAlignment="1"/>
    <xf numFmtId="0" fontId="5" fillId="5" borderId="6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 applyFill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1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right" wrapText="1"/>
    </xf>
    <xf numFmtId="3" fontId="4" fillId="0" borderId="17" xfId="1" applyNumberFormat="1" applyFont="1" applyBorder="1" applyAlignment="1">
      <alignment horizontal="right"/>
    </xf>
    <xf numFmtId="3" fontId="4" fillId="0" borderId="12" xfId="0" applyNumberFormat="1" applyFont="1" applyBorder="1"/>
    <xf numFmtId="3" fontId="4" fillId="0" borderId="12" xfId="1" applyNumberFormat="1" applyFont="1" applyBorder="1" applyAlignment="1">
      <alignment horizontal="right"/>
    </xf>
    <xf numFmtId="3" fontId="4" fillId="0" borderId="18" xfId="0" applyNumberFormat="1" applyFont="1" applyBorder="1"/>
    <xf numFmtId="0" fontId="6" fillId="0" borderId="4" xfId="0" applyFont="1" applyFill="1" applyBorder="1"/>
    <xf numFmtId="0" fontId="6" fillId="0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3" fontId="6" fillId="0" borderId="7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2" fillId="5" borderId="0" xfId="0" applyFont="1" applyFill="1" applyBorder="1"/>
    <xf numFmtId="3" fontId="6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6" fillId="5" borderId="0" xfId="0" applyFont="1" applyFill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3" fontId="0" fillId="0" borderId="2" xfId="0" applyNumberFormat="1" applyBorder="1"/>
    <xf numFmtId="4" fontId="0" fillId="0" borderId="2" xfId="0" applyNumberFormat="1" applyBorder="1"/>
    <xf numFmtId="3" fontId="0" fillId="0" borderId="0" xfId="0" applyNumberFormat="1" applyBorder="1"/>
    <xf numFmtId="4" fontId="0" fillId="0" borderId="0" xfId="0" applyNumberFormat="1" applyBorder="1"/>
    <xf numFmtId="3" fontId="0" fillId="0" borderId="4" xfId="0" applyNumberFormat="1" applyBorder="1"/>
    <xf numFmtId="4" fontId="0" fillId="0" borderId="4" xfId="0" applyNumberFormat="1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1" fillId="0" borderId="0" xfId="0" applyFont="1" applyBorder="1" applyAlignment="1">
      <alignment horizontal="left"/>
    </xf>
    <xf numFmtId="0" fontId="1" fillId="0" borderId="0" xfId="0" applyFont="1"/>
    <xf numFmtId="0" fontId="5" fillId="5" borderId="0" xfId="0" applyFont="1" applyFill="1"/>
    <xf numFmtId="0" fontId="4" fillId="5" borderId="0" xfId="0" applyFont="1" applyFill="1"/>
    <xf numFmtId="0" fontId="0" fillId="5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6" fontId="4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3" fontId="5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/>
    <xf numFmtId="49" fontId="2" fillId="0" borderId="0" xfId="0" applyNumberFormat="1" applyFont="1"/>
    <xf numFmtId="0" fontId="1" fillId="0" borderId="0" xfId="0" quotePrefix="1" applyFont="1"/>
    <xf numFmtId="49" fontId="13" fillId="0" borderId="19" xfId="2" applyNumberFormat="1" applyFont="1" applyFill="1" applyBorder="1" applyAlignment="1">
      <alignment wrapText="1"/>
    </xf>
    <xf numFmtId="0" fontId="1" fillId="0" borderId="6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/>
    <xf numFmtId="169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165" fontId="0" fillId="0" borderId="0" xfId="0" applyNumberFormat="1"/>
    <xf numFmtId="0" fontId="2" fillId="0" borderId="0" xfId="3" applyFont="1"/>
    <xf numFmtId="0" fontId="1" fillId="0" borderId="0" xfId="3"/>
    <xf numFmtId="14" fontId="1" fillId="0" borderId="0" xfId="3" applyNumberFormat="1"/>
    <xf numFmtId="0" fontId="2" fillId="0" borderId="4" xfId="3" applyFont="1" applyBorder="1"/>
    <xf numFmtId="0" fontId="1" fillId="0" borderId="0" xfId="3" applyFont="1"/>
    <xf numFmtId="2" fontId="0" fillId="0" borderId="0" xfId="0" applyNumberFormat="1"/>
    <xf numFmtId="0" fontId="1" fillId="0" borderId="3" xfId="0" applyFont="1" applyBorder="1" applyAlignment="1">
      <alignment horizontal="center"/>
    </xf>
    <xf numFmtId="14" fontId="0" fillId="0" borderId="0" xfId="0" applyNumberFormat="1"/>
    <xf numFmtId="0" fontId="0" fillId="0" borderId="20" xfId="0" applyBorder="1"/>
    <xf numFmtId="0" fontId="0" fillId="0" borderId="21" xfId="0" applyBorder="1"/>
    <xf numFmtId="0" fontId="1" fillId="0" borderId="0" xfId="0" quotePrefix="1" applyFont="1" applyBorder="1"/>
    <xf numFmtId="0" fontId="1" fillId="0" borderId="21" xfId="0" applyFont="1" applyBorder="1"/>
    <xf numFmtId="0" fontId="1" fillId="0" borderId="21" xfId="0" quotePrefix="1" applyFont="1" applyBorder="1"/>
    <xf numFmtId="0" fontId="6" fillId="0" borderId="21" xfId="0" applyFont="1" applyBorder="1"/>
    <xf numFmtId="0" fontId="0" fillId="0" borderId="22" xfId="0" applyBorder="1"/>
    <xf numFmtId="0" fontId="1" fillId="0" borderId="22" xfId="0" applyFont="1" applyBorder="1"/>
    <xf numFmtId="0" fontId="1" fillId="0" borderId="22" xfId="0" quotePrefix="1" applyFont="1" applyBorder="1"/>
    <xf numFmtId="0" fontId="0" fillId="0" borderId="28" xfId="0" applyBorder="1"/>
    <xf numFmtId="0" fontId="0" fillId="0" borderId="29" xfId="0" applyBorder="1"/>
    <xf numFmtId="0" fontId="2" fillId="0" borderId="29" xfId="0" applyFont="1" applyBorder="1" applyAlignment="1">
      <alignment horizontal="center" wrapText="1"/>
    </xf>
    <xf numFmtId="0" fontId="2" fillId="0" borderId="29" xfId="0" applyFont="1" applyBorder="1" applyAlignment="1">
      <alignment horizontal="center"/>
    </xf>
    <xf numFmtId="0" fontId="1" fillId="0" borderId="30" xfId="0" applyFont="1" applyBorder="1"/>
    <xf numFmtId="3" fontId="0" fillId="0" borderId="22" xfId="0" applyNumberFormat="1" applyBorder="1"/>
    <xf numFmtId="4" fontId="0" fillId="0" borderId="22" xfId="0" applyNumberFormat="1" applyBorder="1"/>
    <xf numFmtId="0" fontId="1" fillId="0" borderId="31" xfId="0" applyFont="1" applyBorder="1"/>
    <xf numFmtId="0" fontId="1" fillId="0" borderId="32" xfId="0" quotePrefix="1" applyFont="1" applyBorder="1"/>
    <xf numFmtId="0" fontId="0" fillId="0" borderId="32" xfId="0" applyBorder="1"/>
    <xf numFmtId="0" fontId="1" fillId="0" borderId="32" xfId="0" applyFont="1" applyBorder="1"/>
    <xf numFmtId="3" fontId="0" fillId="0" borderId="32" xfId="0" applyNumberFormat="1" applyBorder="1"/>
    <xf numFmtId="4" fontId="0" fillId="0" borderId="32" xfId="0" applyNumberFormat="1" applyBorder="1"/>
    <xf numFmtId="0" fontId="2" fillId="0" borderId="0" xfId="0" applyFont="1" applyAlignment="1">
      <alignment horizontal="center" wrapText="1"/>
    </xf>
    <xf numFmtId="170" fontId="2" fillId="0" borderId="0" xfId="0" applyNumberFormat="1" applyFont="1" applyAlignment="1">
      <alignment horizontal="center"/>
    </xf>
    <xf numFmtId="15" fontId="2" fillId="0" borderId="0" xfId="0" applyNumberFormat="1" applyFont="1" applyAlignment="1">
      <alignment horizontal="center"/>
    </xf>
    <xf numFmtId="0" fontId="2" fillId="0" borderId="34" xfId="0" applyFont="1" applyBorder="1" applyAlignment="1">
      <alignment horizontal="center"/>
    </xf>
    <xf numFmtId="4" fontId="0" fillId="0" borderId="35" xfId="0" applyNumberFormat="1" applyBorder="1"/>
    <xf numFmtId="4" fontId="0" fillId="0" borderId="36" xfId="0" applyNumberFormat="1" applyBorder="1"/>
    <xf numFmtId="0" fontId="0" fillId="0" borderId="33" xfId="0" applyBorder="1"/>
    <xf numFmtId="0" fontId="0" fillId="0" borderId="37" xfId="0" applyBorder="1"/>
    <xf numFmtId="0" fontId="0" fillId="0" borderId="30" xfId="0" applyBorder="1"/>
    <xf numFmtId="0" fontId="0" fillId="0" borderId="38" xfId="0" applyBorder="1"/>
    <xf numFmtId="0" fontId="0" fillId="0" borderId="31" xfId="0" applyBorder="1"/>
    <xf numFmtId="0" fontId="0" fillId="0" borderId="39" xfId="0" applyBorder="1"/>
    <xf numFmtId="0" fontId="8" fillId="0" borderId="0" xfId="0" applyFont="1"/>
    <xf numFmtId="0" fontId="1" fillId="0" borderId="40" xfId="0" applyFont="1" applyFill="1" applyBorder="1"/>
    <xf numFmtId="0" fontId="1" fillId="0" borderId="41" xfId="0" quotePrefix="1" applyFont="1" applyBorder="1"/>
    <xf numFmtId="0" fontId="0" fillId="0" borderId="41" xfId="0" applyBorder="1"/>
    <xf numFmtId="0" fontId="1" fillId="0" borderId="41" xfId="0" applyFont="1" applyBorder="1"/>
    <xf numFmtId="3" fontId="0" fillId="0" borderId="41" xfId="0" applyNumberFormat="1" applyBorder="1"/>
    <xf numFmtId="4" fontId="2" fillId="0" borderId="41" xfId="0" applyNumberFormat="1" applyFont="1" applyBorder="1"/>
    <xf numFmtId="4" fontId="2" fillId="0" borderId="42" xfId="0" applyNumberFormat="1" applyFont="1" applyBorder="1"/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1" fillId="0" borderId="23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7" xfId="0" applyBorder="1" applyAlignment="1">
      <alignment wrapText="1"/>
    </xf>
  </cellXfs>
  <cellStyles count="4">
    <cellStyle name="Comma" xfId="1" builtinId="3"/>
    <cellStyle name="Normal" xfId="0" builtinId="0"/>
    <cellStyle name="Normal 2" xfId="3"/>
    <cellStyle name="Normal_Emission Calculations" xfId="2"/>
  </cellStyles>
  <dxfs count="0"/>
  <tableStyles count="0" defaultTableStyle="TableStyleMedium9" defaultPivotStyle="PivotStyleLight16"/>
  <colors>
    <mruColors>
      <color rgb="FFC0C0C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p%20V-Att%207-2F%2011%20OGV%20Sth%20D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README"/>
      <sheetName val="7-NJTOT OGV EMISSIONS"/>
      <sheetName val="6-OGV Emission Calcs"/>
      <sheetName val="5-Controls"/>
      <sheetName val="4-Emission Factors"/>
      <sheetName val="3-Allocation Tables"/>
      <sheetName val="2-Activity Data"/>
      <sheetName val="1-OGV Summary"/>
      <sheetName val="GHG Emission Calcs"/>
      <sheetName val="NIF Translation"/>
      <sheetName val="NIF Values Only"/>
      <sheetName val="QA_QC"/>
      <sheetName val="Sheet1"/>
    </sheetNames>
    <sheetDataSet>
      <sheetData sheetId="0"/>
      <sheetData sheetId="1"/>
      <sheetData sheetId="2"/>
      <sheetData sheetId="3">
        <row r="50">
          <cell r="A50" t="str">
            <v>Category</v>
          </cell>
        </row>
        <row r="55">
          <cell r="E55" t="str">
            <v>Diesel</v>
          </cell>
        </row>
        <row r="56">
          <cell r="E56" t="str">
            <v>Diesel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abSelected="1" workbookViewId="0">
      <selection activeCell="E6" sqref="E6"/>
    </sheetView>
  </sheetViews>
  <sheetFormatPr defaultRowHeight="12.75" x14ac:dyDescent="0.2"/>
  <cols>
    <col min="1" max="1" width="24.7109375" customWidth="1"/>
  </cols>
  <sheetData>
    <row r="1" spans="1:1" ht="18" customHeight="1" x14ac:dyDescent="0.2">
      <c r="A1" s="205" t="s">
        <v>268</v>
      </c>
    </row>
    <row r="2" spans="1:1" ht="26.25" customHeight="1" x14ac:dyDescent="0.2">
      <c r="A2" s="205" t="s">
        <v>269</v>
      </c>
    </row>
    <row r="3" spans="1:1" ht="15" customHeight="1" x14ac:dyDescent="0.2">
      <c r="A3" s="205" t="s">
        <v>270</v>
      </c>
    </row>
    <row r="4" spans="1:1" ht="38.25" customHeight="1" x14ac:dyDescent="0.2">
      <c r="A4" s="205" t="s">
        <v>299</v>
      </c>
    </row>
    <row r="5" spans="1:1" ht="13.5" customHeight="1" x14ac:dyDescent="0.2">
      <c r="A5" s="205"/>
    </row>
    <row r="6" spans="1:1" ht="19.5" customHeight="1" x14ac:dyDescent="0.2">
      <c r="A6" s="205" t="s">
        <v>271</v>
      </c>
    </row>
    <row r="7" spans="1:1" ht="105.75" customHeight="1" x14ac:dyDescent="0.2">
      <c r="A7" s="205" t="s">
        <v>272</v>
      </c>
    </row>
    <row r="8" spans="1:1" ht="18.75" customHeight="1" x14ac:dyDescent="0.2">
      <c r="A8" s="205" t="s">
        <v>273</v>
      </c>
    </row>
    <row r="9" spans="1:1" x14ac:dyDescent="0.2">
      <c r="A9" s="225" t="s">
        <v>274</v>
      </c>
    </row>
    <row r="10" spans="1:1" x14ac:dyDescent="0.2">
      <c r="A10" s="225"/>
    </row>
    <row r="11" spans="1:1" ht="18" customHeight="1" x14ac:dyDescent="0.2">
      <c r="A11" s="161" t="s">
        <v>275</v>
      </c>
    </row>
    <row r="12" spans="1:1" ht="24.75" customHeight="1" x14ac:dyDescent="0.2">
      <c r="A12" s="205" t="s">
        <v>276</v>
      </c>
    </row>
    <row r="13" spans="1:1" x14ac:dyDescent="0.2">
      <c r="A13" s="206" t="s">
        <v>278</v>
      </c>
    </row>
    <row r="14" spans="1:1" x14ac:dyDescent="0.2">
      <c r="A14" s="207">
        <v>41790</v>
      </c>
    </row>
    <row r="15" spans="1:1" x14ac:dyDescent="0.2">
      <c r="A15" s="161"/>
    </row>
  </sheetData>
  <mergeCells count="1">
    <mergeCell ref="A9:A10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17" sqref="C17"/>
    </sheetView>
  </sheetViews>
  <sheetFormatPr defaultRowHeight="12.75" x14ac:dyDescent="0.2"/>
  <cols>
    <col min="2" max="2" width="5.7109375" customWidth="1"/>
    <col min="3" max="3" width="12.85546875" customWidth="1"/>
    <col min="4" max="4" width="2.42578125" customWidth="1"/>
    <col min="6" max="6" width="6.85546875" customWidth="1"/>
    <col min="7" max="7" width="10.140625" bestFit="1" customWidth="1"/>
    <col min="8" max="8" width="7.85546875" customWidth="1"/>
    <col min="9" max="9" width="7.28515625" customWidth="1"/>
    <col min="10" max="10" width="6.42578125" customWidth="1"/>
    <col min="11" max="11" width="7.42578125" customWidth="1"/>
    <col min="12" max="12" width="7.85546875" customWidth="1"/>
    <col min="13" max="13" width="7.140625" customWidth="1"/>
  </cols>
  <sheetData>
    <row r="1" spans="1:14" x14ac:dyDescent="0.2">
      <c r="A1" s="24" t="s">
        <v>281</v>
      </c>
    </row>
    <row r="2" spans="1:14" x14ac:dyDescent="0.2">
      <c r="A2" s="24" t="s">
        <v>279</v>
      </c>
    </row>
    <row r="3" spans="1:14" ht="14.25" x14ac:dyDescent="0.2">
      <c r="A3" s="24" t="s">
        <v>293</v>
      </c>
    </row>
    <row r="4" spans="1:14" ht="13.5" thickBot="1" x14ac:dyDescent="0.25">
      <c r="A4" s="24" t="s">
        <v>280</v>
      </c>
      <c r="B4" s="24"/>
      <c r="C4" s="24"/>
      <c r="D4" s="24"/>
      <c r="E4" s="24"/>
      <c r="F4" s="24"/>
      <c r="G4" s="24"/>
      <c r="H4" s="24"/>
      <c r="I4" s="24"/>
    </row>
    <row r="5" spans="1:14" ht="38.25" x14ac:dyDescent="0.2">
      <c r="A5" s="192"/>
      <c r="B5" s="193"/>
      <c r="C5" s="193"/>
      <c r="D5" s="193"/>
      <c r="E5" s="193"/>
      <c r="F5" s="193"/>
      <c r="G5" s="194" t="s">
        <v>35</v>
      </c>
      <c r="H5" s="195" t="s">
        <v>5</v>
      </c>
      <c r="I5" s="195" t="s">
        <v>6</v>
      </c>
      <c r="J5" s="195" t="s">
        <v>13</v>
      </c>
      <c r="K5" s="195" t="s">
        <v>15</v>
      </c>
      <c r="L5" s="195" t="s">
        <v>8</v>
      </c>
      <c r="M5" s="208" t="s">
        <v>42</v>
      </c>
      <c r="N5" s="211"/>
    </row>
    <row r="6" spans="1:14" x14ac:dyDescent="0.2">
      <c r="A6" s="196" t="s">
        <v>256</v>
      </c>
      <c r="B6" s="191" t="s">
        <v>259</v>
      </c>
      <c r="C6" s="189">
        <v>2280002200</v>
      </c>
      <c r="D6" s="190" t="s">
        <v>262</v>
      </c>
      <c r="E6" s="190" t="s">
        <v>107</v>
      </c>
      <c r="F6" s="189" t="str">
        <f>'[1]6-OGV Emission Calcs'!E55</f>
        <v>Diesel</v>
      </c>
      <c r="G6" s="197">
        <f>Calculations!G37</f>
        <v>11137347.182507096</v>
      </c>
      <c r="H6" s="198">
        <f>Calculations!H37</f>
        <v>19.606886219802824</v>
      </c>
      <c r="I6" s="198">
        <f>Calculations!I37</f>
        <v>123.56174285970897</v>
      </c>
      <c r="J6" s="198">
        <f>Calculations!L37</f>
        <v>5.227739422970263</v>
      </c>
      <c r="K6" s="198">
        <f>Calculations!M37</f>
        <v>5.070907240281155</v>
      </c>
      <c r="L6" s="198">
        <f>Calculations!K37</f>
        <v>1.6143765227063283</v>
      </c>
      <c r="M6" s="209">
        <f>Calculations!J37</f>
        <v>4.2593262513527588</v>
      </c>
      <c r="N6" s="211"/>
    </row>
    <row r="7" spans="1:14" x14ac:dyDescent="0.2">
      <c r="A7" s="196" t="s">
        <v>257</v>
      </c>
      <c r="B7" s="191" t="s">
        <v>260</v>
      </c>
      <c r="C7" s="189">
        <v>2280002200</v>
      </c>
      <c r="D7" s="190" t="s">
        <v>262</v>
      </c>
      <c r="E7" s="190" t="s">
        <v>107</v>
      </c>
      <c r="F7" s="189" t="str">
        <f>'[1]6-OGV Emission Calcs'!E56</f>
        <v>Diesel</v>
      </c>
      <c r="G7" s="197">
        <f>Calculations!G38</f>
        <v>3143055.0331001617</v>
      </c>
      <c r="H7" s="198">
        <f>Calculations!H38</f>
        <v>5.5332316939320858</v>
      </c>
      <c r="I7" s="198">
        <f>Calculations!I38</f>
        <v>34.870185101512952</v>
      </c>
      <c r="J7" s="198">
        <f>Calculations!L38</f>
        <v>1.4753129659916078</v>
      </c>
      <c r="K7" s="198">
        <f>Calculations!M38</f>
        <v>1.4310535770118595</v>
      </c>
      <c r="L7" s="198">
        <f>Calculations!K38</f>
        <v>0.45559092051835021</v>
      </c>
      <c r="M7" s="209">
        <f>Calculations!J38</f>
        <v>1.2020184513020054</v>
      </c>
      <c r="N7" s="211"/>
    </row>
    <row r="8" spans="1:14" ht="13.5" thickBot="1" x14ac:dyDescent="0.25">
      <c r="A8" s="199" t="s">
        <v>258</v>
      </c>
      <c r="B8" s="200" t="s">
        <v>261</v>
      </c>
      <c r="C8" s="201">
        <v>2280002200</v>
      </c>
      <c r="D8" s="202" t="s">
        <v>262</v>
      </c>
      <c r="E8" s="202" t="s">
        <v>107</v>
      </c>
      <c r="F8" s="202" t="s">
        <v>267</v>
      </c>
      <c r="G8" s="203">
        <f>Calculations!G39</f>
        <v>5432019.024597019</v>
      </c>
      <c r="H8" s="204">
        <f>Calculations!H39</f>
        <v>9.5628678188608873</v>
      </c>
      <c r="I8" s="204">
        <f>Calculations!I39</f>
        <v>60.264776425440871</v>
      </c>
      <c r="J8" s="204">
        <f>Calculations!L39</f>
        <v>2.5497256694854964</v>
      </c>
      <c r="K8" s="204">
        <f>Calculations!M39</f>
        <v>2.4732338994009311</v>
      </c>
      <c r="L8" s="204">
        <f>Calculations!K39</f>
        <v>0.78737996046106196</v>
      </c>
      <c r="M8" s="210">
        <f>Calculations!J39</f>
        <v>2.0774014538806398</v>
      </c>
      <c r="N8" s="211"/>
    </row>
    <row r="9" spans="1:14" ht="13.5" thickBot="1" x14ac:dyDescent="0.25">
      <c r="A9" s="218" t="s">
        <v>294</v>
      </c>
      <c r="B9" s="219"/>
      <c r="C9" s="220"/>
      <c r="D9" s="221"/>
      <c r="E9" s="221"/>
      <c r="F9" s="221"/>
      <c r="G9" s="222"/>
      <c r="H9" s="223">
        <f>SUM(H6:H8)</f>
        <v>34.702985732595799</v>
      </c>
      <c r="I9" s="223">
        <f t="shared" ref="I9:M9" si="0">SUM(I6:I8)</f>
        <v>218.69670438666282</v>
      </c>
      <c r="J9" s="223">
        <f t="shared" si="0"/>
        <v>9.2527780584473671</v>
      </c>
      <c r="K9" s="223">
        <f t="shared" si="0"/>
        <v>8.9751947166939452</v>
      </c>
      <c r="L9" s="223">
        <f t="shared" si="0"/>
        <v>2.8573474036857403</v>
      </c>
      <c r="M9" s="224">
        <f t="shared" si="0"/>
        <v>7.5387461565354039</v>
      </c>
      <c r="N9" s="148"/>
    </row>
    <row r="10" spans="1:14" ht="14.25" x14ac:dyDescent="0.2">
      <c r="A10" s="151" t="s">
        <v>277</v>
      </c>
      <c r="D10" s="180"/>
      <c r="E10" s="180"/>
      <c r="F10" s="180"/>
      <c r="G10" s="180"/>
      <c r="H10" s="180"/>
      <c r="I10" s="180"/>
    </row>
    <row r="13" spans="1:14" x14ac:dyDescent="0.2">
      <c r="A13" s="138"/>
    </row>
    <row r="14" spans="1:14" x14ac:dyDescent="0.2">
      <c r="A14" s="24"/>
    </row>
    <row r="15" spans="1:14" x14ac:dyDescent="0.2">
      <c r="A15" s="24"/>
    </row>
    <row r="17" spans="1:1" x14ac:dyDescent="0.2">
      <c r="A17" s="24"/>
    </row>
    <row r="18" spans="1:1" x14ac:dyDescent="0.2">
      <c r="A18" s="24"/>
    </row>
    <row r="19" spans="1:1" x14ac:dyDescent="0.2">
      <c r="A19" s="24"/>
    </row>
    <row r="20" spans="1:1" x14ac:dyDescent="0.2">
      <c r="A20" s="24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85"/>
  <sheetViews>
    <sheetView workbookViewId="0">
      <selection activeCell="G37" sqref="G37"/>
    </sheetView>
  </sheetViews>
  <sheetFormatPr defaultRowHeight="12.75" x14ac:dyDescent="0.2"/>
  <cols>
    <col min="1" max="1" width="15.140625" style="2" customWidth="1"/>
    <col min="2" max="2" width="13.140625" style="2" customWidth="1"/>
    <col min="3" max="3" width="12.5703125" style="2" customWidth="1"/>
    <col min="4" max="4" width="10.85546875" style="2" customWidth="1"/>
    <col min="5" max="5" width="11.7109375" style="2" customWidth="1"/>
    <col min="6" max="6" width="12.28515625" style="2" customWidth="1"/>
    <col min="7" max="7" width="11" style="2" customWidth="1"/>
    <col min="8" max="8" width="12.140625" customWidth="1"/>
    <col min="9" max="9" width="11.140625" customWidth="1"/>
    <col min="10" max="10" width="11.28515625" customWidth="1"/>
    <col min="11" max="11" width="11.85546875" customWidth="1"/>
    <col min="12" max="12" width="33.5703125" customWidth="1"/>
    <col min="13" max="13" width="11.42578125" customWidth="1"/>
    <col min="14" max="14" width="13.28515625" customWidth="1"/>
  </cols>
  <sheetData>
    <row r="1" spans="1:15" x14ac:dyDescent="0.2">
      <c r="L1" s="24" t="s">
        <v>70</v>
      </c>
      <c r="M1" s="66"/>
      <c r="N1" s="66"/>
    </row>
    <row r="2" spans="1:15" x14ac:dyDescent="0.2">
      <c r="A2" s="25" t="s">
        <v>247</v>
      </c>
      <c r="F2" s="152" t="s">
        <v>117</v>
      </c>
      <c r="G2" s="153"/>
      <c r="H2" s="154"/>
      <c r="L2" s="67"/>
      <c r="M2" s="68" t="s">
        <v>1</v>
      </c>
      <c r="N2" s="68"/>
    </row>
    <row r="3" spans="1:15" x14ac:dyDescent="0.2">
      <c r="F3" s="25" t="s">
        <v>120</v>
      </c>
      <c r="I3" s="155" t="s">
        <v>115</v>
      </c>
      <c r="J3" s="155" t="s">
        <v>116</v>
      </c>
      <c r="L3" s="69" t="s">
        <v>47</v>
      </c>
      <c r="M3" s="70" t="s">
        <v>22</v>
      </c>
      <c r="N3" s="70" t="s">
        <v>48</v>
      </c>
    </row>
    <row r="4" spans="1:15" x14ac:dyDescent="0.2">
      <c r="F4" s="151" t="s">
        <v>108</v>
      </c>
      <c r="I4">
        <v>247</v>
      </c>
      <c r="J4">
        <v>201</v>
      </c>
      <c r="L4" s="27" t="s">
        <v>49</v>
      </c>
      <c r="M4" s="66">
        <v>35.299999999999997</v>
      </c>
      <c r="N4" s="66">
        <f>M4</f>
        <v>35.299999999999997</v>
      </c>
    </row>
    <row r="5" spans="1:15" ht="14.25" x14ac:dyDescent="0.2">
      <c r="A5" s="26" t="s">
        <v>114</v>
      </c>
      <c r="B5" s="14"/>
      <c r="C5" s="14"/>
      <c r="D5" s="11"/>
      <c r="F5" s="151" t="s">
        <v>109</v>
      </c>
      <c r="I5">
        <v>0</v>
      </c>
      <c r="J5">
        <v>70</v>
      </c>
      <c r="L5" s="27" t="s">
        <v>67</v>
      </c>
      <c r="M5" s="66">
        <v>26.1</v>
      </c>
      <c r="N5" s="66"/>
    </row>
    <row r="6" spans="1:15" x14ac:dyDescent="0.2">
      <c r="A6" s="33"/>
      <c r="B6" s="81" t="s">
        <v>75</v>
      </c>
      <c r="C6" s="81" t="s">
        <v>76</v>
      </c>
      <c r="D6" s="81" t="s">
        <v>78</v>
      </c>
      <c r="F6" s="151" t="s">
        <v>110</v>
      </c>
      <c r="I6">
        <v>3</v>
      </c>
      <c r="J6">
        <v>16</v>
      </c>
      <c r="L6" s="72" t="s">
        <v>50</v>
      </c>
      <c r="M6" s="73">
        <v>27.6</v>
      </c>
      <c r="N6" s="66"/>
    </row>
    <row r="7" spans="1:15" ht="14.25" x14ac:dyDescent="0.2">
      <c r="A7" s="11" t="s">
        <v>73</v>
      </c>
      <c r="B7" s="35">
        <v>3701</v>
      </c>
      <c r="C7" s="35">
        <v>3705</v>
      </c>
      <c r="D7" s="35">
        <f>B7+C7</f>
        <v>7406</v>
      </c>
      <c r="E7" s="11"/>
      <c r="F7" s="151" t="s">
        <v>111</v>
      </c>
      <c r="I7">
        <v>1</v>
      </c>
      <c r="J7">
        <v>27</v>
      </c>
      <c r="L7" s="72" t="s">
        <v>68</v>
      </c>
      <c r="M7" s="73">
        <v>18.399999999999999</v>
      </c>
      <c r="N7" s="66"/>
    </row>
    <row r="8" spans="1:15" x14ac:dyDescent="0.2">
      <c r="A8" s="11" t="s">
        <v>74</v>
      </c>
      <c r="B8" s="35">
        <v>173</v>
      </c>
      <c r="C8" s="35">
        <v>176</v>
      </c>
      <c r="D8" s="35">
        <f t="shared" ref="D8:D9" si="0">B8+C8</f>
        <v>349</v>
      </c>
      <c r="E8" s="11"/>
      <c r="F8" s="151" t="s">
        <v>112</v>
      </c>
      <c r="I8">
        <v>102</v>
      </c>
      <c r="J8">
        <v>0</v>
      </c>
      <c r="L8" s="72" t="s">
        <v>51</v>
      </c>
      <c r="M8" s="73">
        <v>21.2</v>
      </c>
      <c r="N8" s="66"/>
    </row>
    <row r="9" spans="1:15" x14ac:dyDescent="0.2">
      <c r="A9" s="2" t="s">
        <v>249</v>
      </c>
      <c r="B9" s="2">
        <v>149</v>
      </c>
      <c r="C9" s="2">
        <v>142</v>
      </c>
      <c r="D9" s="35">
        <f t="shared" si="0"/>
        <v>291</v>
      </c>
      <c r="E9" s="11"/>
      <c r="F9" s="151" t="s">
        <v>250</v>
      </c>
      <c r="I9">
        <v>2</v>
      </c>
      <c r="J9">
        <v>101</v>
      </c>
      <c r="L9" s="72" t="s">
        <v>71</v>
      </c>
      <c r="M9" s="76">
        <v>13</v>
      </c>
      <c r="N9" s="66"/>
    </row>
    <row r="10" spans="1:15" x14ac:dyDescent="0.2">
      <c r="A10" s="11" t="s">
        <v>17</v>
      </c>
      <c r="B10" s="35">
        <v>1171</v>
      </c>
      <c r="C10" s="35">
        <v>1161</v>
      </c>
      <c r="D10" s="35">
        <f>B10+C10</f>
        <v>2332</v>
      </c>
      <c r="E10" s="11"/>
      <c r="F10" s="25" t="s">
        <v>119</v>
      </c>
      <c r="I10">
        <f>SUM(I4:I9)</f>
        <v>355</v>
      </c>
      <c r="J10">
        <f>SUM(J4:J9)</f>
        <v>415</v>
      </c>
      <c r="L10" s="72" t="s">
        <v>52</v>
      </c>
      <c r="M10" s="73">
        <v>7.7</v>
      </c>
      <c r="N10" s="66"/>
    </row>
    <row r="11" spans="1:15" x14ac:dyDescent="0.2">
      <c r="A11" s="11" t="s">
        <v>77</v>
      </c>
      <c r="B11" s="35">
        <v>99</v>
      </c>
      <c r="C11" s="35">
        <v>115</v>
      </c>
      <c r="D11" s="35">
        <f>B11+C11</f>
        <v>214</v>
      </c>
      <c r="E11" s="11"/>
      <c r="F11" s="152" t="s">
        <v>118</v>
      </c>
      <c r="G11" s="153"/>
      <c r="H11" s="154"/>
      <c r="L11" s="72" t="s">
        <v>23</v>
      </c>
      <c r="M11" s="73">
        <v>14.1</v>
      </c>
      <c r="N11" s="66"/>
    </row>
    <row r="12" spans="1:15" ht="14.25" x14ac:dyDescent="0.2">
      <c r="A12" s="2" t="s">
        <v>248</v>
      </c>
      <c r="B12" s="35"/>
      <c r="C12" s="35"/>
      <c r="D12" s="35"/>
      <c r="E12" s="11"/>
      <c r="F12" s="11" t="s">
        <v>113</v>
      </c>
      <c r="I12">
        <v>0</v>
      </c>
      <c r="J12">
        <v>29</v>
      </c>
      <c r="L12" s="27" t="s">
        <v>69</v>
      </c>
      <c r="M12" s="66">
        <v>4.9000000000000004</v>
      </c>
      <c r="N12" s="66"/>
    </row>
    <row r="13" spans="1:15" ht="14.25" x14ac:dyDescent="0.2">
      <c r="A13" s="11"/>
      <c r="B13" s="11"/>
      <c r="C13" s="11"/>
      <c r="I13" s="34"/>
      <c r="J13" s="29"/>
      <c r="L13" s="27" t="s">
        <v>83</v>
      </c>
      <c r="M13" s="66">
        <v>9.1999999999999993</v>
      </c>
    </row>
    <row r="14" spans="1:15" x14ac:dyDescent="0.2">
      <c r="A14" s="25"/>
      <c r="F14" s="153" t="s">
        <v>123</v>
      </c>
      <c r="G14" s="153"/>
      <c r="H14" s="154"/>
      <c r="I14" s="156">
        <v>1</v>
      </c>
      <c r="J14" s="156">
        <v>2</v>
      </c>
      <c r="L14" s="27" t="s">
        <v>25</v>
      </c>
      <c r="M14" s="66">
        <v>32.6</v>
      </c>
      <c r="N14" s="66">
        <f>M14</f>
        <v>32.6</v>
      </c>
    </row>
    <row r="15" spans="1:15" x14ac:dyDescent="0.2">
      <c r="H15" s="33"/>
      <c r="I15" s="11"/>
      <c r="J15" s="11"/>
      <c r="L15" s="69" t="s">
        <v>27</v>
      </c>
      <c r="M15" s="70">
        <v>15.9</v>
      </c>
      <c r="N15" s="70">
        <f>M15</f>
        <v>15.9</v>
      </c>
    </row>
    <row r="16" spans="1:15" ht="13.5" thickBot="1" x14ac:dyDescent="0.25">
      <c r="A16" s="30" t="s">
        <v>59</v>
      </c>
      <c r="B16" s="30" t="s">
        <v>55</v>
      </c>
      <c r="C16" s="20" t="s">
        <v>43</v>
      </c>
      <c r="D16" s="20" t="s">
        <v>58</v>
      </c>
      <c r="E16" s="20" t="s">
        <v>57</v>
      </c>
      <c r="F16" s="20" t="s">
        <v>54</v>
      </c>
      <c r="G16" s="20" t="s">
        <v>53</v>
      </c>
      <c r="H16" s="20" t="s">
        <v>86</v>
      </c>
      <c r="I16" s="20" t="s">
        <v>82</v>
      </c>
      <c r="J16" s="20" t="s">
        <v>121</v>
      </c>
      <c r="L16" s="74"/>
      <c r="M16" s="71"/>
      <c r="N16" s="75">
        <f>SUM(N4:N15)</f>
        <v>83.800000000000011</v>
      </c>
      <c r="O16" s="34"/>
    </row>
    <row r="17" spans="1:16" ht="13.5" thickTop="1" x14ac:dyDescent="0.2">
      <c r="A17" s="2" t="s">
        <v>18</v>
      </c>
      <c r="C17" s="3">
        <f>D7-D8-D9-D10+(I12*I14)+(J12*J14)</f>
        <v>4492</v>
      </c>
      <c r="D17" s="3">
        <f>(D8+D9)/2</f>
        <v>320</v>
      </c>
      <c r="E17" s="3">
        <f>(D8+D9)/2</f>
        <v>320</v>
      </c>
      <c r="F17" s="3">
        <f>D10/2</f>
        <v>1166</v>
      </c>
      <c r="G17" s="3">
        <f>D10/2</f>
        <v>1166</v>
      </c>
      <c r="H17" s="3">
        <f>D10</f>
        <v>2332</v>
      </c>
      <c r="I17" s="3">
        <f>D11</f>
        <v>214</v>
      </c>
      <c r="J17" s="3">
        <f>(2*I10*I14)+(2*J10*J14)</f>
        <v>2370</v>
      </c>
      <c r="L17" s="2" t="s">
        <v>87</v>
      </c>
      <c r="M17" s="77">
        <v>8</v>
      </c>
      <c r="N17" s="35"/>
      <c r="O17" s="33"/>
      <c r="P17" s="34"/>
    </row>
    <row r="18" spans="1:16" x14ac:dyDescent="0.2">
      <c r="A18" s="2" t="s">
        <v>1</v>
      </c>
      <c r="B18" s="2" t="s">
        <v>0</v>
      </c>
      <c r="C18" s="37">
        <f>$N$16</f>
        <v>83.800000000000011</v>
      </c>
      <c r="D18" s="2">
        <f>$M$6+$M$14+$M$15</f>
        <v>76.100000000000009</v>
      </c>
      <c r="E18" s="37">
        <f>C18-D18</f>
        <v>7.7000000000000028</v>
      </c>
      <c r="F18" s="2">
        <f>$M$11+$M$14+$M$15</f>
        <v>62.6</v>
      </c>
      <c r="G18" s="2">
        <f>$M$8</f>
        <v>21.2</v>
      </c>
      <c r="H18" s="90">
        <f>M9</f>
        <v>13</v>
      </c>
      <c r="I18" s="85">
        <f>M17</f>
        <v>8</v>
      </c>
      <c r="J18" s="157" t="s">
        <v>122</v>
      </c>
      <c r="K18" s="2"/>
    </row>
    <row r="19" spans="1:16" x14ac:dyDescent="0.2">
      <c r="A19" s="6" t="s">
        <v>20</v>
      </c>
      <c r="B19" s="6" t="s">
        <v>21</v>
      </c>
      <c r="C19" s="78">
        <f>12*$H$41</f>
        <v>13.8096</v>
      </c>
      <c r="D19" s="78">
        <f>12*$H$41</f>
        <v>13.8096</v>
      </c>
      <c r="E19" s="78">
        <f>12*$H$41</f>
        <v>13.8096</v>
      </c>
      <c r="F19" s="78">
        <f>12*$H$41</f>
        <v>13.8096</v>
      </c>
      <c r="G19" s="78">
        <f>12*$H$41</f>
        <v>13.8096</v>
      </c>
      <c r="H19" s="78">
        <f>10*$H$41</f>
        <v>11.508000000000001</v>
      </c>
      <c r="I19" s="78">
        <f>10*$H$41</f>
        <v>11.508000000000001</v>
      </c>
      <c r="J19" s="158" t="s">
        <v>122</v>
      </c>
      <c r="K19" s="2"/>
    </row>
    <row r="20" spans="1:16" x14ac:dyDescent="0.2">
      <c r="A20" s="2" t="s">
        <v>37</v>
      </c>
      <c r="B20" s="2" t="s">
        <v>44</v>
      </c>
      <c r="C20" s="37">
        <f t="shared" ref="C20:I20" si="1">C18/C19</f>
        <v>6.0682423821109959</v>
      </c>
      <c r="D20" s="37">
        <f t="shared" si="1"/>
        <v>5.5106592515351647</v>
      </c>
      <c r="E20" s="37">
        <f t="shared" si="1"/>
        <v>0.55758313057583153</v>
      </c>
      <c r="F20" s="37">
        <f t="shared" si="1"/>
        <v>4.5330784381879274</v>
      </c>
      <c r="G20" s="37">
        <f t="shared" si="1"/>
        <v>1.535163943923068</v>
      </c>
      <c r="H20" s="37">
        <f t="shared" si="1"/>
        <v>1.1296489398679179</v>
      </c>
      <c r="I20" s="37">
        <f t="shared" si="1"/>
        <v>0.69516857838025714</v>
      </c>
      <c r="J20" s="159" t="s">
        <v>122</v>
      </c>
      <c r="K20" s="11"/>
    </row>
    <row r="21" spans="1:16" x14ac:dyDescent="0.2">
      <c r="A21" s="2" t="s">
        <v>65</v>
      </c>
      <c r="B21" s="2" t="s">
        <v>44</v>
      </c>
      <c r="C21" s="3">
        <v>0</v>
      </c>
      <c r="D21" s="37">
        <v>1</v>
      </c>
      <c r="E21" s="37">
        <v>1</v>
      </c>
      <c r="F21" s="79">
        <v>0</v>
      </c>
      <c r="G21" s="79">
        <v>0</v>
      </c>
      <c r="H21" s="79">
        <v>0</v>
      </c>
      <c r="I21" s="85">
        <v>1</v>
      </c>
      <c r="J21" s="85">
        <v>1</v>
      </c>
    </row>
    <row r="22" spans="1:16" x14ac:dyDescent="0.2">
      <c r="A22" s="64" t="s">
        <v>60</v>
      </c>
      <c r="B22" s="64" t="s">
        <v>19</v>
      </c>
      <c r="C22" s="65">
        <f t="shared" ref="C22:I22" si="2">C17*C20</f>
        <v>27258.544780442593</v>
      </c>
      <c r="D22" s="65">
        <f t="shared" si="2"/>
        <v>1763.4109604912528</v>
      </c>
      <c r="E22" s="65">
        <f t="shared" si="2"/>
        <v>178.4266017842661</v>
      </c>
      <c r="F22" s="65">
        <f t="shared" si="2"/>
        <v>5285.5694589271234</v>
      </c>
      <c r="G22" s="65">
        <f t="shared" si="2"/>
        <v>1790.0011586142973</v>
      </c>
      <c r="H22" s="65">
        <f t="shared" si="2"/>
        <v>2634.3413277719847</v>
      </c>
      <c r="I22" s="65">
        <f t="shared" si="2"/>
        <v>148.76607577337504</v>
      </c>
      <c r="J22" s="160" t="s">
        <v>122</v>
      </c>
    </row>
    <row r="23" spans="1:16" x14ac:dyDescent="0.2">
      <c r="A23" s="62" t="s">
        <v>61</v>
      </c>
      <c r="B23" s="62" t="s">
        <v>19</v>
      </c>
      <c r="C23" s="63">
        <f t="shared" ref="C23:I23" si="3">C17*C21</f>
        <v>0</v>
      </c>
      <c r="D23" s="63">
        <f t="shared" si="3"/>
        <v>320</v>
      </c>
      <c r="E23" s="63">
        <f t="shared" si="3"/>
        <v>320</v>
      </c>
      <c r="F23" s="63">
        <f t="shared" si="3"/>
        <v>0</v>
      </c>
      <c r="G23" s="63">
        <f t="shared" si="3"/>
        <v>0</v>
      </c>
      <c r="H23" s="63">
        <f t="shared" si="3"/>
        <v>0</v>
      </c>
      <c r="I23" s="63">
        <f t="shared" si="3"/>
        <v>214</v>
      </c>
      <c r="J23" s="63">
        <f t="shared" ref="J23" si="4">J17*J21</f>
        <v>2370</v>
      </c>
      <c r="K23" s="2"/>
    </row>
    <row r="24" spans="1:16" x14ac:dyDescent="0.2">
      <c r="A24" s="2" t="s">
        <v>241</v>
      </c>
      <c r="H24" s="38"/>
      <c r="I24" s="2"/>
      <c r="J24" s="2"/>
      <c r="K24" s="2"/>
    </row>
    <row r="25" spans="1:16" x14ac:dyDescent="0.2">
      <c r="H25" s="38"/>
      <c r="I25" s="2"/>
      <c r="J25" s="2"/>
      <c r="K25" s="2"/>
    </row>
    <row r="26" spans="1:16" s="1" customFormat="1" ht="24.75" thickBot="1" x14ac:dyDescent="0.25">
      <c r="A26" s="30" t="s">
        <v>45</v>
      </c>
      <c r="B26" s="30" t="s">
        <v>29</v>
      </c>
      <c r="C26" s="9" t="s">
        <v>84</v>
      </c>
      <c r="D26" s="9" t="s">
        <v>62</v>
      </c>
      <c r="E26" s="9" t="s">
        <v>63</v>
      </c>
      <c r="F26" s="39"/>
      <c r="G26" s="39"/>
      <c r="H26" s="38"/>
      <c r="I26" s="2"/>
      <c r="J26" s="2"/>
      <c r="K26" s="2"/>
    </row>
    <row r="27" spans="1:16" s="1" customFormat="1" thickTop="1" x14ac:dyDescent="0.2">
      <c r="A27" s="2" t="s">
        <v>43</v>
      </c>
      <c r="B27" s="2" t="s">
        <v>24</v>
      </c>
      <c r="C27" s="88">
        <v>0</v>
      </c>
      <c r="D27" s="87">
        <f>$M5/($M$4+$M$14+$M$15)*C27</f>
        <v>0</v>
      </c>
      <c r="E27" s="40">
        <f>$C$22*D27</f>
        <v>0</v>
      </c>
      <c r="F27" s="42"/>
      <c r="G27" s="41"/>
      <c r="H27" s="38"/>
      <c r="I27" s="2"/>
      <c r="J27" s="2"/>
      <c r="K27" s="2"/>
    </row>
    <row r="28" spans="1:16" s="1" customFormat="1" ht="12" x14ac:dyDescent="0.2">
      <c r="A28" s="2" t="s">
        <v>43</v>
      </c>
      <c r="B28" s="2" t="s">
        <v>24</v>
      </c>
      <c r="C28" s="5">
        <v>0.5</v>
      </c>
      <c r="D28" s="43">
        <f>$M13/($M$4+$M$14+$M$15)*C28</f>
        <v>5.4892601431980895E-2</v>
      </c>
      <c r="E28" s="44">
        <f>$C$22*D28</f>
        <v>1496.2924342486385</v>
      </c>
      <c r="F28" s="42"/>
      <c r="G28" s="41"/>
      <c r="H28" s="38"/>
      <c r="I28" s="2"/>
      <c r="J28" s="2"/>
      <c r="K28" s="2"/>
    </row>
    <row r="29" spans="1:16" s="1" customFormat="1" ht="12" x14ac:dyDescent="0.2">
      <c r="A29" s="2" t="s">
        <v>43</v>
      </c>
      <c r="B29" s="2" t="s">
        <v>26</v>
      </c>
      <c r="C29" s="5">
        <v>0.5</v>
      </c>
      <c r="D29" s="43">
        <f>$M14/($M$4+$M$14+$M$15)*C29</f>
        <v>0.1945107398568019</v>
      </c>
      <c r="E29" s="44">
        <f>$C$22*D29</f>
        <v>5302.0797126636544</v>
      </c>
      <c r="F29" s="12"/>
      <c r="G29" s="45"/>
      <c r="H29" s="2"/>
      <c r="I29" s="2"/>
      <c r="J29" s="2"/>
      <c r="K29" s="2"/>
    </row>
    <row r="30" spans="1:16" s="1" customFormat="1" ht="12" x14ac:dyDescent="0.2">
      <c r="A30" s="6" t="s">
        <v>43</v>
      </c>
      <c r="B30" s="6" t="s">
        <v>28</v>
      </c>
      <c r="C30" s="6">
        <v>0.5</v>
      </c>
      <c r="D30" s="47">
        <f>$M15/($M$4+$M$14+$M$15)*C30</f>
        <v>9.4868735083532205E-2</v>
      </c>
      <c r="E30" s="48">
        <f>$C$22*D30</f>
        <v>2585.9836635384081</v>
      </c>
      <c r="F30" s="12"/>
      <c r="G30" s="45"/>
      <c r="H30" s="2"/>
      <c r="I30" s="2"/>
      <c r="J30" s="2"/>
      <c r="K30" s="2"/>
    </row>
    <row r="31" spans="1:16" s="1" customFormat="1" ht="12" x14ac:dyDescent="0.2">
      <c r="A31" s="2" t="s">
        <v>58</v>
      </c>
      <c r="B31" s="49" t="s">
        <v>24</v>
      </c>
      <c r="C31" s="85">
        <v>0</v>
      </c>
      <c r="D31" s="43">
        <f>$M7/($M$6+$M$14+$M$15)*C31</f>
        <v>0</v>
      </c>
      <c r="E31" s="3">
        <f>D$22*D31</f>
        <v>0</v>
      </c>
      <c r="F31" s="12"/>
      <c r="G31" s="45"/>
      <c r="H31" s="39"/>
      <c r="I31" s="39"/>
      <c r="J31" s="39"/>
      <c r="K31" s="39"/>
    </row>
    <row r="32" spans="1:16" s="1" customFormat="1" ht="12" x14ac:dyDescent="0.2">
      <c r="A32" s="2" t="s">
        <v>58</v>
      </c>
      <c r="B32" s="49" t="s">
        <v>24</v>
      </c>
      <c r="C32" s="2">
        <v>0.5</v>
      </c>
      <c r="D32" s="43">
        <f>$M13/($M$6+$M$14+$M$15)*C32</f>
        <v>6.0446780551905374E-2</v>
      </c>
      <c r="E32" s="3">
        <f>D$22*D32</f>
        <v>106.59251535163943</v>
      </c>
      <c r="F32" s="12"/>
      <c r="G32" s="45"/>
      <c r="H32" s="39"/>
      <c r="I32" s="39"/>
      <c r="J32" s="39"/>
      <c r="K32" s="39"/>
    </row>
    <row r="33" spans="1:11" s="1" customFormat="1" ht="12" x14ac:dyDescent="0.2">
      <c r="A33" s="2" t="s">
        <v>58</v>
      </c>
      <c r="B33" s="49" t="s">
        <v>26</v>
      </c>
      <c r="C33" s="2">
        <v>0.5</v>
      </c>
      <c r="D33" s="43">
        <f>$M14/($M$6+$M$14+$M$15)*C33</f>
        <v>0.21419185282522996</v>
      </c>
      <c r="E33" s="3">
        <f>D$22*D33</f>
        <v>377.70826091993985</v>
      </c>
      <c r="F33" s="12"/>
      <c r="G33" s="45"/>
      <c r="H33" s="41"/>
      <c r="I33" s="41"/>
      <c r="J33" s="41"/>
      <c r="K33" s="41"/>
    </row>
    <row r="34" spans="1:11" s="1" customFormat="1" ht="12" x14ac:dyDescent="0.2">
      <c r="A34" s="2" t="s">
        <v>58</v>
      </c>
      <c r="B34" s="51" t="s">
        <v>28</v>
      </c>
      <c r="C34" s="6">
        <v>0.5</v>
      </c>
      <c r="D34" s="47">
        <f>$M15/($M$6+$M$14+$M$15)*C34</f>
        <v>0.10446780551905387</v>
      </c>
      <c r="E34" s="3">
        <f>D$22*D34</f>
        <v>184.21967327076817</v>
      </c>
      <c r="F34" s="12"/>
      <c r="G34" s="45"/>
      <c r="H34" s="46"/>
      <c r="I34" s="13"/>
      <c r="J34" s="13"/>
      <c r="K34" s="45"/>
    </row>
    <row r="35" spans="1:11" s="1" customFormat="1" ht="12" x14ac:dyDescent="0.2">
      <c r="A35" s="21" t="s">
        <v>57</v>
      </c>
      <c r="B35" s="52" t="s">
        <v>24</v>
      </c>
      <c r="C35" s="89">
        <v>0</v>
      </c>
      <c r="D35" s="47">
        <f>1*C35</f>
        <v>0</v>
      </c>
      <c r="E35" s="53">
        <f>E$22*D35</f>
        <v>0</v>
      </c>
      <c r="F35" s="12"/>
      <c r="G35" s="45"/>
      <c r="H35" s="46"/>
      <c r="I35" s="13"/>
      <c r="J35" s="13"/>
      <c r="K35" s="45"/>
    </row>
    <row r="36" spans="1:11" s="1" customFormat="1" ht="12" x14ac:dyDescent="0.2">
      <c r="A36" s="49" t="s">
        <v>54</v>
      </c>
      <c r="B36" s="2" t="s">
        <v>24</v>
      </c>
      <c r="C36" s="85">
        <v>0</v>
      </c>
      <c r="D36" s="43">
        <f>$M12/($M$11+$M$14+$M$15)*C36</f>
        <v>0</v>
      </c>
      <c r="E36" s="3">
        <f>$F$22*D36</f>
        <v>0</v>
      </c>
      <c r="F36" s="12"/>
      <c r="G36" s="45"/>
      <c r="H36" s="46"/>
      <c r="I36" s="13"/>
      <c r="J36" s="13"/>
      <c r="K36" s="45"/>
    </row>
    <row r="37" spans="1:11" s="1" customFormat="1" ht="12" x14ac:dyDescent="0.2">
      <c r="A37" s="49" t="s">
        <v>54</v>
      </c>
      <c r="B37" s="2" t="s">
        <v>24</v>
      </c>
      <c r="C37" s="2">
        <v>0.5</v>
      </c>
      <c r="D37" s="43">
        <f>$M13/($M$11+$M$14+$M$15)*C37</f>
        <v>7.3482428115015971E-2</v>
      </c>
      <c r="E37" s="3">
        <f>$F$22*D37</f>
        <v>388.3964778125362</v>
      </c>
      <c r="F37" s="12"/>
      <c r="G37" s="45"/>
      <c r="H37" s="46"/>
      <c r="I37" s="13"/>
      <c r="J37" s="13"/>
      <c r="K37" s="45"/>
    </row>
    <row r="38" spans="1:11" s="1" customFormat="1" ht="12" x14ac:dyDescent="0.2">
      <c r="A38" s="49" t="s">
        <v>54</v>
      </c>
      <c r="B38" s="2" t="s">
        <v>88</v>
      </c>
      <c r="C38" s="2">
        <v>0.5</v>
      </c>
      <c r="D38" s="43">
        <f>$M14/($M$11+$M$14+$M$15)*C38</f>
        <v>0.26038338658146964</v>
      </c>
      <c r="E38" s="3">
        <f>$F$22*D38</f>
        <v>1376.2744757270304</v>
      </c>
      <c r="F38" s="12"/>
      <c r="G38" s="45"/>
      <c r="H38" s="46"/>
      <c r="I38" s="13"/>
      <c r="J38" s="13"/>
      <c r="K38" s="45"/>
    </row>
    <row r="39" spans="1:11" s="1" customFormat="1" ht="12" x14ac:dyDescent="0.2">
      <c r="A39" s="51" t="s">
        <v>54</v>
      </c>
      <c r="B39" s="6" t="s">
        <v>28</v>
      </c>
      <c r="C39" s="2">
        <v>0.5</v>
      </c>
      <c r="D39" s="43">
        <f>$M15/($M$11+$M$14+$M$15)*C39</f>
        <v>0.1269968051118211</v>
      </c>
      <c r="E39" s="3">
        <f>$F$22*D39</f>
        <v>671.2504344803616</v>
      </c>
      <c r="F39" s="12"/>
      <c r="G39" s="45"/>
      <c r="H39" s="46"/>
      <c r="I39" s="13"/>
      <c r="J39" s="13"/>
      <c r="K39" s="45"/>
    </row>
    <row r="40" spans="1:11" s="1" customFormat="1" ht="12" x14ac:dyDescent="0.2">
      <c r="A40" s="51" t="s">
        <v>85</v>
      </c>
      <c r="B40" s="21" t="s">
        <v>24</v>
      </c>
      <c r="C40" s="89">
        <v>0</v>
      </c>
      <c r="D40" s="86">
        <f>1*C40</f>
        <v>0</v>
      </c>
      <c r="E40" s="53">
        <f>H$22*D40</f>
        <v>0</v>
      </c>
      <c r="F40" s="12"/>
      <c r="G40" s="45"/>
      <c r="H40" s="46"/>
      <c r="I40" s="13"/>
      <c r="J40" s="13"/>
      <c r="K40" s="45"/>
    </row>
    <row r="41" spans="1:11" s="1" customFormat="1" ht="12" x14ac:dyDescent="0.2">
      <c r="A41" s="52" t="s">
        <v>53</v>
      </c>
      <c r="B41" s="21" t="s">
        <v>24</v>
      </c>
      <c r="C41" s="89">
        <v>0</v>
      </c>
      <c r="D41" s="47">
        <f>1*C41</f>
        <v>0</v>
      </c>
      <c r="E41" s="53">
        <f>G$22*D41</f>
        <v>0</v>
      </c>
      <c r="F41" s="12"/>
      <c r="G41" s="82" t="s">
        <v>80</v>
      </c>
      <c r="H41" s="83">
        <v>1.1508</v>
      </c>
      <c r="I41" s="84" t="s">
        <v>81</v>
      </c>
      <c r="J41" s="13"/>
      <c r="K41" s="45"/>
    </row>
    <row r="42" spans="1:11" s="1" customFormat="1" ht="12" x14ac:dyDescent="0.2">
      <c r="A42" s="52" t="s">
        <v>77</v>
      </c>
      <c r="B42" s="21" t="s">
        <v>28</v>
      </c>
      <c r="C42" s="89">
        <v>0</v>
      </c>
      <c r="D42" s="86">
        <f>1*C42</f>
        <v>0</v>
      </c>
      <c r="E42" s="53">
        <f>I$22*D42</f>
        <v>0</v>
      </c>
      <c r="F42" s="12"/>
      <c r="G42" s="22" t="s">
        <v>79</v>
      </c>
      <c r="H42" s="31">
        <v>0.74569989999999997</v>
      </c>
      <c r="I42" s="10" t="s">
        <v>2</v>
      </c>
      <c r="J42" s="13"/>
      <c r="K42" s="45"/>
    </row>
    <row r="43" spans="1:11" s="1" customFormat="1" ht="12" x14ac:dyDescent="0.2">
      <c r="A43" s="23"/>
      <c r="B43" s="5"/>
      <c r="D43" s="43"/>
      <c r="E43" s="36">
        <f>SUM(E27:E42)</f>
        <v>12488.797648012978</v>
      </c>
      <c r="F43" s="12"/>
      <c r="G43" s="45"/>
      <c r="H43" s="46"/>
      <c r="I43" s="13"/>
      <c r="J43" s="13"/>
      <c r="K43" s="45"/>
    </row>
    <row r="44" spans="1:11" s="1" customFormat="1" ht="12" x14ac:dyDescent="0.2">
      <c r="A44" s="2"/>
      <c r="B44" s="49"/>
      <c r="C44" s="50"/>
      <c r="D44" s="3"/>
      <c r="E44" s="49"/>
      <c r="F44" s="8"/>
      <c r="G44" s="54"/>
      <c r="H44" s="46"/>
      <c r="I44" s="13"/>
      <c r="J44" s="13"/>
      <c r="K44" s="45"/>
    </row>
    <row r="45" spans="1:11" s="1" customFormat="1" x14ac:dyDescent="0.2">
      <c r="A45" s="32" t="s">
        <v>64</v>
      </c>
      <c r="B45" s="32"/>
      <c r="C45" s="103"/>
      <c r="D45" s="91" t="s">
        <v>90</v>
      </c>
      <c r="E45" s="104"/>
      <c r="F45" s="103"/>
      <c r="G45" s="91" t="s">
        <v>91</v>
      </c>
      <c r="H45" s="104"/>
      <c r="I45" s="92"/>
      <c r="J45" s="61" t="s">
        <v>89</v>
      </c>
      <c r="K45" s="105"/>
    </row>
    <row r="46" spans="1:11" s="1" customFormat="1" ht="24.75" thickBot="1" x14ac:dyDescent="0.25">
      <c r="A46" s="30" t="s">
        <v>29</v>
      </c>
      <c r="B46" s="96" t="s">
        <v>104</v>
      </c>
      <c r="C46" s="55" t="s">
        <v>72</v>
      </c>
      <c r="D46" s="55" t="s">
        <v>32</v>
      </c>
      <c r="E46" s="57" t="s">
        <v>3</v>
      </c>
      <c r="F46" s="55" t="s">
        <v>72</v>
      </c>
      <c r="G46" s="55" t="s">
        <v>32</v>
      </c>
      <c r="H46" s="57" t="s">
        <v>3</v>
      </c>
      <c r="I46" s="55" t="s">
        <v>31</v>
      </c>
      <c r="J46" s="55" t="s">
        <v>32</v>
      </c>
      <c r="K46" s="55" t="s">
        <v>3</v>
      </c>
    </row>
    <row r="47" spans="1:11" s="1" customFormat="1" thickTop="1" x14ac:dyDescent="0.2">
      <c r="A47" s="98" t="s">
        <v>264</v>
      </c>
      <c r="B47" s="99">
        <f>E29+E33+E38</f>
        <v>7056.0624493106243</v>
      </c>
      <c r="C47" s="101">
        <f>2*1540</f>
        <v>3080</v>
      </c>
      <c r="D47" s="98">
        <v>0.85</v>
      </c>
      <c r="E47" s="124">
        <f t="shared" ref="E47:E49" si="5">0.25*B47*C47*D47</f>
        <v>4618192.8730738033</v>
      </c>
      <c r="F47" s="101">
        <f>1.9*711</f>
        <v>1350.8999999999999</v>
      </c>
      <c r="G47" s="98">
        <v>0.79</v>
      </c>
      <c r="H47" s="124">
        <f>0.75*B47*F47*G47</f>
        <v>5647730.5969434306</v>
      </c>
      <c r="I47" s="125">
        <f>1.9*100</f>
        <v>190</v>
      </c>
      <c r="J47" s="98">
        <v>0.65</v>
      </c>
      <c r="K47" s="126">
        <f>B47*I47*J47</f>
        <v>871423.71248986211</v>
      </c>
    </row>
    <row r="48" spans="1:11" s="1" customFormat="1" ht="12" x14ac:dyDescent="0.2">
      <c r="A48" s="21" t="s">
        <v>265</v>
      </c>
      <c r="B48" s="127">
        <f>E27+E28+E31+E32+E35+E36+E37+E40+E41</f>
        <v>1991.2814274128141</v>
      </c>
      <c r="C48" s="102">
        <f>2*1540</f>
        <v>3080</v>
      </c>
      <c r="D48" s="21">
        <v>0.85</v>
      </c>
      <c r="E48" s="94">
        <f>0.25*B48*C48*D48</f>
        <v>1303293.6942416867</v>
      </c>
      <c r="F48" s="102">
        <f>1.9*711</f>
        <v>1350.8999999999999</v>
      </c>
      <c r="G48" s="21">
        <v>0.79</v>
      </c>
      <c r="H48" s="94">
        <f>0.75*B48*F48*G48</f>
        <v>1593838.0825729924</v>
      </c>
      <c r="I48" s="53">
        <f>1.9*100</f>
        <v>190</v>
      </c>
      <c r="J48" s="21">
        <v>0.65</v>
      </c>
      <c r="K48" s="95">
        <f>B48*I48*J48</f>
        <v>245923.25628548255</v>
      </c>
    </row>
    <row r="49" spans="1:28" s="1" customFormat="1" ht="12" x14ac:dyDescent="0.2">
      <c r="A49" s="21" t="s">
        <v>266</v>
      </c>
      <c r="B49" s="127">
        <f>E30+E34+E39+E42</f>
        <v>3441.4537712895376</v>
      </c>
      <c r="C49" s="102">
        <f>2*1540</f>
        <v>3080</v>
      </c>
      <c r="D49" s="21">
        <v>0.85</v>
      </c>
      <c r="E49" s="94">
        <f t="shared" si="5"/>
        <v>2252431.4933090024</v>
      </c>
      <c r="F49" s="102">
        <f>1.9*711</f>
        <v>1350.8999999999999</v>
      </c>
      <c r="G49" s="21">
        <v>0.79</v>
      </c>
      <c r="H49" s="94">
        <f>0.75*B49*F49*G49</f>
        <v>2754567.9905337589</v>
      </c>
      <c r="I49" s="53">
        <f>1.9*100</f>
        <v>190</v>
      </c>
      <c r="J49" s="21">
        <v>0.65</v>
      </c>
      <c r="K49" s="95">
        <f>B49*I49*J49</f>
        <v>425019.54075425793</v>
      </c>
    </row>
    <row r="50" spans="1:28" s="1" customFormat="1" ht="12" x14ac:dyDescent="0.2">
      <c r="A50" s="2"/>
      <c r="B50" s="28">
        <f>SUM(B47:B49)</f>
        <v>12488.797648012976</v>
      </c>
      <c r="D50" s="2"/>
      <c r="E50" s="100">
        <f>SUM(E47:E49)</f>
        <v>8173918.0606244924</v>
      </c>
      <c r="G50" s="2"/>
      <c r="H50" s="100">
        <f>SUM(H47:H49)</f>
        <v>9996136.6700501814</v>
      </c>
      <c r="I50" s="25"/>
      <c r="J50" s="25"/>
      <c r="K50" s="60">
        <f>SUM(K47:K49)</f>
        <v>1542366.5095296025</v>
      </c>
    </row>
    <row r="51" spans="1:28" s="1" customFormat="1" ht="12" x14ac:dyDescent="0.2">
      <c r="A51" s="2"/>
      <c r="B51" s="2"/>
      <c r="D51" s="2"/>
      <c r="E51" s="2"/>
      <c r="G51" s="2"/>
      <c r="H51" s="2"/>
      <c r="I51" s="2"/>
      <c r="J51" s="2"/>
      <c r="K51" s="2"/>
    </row>
    <row r="52" spans="1:28" s="1" customFormat="1" x14ac:dyDescent="0.2">
      <c r="A52" s="32" t="s">
        <v>66</v>
      </c>
      <c r="B52" s="32"/>
      <c r="C52" s="103"/>
      <c r="D52" s="91" t="s">
        <v>90</v>
      </c>
      <c r="E52" s="104"/>
      <c r="F52" s="103"/>
      <c r="G52" s="91" t="s">
        <v>91</v>
      </c>
      <c r="H52" s="104"/>
      <c r="I52" s="92"/>
      <c r="J52" s="61"/>
      <c r="K52" s="105" t="s">
        <v>89</v>
      </c>
    </row>
    <row r="53" spans="1:28" ht="24.75" thickBot="1" x14ac:dyDescent="0.25">
      <c r="A53" s="30" t="s">
        <v>29</v>
      </c>
      <c r="B53" s="96" t="s">
        <v>104</v>
      </c>
      <c r="C53" s="55" t="s">
        <v>72</v>
      </c>
      <c r="D53" s="56" t="s">
        <v>32</v>
      </c>
      <c r="E53" s="57" t="s">
        <v>3</v>
      </c>
      <c r="F53" s="55" t="s">
        <v>72</v>
      </c>
      <c r="G53" s="55" t="s">
        <v>32</v>
      </c>
      <c r="H53" s="57" t="s">
        <v>3</v>
      </c>
      <c r="I53" s="55" t="s">
        <v>31</v>
      </c>
      <c r="J53" s="55" t="s">
        <v>32</v>
      </c>
      <c r="K53" s="55" t="s">
        <v>3</v>
      </c>
    </row>
    <row r="54" spans="1:28" ht="13.5" thickTop="1" x14ac:dyDescent="0.2">
      <c r="A54" s="98" t="s">
        <v>88</v>
      </c>
      <c r="B54" s="123">
        <v>0</v>
      </c>
      <c r="C54" s="101">
        <f>2*1540</f>
        <v>3080</v>
      </c>
      <c r="D54" s="5">
        <v>0.85</v>
      </c>
      <c r="E54" s="59">
        <f>0.25*B54*C54*D54</f>
        <v>0</v>
      </c>
      <c r="F54" s="101">
        <f>1.9*711</f>
        <v>1350.8999999999999</v>
      </c>
      <c r="G54" s="4">
        <v>0.79</v>
      </c>
      <c r="H54" s="58">
        <f>0.75*B54*F54*G54</f>
        <v>0</v>
      </c>
      <c r="I54" s="125">
        <f>1.9*100</f>
        <v>190</v>
      </c>
      <c r="J54" s="4">
        <v>0.65</v>
      </c>
      <c r="K54" s="93">
        <f>B54*I54*J54</f>
        <v>0</v>
      </c>
    </row>
    <row r="55" spans="1:28" x14ac:dyDescent="0.2">
      <c r="A55" s="6" t="s">
        <v>24</v>
      </c>
      <c r="B55" s="97">
        <f>D23+E23+J23</f>
        <v>3010</v>
      </c>
      <c r="C55" s="102">
        <f>2*1540</f>
        <v>3080</v>
      </c>
      <c r="D55" s="21">
        <v>0.85</v>
      </c>
      <c r="E55" s="94">
        <f>0.25*B55*C55*D55</f>
        <v>1970045</v>
      </c>
      <c r="F55" s="102">
        <f>1.9*711</f>
        <v>1350.8999999999999</v>
      </c>
      <c r="G55" s="4">
        <v>0.79</v>
      </c>
      <c r="H55" s="58">
        <f>0.75*B55*F55*G55</f>
        <v>2409228.8324999996</v>
      </c>
      <c r="I55" s="53">
        <f>1.9*100</f>
        <v>190</v>
      </c>
      <c r="J55" s="4">
        <v>0.65</v>
      </c>
      <c r="K55" s="93">
        <f>B55*I55*J55</f>
        <v>371735</v>
      </c>
    </row>
    <row r="56" spans="1:28" x14ac:dyDescent="0.2">
      <c r="A56" s="6" t="s">
        <v>28</v>
      </c>
      <c r="B56" s="97">
        <f>I23</f>
        <v>214</v>
      </c>
      <c r="C56" s="102">
        <f>2*1540</f>
        <v>3080</v>
      </c>
      <c r="D56" s="21">
        <v>0.85</v>
      </c>
      <c r="E56" s="94">
        <f>0.25*B56*C56*D56</f>
        <v>140063</v>
      </c>
      <c r="F56" s="102">
        <f>1.9*711</f>
        <v>1350.8999999999999</v>
      </c>
      <c r="G56" s="21">
        <v>0.79</v>
      </c>
      <c r="H56" s="94">
        <f>0.75*B56*F56*G56</f>
        <v>171287.36549999999</v>
      </c>
      <c r="I56" s="53">
        <f>1.9*100</f>
        <v>190</v>
      </c>
      <c r="J56" s="21">
        <v>0.65</v>
      </c>
      <c r="K56" s="95">
        <f>B56*I56*J56</f>
        <v>26429</v>
      </c>
    </row>
    <row r="57" spans="1:28" x14ac:dyDescent="0.2">
      <c r="B57" s="28">
        <f>SUM(B55:B56)</f>
        <v>3224</v>
      </c>
      <c r="E57" s="28">
        <f>SUM(E55:E56)</f>
        <v>2110108</v>
      </c>
      <c r="H57" s="28">
        <f>SUM(H55:H56)</f>
        <v>2580516.1979999994</v>
      </c>
      <c r="I57" s="2"/>
      <c r="K57" s="28">
        <f>SUM(K55:K56)</f>
        <v>398164</v>
      </c>
    </row>
    <row r="59" spans="1:28" x14ac:dyDescent="0.2">
      <c r="D59" s="26" t="s">
        <v>56</v>
      </c>
      <c r="E59" s="80">
        <f>E50+H50+K50+E57+H57+K57</f>
        <v>24801209.438204274</v>
      </c>
    </row>
    <row r="61" spans="1:28" x14ac:dyDescent="0.2">
      <c r="A61" s="166"/>
      <c r="B61" s="226" t="s">
        <v>175</v>
      </c>
      <c r="C61" s="226"/>
      <c r="D61" s="226"/>
      <c r="E61" s="226"/>
      <c r="F61" s="226"/>
      <c r="G61" s="226"/>
      <c r="H61" s="22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51"/>
    </row>
    <row r="62" spans="1:28" x14ac:dyDescent="0.2">
      <c r="A62" s="167"/>
      <c r="B62" s="167"/>
      <c r="C62" s="167"/>
      <c r="D62" s="168"/>
      <c r="E62" s="167"/>
      <c r="F62" s="167"/>
      <c r="G62" s="167"/>
      <c r="H62" s="167"/>
      <c r="I62" s="168"/>
      <c r="J62" s="168"/>
      <c r="K62" s="168"/>
      <c r="L62" s="168"/>
      <c r="M62" s="168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</row>
    <row r="63" spans="1:28" x14ac:dyDescent="0.2">
      <c r="A63" s="24" t="s">
        <v>176</v>
      </c>
      <c r="B63" s="169">
        <f>(SUM(H73:J73)/O73)*(SUM(C77:G77)/J77)*(1/65)</f>
        <v>2.7472527472527479E-3</v>
      </c>
      <c r="C63" s="169"/>
      <c r="D63" s="151"/>
      <c r="E63" s="170"/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</row>
    <row r="64" spans="1:28" x14ac:dyDescent="0.2">
      <c r="A64" s="24" t="s">
        <v>177</v>
      </c>
      <c r="B64" s="169">
        <f>(SUM(C73,D73,N73)/O73)*(SUM(C77:G77)/J77)*(1/65)</f>
        <v>2.7472527472527479E-3</v>
      </c>
      <c r="C64" s="169"/>
      <c r="D64" s="151"/>
      <c r="E64" s="170"/>
      <c r="F64" s="151"/>
      <c r="G64" s="151"/>
      <c r="H64" s="151"/>
      <c r="I64" s="151"/>
      <c r="J64" s="151"/>
      <c r="K64" s="151"/>
      <c r="L64" s="151"/>
      <c r="M64" s="151"/>
      <c r="N64" s="168"/>
      <c r="O64" s="151"/>
      <c r="P64" s="151"/>
      <c r="Q64" s="151"/>
      <c r="R64" s="151"/>
      <c r="S64" s="151"/>
      <c r="T64" s="151"/>
      <c r="U64" s="168"/>
      <c r="V64" s="168"/>
      <c r="W64" s="168"/>
      <c r="X64" s="168"/>
      <c r="Y64" s="168"/>
      <c r="Z64" s="168"/>
      <c r="AA64" s="168"/>
      <c r="AB64" s="151"/>
    </row>
    <row r="65" spans="1:28" x14ac:dyDescent="0.2">
      <c r="A65" s="24" t="s">
        <v>178</v>
      </c>
      <c r="B65" s="171">
        <f>((C73+D73+N73)/O73)*100</f>
        <v>25.000000000000007</v>
      </c>
      <c r="C65" s="171"/>
      <c r="D65" s="151"/>
      <c r="E65" s="170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</row>
    <row r="66" spans="1:28" x14ac:dyDescent="0.2">
      <c r="A66" s="24" t="s">
        <v>179</v>
      </c>
      <c r="B66" s="171">
        <f>((E73+F73+G73)/O73)*100</f>
        <v>25.000000000000007</v>
      </c>
      <c r="C66" s="171"/>
      <c r="D66" s="151"/>
      <c r="E66" s="170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24"/>
      <c r="Q66" s="24"/>
      <c r="R66" s="24"/>
      <c r="S66" s="24"/>
      <c r="T66" s="24"/>
      <c r="U66" s="151"/>
      <c r="V66" s="151"/>
      <c r="W66" s="151"/>
      <c r="X66" s="151"/>
      <c r="Y66" s="151"/>
      <c r="Z66" s="151"/>
      <c r="AA66" s="151"/>
      <c r="AB66" s="151"/>
    </row>
    <row r="67" spans="1:28" x14ac:dyDescent="0.2">
      <c r="A67" s="24" t="s">
        <v>180</v>
      </c>
      <c r="B67" s="171">
        <f>((H73+I73+J73)/O73)*100</f>
        <v>25.000000000000007</v>
      </c>
      <c r="C67" s="171"/>
      <c r="D67" s="151"/>
      <c r="E67" s="170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</row>
    <row r="68" spans="1:28" x14ac:dyDescent="0.2">
      <c r="A68" s="24" t="s">
        <v>181</v>
      </c>
      <c r="B68" s="171">
        <f>((K73+L73+M73)/O73)*100</f>
        <v>25.000000000000007</v>
      </c>
      <c r="C68" s="171"/>
      <c r="D68" s="151"/>
      <c r="E68" s="170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</row>
    <row r="69" spans="1:28" x14ac:dyDescent="0.2">
      <c r="A69" s="151"/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</row>
    <row r="70" spans="1:28" x14ac:dyDescent="0.2">
      <c r="A70" s="24" t="s">
        <v>182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</row>
    <row r="71" spans="1:28" x14ac:dyDescent="0.2">
      <c r="A71" s="151"/>
      <c r="B71" s="156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</row>
    <row r="72" spans="1:28" x14ac:dyDescent="0.2">
      <c r="A72" s="24"/>
      <c r="B72" s="172" t="s">
        <v>183</v>
      </c>
      <c r="C72" s="172" t="s">
        <v>184</v>
      </c>
      <c r="D72" s="172" t="s">
        <v>185</v>
      </c>
      <c r="E72" s="172" t="s">
        <v>186</v>
      </c>
      <c r="F72" s="172" t="s">
        <v>187</v>
      </c>
      <c r="G72" s="172" t="s">
        <v>188</v>
      </c>
      <c r="H72" s="172" t="s">
        <v>189</v>
      </c>
      <c r="I72" s="172" t="s">
        <v>190</v>
      </c>
      <c r="J72" s="172" t="s">
        <v>191</v>
      </c>
      <c r="K72" s="172" t="s">
        <v>192</v>
      </c>
      <c r="L72" s="172" t="s">
        <v>193</v>
      </c>
      <c r="M72" s="172" t="s">
        <v>194</v>
      </c>
      <c r="N72" s="172" t="s">
        <v>195</v>
      </c>
      <c r="O72" s="172" t="s">
        <v>196</v>
      </c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</row>
    <row r="73" spans="1:28" x14ac:dyDescent="0.2">
      <c r="A73" s="151"/>
      <c r="B73" s="171">
        <v>262</v>
      </c>
      <c r="C73" s="171">
        <v>83.332999999999998</v>
      </c>
      <c r="D73" s="171">
        <v>83.332999999999998</v>
      </c>
      <c r="E73" s="171">
        <v>83.332999999999998</v>
      </c>
      <c r="F73" s="171">
        <v>83.332999999999998</v>
      </c>
      <c r="G73" s="171">
        <v>83.332999999999998</v>
      </c>
      <c r="H73" s="171">
        <v>83.332999999999998</v>
      </c>
      <c r="I73" s="171">
        <v>83.332999999999998</v>
      </c>
      <c r="J73" s="171">
        <v>83.332999999999998</v>
      </c>
      <c r="K73" s="171">
        <v>83.332999999999998</v>
      </c>
      <c r="L73" s="171">
        <v>83.332999999999998</v>
      </c>
      <c r="M73" s="171">
        <v>83.332999999999998</v>
      </c>
      <c r="N73" s="171">
        <v>83.332999999999998</v>
      </c>
      <c r="O73" s="171">
        <f>C73+D73+E73+F73+G73+H73+I73+J73+K73+L73+M73+N73</f>
        <v>999.99599999999975</v>
      </c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</row>
    <row r="74" spans="1:28" x14ac:dyDescent="0.2">
      <c r="A74" s="151"/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24"/>
      <c r="V74" s="24"/>
      <c r="W74" s="24"/>
      <c r="X74" s="24"/>
      <c r="Y74" s="24"/>
      <c r="Z74" s="24"/>
      <c r="AA74" s="24"/>
      <c r="AB74" s="151"/>
    </row>
    <row r="75" spans="1:28" x14ac:dyDescent="0.2">
      <c r="A75" s="24" t="s">
        <v>197</v>
      </c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51"/>
      <c r="Z75" s="151"/>
      <c r="AA75" s="151"/>
      <c r="AB75" s="151"/>
    </row>
    <row r="76" spans="1:28" x14ac:dyDescent="0.2">
      <c r="A76" s="151"/>
      <c r="B76" s="172" t="s">
        <v>198</v>
      </c>
      <c r="C76" s="172" t="s">
        <v>199</v>
      </c>
      <c r="D76" s="172" t="s">
        <v>200</v>
      </c>
      <c r="E76" s="172" t="s">
        <v>201</v>
      </c>
      <c r="F76" s="172" t="s">
        <v>202</v>
      </c>
      <c r="G76" s="172" t="s">
        <v>203</v>
      </c>
      <c r="H76" s="172" t="s">
        <v>204</v>
      </c>
      <c r="I76" s="172" t="s">
        <v>205</v>
      </c>
      <c r="J76" s="172" t="s">
        <v>196</v>
      </c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</row>
    <row r="77" spans="1:28" x14ac:dyDescent="0.2">
      <c r="A77" s="151"/>
      <c r="B77" s="171">
        <v>7</v>
      </c>
      <c r="C77" s="171">
        <v>142.86000000000001</v>
      </c>
      <c r="D77" s="171">
        <v>142.86000000000001</v>
      </c>
      <c r="E77" s="171">
        <v>142.86000000000001</v>
      </c>
      <c r="F77" s="171">
        <v>142.86000000000001</v>
      </c>
      <c r="G77" s="171">
        <v>142.86000000000001</v>
      </c>
      <c r="H77" s="171">
        <v>142.86000000000001</v>
      </c>
      <c r="I77" s="171">
        <v>142.86000000000001</v>
      </c>
      <c r="J77" s="171">
        <f>C77+D77+E77+F77+G77+H77+I77</f>
        <v>1000.0200000000001</v>
      </c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</row>
    <row r="78" spans="1:28" x14ac:dyDescent="0.2">
      <c r="A78" s="151"/>
      <c r="B78" s="171"/>
      <c r="C78" s="171"/>
      <c r="D78" s="171"/>
      <c r="E78" s="171"/>
      <c r="F78" s="171"/>
      <c r="G78" s="171"/>
      <c r="H78" s="171"/>
      <c r="I78" s="171"/>
      <c r="J78" s="17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</row>
    <row r="79" spans="1:28" x14ac:dyDescent="0.2">
      <c r="A79" s="24" t="s">
        <v>206</v>
      </c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</row>
    <row r="80" spans="1:28" x14ac:dyDescent="0.2">
      <c r="A80" s="151"/>
      <c r="B80" s="172" t="s">
        <v>207</v>
      </c>
      <c r="C80" s="172" t="s">
        <v>208</v>
      </c>
      <c r="D80" s="172" t="s">
        <v>209</v>
      </c>
      <c r="E80" s="172" t="s">
        <v>210</v>
      </c>
      <c r="F80" s="172" t="s">
        <v>211</v>
      </c>
      <c r="G80" s="172" t="s">
        <v>212</v>
      </c>
      <c r="H80" s="172" t="s">
        <v>213</v>
      </c>
      <c r="I80" s="172" t="s">
        <v>214</v>
      </c>
      <c r="J80" s="172" t="s">
        <v>215</v>
      </c>
      <c r="K80" s="172" t="s">
        <v>216</v>
      </c>
      <c r="L80" s="172" t="s">
        <v>217</v>
      </c>
      <c r="M80" s="172" t="s">
        <v>218</v>
      </c>
      <c r="N80" s="172" t="s">
        <v>219</v>
      </c>
      <c r="O80" s="172" t="s">
        <v>220</v>
      </c>
      <c r="P80" s="172" t="s">
        <v>221</v>
      </c>
      <c r="Q80" s="172" t="s">
        <v>222</v>
      </c>
      <c r="R80" s="172" t="s">
        <v>223</v>
      </c>
      <c r="S80" s="172" t="s">
        <v>224</v>
      </c>
      <c r="T80" s="172" t="s">
        <v>225</v>
      </c>
      <c r="U80" s="172" t="s">
        <v>226</v>
      </c>
      <c r="V80" s="172" t="s">
        <v>227</v>
      </c>
      <c r="W80" s="172" t="s">
        <v>228</v>
      </c>
      <c r="X80" s="172" t="s">
        <v>229</v>
      </c>
      <c r="Y80" s="172" t="s">
        <v>230</v>
      </c>
      <c r="Z80" s="172" t="s">
        <v>231</v>
      </c>
      <c r="AA80" s="172" t="s">
        <v>196</v>
      </c>
      <c r="AB80" s="151"/>
    </row>
    <row r="81" spans="1:28" x14ac:dyDescent="0.2">
      <c r="A81" s="151"/>
      <c r="B81" s="171">
        <v>26</v>
      </c>
      <c r="C81" s="171">
        <v>198</v>
      </c>
      <c r="D81" s="171">
        <v>186</v>
      </c>
      <c r="E81" s="171">
        <v>182</v>
      </c>
      <c r="F81" s="171">
        <v>187</v>
      </c>
      <c r="G81" s="171">
        <v>210</v>
      </c>
      <c r="H81" s="171">
        <v>250</v>
      </c>
      <c r="I81" s="171">
        <v>311</v>
      </c>
      <c r="J81" s="171">
        <v>388</v>
      </c>
      <c r="K81" s="171">
        <v>467</v>
      </c>
      <c r="L81" s="171">
        <v>528</v>
      </c>
      <c r="M81" s="171">
        <v>571</v>
      </c>
      <c r="N81" s="171">
        <v>604</v>
      </c>
      <c r="O81" s="171">
        <v>620</v>
      </c>
      <c r="P81" s="171">
        <v>631</v>
      </c>
      <c r="Q81" s="171">
        <v>635</v>
      </c>
      <c r="R81" s="171">
        <v>624</v>
      </c>
      <c r="S81" s="171">
        <v>594</v>
      </c>
      <c r="T81" s="171">
        <v>548</v>
      </c>
      <c r="U81" s="171">
        <v>531</v>
      </c>
      <c r="V81" s="171">
        <v>509</v>
      </c>
      <c r="W81" s="171">
        <v>425</v>
      </c>
      <c r="X81" s="171">
        <v>327</v>
      </c>
      <c r="Y81" s="171">
        <v>257</v>
      </c>
      <c r="Z81" s="171">
        <v>218</v>
      </c>
      <c r="AA81" s="171">
        <v>10001</v>
      </c>
      <c r="AB81" s="151"/>
    </row>
    <row r="82" spans="1:28" x14ac:dyDescent="0.2">
      <c r="A82" s="151"/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51"/>
      <c r="Z82" s="151"/>
      <c r="AA82" s="151"/>
      <c r="AB82" s="151"/>
    </row>
    <row r="83" spans="1:28" x14ac:dyDescent="0.2">
      <c r="A83" s="24" t="s">
        <v>232</v>
      </c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</row>
    <row r="84" spans="1:28" x14ac:dyDescent="0.2">
      <c r="A84" s="151"/>
      <c r="B84" s="172" t="s">
        <v>207</v>
      </c>
      <c r="C84" s="172" t="s">
        <v>208</v>
      </c>
      <c r="D84" s="172" t="s">
        <v>209</v>
      </c>
      <c r="E84" s="172" t="s">
        <v>210</v>
      </c>
      <c r="F84" s="172" t="s">
        <v>211</v>
      </c>
      <c r="G84" s="172" t="s">
        <v>212</v>
      </c>
      <c r="H84" s="172" t="s">
        <v>213</v>
      </c>
      <c r="I84" s="172" t="s">
        <v>214</v>
      </c>
      <c r="J84" s="172" t="s">
        <v>215</v>
      </c>
      <c r="K84" s="172" t="s">
        <v>216</v>
      </c>
      <c r="L84" s="172" t="s">
        <v>217</v>
      </c>
      <c r="M84" s="172" t="s">
        <v>218</v>
      </c>
      <c r="N84" s="172" t="s">
        <v>219</v>
      </c>
      <c r="O84" s="172" t="s">
        <v>220</v>
      </c>
      <c r="P84" s="172" t="s">
        <v>221</v>
      </c>
      <c r="Q84" s="172" t="s">
        <v>222</v>
      </c>
      <c r="R84" s="172" t="s">
        <v>223</v>
      </c>
      <c r="S84" s="172" t="s">
        <v>224</v>
      </c>
      <c r="T84" s="172" t="s">
        <v>225</v>
      </c>
      <c r="U84" s="172" t="s">
        <v>226</v>
      </c>
      <c r="V84" s="172" t="s">
        <v>227</v>
      </c>
      <c r="W84" s="172" t="s">
        <v>228</v>
      </c>
      <c r="X84" s="172" t="s">
        <v>229</v>
      </c>
      <c r="Y84" s="172" t="s">
        <v>230</v>
      </c>
      <c r="Z84" s="172" t="s">
        <v>231</v>
      </c>
      <c r="AA84" s="172" t="s">
        <v>196</v>
      </c>
      <c r="AB84" s="151"/>
    </row>
    <row r="85" spans="1:28" x14ac:dyDescent="0.2">
      <c r="A85" s="151"/>
      <c r="B85" s="171">
        <v>26</v>
      </c>
      <c r="C85" s="171">
        <v>198</v>
      </c>
      <c r="D85" s="171">
        <v>186</v>
      </c>
      <c r="E85" s="171">
        <v>182</v>
      </c>
      <c r="F85" s="171">
        <v>187</v>
      </c>
      <c r="G85" s="171">
        <v>210</v>
      </c>
      <c r="H85" s="171">
        <v>250</v>
      </c>
      <c r="I85" s="171">
        <v>311</v>
      </c>
      <c r="J85" s="171">
        <v>388</v>
      </c>
      <c r="K85" s="171">
        <v>467</v>
      </c>
      <c r="L85" s="171">
        <v>528</v>
      </c>
      <c r="M85" s="171">
        <v>571</v>
      </c>
      <c r="N85" s="171">
        <v>604</v>
      </c>
      <c r="O85" s="171">
        <v>620</v>
      </c>
      <c r="P85" s="171">
        <v>631</v>
      </c>
      <c r="Q85" s="171">
        <v>635</v>
      </c>
      <c r="R85" s="171">
        <v>624</v>
      </c>
      <c r="S85" s="171">
        <v>594</v>
      </c>
      <c r="T85" s="171">
        <v>548</v>
      </c>
      <c r="U85" s="171">
        <v>531</v>
      </c>
      <c r="V85" s="171">
        <v>509</v>
      </c>
      <c r="W85" s="171">
        <v>425</v>
      </c>
      <c r="X85" s="171">
        <v>327</v>
      </c>
      <c r="Y85" s="171">
        <v>257</v>
      </c>
      <c r="Z85" s="171">
        <v>218</v>
      </c>
      <c r="AA85" s="171">
        <v>10001</v>
      </c>
      <c r="AB85" s="151"/>
    </row>
  </sheetData>
  <mergeCells count="1">
    <mergeCell ref="B61:H6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>
      <selection activeCell="A28" sqref="A28"/>
    </sheetView>
  </sheetViews>
  <sheetFormatPr defaultRowHeight="12.75" x14ac:dyDescent="0.2"/>
  <cols>
    <col min="1" max="1" width="19.42578125" customWidth="1"/>
  </cols>
  <sheetData>
    <row r="1" spans="1:27" ht="18.75" x14ac:dyDescent="0.25">
      <c r="A1" s="106" t="s">
        <v>292</v>
      </c>
      <c r="B1" s="15"/>
      <c r="C1" s="107"/>
      <c r="D1" s="7"/>
      <c r="E1" s="5"/>
      <c r="F1" s="5"/>
      <c r="G1" s="5"/>
    </row>
    <row r="2" spans="1:27" x14ac:dyDescent="0.2">
      <c r="A2" s="5"/>
      <c r="B2" s="5"/>
      <c r="C2" s="7"/>
      <c r="D2" s="5"/>
      <c r="E2" s="7"/>
      <c r="F2" s="5"/>
      <c r="G2" s="5"/>
    </row>
    <row r="3" spans="1:27" x14ac:dyDescent="0.2">
      <c r="A3" s="67" t="s">
        <v>4</v>
      </c>
      <c r="B3" s="67" t="s">
        <v>12</v>
      </c>
      <c r="C3" s="108" t="s">
        <v>5</v>
      </c>
      <c r="D3" s="108" t="s">
        <v>6</v>
      </c>
      <c r="E3" s="108" t="s">
        <v>7</v>
      </c>
      <c r="F3" s="108" t="s">
        <v>8</v>
      </c>
      <c r="G3" s="108" t="s">
        <v>16</v>
      </c>
      <c r="H3" s="108" t="s">
        <v>94</v>
      </c>
      <c r="I3" s="108" t="s">
        <v>243</v>
      </c>
      <c r="J3" s="108" t="s">
        <v>245</v>
      </c>
      <c r="K3" s="108" t="s">
        <v>95</v>
      </c>
      <c r="L3" s="108" t="s">
        <v>96</v>
      </c>
      <c r="M3" s="108" t="s">
        <v>97</v>
      </c>
      <c r="O3" s="67" t="s">
        <v>4</v>
      </c>
      <c r="P3" s="67" t="s">
        <v>12</v>
      </c>
      <c r="Q3" s="108" t="s">
        <v>5</v>
      </c>
      <c r="R3" s="108" t="s">
        <v>6</v>
      </c>
      <c r="S3" s="108" t="s">
        <v>7</v>
      </c>
      <c r="T3" s="108" t="s">
        <v>8</v>
      </c>
      <c r="U3" s="108" t="s">
        <v>16</v>
      </c>
      <c r="V3" s="108" t="s">
        <v>94</v>
      </c>
      <c r="W3" s="108" t="s">
        <v>243</v>
      </c>
      <c r="X3" s="108" t="s">
        <v>245</v>
      </c>
      <c r="Y3" s="108" t="s">
        <v>95</v>
      </c>
      <c r="Z3" s="108" t="s">
        <v>96</v>
      </c>
      <c r="AA3" s="108" t="s">
        <v>97</v>
      </c>
    </row>
    <row r="4" spans="1:27" ht="13.5" thickBot="1" x14ac:dyDescent="0.25">
      <c r="A4" s="109"/>
      <c r="B4" s="109" t="s">
        <v>9</v>
      </c>
      <c r="C4" s="110" t="s">
        <v>10</v>
      </c>
      <c r="D4" s="110" t="s">
        <v>10</v>
      </c>
      <c r="E4" s="110" t="s">
        <v>10</v>
      </c>
      <c r="F4" s="110" t="s">
        <v>10</v>
      </c>
      <c r="G4" s="110" t="s">
        <v>10</v>
      </c>
      <c r="H4" s="110" t="s">
        <v>10</v>
      </c>
      <c r="I4" s="181" t="s">
        <v>244</v>
      </c>
      <c r="J4" s="181" t="s">
        <v>246</v>
      </c>
      <c r="K4" s="110" t="s">
        <v>10</v>
      </c>
      <c r="L4" s="110" t="s">
        <v>10</v>
      </c>
      <c r="M4" s="110" t="s">
        <v>10</v>
      </c>
      <c r="O4" s="109"/>
      <c r="P4" s="109" t="s">
        <v>9</v>
      </c>
      <c r="Q4" s="110" t="s">
        <v>10</v>
      </c>
      <c r="R4" s="110" t="s">
        <v>10</v>
      </c>
      <c r="S4" s="110" t="s">
        <v>10</v>
      </c>
      <c r="T4" s="110" t="s">
        <v>10</v>
      </c>
      <c r="U4" s="110" t="s">
        <v>10</v>
      </c>
      <c r="V4" s="110" t="s">
        <v>10</v>
      </c>
      <c r="W4" s="181" t="s">
        <v>244</v>
      </c>
      <c r="X4" s="181" t="s">
        <v>246</v>
      </c>
      <c r="Y4" s="110" t="s">
        <v>10</v>
      </c>
      <c r="Z4" s="110" t="s">
        <v>10</v>
      </c>
      <c r="AA4" s="110" t="s">
        <v>10</v>
      </c>
    </row>
    <row r="5" spans="1:27" ht="13.5" thickTop="1" x14ac:dyDescent="0.2">
      <c r="A5" s="5" t="s">
        <v>11</v>
      </c>
      <c r="B5">
        <v>3080</v>
      </c>
      <c r="C5">
        <f>1.1*(1-C24)</f>
        <v>1.051637148776148</v>
      </c>
      <c r="D5">
        <f>13.2*(1-D24)</f>
        <v>10.438408865502156</v>
      </c>
      <c r="E5">
        <f>0.5</f>
        <v>0.5</v>
      </c>
      <c r="F5">
        <f>1.3*(1-G24)</f>
        <v>0.15286002623845807</v>
      </c>
      <c r="G5">
        <f>0.72</f>
        <v>0.72</v>
      </c>
      <c r="H5">
        <f>G5*0.97</f>
        <v>0.69839999999999991</v>
      </c>
      <c r="I5">
        <v>83.3</v>
      </c>
      <c r="J5">
        <v>6.447E-2</v>
      </c>
      <c r="K5">
        <v>690</v>
      </c>
      <c r="L5">
        <v>0.09</v>
      </c>
      <c r="M5">
        <v>0.02</v>
      </c>
      <c r="O5" s="5" t="s">
        <v>11</v>
      </c>
      <c r="P5">
        <v>3080</v>
      </c>
      <c r="Q5">
        <v>1.1000000000000001</v>
      </c>
      <c r="R5">
        <v>13.2</v>
      </c>
      <c r="S5">
        <v>0.5</v>
      </c>
      <c r="T5">
        <f>1.3*0.1667</f>
        <v>0.21670999999999999</v>
      </c>
      <c r="U5">
        <f>0.72*0.87</f>
        <v>0.62639999999999996</v>
      </c>
      <c r="V5">
        <f>U5*0.97</f>
        <v>0.60760799999999993</v>
      </c>
      <c r="W5">
        <v>83.3</v>
      </c>
      <c r="X5">
        <v>6.447E-2</v>
      </c>
      <c r="Y5">
        <v>690</v>
      </c>
      <c r="Z5">
        <v>0.09</v>
      </c>
      <c r="AA5">
        <v>0.02</v>
      </c>
    </row>
    <row r="6" spans="1:27" x14ac:dyDescent="0.2">
      <c r="A6" s="5" t="s">
        <v>92</v>
      </c>
      <c r="B6">
        <v>1351</v>
      </c>
      <c r="C6">
        <f>2.5*(1-C21)</f>
        <v>2.0992934569508708</v>
      </c>
      <c r="D6">
        <f>13*(1-D21)</f>
        <v>10.059594127829179</v>
      </c>
      <c r="E6">
        <f>0.27*(1-A21)</f>
        <v>0.23683662363993194</v>
      </c>
      <c r="F6">
        <f>1.3*(1-G21)</f>
        <v>0.11636487827698107</v>
      </c>
      <c r="G6">
        <f>0.3*(1-E21)</f>
        <v>0.20752537000759633</v>
      </c>
      <c r="H6">
        <f>G6*0.97</f>
        <v>0.20129960890736842</v>
      </c>
      <c r="I6">
        <v>83.3</v>
      </c>
      <c r="J6">
        <v>7.2489999999999999E-2</v>
      </c>
      <c r="K6">
        <v>690</v>
      </c>
      <c r="L6">
        <v>0.09</v>
      </c>
      <c r="M6">
        <v>0.02</v>
      </c>
      <c r="O6" s="5" t="s">
        <v>92</v>
      </c>
      <c r="P6">
        <v>1351</v>
      </c>
      <c r="Q6">
        <v>2.5</v>
      </c>
      <c r="R6">
        <v>13</v>
      </c>
      <c r="S6">
        <v>0.27</v>
      </c>
      <c r="T6">
        <f t="shared" ref="T6:T7" si="0">1.3*0.1667</f>
        <v>0.21670999999999999</v>
      </c>
      <c r="U6">
        <f>0.3*0.87</f>
        <v>0.26100000000000001</v>
      </c>
      <c r="V6">
        <f>U6*0.97</f>
        <v>0.25317000000000001</v>
      </c>
      <c r="W6">
        <v>83.3</v>
      </c>
      <c r="X6">
        <v>7.2489999999999999E-2</v>
      </c>
      <c r="Y6">
        <v>690</v>
      </c>
      <c r="Z6">
        <v>0.09</v>
      </c>
      <c r="AA6">
        <v>0.02</v>
      </c>
    </row>
    <row r="7" spans="1:27" x14ac:dyDescent="0.2">
      <c r="A7" s="5" t="s">
        <v>93</v>
      </c>
      <c r="B7">
        <v>190</v>
      </c>
      <c r="C7">
        <f>1.5*(1-C18)</f>
        <v>1.2326496324670697</v>
      </c>
      <c r="D7">
        <f>10*(1-D18)</f>
        <v>8.1164415758065704</v>
      </c>
      <c r="E7">
        <f>0.27*(1-A18)</f>
        <v>0.24937320625548642</v>
      </c>
      <c r="F7">
        <f>1.3*(1-G18)</f>
        <v>0.11636487827698121</v>
      </c>
      <c r="G7">
        <f>0.4*(1-E18)</f>
        <v>0.2815839942630195</v>
      </c>
      <c r="H7">
        <f>G7*0.97</f>
        <v>0.2731364744351289</v>
      </c>
      <c r="I7">
        <v>83.3</v>
      </c>
      <c r="J7">
        <v>7.2489999999999999E-2</v>
      </c>
      <c r="K7">
        <v>690</v>
      </c>
      <c r="L7">
        <v>0.09</v>
      </c>
      <c r="M7">
        <v>0.02</v>
      </c>
      <c r="O7" s="5" t="s">
        <v>93</v>
      </c>
      <c r="P7">
        <v>190</v>
      </c>
      <c r="Q7">
        <v>1.5</v>
      </c>
      <c r="R7">
        <v>10</v>
      </c>
      <c r="S7">
        <v>0.27</v>
      </c>
      <c r="T7">
        <f t="shared" si="0"/>
        <v>0.21670999999999999</v>
      </c>
      <c r="U7">
        <f>0.4*0.87</f>
        <v>0.34800000000000003</v>
      </c>
      <c r="V7">
        <f>U7*0.97</f>
        <v>0.33756000000000003</v>
      </c>
      <c r="W7">
        <v>83.3</v>
      </c>
      <c r="X7">
        <v>7.2489999999999999E-2</v>
      </c>
      <c r="Y7">
        <v>690</v>
      </c>
      <c r="Z7">
        <v>0.09</v>
      </c>
      <c r="AA7">
        <v>0.02</v>
      </c>
    </row>
    <row r="9" spans="1:27" ht="14.25" x14ac:dyDescent="0.2">
      <c r="A9" s="150" t="s">
        <v>287</v>
      </c>
    </row>
    <row r="10" spans="1:27" ht="14.25" x14ac:dyDescent="0.2">
      <c r="A10" s="151" t="s">
        <v>295</v>
      </c>
    </row>
    <row r="11" spans="1:27" ht="14.25" x14ac:dyDescent="0.2">
      <c r="A11" s="151" t="s">
        <v>296</v>
      </c>
    </row>
    <row r="12" spans="1:27" ht="14.25" x14ac:dyDescent="0.2">
      <c r="A12" s="151" t="s">
        <v>297</v>
      </c>
    </row>
    <row r="13" spans="1:27" ht="14.25" x14ac:dyDescent="0.2">
      <c r="A13" s="151" t="s">
        <v>298</v>
      </c>
    </row>
    <row r="14" spans="1:27" x14ac:dyDescent="0.2">
      <c r="A14" s="151"/>
    </row>
    <row r="15" spans="1:27" ht="15" thickBot="1" x14ac:dyDescent="0.25">
      <c r="A15" s="151" t="s">
        <v>291</v>
      </c>
    </row>
    <row r="16" spans="1:27" x14ac:dyDescent="0.2">
      <c r="A16" s="192" t="s">
        <v>284</v>
      </c>
      <c r="B16" s="193"/>
      <c r="C16" s="193"/>
      <c r="D16" s="193"/>
      <c r="E16" s="193"/>
      <c r="F16" s="193"/>
      <c r="G16" s="212"/>
    </row>
    <row r="17" spans="1:12" x14ac:dyDescent="0.2">
      <c r="A17" s="213" t="s">
        <v>42</v>
      </c>
      <c r="B17" s="189" t="s">
        <v>282</v>
      </c>
      <c r="C17" s="189" t="s">
        <v>5</v>
      </c>
      <c r="D17" s="189" t="s">
        <v>283</v>
      </c>
      <c r="E17" s="189" t="s">
        <v>16</v>
      </c>
      <c r="F17" s="189" t="s">
        <v>94</v>
      </c>
      <c r="G17" s="214" t="s">
        <v>8</v>
      </c>
    </row>
    <row r="18" spans="1:12" x14ac:dyDescent="0.2">
      <c r="A18" s="213">
        <v>7.6395532387087434E-2</v>
      </c>
      <c r="B18" s="189">
        <v>7.6395532387087614E-2</v>
      </c>
      <c r="C18" s="189">
        <v>0.17823357835528689</v>
      </c>
      <c r="D18" s="189">
        <v>0.18835584241934286</v>
      </c>
      <c r="E18" s="189">
        <v>0.29604001434245136</v>
      </c>
      <c r="F18" s="189">
        <v>0.29604001434245153</v>
      </c>
      <c r="G18" s="214">
        <v>0.91048855517155292</v>
      </c>
    </row>
    <row r="19" spans="1:12" x14ac:dyDescent="0.2">
      <c r="A19" s="213" t="s">
        <v>285</v>
      </c>
      <c r="B19" s="189"/>
      <c r="C19" s="189"/>
      <c r="D19" s="189"/>
      <c r="E19" s="189"/>
      <c r="F19" s="189"/>
      <c r="G19" s="214"/>
    </row>
    <row r="20" spans="1:12" x14ac:dyDescent="0.2">
      <c r="A20" s="213" t="s">
        <v>42</v>
      </c>
      <c r="B20" s="189" t="s">
        <v>282</v>
      </c>
      <c r="C20" s="189" t="s">
        <v>5</v>
      </c>
      <c r="D20" s="189" t="s">
        <v>283</v>
      </c>
      <c r="E20" s="189" t="s">
        <v>16</v>
      </c>
      <c r="F20" s="189" t="s">
        <v>94</v>
      </c>
      <c r="G20" s="214" t="s">
        <v>8</v>
      </c>
    </row>
    <row r="21" spans="1:12" x14ac:dyDescent="0.2">
      <c r="A21" s="213">
        <v>0.12282731985210406</v>
      </c>
      <c r="B21" s="189">
        <v>0.12282731985210407</v>
      </c>
      <c r="C21" s="189">
        <v>0.16028261721965176</v>
      </c>
      <c r="D21" s="189">
        <v>0.22618506709006309</v>
      </c>
      <c r="E21" s="189">
        <v>0.30824876664134565</v>
      </c>
      <c r="F21" s="189">
        <v>0.30824876664134576</v>
      </c>
      <c r="G21" s="214">
        <v>0.91048855517155303</v>
      </c>
    </row>
    <row r="22" spans="1:12" x14ac:dyDescent="0.2">
      <c r="A22" s="213" t="s">
        <v>286</v>
      </c>
      <c r="B22" s="189"/>
      <c r="C22" s="189"/>
      <c r="D22" s="189"/>
      <c r="E22" s="189"/>
      <c r="F22" s="189"/>
      <c r="G22" s="214"/>
    </row>
    <row r="23" spans="1:12" x14ac:dyDescent="0.2">
      <c r="A23" s="213" t="s">
        <v>42</v>
      </c>
      <c r="B23" s="189" t="s">
        <v>282</v>
      </c>
      <c r="C23" s="189" t="s">
        <v>5</v>
      </c>
      <c r="D23" s="189" t="s">
        <v>283</v>
      </c>
      <c r="E23" s="189" t="s">
        <v>16</v>
      </c>
      <c r="F23" s="189" t="s">
        <v>94</v>
      </c>
      <c r="G23" s="214" t="s">
        <v>8</v>
      </c>
    </row>
    <row r="24" spans="1:12" ht="13.5" thickBot="1" x14ac:dyDescent="0.25">
      <c r="A24" s="215"/>
      <c r="B24" s="201"/>
      <c r="C24" s="201">
        <v>4.3966228385320057E-2</v>
      </c>
      <c r="D24" s="201">
        <v>0.20921144958316992</v>
      </c>
      <c r="E24" s="201"/>
      <c r="F24" s="201"/>
      <c r="G24" s="216">
        <v>0.88241536443195534</v>
      </c>
    </row>
    <row r="25" spans="1:12" ht="14.25" x14ac:dyDescent="0.2">
      <c r="A25" s="217" t="s">
        <v>288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</row>
    <row r="26" spans="1:12" ht="14.25" x14ac:dyDescent="0.2">
      <c r="A26" s="217" t="s">
        <v>289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</row>
    <row r="27" spans="1:12" ht="14.25" x14ac:dyDescent="0.2">
      <c r="A27" s="217" t="s">
        <v>290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G15" sqref="G15"/>
    </sheetView>
  </sheetViews>
  <sheetFormatPr defaultRowHeight="12.75" x14ac:dyDescent="0.2"/>
  <cols>
    <col min="1" max="1" width="11.28515625" customWidth="1"/>
    <col min="2" max="2" width="8" customWidth="1"/>
    <col min="3" max="3" width="10" customWidth="1"/>
    <col min="4" max="4" width="5.85546875" customWidth="1"/>
    <col min="5" max="5" width="10.28515625" customWidth="1"/>
    <col min="6" max="7" width="10.42578125" customWidth="1"/>
    <col min="8" max="8" width="6.28515625" customWidth="1"/>
    <col min="9" max="9" width="7.140625" customWidth="1"/>
    <col min="10" max="10" width="6" customWidth="1"/>
    <col min="11" max="11" width="8.7109375" customWidth="1"/>
    <col min="12" max="12" width="7.28515625" customWidth="1"/>
    <col min="13" max="13" width="6.42578125" customWidth="1"/>
    <col min="14" max="14" width="6.85546875" customWidth="1"/>
  </cols>
  <sheetData>
    <row r="1" spans="1:13" x14ac:dyDescent="0.2">
      <c r="A1" s="24" t="s">
        <v>105</v>
      </c>
      <c r="B1" s="27"/>
      <c r="C1" s="27"/>
      <c r="D1" s="27"/>
      <c r="E1" s="27"/>
      <c r="F1" s="27"/>
      <c r="K1" s="18" t="s">
        <v>103</v>
      </c>
      <c r="L1" s="18">
        <v>907184.7</v>
      </c>
      <c r="M1" s="130" t="s">
        <v>14</v>
      </c>
    </row>
    <row r="2" spans="1:13" s="5" customFormat="1" x14ac:dyDescent="0.2">
      <c r="A2" s="74"/>
      <c r="B2" s="74"/>
      <c r="C2" s="74"/>
      <c r="D2" s="71"/>
      <c r="E2" s="71"/>
      <c r="F2" s="71"/>
      <c r="G2" s="74"/>
      <c r="H2" s="74"/>
      <c r="I2" s="74"/>
      <c r="J2" s="74"/>
    </row>
    <row r="3" spans="1:13" s="5" customFormat="1" x14ac:dyDescent="0.2">
      <c r="A3" s="134" t="s">
        <v>33</v>
      </c>
      <c r="B3" s="74"/>
      <c r="C3" s="74"/>
      <c r="D3" s="16"/>
      <c r="E3" s="17"/>
      <c r="G3" s="19"/>
      <c r="H3" s="129" t="s">
        <v>102</v>
      </c>
      <c r="I3" s="111"/>
      <c r="J3" s="111"/>
    </row>
    <row r="4" spans="1:13" s="5" customFormat="1" ht="39" thickBot="1" x14ac:dyDescent="0.25">
      <c r="A4" s="112" t="s">
        <v>36</v>
      </c>
      <c r="B4" s="113" t="s">
        <v>98</v>
      </c>
      <c r="C4" s="131" t="s">
        <v>35</v>
      </c>
      <c r="D4" s="108" t="s">
        <v>5</v>
      </c>
      <c r="E4" s="108" t="s">
        <v>6</v>
      </c>
      <c r="F4" s="108" t="s">
        <v>42</v>
      </c>
      <c r="G4" s="108" t="s">
        <v>8</v>
      </c>
      <c r="H4" s="108" t="s">
        <v>13</v>
      </c>
      <c r="I4" s="108" t="s">
        <v>15</v>
      </c>
      <c r="J4" s="108" t="s">
        <v>243</v>
      </c>
      <c r="K4" s="108" t="s">
        <v>95</v>
      </c>
      <c r="L4" s="108" t="s">
        <v>96</v>
      </c>
      <c r="M4" s="108" t="s">
        <v>97</v>
      </c>
    </row>
    <row r="5" spans="1:13" s="2" customFormat="1" ht="13.5" thickTop="1" x14ac:dyDescent="0.2">
      <c r="A5" s="27" t="s">
        <v>37</v>
      </c>
      <c r="B5" s="74" t="s">
        <v>46</v>
      </c>
      <c r="C5" s="132">
        <f>'Activity Data'!E$47</f>
        <v>4618192.8730738033</v>
      </c>
      <c r="D5" s="133">
        <f>$C5*'Emission Factors'!C5/$L$1</f>
        <v>5.353554998819603</v>
      </c>
      <c r="E5" s="133">
        <f>$C5*'Emission Factors'!D5/$L$1</f>
        <v>53.138666722325084</v>
      </c>
      <c r="F5" s="133">
        <f>$C5*'Emission Factors'!E5/$L$1</f>
        <v>2.5453432322402501</v>
      </c>
      <c r="G5" s="133">
        <f>$C5*'Emission Factors'!F5/$L$1</f>
        <v>0.77816246653225274</v>
      </c>
      <c r="H5" s="133">
        <f>$C5*'Emission Factors'!G5/$L$1</f>
        <v>3.6652942544259601</v>
      </c>
      <c r="I5" s="133">
        <f>$C5*'Emission Factors'!H5/$L$1</f>
        <v>3.5553354267931812</v>
      </c>
      <c r="J5" s="133">
        <f>$C5*'Emission Factors'!I5*'Emission Factors'!J5/1000/$L$1</f>
        <v>2.7338773145209317E-2</v>
      </c>
      <c r="K5" s="133">
        <f>$C5*'Emission Factors'!K5/$L$1</f>
        <v>3512.5736604915451</v>
      </c>
      <c r="L5" s="133">
        <f>$C5*'Emission Factors'!L5/$L$1</f>
        <v>0.45816178180324502</v>
      </c>
      <c r="M5" s="133">
        <f>$C5*'Emission Factors'!M5/$L$1</f>
        <v>0.10181372928961002</v>
      </c>
    </row>
    <row r="6" spans="1:13" s="2" customFormat="1" x14ac:dyDescent="0.2">
      <c r="A6" s="27" t="s">
        <v>37</v>
      </c>
      <c r="B6" s="74" t="s">
        <v>99</v>
      </c>
      <c r="C6" s="116">
        <f>'Activity Data'!H$47</f>
        <v>5647730.5969434306</v>
      </c>
      <c r="D6" s="117">
        <f>$C6*'Emission Factors'!C6/$L$1</f>
        <v>13.069272319941662</v>
      </c>
      <c r="E6" s="117">
        <f>$C6*'Emission Factors'!D6/$L$1</f>
        <v>62.62658260062512</v>
      </c>
      <c r="F6" s="117">
        <f>$C6*'Emission Factors'!E6/$L$1</f>
        <v>1.4744400404989408</v>
      </c>
      <c r="G6" s="117">
        <f>$C6*'Emission Factors'!F6/$L$1</f>
        <v>0.72443625146511392</v>
      </c>
      <c r="H6" s="117">
        <f>$C6*'Emission Factors'!G6/$L$1</f>
        <v>1.2919611429005675</v>
      </c>
      <c r="I6" s="117">
        <f>$C6*'Emission Factors'!H6/$L$1</f>
        <v>1.2532023086135504</v>
      </c>
      <c r="J6" s="117">
        <f>$C6*'Emission Factors'!I6*'Emission Factors'!J6/1000/$L$1</f>
        <v>3.7592512801421098E-2</v>
      </c>
      <c r="K6" s="117">
        <f>$C6*'Emission Factors'!K6/$L$1</f>
        <v>4295.6347388695676</v>
      </c>
      <c r="L6" s="117">
        <f>$C6*'Emission Factors'!L6/$L$1</f>
        <v>0.56030018333081322</v>
      </c>
      <c r="M6" s="117">
        <f>$C6*'Emission Factors'!M6/$L$1</f>
        <v>0.12451115185129183</v>
      </c>
    </row>
    <row r="7" spans="1:13" s="2" customFormat="1" x14ac:dyDescent="0.2">
      <c r="A7" s="27" t="s">
        <v>37</v>
      </c>
      <c r="B7" s="111" t="s">
        <v>100</v>
      </c>
      <c r="C7" s="116">
        <f>'Activity Data'!K$47</f>
        <v>871423.71248986211</v>
      </c>
      <c r="D7" s="117">
        <f>$C7*'Emission Factors'!C7/$L$1</f>
        <v>1.1840589010415608</v>
      </c>
      <c r="E7" s="117">
        <f>$C7*'Emission Factors'!D7/$L$1</f>
        <v>7.7964935367587538</v>
      </c>
      <c r="F7" s="117">
        <f>$C7*'Emission Factors'!E7/$L$1</f>
        <v>0.23954297861356799</v>
      </c>
      <c r="G7" s="117">
        <f>$C7*'Emission Factors'!F7/$L$1</f>
        <v>0.11177780470896156</v>
      </c>
      <c r="H7" s="117">
        <f>$C7*'Emission Factors'!G7/$L$1</f>
        <v>0.27048402564373547</v>
      </c>
      <c r="I7" s="117">
        <f>$C7*'Emission Factors'!H7/$L$1</f>
        <v>0.2623695048744234</v>
      </c>
      <c r="J7" s="119">
        <f>$C7*'Emission Factors'!I7*'Emission Factors'!J7/1000/$L$1</f>
        <v>5.8003841551801903E-3</v>
      </c>
      <c r="K7" s="117">
        <f>$C7*'Emission Factors'!K7/$L$1</f>
        <v>662.80037749534893</v>
      </c>
      <c r="L7" s="117">
        <f>$C7*'Emission Factors'!L7/$L$1</f>
        <v>8.6452223151567253E-2</v>
      </c>
      <c r="M7" s="117">
        <f>$C7*'Emission Factors'!M7/$L$1</f>
        <v>1.9211605144792726E-2</v>
      </c>
    </row>
    <row r="8" spans="1:13" s="2" customFormat="1" x14ac:dyDescent="0.2">
      <c r="A8" s="67" t="s">
        <v>101</v>
      </c>
      <c r="B8" s="67" t="s">
        <v>46</v>
      </c>
      <c r="C8" s="135">
        <f>'Activity Data'!E$54</f>
        <v>0</v>
      </c>
      <c r="D8" s="136">
        <f>$C8*'Emission Factors'!C5/$L$1</f>
        <v>0</v>
      </c>
      <c r="E8" s="136">
        <f>$C8*'Emission Factors'!D5/$L$1</f>
        <v>0</v>
      </c>
      <c r="F8" s="136">
        <f>$C8*'Emission Factors'!E5/$L$1</f>
        <v>0</v>
      </c>
      <c r="G8" s="136">
        <f>$C8*'Emission Factors'!F5/$L$1</f>
        <v>0</v>
      </c>
      <c r="H8" s="136">
        <f>$C8*'Emission Factors'!G5/$L$1</f>
        <v>0</v>
      </c>
      <c r="I8" s="136">
        <f>$C8*'Emission Factors'!H5/$L$1</f>
        <v>0</v>
      </c>
      <c r="J8" s="136">
        <f>$C8*'Emission Factors'!I5*'Emission Factors'!J5/1000/$L$1</f>
        <v>0</v>
      </c>
      <c r="K8" s="136">
        <f>$C8*'Emission Factors'!K5/$L$1</f>
        <v>0</v>
      </c>
      <c r="L8" s="136">
        <f>$C8*'Emission Factors'!L5/$L$1</f>
        <v>0</v>
      </c>
      <c r="M8" s="136">
        <f>$C8*'Emission Factors'!M5/$L$1</f>
        <v>0</v>
      </c>
    </row>
    <row r="9" spans="1:13" s="2" customFormat="1" x14ac:dyDescent="0.2">
      <c r="A9" s="74" t="s">
        <v>101</v>
      </c>
      <c r="B9" s="74" t="s">
        <v>99</v>
      </c>
      <c r="C9" s="116">
        <f>'Activity Data'!H$54</f>
        <v>0</v>
      </c>
      <c r="D9" s="117">
        <f>$C9*'Emission Factors'!C6/$L$1</f>
        <v>0</v>
      </c>
      <c r="E9" s="117">
        <f>$C9*'Emission Factors'!D6/$L$1</f>
        <v>0</v>
      </c>
      <c r="F9" s="117">
        <f>$C9*'Emission Factors'!E6/$L$1</f>
        <v>0</v>
      </c>
      <c r="G9" s="117">
        <f>$C9*'Emission Factors'!F6/$L$1</f>
        <v>0</v>
      </c>
      <c r="H9" s="117">
        <f>$C9*'Emission Factors'!G6/$L$1</f>
        <v>0</v>
      </c>
      <c r="I9" s="117">
        <f>$C9*'Emission Factors'!H6/$L$1</f>
        <v>0</v>
      </c>
      <c r="J9" s="117">
        <f>$C9*'Emission Factors'!I6*'Emission Factors'!J6/1000/$L$1</f>
        <v>0</v>
      </c>
      <c r="K9" s="117">
        <f>$C9*'Emission Factors'!K6/$L$1</f>
        <v>0</v>
      </c>
      <c r="L9" s="117">
        <f>$C9*'Emission Factors'!L6/$L$1</f>
        <v>0</v>
      </c>
      <c r="M9" s="117">
        <f>$C9*'Emission Factors'!M6/$L$1</f>
        <v>0</v>
      </c>
    </row>
    <row r="10" spans="1:13" s="2" customFormat="1" x14ac:dyDescent="0.2">
      <c r="A10" s="69" t="s">
        <v>101</v>
      </c>
      <c r="B10" s="128" t="s">
        <v>100</v>
      </c>
      <c r="C10" s="118">
        <f>'Activity Data'!K$54</f>
        <v>0</v>
      </c>
      <c r="D10" s="119">
        <f>$C10*'Emission Factors'!C7/$L$1</f>
        <v>0</v>
      </c>
      <c r="E10" s="119">
        <f>$C10*'Emission Factors'!D7/$L$1</f>
        <v>0</v>
      </c>
      <c r="F10" s="119">
        <f>$C10*'Emission Factors'!E7/$L$1</f>
        <v>0</v>
      </c>
      <c r="G10" s="119">
        <f>$C10*'Emission Factors'!F7/$L$1</f>
        <v>0</v>
      </c>
      <c r="H10" s="119">
        <f>$C10*'Emission Factors'!G7/$L$1</f>
        <v>0</v>
      </c>
      <c r="I10" s="119">
        <f>$C10*'Emission Factors'!H7/$L$1</f>
        <v>0</v>
      </c>
      <c r="J10" s="119">
        <f>$C10*'Emission Factors'!I7*'Emission Factors'!J7/1000/$L$1</f>
        <v>0</v>
      </c>
      <c r="K10" s="119">
        <f>$C10*'Emission Factors'!K7/$L$1</f>
        <v>0</v>
      </c>
      <c r="L10" s="119">
        <f>$C10*'Emission Factors'!L7/$L$1</f>
        <v>0</v>
      </c>
      <c r="M10" s="119">
        <f>$C10*'Emission Factors'!M7/$L$1</f>
        <v>0</v>
      </c>
    </row>
    <row r="11" spans="1:13" s="2" customFormat="1" x14ac:dyDescent="0.2">
      <c r="A11" s="74"/>
      <c r="B11" s="74"/>
      <c r="C11" s="116"/>
      <c r="D11" s="117"/>
      <c r="E11" s="117"/>
      <c r="F11" s="120"/>
      <c r="G11" s="120"/>
      <c r="H11" s="120"/>
      <c r="I11" s="117"/>
      <c r="J11" s="117"/>
      <c r="L11" s="5"/>
    </row>
    <row r="12" spans="1:13" s="5" customFormat="1" x14ac:dyDescent="0.2">
      <c r="A12" s="134" t="s">
        <v>30</v>
      </c>
      <c r="B12" s="137"/>
      <c r="C12" s="74"/>
      <c r="D12" s="16"/>
      <c r="E12" s="17"/>
      <c r="G12" s="19"/>
      <c r="H12" s="129" t="s">
        <v>102</v>
      </c>
      <c r="I12" s="111"/>
      <c r="J12" s="111"/>
    </row>
    <row r="13" spans="1:13" s="5" customFormat="1" ht="39" thickBot="1" x14ac:dyDescent="0.25">
      <c r="A13" s="112" t="s">
        <v>36</v>
      </c>
      <c r="B13" s="113" t="s">
        <v>98</v>
      </c>
      <c r="C13" s="131" t="s">
        <v>35</v>
      </c>
      <c r="D13" s="108" t="s">
        <v>5</v>
      </c>
      <c r="E13" s="108" t="s">
        <v>6</v>
      </c>
      <c r="F13" s="108" t="s">
        <v>42</v>
      </c>
      <c r="G13" s="108" t="s">
        <v>8</v>
      </c>
      <c r="H13" s="108" t="s">
        <v>13</v>
      </c>
      <c r="I13" s="108" t="s">
        <v>15</v>
      </c>
      <c r="J13" s="108" t="s">
        <v>243</v>
      </c>
      <c r="K13" s="108" t="s">
        <v>95</v>
      </c>
      <c r="L13" s="108" t="s">
        <v>96</v>
      </c>
      <c r="M13" s="108" t="s">
        <v>97</v>
      </c>
    </row>
    <row r="14" spans="1:13" s="2" customFormat="1" ht="13.5" thickTop="1" x14ac:dyDescent="0.2">
      <c r="A14" s="27" t="s">
        <v>37</v>
      </c>
      <c r="B14" s="74" t="s">
        <v>46</v>
      </c>
      <c r="C14" s="132">
        <f>'Activity Data'!E$48</f>
        <v>1303293.6942416867</v>
      </c>
      <c r="D14" s="133">
        <f>$C14*'Emission Factors'!C5/$L$1</f>
        <v>1.5108192021208695</v>
      </c>
      <c r="E14" s="133">
        <f>$C14*'Emission Factors'!D5/$L$1</f>
        <v>14.996188154766585</v>
      </c>
      <c r="F14" s="133">
        <f>$C14*'Emission Factors'!E5/$L$1</f>
        <v>0.71831772198191102</v>
      </c>
      <c r="G14" s="133">
        <f>$C14*'Emission Factors'!F5/$L$1</f>
        <v>0.2196041316594087</v>
      </c>
      <c r="H14" s="133">
        <f>$C14*'Emission Factors'!G5/$L$1</f>
        <v>1.034377519653952</v>
      </c>
      <c r="I14" s="133">
        <f>$C14*'Emission Factors'!H5/$L$1</f>
        <v>1.0033461940643333</v>
      </c>
      <c r="J14" s="133">
        <f>$C14*'Emission Factors'!I5*'Emission Factors'!J5/1000/$L$1</f>
        <v>7.7152365931265543E-3</v>
      </c>
      <c r="K14" s="133">
        <f>$C14*'Emission Factors'!K5/$L$1</f>
        <v>991.27845633503728</v>
      </c>
      <c r="L14" s="133">
        <f>$C14*'Emission Factors'!L5/$L$1</f>
        <v>0.129297189956744</v>
      </c>
      <c r="M14" s="133">
        <f>$C14*'Emission Factors'!M5/$L$1</f>
        <v>2.8732708879276442E-2</v>
      </c>
    </row>
    <row r="15" spans="1:13" s="2" customFormat="1" x14ac:dyDescent="0.2">
      <c r="A15" s="27" t="s">
        <v>37</v>
      </c>
      <c r="B15" s="74" t="s">
        <v>99</v>
      </c>
      <c r="C15" s="116">
        <f>'Activity Data'!H$48</f>
        <v>1593838.0825729924</v>
      </c>
      <c r="D15" s="117">
        <f>$C15*'Emission Factors'!C6/$L$1</f>
        <v>3.6882609001062354</v>
      </c>
      <c r="E15" s="117">
        <f>$C15*'Emission Factors'!D6/$L$1</f>
        <v>17.673759506924878</v>
      </c>
      <c r="F15" s="117">
        <f>$C15*'Emission Factors'!E6/$L$1</f>
        <v>0.41609964333098937</v>
      </c>
      <c r="G15" s="117">
        <f>$C15*'Emission Factors'!F6/$L$1</f>
        <v>0.20444213231530819</v>
      </c>
      <c r="H15" s="117">
        <f>$C15*'Emission Factors'!G6/$L$1</f>
        <v>0.36460253112531343</v>
      </c>
      <c r="I15" s="117">
        <f>$C15*'Emission Factors'!H6/$L$1</f>
        <v>0.35366445519155404</v>
      </c>
      <c r="J15" s="117">
        <f>$C15*'Emission Factors'!I6*'Emission Factors'!J6/1000/$L$1</f>
        <v>1.0608929993039083E-2</v>
      </c>
      <c r="K15" s="117">
        <f>$C15*'Emission Factors'!K6/$L$1</f>
        <v>1212.2650183312887</v>
      </c>
      <c r="L15" s="117">
        <f>$C15*'Emission Factors'!L6/$L$1</f>
        <v>0.15812152413016811</v>
      </c>
      <c r="M15" s="117">
        <f>$C15*'Emission Factors'!M6/$L$1</f>
        <v>3.5138116473370694E-2</v>
      </c>
    </row>
    <row r="16" spans="1:13" s="2" customFormat="1" x14ac:dyDescent="0.2">
      <c r="A16" s="27" t="s">
        <v>37</v>
      </c>
      <c r="B16" s="111" t="s">
        <v>100</v>
      </c>
      <c r="C16" s="116">
        <f>'Activity Data'!K$48</f>
        <v>245923.25628548255</v>
      </c>
      <c r="D16" s="117">
        <f>$C16*'Emission Factors'!C7/$L$1</f>
        <v>0.33415159170498038</v>
      </c>
      <c r="E16" s="117">
        <f>$C16*'Emission Factors'!D7/$L$1</f>
        <v>2.2002374398214886</v>
      </c>
      <c r="F16" s="117">
        <f>$C16*'Emission Factors'!E7/$L$1</f>
        <v>6.7601085989105081E-2</v>
      </c>
      <c r="G16" s="117">
        <f>$C16*'Emission Factors'!F7/$L$1</f>
        <v>3.1544656543633323E-2</v>
      </c>
      <c r="H16" s="117">
        <f>$C16*'Emission Factors'!G7/$L$1</f>
        <v>7.6332915212342534E-2</v>
      </c>
      <c r="I16" s="117">
        <f>$C16*'Emission Factors'!H7/$L$1</f>
        <v>7.4042927755972252E-2</v>
      </c>
      <c r="J16" s="119">
        <f>$C16*'Emission Factors'!I7*'Emission Factors'!J7/1000/$L$1</f>
        <v>1.6369182278422624E-3</v>
      </c>
      <c r="K16" s="117">
        <f>$C16*'Emission Factors'!K7/$L$1</f>
        <v>187.04795929316597</v>
      </c>
      <c r="L16" s="117">
        <f>$C16*'Emission Factors'!L7/$L$1</f>
        <v>2.4397559907804255E-2</v>
      </c>
      <c r="M16" s="117">
        <f>$C16*'Emission Factors'!M7/$L$1</f>
        <v>5.421679979512057E-3</v>
      </c>
    </row>
    <row r="17" spans="1:16" s="2" customFormat="1" x14ac:dyDescent="0.2">
      <c r="A17" s="67" t="s">
        <v>101</v>
      </c>
      <c r="B17" s="67" t="s">
        <v>46</v>
      </c>
      <c r="C17" s="135">
        <f>'Activity Data'!E$55</f>
        <v>1970045</v>
      </c>
      <c r="D17" s="136">
        <f>$C17*'Emission Factors'!C5/$L$1</f>
        <v>2.2837383685601251</v>
      </c>
      <c r="E17" s="136">
        <f>$C17*'Emission Factors'!D5/$L$1</f>
        <v>22.668079822596429</v>
      </c>
      <c r="F17" s="136">
        <f>$C17*'Emission Factors'!E5/$L$1</f>
        <v>1.0858014911406686</v>
      </c>
      <c r="G17" s="136">
        <f>$C17*'Emission Factors'!F5/$L$1</f>
        <v>0.33195128885103897</v>
      </c>
      <c r="H17" s="136">
        <f>$C17*'Emission Factors'!G5/$L$1</f>
        <v>1.5635541472425627</v>
      </c>
      <c r="I17" s="136">
        <f>$C17*'Emission Factors'!H5/$L$1</f>
        <v>1.5166475228252856</v>
      </c>
      <c r="J17" s="136">
        <f>$C17*'Emission Factors'!I5*'Emission Factors'!J5/1000/$L$1</f>
        <v>1.166227024749756E-2</v>
      </c>
      <c r="K17" s="136">
        <f>$C17*'Emission Factors'!K5/$L$1</f>
        <v>1498.4060577741227</v>
      </c>
      <c r="L17" s="136">
        <f>$C17*'Emission Factors'!L5/$L$1</f>
        <v>0.19544426840532034</v>
      </c>
      <c r="M17" s="136">
        <f>$C17*'Emission Factors'!M5/$L$1</f>
        <v>4.3432059645626742E-2</v>
      </c>
    </row>
    <row r="18" spans="1:16" s="2" customFormat="1" x14ac:dyDescent="0.2">
      <c r="A18" s="74" t="s">
        <v>101</v>
      </c>
      <c r="B18" s="74" t="s">
        <v>99</v>
      </c>
      <c r="C18" s="116">
        <f>'Activity Data'!H$55</f>
        <v>2409228.8324999996</v>
      </c>
      <c r="D18" s="117">
        <f>$C18*'Emission Factors'!C6/$L$1</f>
        <v>5.5751362697856726</v>
      </c>
      <c r="E18" s="117">
        <f>$C18*'Emission Factors'!D6/$L$1</f>
        <v>26.715468433290095</v>
      </c>
      <c r="F18" s="117">
        <f>$C18*'Emission Factors'!E6/$L$1</f>
        <v>0.6289718314972409</v>
      </c>
      <c r="G18" s="117">
        <f>$C18*'Emission Factors'!F6/$L$1</f>
        <v>0.30903257058375838</v>
      </c>
      <c r="H18" s="117">
        <f>$C18*'Emission Factors'!G6/$L$1</f>
        <v>0.55112933992111168</v>
      </c>
      <c r="I18" s="117">
        <f>$C18*'Emission Factors'!H6/$L$1</f>
        <v>0.53459545972347833</v>
      </c>
      <c r="J18" s="117">
        <f>$C18*'Emission Factors'!I6*'Emission Factors'!J6/1000/$L$1</f>
        <v>1.6036346665743096E-2</v>
      </c>
      <c r="K18" s="117">
        <f>$C18*'Emission Factors'!K6/$L$1</f>
        <v>1832.4470137393189</v>
      </c>
      <c r="L18" s="117">
        <f>$C18*'Emission Factors'!L6/$L$1</f>
        <v>0.23901482787904157</v>
      </c>
      <c r="M18" s="117">
        <f>$C18*'Emission Factors'!M6/$L$1</f>
        <v>5.3114406195342578E-2</v>
      </c>
    </row>
    <row r="19" spans="1:16" s="2" customFormat="1" x14ac:dyDescent="0.2">
      <c r="A19" s="69" t="s">
        <v>101</v>
      </c>
      <c r="B19" s="128" t="s">
        <v>100</v>
      </c>
      <c r="C19" s="118">
        <f>'Activity Data'!K$55</f>
        <v>371735</v>
      </c>
      <c r="D19" s="119">
        <f>$C19*'Emission Factors'!C7/$L$1</f>
        <v>0.50510002111493524</v>
      </c>
      <c r="E19" s="119">
        <f>$C19*'Emission Factors'!D7/$L$1</f>
        <v>3.3258557041167642</v>
      </c>
      <c r="F19" s="119">
        <f>$C19*'Emission Factors'!E7/$L$1</f>
        <v>0.1021850884691764</v>
      </c>
      <c r="G19" s="119">
        <f>$C19*'Emission Factors'!F7/$L$1</f>
        <v>4.7682570072327735E-2</v>
      </c>
      <c r="H19" s="119">
        <f>$C19*'Emission Factors'!G7/$L$1</f>
        <v>0.11538402941249291</v>
      </c>
      <c r="I19" s="119">
        <f>$C19*'Emission Factors'!H7/$L$1</f>
        <v>0.11192250853011811</v>
      </c>
      <c r="J19" s="119">
        <f>$C19*'Emission Factors'!I7*'Emission Factors'!J7/1000/$L$1</f>
        <v>2.4743483256441604E-3</v>
      </c>
      <c r="K19" s="119">
        <f>$C19*'Emission Factors'!K7/$L$1</f>
        <v>282.73972213155713</v>
      </c>
      <c r="L19" s="119">
        <f>$C19*'Emission Factors'!L7/$L$1</f>
        <v>3.6879094191072673E-2</v>
      </c>
      <c r="M19" s="119">
        <f>$C19*'Emission Factors'!M7/$L$1</f>
        <v>8.1953542646828158E-3</v>
      </c>
    </row>
    <row r="20" spans="1:16" s="2" customFormat="1" x14ac:dyDescent="0.2">
      <c r="A20" s="74"/>
      <c r="B20" s="74"/>
      <c r="C20" s="116"/>
      <c r="D20" s="117"/>
      <c r="E20" s="117"/>
      <c r="F20" s="120"/>
      <c r="G20" s="120"/>
      <c r="H20" s="120"/>
      <c r="I20" s="117"/>
      <c r="J20" s="117"/>
      <c r="L20" s="5"/>
    </row>
    <row r="21" spans="1:16" s="5" customFormat="1" x14ac:dyDescent="0.2">
      <c r="A21" s="134" t="s">
        <v>34</v>
      </c>
      <c r="B21" s="111"/>
      <c r="C21" s="74"/>
      <c r="D21" s="16"/>
      <c r="E21" s="17"/>
      <c r="G21" s="19"/>
      <c r="H21" s="129" t="s">
        <v>102</v>
      </c>
      <c r="I21" s="111"/>
      <c r="J21" s="111"/>
    </row>
    <row r="22" spans="1:16" s="5" customFormat="1" ht="39" thickBot="1" x14ac:dyDescent="0.25">
      <c r="A22" s="112" t="s">
        <v>36</v>
      </c>
      <c r="B22" s="113" t="s">
        <v>98</v>
      </c>
      <c r="C22" s="131" t="s">
        <v>35</v>
      </c>
      <c r="D22" s="108" t="s">
        <v>5</v>
      </c>
      <c r="E22" s="108" t="s">
        <v>6</v>
      </c>
      <c r="F22" s="108" t="s">
        <v>42</v>
      </c>
      <c r="G22" s="108" t="s">
        <v>8</v>
      </c>
      <c r="H22" s="108" t="s">
        <v>13</v>
      </c>
      <c r="I22" s="108" t="s">
        <v>15</v>
      </c>
      <c r="J22" s="108" t="s">
        <v>243</v>
      </c>
      <c r="K22" s="108" t="s">
        <v>95</v>
      </c>
      <c r="L22" s="108" t="s">
        <v>96</v>
      </c>
      <c r="M22" s="108" t="s">
        <v>97</v>
      </c>
    </row>
    <row r="23" spans="1:16" s="2" customFormat="1" ht="13.5" thickTop="1" x14ac:dyDescent="0.2">
      <c r="A23" s="27" t="s">
        <v>37</v>
      </c>
      <c r="B23" s="74" t="s">
        <v>46</v>
      </c>
      <c r="C23" s="132">
        <f>'Activity Data'!E$49</f>
        <v>2252431.4933090024</v>
      </c>
      <c r="D23" s="133">
        <f>$C23*'Emission Factors'!C5/$L$1</f>
        <v>2.611089708013242</v>
      </c>
      <c r="E23" s="133">
        <f>$C23*'Emission Factors'!D5/$L$1</f>
        <v>25.917325180520518</v>
      </c>
      <c r="F23" s="133">
        <f>$C23*'Emission Factors'!E5/$L$1</f>
        <v>1.2414404108165638</v>
      </c>
      <c r="G23" s="133">
        <f>$C23*'Emission Factors'!F5/$L$1</f>
        <v>0.37953322754180424</v>
      </c>
      <c r="H23" s="133">
        <f>$C23*'Emission Factors'!G5/$L$1</f>
        <v>1.7876741915758521</v>
      </c>
      <c r="I23" s="133">
        <f>$C23*'Emission Factors'!H5/$L$1</f>
        <v>1.7340439658285762</v>
      </c>
      <c r="J23" s="133">
        <f>$C23*'Emission Factors'!I5*'Emission Factors'!J5/1000/$L$1</f>
        <v>1.3333941503338288E-2</v>
      </c>
      <c r="K23" s="133">
        <f>$C23*'Emission Factors'!K5/$L$1</f>
        <v>1713.1877669268581</v>
      </c>
      <c r="L23" s="133">
        <f>$C23*'Emission Factors'!L5/$L$1</f>
        <v>0.22345927394698151</v>
      </c>
      <c r="M23" s="133">
        <f>$C23*'Emission Factors'!M5/$L$1</f>
        <v>4.9657616432662553E-2</v>
      </c>
    </row>
    <row r="24" spans="1:16" s="2" customFormat="1" x14ac:dyDescent="0.2">
      <c r="A24" s="27" t="s">
        <v>37</v>
      </c>
      <c r="B24" s="74" t="s">
        <v>99</v>
      </c>
      <c r="C24" s="116">
        <f>'Activity Data'!H$49</f>
        <v>2754567.9905337589</v>
      </c>
      <c r="D24" s="117">
        <f>$C24*'Emission Factors'!C6/$L$1</f>
        <v>6.3742769904009942</v>
      </c>
      <c r="E24" s="117">
        <f>$C24*'Emission Factors'!D6/$L$1</f>
        <v>30.54486697392452</v>
      </c>
      <c r="F24" s="117">
        <f>$C24*'Emission Factors'!E6/$L$1</f>
        <v>0.71912873140899258</v>
      </c>
      <c r="G24" s="117">
        <f>$C24*'Emission Factors'!F6/$L$1</f>
        <v>0.35332933737102185</v>
      </c>
      <c r="H24" s="117">
        <f>$C24*'Emission Factors'!G6/$L$1</f>
        <v>0.6301282874883134</v>
      </c>
      <c r="I24" s="117">
        <f>$C24*'Emission Factors'!H6/$L$1</f>
        <v>0.61122443886366395</v>
      </c>
      <c r="J24" s="117">
        <f>$C24*'Emission Factors'!I6*'Emission Factors'!J6/1000/$L$1</f>
        <v>1.833499857492624E-2</v>
      </c>
      <c r="K24" s="117">
        <f>$C24*'Emission Factors'!K6/$L$1</f>
        <v>2095.110194724728</v>
      </c>
      <c r="L24" s="117">
        <f>$C24*'Emission Factors'!L6/$L$1</f>
        <v>0.27327524279018189</v>
      </c>
      <c r="M24" s="117">
        <f>$C24*'Emission Factors'!M6/$L$1</f>
        <v>6.0727831731151531E-2</v>
      </c>
    </row>
    <row r="25" spans="1:16" s="2" customFormat="1" x14ac:dyDescent="0.2">
      <c r="A25" s="27" t="s">
        <v>37</v>
      </c>
      <c r="B25" s="111" t="s">
        <v>100</v>
      </c>
      <c r="C25" s="116">
        <f>'Activity Data'!K$49</f>
        <v>425019.54075425793</v>
      </c>
      <c r="D25" s="117">
        <f>$C25*'Emission Factors'!C7/$L$1</f>
        <v>0.57750112044665081</v>
      </c>
      <c r="E25" s="117">
        <f>$C25*'Emission Factors'!D7/$L$1</f>
        <v>3.8025842709958337</v>
      </c>
      <c r="F25" s="117">
        <f>$C25*'Emission Factors'!E7/$L$1</f>
        <v>0.11683231165508379</v>
      </c>
      <c r="G25" s="117">
        <f>$C25*'Emission Factors'!F7/$L$1</f>
        <v>5.4517395548235856E-2</v>
      </c>
      <c r="H25" s="117">
        <f>$C25*'Emission Factors'!G7/$L$1</f>
        <v>0.13192319042133113</v>
      </c>
      <c r="I25" s="117">
        <f>$C25*'Emission Factors'!H7/$L$1</f>
        <v>0.1279654947086912</v>
      </c>
      <c r="J25" s="119">
        <f>$C25*'Emission Factors'!I7*'Emission Factors'!J7/1000/$L$1</f>
        <v>2.8290217198578237E-3</v>
      </c>
      <c r="K25" s="117">
        <f>$C25*'Emission Factors'!K7/$L$1</f>
        <v>323.2676687784064</v>
      </c>
      <c r="L25" s="117">
        <f>$C25*'Emission Factors'!L7/$L$1</f>
        <v>4.2165348101531275E-2</v>
      </c>
      <c r="M25" s="117">
        <f>$C25*'Emission Factors'!M7/$L$1</f>
        <v>9.3700773558958381E-3</v>
      </c>
    </row>
    <row r="26" spans="1:16" s="2" customFormat="1" x14ac:dyDescent="0.2">
      <c r="A26" s="67" t="s">
        <v>101</v>
      </c>
      <c r="B26" s="67" t="s">
        <v>46</v>
      </c>
      <c r="C26" s="135">
        <f>'Activity Data'!E$56</f>
        <v>140063</v>
      </c>
      <c r="D26" s="136">
        <f>$C26*'Emission Factors'!C5/$L$1</f>
        <v>0.16236545211689926</v>
      </c>
      <c r="E26" s="136">
        <f>$C26*'Emission Factors'!D5/$L$1</f>
        <v>1.6116176352277862</v>
      </c>
      <c r="F26" s="136">
        <f>$C26*'Emission Factors'!E5/$L$1</f>
        <v>7.7196517974785078E-2</v>
      </c>
      <c r="G26" s="136">
        <f>$C26*'Emission Factors'!F5/$L$1</f>
        <v>2.3600523526286492E-2</v>
      </c>
      <c r="H26" s="136">
        <f>$C26*'Emission Factors'!G5/$L$1</f>
        <v>0.1111629858836905</v>
      </c>
      <c r="I26" s="136">
        <f>$C26*'Emission Factors'!H5/$L$1</f>
        <v>0.10782809630717978</v>
      </c>
      <c r="J26" s="136">
        <f>$C26*'Emission Factors'!I5*'Emission Factors'!J5/1000/$L$1</f>
        <v>8.2914479500481001E-4</v>
      </c>
      <c r="K26" s="136">
        <f>$C26*'Emission Factors'!K5/$L$1</f>
        <v>106.5311948052034</v>
      </c>
      <c r="L26" s="136">
        <f>$C26*'Emission Factors'!L5/$L$1</f>
        <v>1.3895373235461313E-2</v>
      </c>
      <c r="M26" s="136">
        <f>$C26*'Emission Factors'!M5/$L$1</f>
        <v>3.0878607189914033E-3</v>
      </c>
    </row>
    <row r="27" spans="1:16" s="2" customFormat="1" x14ac:dyDescent="0.2">
      <c r="A27" s="74" t="s">
        <v>101</v>
      </c>
      <c r="B27" s="74" t="s">
        <v>99</v>
      </c>
      <c r="C27" s="116">
        <f>'Activity Data'!H$56</f>
        <v>171287.36549999999</v>
      </c>
      <c r="D27" s="117">
        <f>$C27*'Emission Factors'!C6/$L$1</f>
        <v>0.39637181452961268</v>
      </c>
      <c r="E27" s="117">
        <f>$C27*'Emission Factors'!D6/$L$1</f>
        <v>1.8993721743269372</v>
      </c>
      <c r="F27" s="117">
        <f>$C27*'Emission Factors'!E6/$L$1</f>
        <v>4.4717598651298859E-2</v>
      </c>
      <c r="G27" s="117">
        <f>$C27*'Emission Factors'!F6/$L$1</f>
        <v>2.1971086413596113E-2</v>
      </c>
      <c r="H27" s="117">
        <f>$C27*'Emission Factors'!G6/$L$1</f>
        <v>3.9183281974457779E-2</v>
      </c>
      <c r="I27" s="117">
        <f>$C27*'Emission Factors'!H6/$L$1</f>
        <v>3.8007783515224047E-2</v>
      </c>
      <c r="J27" s="117">
        <f>$C27*'Emission Factors'!I6*'Emission Factors'!J6/1000/$L$1</f>
        <v>1.1401256433451904E-3</v>
      </c>
      <c r="K27" s="117">
        <f>$C27*'Emission Factors'!K6/$L$1</f>
        <v>130.28028602664926</v>
      </c>
      <c r="L27" s="117">
        <f>$C27*'Emission Factors'!L6/$L$1</f>
        <v>1.6993080786084684E-2</v>
      </c>
      <c r="M27" s="117">
        <f>$C27*'Emission Factors'!M6/$L$1</f>
        <v>3.7762401746854858E-3</v>
      </c>
    </row>
    <row r="28" spans="1:16" s="2" customFormat="1" x14ac:dyDescent="0.2">
      <c r="A28" s="69" t="s">
        <v>101</v>
      </c>
      <c r="B28" s="128" t="s">
        <v>100</v>
      </c>
      <c r="C28" s="118">
        <f>'Activity Data'!K$56</f>
        <v>26429</v>
      </c>
      <c r="D28" s="119">
        <f>$C28*'Emission Factors'!C7/$L$1</f>
        <v>3.5910765620796058E-2</v>
      </c>
      <c r="E28" s="119">
        <f>$C28*'Emission Factors'!D7/$L$1</f>
        <v>0.23645618627275333</v>
      </c>
      <c r="F28" s="119">
        <f>$C28*'Emission Factors'!E7/$L$1</f>
        <v>7.2649863562803153E-3</v>
      </c>
      <c r="G28" s="119">
        <f>$C28*'Emission Factors'!F7/$L$1</f>
        <v>3.3900564769030347E-3</v>
      </c>
      <c r="H28" s="119">
        <f>$C28*'Emission Factors'!G7/$L$1</f>
        <v>8.2033828220177685E-3</v>
      </c>
      <c r="I28" s="119">
        <f>$C28*'Emission Factors'!H7/$L$1</f>
        <v>7.9572813373572342E-3</v>
      </c>
      <c r="J28" s="119">
        <f>$C28*'Emission Factors'!I7*'Emission Factors'!J7/1000/$L$1</f>
        <v>1.7591712348433565E-4</v>
      </c>
      <c r="K28" s="119">
        <f>$C28*'Emission Factors'!K7/$L$1</f>
        <v>20.101760975466188</v>
      </c>
      <c r="L28" s="119">
        <f>$C28*'Emission Factors'!L7/$L$1</f>
        <v>2.6219688228868942E-3</v>
      </c>
      <c r="M28" s="119">
        <f>$C28*'Emission Factors'!M7/$L$1</f>
        <v>5.8265973841930988E-4</v>
      </c>
    </row>
    <row r="29" spans="1:16" s="2" customFormat="1" x14ac:dyDescent="0.2">
      <c r="A29" s="74"/>
      <c r="B29" s="111"/>
      <c r="C29" s="116"/>
      <c r="D29" s="117"/>
      <c r="E29" s="117"/>
      <c r="F29" s="117"/>
      <c r="G29" s="117"/>
      <c r="H29" s="117"/>
      <c r="I29" s="117"/>
      <c r="J29" s="117"/>
      <c r="K29" s="117"/>
      <c r="L29" s="117"/>
      <c r="M29" s="117"/>
    </row>
    <row r="30" spans="1:16" s="2" customFormat="1" x14ac:dyDescent="0.2">
      <c r="A30" s="74"/>
      <c r="B30" s="74"/>
      <c r="C30" s="116"/>
      <c r="D30" s="117"/>
      <c r="E30" s="117"/>
      <c r="F30" s="120"/>
      <c r="G30" s="120"/>
      <c r="H30" s="120"/>
      <c r="I30" s="117"/>
      <c r="J30" s="117"/>
      <c r="L30" s="5"/>
    </row>
    <row r="31" spans="1:16" s="2" customFormat="1" x14ac:dyDescent="0.2">
      <c r="A31" s="138" t="s">
        <v>106</v>
      </c>
      <c r="B31" s="74"/>
      <c r="C31" s="116"/>
      <c r="D31" s="122"/>
      <c r="E31" s="122"/>
      <c r="F31" s="121"/>
      <c r="G31" s="121"/>
      <c r="H31" s="121"/>
      <c r="I31" s="121"/>
      <c r="J31" s="121"/>
      <c r="L31" s="5"/>
    </row>
    <row r="32" spans="1:16" x14ac:dyDescent="0.2">
      <c r="F32" s="74"/>
      <c r="G32" s="16"/>
      <c r="H32" s="17"/>
      <c r="I32" s="5"/>
      <c r="J32" s="19"/>
      <c r="K32" s="129" t="s">
        <v>102</v>
      </c>
      <c r="L32" s="129"/>
      <c r="M32" s="111"/>
      <c r="N32" s="5"/>
      <c r="O32" s="5"/>
      <c r="P32" s="5"/>
    </row>
    <row r="33" spans="1:17" ht="39" thickBot="1" x14ac:dyDescent="0.25">
      <c r="A33" s="112" t="s">
        <v>38</v>
      </c>
      <c r="B33" s="184"/>
      <c r="C33" s="184"/>
      <c r="D33" s="183"/>
      <c r="E33" s="112" t="s">
        <v>29</v>
      </c>
      <c r="F33" s="112" t="s">
        <v>36</v>
      </c>
      <c r="G33" s="114" t="s">
        <v>35</v>
      </c>
      <c r="H33" s="115" t="s">
        <v>5</v>
      </c>
      <c r="I33" s="115" t="s">
        <v>6</v>
      </c>
      <c r="J33" s="115" t="s">
        <v>42</v>
      </c>
      <c r="K33" s="115" t="s">
        <v>8</v>
      </c>
      <c r="L33" s="115" t="s">
        <v>13</v>
      </c>
      <c r="M33" s="115" t="s">
        <v>15</v>
      </c>
      <c r="N33" s="115" t="s">
        <v>243</v>
      </c>
      <c r="O33" s="115" t="s">
        <v>95</v>
      </c>
      <c r="P33" s="115" t="s">
        <v>96</v>
      </c>
      <c r="Q33" s="115" t="s">
        <v>97</v>
      </c>
    </row>
    <row r="34" spans="1:17" ht="13.5" thickTop="1" x14ac:dyDescent="0.2">
      <c r="A34">
        <v>2280002100</v>
      </c>
      <c r="B34" s="227" t="s">
        <v>263</v>
      </c>
      <c r="C34" s="228"/>
      <c r="D34" s="229"/>
      <c r="E34" s="27" t="s">
        <v>88</v>
      </c>
      <c r="F34" s="27" t="s">
        <v>45</v>
      </c>
      <c r="G34" s="139">
        <f t="shared" ref="G34:Q34" si="0">SUM(C8:C10)</f>
        <v>0</v>
      </c>
      <c r="H34" s="140">
        <f t="shared" si="0"/>
        <v>0</v>
      </c>
      <c r="I34" s="140">
        <f t="shared" si="0"/>
        <v>0</v>
      </c>
      <c r="J34" s="140">
        <f t="shared" si="0"/>
        <v>0</v>
      </c>
      <c r="K34" s="140">
        <f t="shared" si="0"/>
        <v>0</v>
      </c>
      <c r="L34" s="140">
        <f t="shared" si="0"/>
        <v>0</v>
      </c>
      <c r="M34" s="140">
        <f t="shared" si="0"/>
        <v>0</v>
      </c>
      <c r="N34" s="140">
        <f t="shared" si="0"/>
        <v>0</v>
      </c>
      <c r="O34" s="140">
        <f t="shared" si="0"/>
        <v>0</v>
      </c>
      <c r="P34" s="140">
        <f t="shared" si="0"/>
        <v>0</v>
      </c>
      <c r="Q34" s="140">
        <f t="shared" si="0"/>
        <v>0</v>
      </c>
    </row>
    <row r="35" spans="1:17" x14ac:dyDescent="0.2">
      <c r="A35">
        <v>2280002100</v>
      </c>
      <c r="B35" s="230"/>
      <c r="C35" s="231"/>
      <c r="D35" s="232"/>
      <c r="E35" s="27" t="s">
        <v>24</v>
      </c>
      <c r="F35" s="27" t="s">
        <v>45</v>
      </c>
      <c r="G35" s="139">
        <f t="shared" ref="G35:Q35" si="1">SUM(C17:C19)</f>
        <v>4751008.8324999996</v>
      </c>
      <c r="H35" s="140">
        <f t="shared" si="1"/>
        <v>8.3639746594607338</v>
      </c>
      <c r="I35" s="140">
        <f t="shared" si="1"/>
        <v>52.709403960003286</v>
      </c>
      <c r="J35" s="140">
        <f t="shared" si="1"/>
        <v>1.8169584111070858</v>
      </c>
      <c r="K35" s="140">
        <f t="shared" si="1"/>
        <v>0.6886664295071252</v>
      </c>
      <c r="L35" s="140">
        <f t="shared" si="1"/>
        <v>2.2300675165761672</v>
      </c>
      <c r="M35" s="140">
        <f t="shared" si="1"/>
        <v>2.1631654910788822</v>
      </c>
      <c r="N35" s="140">
        <f t="shared" si="1"/>
        <v>3.0172965238884818E-2</v>
      </c>
      <c r="O35" s="140">
        <f t="shared" si="1"/>
        <v>3613.5927936449989</v>
      </c>
      <c r="P35" s="140">
        <f t="shared" si="1"/>
        <v>0.47133819047543457</v>
      </c>
      <c r="Q35" s="140">
        <f t="shared" si="1"/>
        <v>0.10474182010565214</v>
      </c>
    </row>
    <row r="36" spans="1:17" x14ac:dyDescent="0.2">
      <c r="A36">
        <v>2280002100</v>
      </c>
      <c r="B36" s="233"/>
      <c r="C36" s="234"/>
      <c r="D36" s="235"/>
      <c r="E36" s="27" t="s">
        <v>28</v>
      </c>
      <c r="F36" s="27" t="s">
        <v>45</v>
      </c>
      <c r="G36" s="139">
        <f t="shared" ref="G36:Q36" si="2">SUM(C26:C28)</f>
        <v>337779.36549999996</v>
      </c>
      <c r="H36" s="140">
        <f t="shared" si="2"/>
        <v>0.594648032267308</v>
      </c>
      <c r="I36" s="140">
        <f t="shared" si="2"/>
        <v>3.7474459958274764</v>
      </c>
      <c r="J36" s="140">
        <f t="shared" si="2"/>
        <v>0.12917910298236426</v>
      </c>
      <c r="K36" s="140">
        <f t="shared" si="2"/>
        <v>4.8961666416785635E-2</v>
      </c>
      <c r="L36" s="140">
        <f t="shared" si="2"/>
        <v>0.15854965068016605</v>
      </c>
      <c r="M36" s="140">
        <f t="shared" si="2"/>
        <v>0.15379316115976105</v>
      </c>
      <c r="N36" s="140">
        <f t="shared" si="2"/>
        <v>2.1451875618343358E-3</v>
      </c>
      <c r="O36" s="140">
        <f t="shared" si="2"/>
        <v>256.91324180731885</v>
      </c>
      <c r="P36" s="140">
        <f t="shared" si="2"/>
        <v>3.351042284443289E-2</v>
      </c>
      <c r="Q36" s="140">
        <f t="shared" si="2"/>
        <v>7.4467606320961994E-3</v>
      </c>
    </row>
    <row r="37" spans="1:17" x14ac:dyDescent="0.2">
      <c r="A37" s="147">
        <v>2280002200</v>
      </c>
      <c r="B37" s="186" t="s">
        <v>256</v>
      </c>
      <c r="C37" s="187" t="s">
        <v>259</v>
      </c>
      <c r="D37" s="186" t="s">
        <v>262</v>
      </c>
      <c r="E37" s="188" t="s">
        <v>88</v>
      </c>
      <c r="F37" s="67" t="s">
        <v>107</v>
      </c>
      <c r="G37" s="141">
        <f t="shared" ref="G37:Q37" si="3">SUM(C5:C7)</f>
        <v>11137347.182507096</v>
      </c>
      <c r="H37" s="142">
        <f t="shared" si="3"/>
        <v>19.606886219802824</v>
      </c>
      <c r="I37" s="142">
        <f t="shared" si="3"/>
        <v>123.56174285970897</v>
      </c>
      <c r="J37" s="142">
        <f t="shared" si="3"/>
        <v>4.2593262513527588</v>
      </c>
      <c r="K37" s="142">
        <f t="shared" si="3"/>
        <v>1.6143765227063283</v>
      </c>
      <c r="L37" s="142">
        <f t="shared" si="3"/>
        <v>5.227739422970263</v>
      </c>
      <c r="M37" s="142">
        <f t="shared" si="3"/>
        <v>5.070907240281155</v>
      </c>
      <c r="N37" s="142">
        <f t="shared" si="3"/>
        <v>7.0731670101810612E-2</v>
      </c>
      <c r="O37" s="142">
        <f t="shared" si="3"/>
        <v>8471.0087768564608</v>
      </c>
      <c r="P37" s="142">
        <f t="shared" si="3"/>
        <v>1.1049141882856255</v>
      </c>
      <c r="Q37" s="142">
        <f t="shared" si="3"/>
        <v>0.24553648628569458</v>
      </c>
    </row>
    <row r="38" spans="1:17" x14ac:dyDescent="0.2">
      <c r="A38" s="148">
        <v>2280002200</v>
      </c>
      <c r="B38" s="168" t="s">
        <v>257</v>
      </c>
      <c r="C38" s="185" t="s">
        <v>260</v>
      </c>
      <c r="D38" s="168" t="s">
        <v>262</v>
      </c>
      <c r="E38" s="74" t="s">
        <v>24</v>
      </c>
      <c r="F38" s="74" t="s">
        <v>107</v>
      </c>
      <c r="G38" s="143">
        <f t="shared" ref="G38:Q38" si="4">SUM(C14:C16)</f>
        <v>3143055.0331001617</v>
      </c>
      <c r="H38" s="144">
        <f t="shared" si="4"/>
        <v>5.5332316939320858</v>
      </c>
      <c r="I38" s="144">
        <f t="shared" si="4"/>
        <v>34.870185101512952</v>
      </c>
      <c r="J38" s="144">
        <f t="shared" si="4"/>
        <v>1.2020184513020054</v>
      </c>
      <c r="K38" s="144">
        <f t="shared" si="4"/>
        <v>0.45559092051835021</v>
      </c>
      <c r="L38" s="144">
        <f t="shared" si="4"/>
        <v>1.4753129659916078</v>
      </c>
      <c r="M38" s="144">
        <f t="shared" si="4"/>
        <v>1.4310535770118595</v>
      </c>
      <c r="N38" s="144">
        <f t="shared" si="4"/>
        <v>1.99610848140079E-2</v>
      </c>
      <c r="O38" s="144">
        <f t="shared" si="4"/>
        <v>2390.591433959492</v>
      </c>
      <c r="P38" s="144">
        <f t="shared" si="4"/>
        <v>0.31181627399471634</v>
      </c>
      <c r="Q38" s="144">
        <f t="shared" si="4"/>
        <v>6.9292505332159193E-2</v>
      </c>
    </row>
    <row r="39" spans="1:17" x14ac:dyDescent="0.2">
      <c r="A39" s="149">
        <v>2280002200</v>
      </c>
      <c r="B39" s="168" t="s">
        <v>258</v>
      </c>
      <c r="C39" s="185" t="s">
        <v>261</v>
      </c>
      <c r="D39" s="168" t="s">
        <v>262</v>
      </c>
      <c r="E39" s="74" t="s">
        <v>28</v>
      </c>
      <c r="F39" s="69" t="s">
        <v>107</v>
      </c>
      <c r="G39" s="145">
        <f t="shared" ref="G39:Q39" si="5">SUM(C23:C25)</f>
        <v>5432019.024597019</v>
      </c>
      <c r="H39" s="146">
        <f t="shared" si="5"/>
        <v>9.5628678188608873</v>
      </c>
      <c r="I39" s="146">
        <f t="shared" si="5"/>
        <v>60.264776425440871</v>
      </c>
      <c r="J39" s="146">
        <f t="shared" si="5"/>
        <v>2.0774014538806398</v>
      </c>
      <c r="K39" s="146">
        <f t="shared" si="5"/>
        <v>0.78737996046106196</v>
      </c>
      <c r="L39" s="146">
        <f t="shared" si="5"/>
        <v>2.5497256694854964</v>
      </c>
      <c r="M39" s="146">
        <f t="shared" si="5"/>
        <v>2.4732338994009311</v>
      </c>
      <c r="N39" s="146">
        <f t="shared" si="5"/>
        <v>3.4497961798122354E-2</v>
      </c>
      <c r="O39" s="146">
        <f t="shared" si="5"/>
        <v>4131.5656304299919</v>
      </c>
      <c r="P39" s="146">
        <f t="shared" si="5"/>
        <v>0.53889986483869468</v>
      </c>
      <c r="Q39" s="146">
        <f t="shared" si="5"/>
        <v>0.11975552551970992</v>
      </c>
    </row>
    <row r="40" spans="1:17" x14ac:dyDescent="0.2">
      <c r="B40" s="184"/>
      <c r="C40" s="184"/>
      <c r="D40" s="184"/>
      <c r="E40" s="184"/>
    </row>
  </sheetData>
  <mergeCells count="1">
    <mergeCell ref="B34:D3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2"/>
  <sheetViews>
    <sheetView workbookViewId="0">
      <selection activeCell="D17" sqref="D17"/>
    </sheetView>
  </sheetViews>
  <sheetFormatPr defaultRowHeight="12.75" x14ac:dyDescent="0.2"/>
  <cols>
    <col min="4" max="4" width="13.85546875" customWidth="1"/>
    <col min="13" max="13" width="25.42578125" customWidth="1"/>
    <col min="15" max="15" width="22.28515625" customWidth="1"/>
    <col min="17" max="17" width="23.7109375" customWidth="1"/>
    <col min="21" max="21" width="15" customWidth="1"/>
    <col min="22" max="22" width="12.42578125" customWidth="1"/>
    <col min="23" max="23" width="12.5703125" customWidth="1"/>
    <col min="26" max="26" width="29.140625" customWidth="1"/>
    <col min="28" max="28" width="27.28515625" customWidth="1"/>
    <col min="30" max="30" width="28.5703125" customWidth="1"/>
    <col min="32" max="32" width="27.5703125" customWidth="1"/>
    <col min="33" max="33" width="27" customWidth="1"/>
    <col min="34" max="34" width="27.5703125" customWidth="1"/>
    <col min="44" max="44" width="14" customWidth="1"/>
    <col min="45" max="45" width="14.42578125" customWidth="1"/>
  </cols>
  <sheetData>
    <row r="1" spans="1:51" x14ac:dyDescent="0.2">
      <c r="A1" s="24" t="s">
        <v>124</v>
      </c>
      <c r="B1" s="24" t="s">
        <v>125</v>
      </c>
      <c r="C1" s="24" t="s">
        <v>126</v>
      </c>
      <c r="D1" s="161" t="s">
        <v>38</v>
      </c>
      <c r="E1" s="24" t="s">
        <v>127</v>
      </c>
      <c r="F1" s="24" t="s">
        <v>128</v>
      </c>
      <c r="G1" s="24" t="s">
        <v>129</v>
      </c>
      <c r="H1" s="24" t="s">
        <v>130</v>
      </c>
      <c r="I1" s="24" t="s">
        <v>131</v>
      </c>
      <c r="J1" s="24" t="s">
        <v>132</v>
      </c>
      <c r="K1" s="24" t="s">
        <v>133</v>
      </c>
      <c r="L1" s="24" t="s">
        <v>134</v>
      </c>
      <c r="M1" s="24" t="s">
        <v>135</v>
      </c>
      <c r="N1" s="24" t="s">
        <v>136</v>
      </c>
      <c r="O1" s="24" t="s">
        <v>137</v>
      </c>
      <c r="P1" s="24" t="s">
        <v>138</v>
      </c>
      <c r="Q1" s="24" t="s">
        <v>139</v>
      </c>
      <c r="R1" s="24" t="s">
        <v>140</v>
      </c>
      <c r="S1" s="24" t="s">
        <v>141</v>
      </c>
      <c r="T1" s="24" t="s">
        <v>142</v>
      </c>
      <c r="U1" s="24" t="s">
        <v>143</v>
      </c>
      <c r="V1" s="162" t="s">
        <v>144</v>
      </c>
      <c r="W1" s="162" t="s">
        <v>145</v>
      </c>
      <c r="X1" s="162" t="s">
        <v>146</v>
      </c>
      <c r="Y1" s="162" t="s">
        <v>147</v>
      </c>
      <c r="Z1" s="24" t="s">
        <v>148</v>
      </c>
      <c r="AA1" s="24" t="s">
        <v>149</v>
      </c>
      <c r="AB1" s="24" t="s">
        <v>150</v>
      </c>
      <c r="AC1" s="24" t="s">
        <v>151</v>
      </c>
      <c r="AD1" s="24" t="s">
        <v>152</v>
      </c>
      <c r="AE1" s="24" t="s">
        <v>153</v>
      </c>
      <c r="AF1" s="24" t="s">
        <v>154</v>
      </c>
      <c r="AG1" s="24" t="s">
        <v>155</v>
      </c>
      <c r="AH1" s="24" t="s">
        <v>156</v>
      </c>
      <c r="AI1" s="24" t="s">
        <v>157</v>
      </c>
      <c r="AJ1" s="24" t="s">
        <v>158</v>
      </c>
      <c r="AK1" s="24" t="s">
        <v>159</v>
      </c>
      <c r="AL1" s="24" t="s">
        <v>160</v>
      </c>
      <c r="AM1" s="24" t="s">
        <v>161</v>
      </c>
      <c r="AN1" s="24" t="s">
        <v>162</v>
      </c>
      <c r="AO1" s="24" t="s">
        <v>163</v>
      </c>
      <c r="AP1" s="24" t="s">
        <v>164</v>
      </c>
      <c r="AQ1" s="163" t="s">
        <v>165</v>
      </c>
      <c r="AR1" s="24" t="s">
        <v>166</v>
      </c>
      <c r="AS1" s="24" t="s">
        <v>167</v>
      </c>
      <c r="AT1" s="24" t="s">
        <v>168</v>
      </c>
      <c r="AU1" s="24" t="s">
        <v>169</v>
      </c>
      <c r="AV1" s="24" t="s">
        <v>170</v>
      </c>
      <c r="AW1" s="24" t="s">
        <v>171</v>
      </c>
      <c r="AX1" s="24" t="s">
        <v>172</v>
      </c>
      <c r="AY1" s="24" t="s">
        <v>173</v>
      </c>
    </row>
    <row r="3" spans="1:51" x14ac:dyDescent="0.2">
      <c r="A3" s="151">
        <v>10</v>
      </c>
      <c r="B3" s="164" t="s">
        <v>40</v>
      </c>
      <c r="D3" s="165">
        <v>2280002100</v>
      </c>
      <c r="E3" s="173">
        <f>'Activity Data'!$B$65</f>
        <v>25.000000000000007</v>
      </c>
      <c r="F3" s="173">
        <f>'Activity Data'!$B$66</f>
        <v>25.000000000000007</v>
      </c>
      <c r="G3" s="173">
        <f>'Activity Data'!$B$67</f>
        <v>25.000000000000007</v>
      </c>
      <c r="H3" s="173">
        <f>'Activity Data'!$B$68</f>
        <v>25.000000000000007</v>
      </c>
      <c r="I3">
        <v>7</v>
      </c>
      <c r="J3">
        <v>52</v>
      </c>
      <c r="K3" s="151">
        <v>24</v>
      </c>
      <c r="L3" s="151">
        <f t="shared" ref="L3:L8" si="0">I3*J3*K3</f>
        <v>8736</v>
      </c>
      <c r="M3" s="139">
        <f>Calculations!G$34</f>
        <v>0</v>
      </c>
      <c r="N3" t="s">
        <v>174</v>
      </c>
      <c r="O3">
        <f>M3*AR3</f>
        <v>0</v>
      </c>
      <c r="P3" t="s">
        <v>174</v>
      </c>
      <c r="Q3">
        <f>M3*AS3</f>
        <v>0</v>
      </c>
      <c r="R3" t="s">
        <v>174</v>
      </c>
      <c r="U3" t="s">
        <v>42</v>
      </c>
      <c r="V3">
        <v>20110101</v>
      </c>
      <c r="W3">
        <v>20111231</v>
      </c>
      <c r="Z3" s="140">
        <f>Calculations!J34</f>
        <v>0</v>
      </c>
      <c r="AA3" s="151" t="s">
        <v>234</v>
      </c>
      <c r="AB3" s="174">
        <f>Z3*AR3</f>
        <v>0</v>
      </c>
      <c r="AC3" s="151" t="s">
        <v>234</v>
      </c>
      <c r="AD3" s="174">
        <f>Z3*AS3</f>
        <v>0</v>
      </c>
      <c r="AE3" s="151" t="s">
        <v>234</v>
      </c>
      <c r="AF3" s="140">
        <f>Z3</f>
        <v>0</v>
      </c>
      <c r="AG3" s="174">
        <f>AB3</f>
        <v>0</v>
      </c>
      <c r="AH3" s="174">
        <f>AD3</f>
        <v>0</v>
      </c>
      <c r="AJ3">
        <v>0</v>
      </c>
      <c r="AK3">
        <v>0</v>
      </c>
      <c r="AL3">
        <v>0</v>
      </c>
      <c r="AN3">
        <v>0</v>
      </c>
      <c r="AO3" s="151" t="s">
        <v>235</v>
      </c>
      <c r="AP3" t="s">
        <v>174</v>
      </c>
      <c r="AR3">
        <f>'Activity Data'!$B$63</f>
        <v>2.7472527472527479E-3</v>
      </c>
      <c r="AS3">
        <f>'Activity Data'!$B$64</f>
        <v>2.7472527472527479E-3</v>
      </c>
      <c r="AW3" s="151" t="s">
        <v>233</v>
      </c>
      <c r="AX3">
        <v>2011</v>
      </c>
    </row>
    <row r="4" spans="1:51" x14ac:dyDescent="0.2">
      <c r="A4" s="151">
        <v>10</v>
      </c>
      <c r="B4" s="164" t="s">
        <v>39</v>
      </c>
      <c r="D4" s="165">
        <v>2280002100</v>
      </c>
      <c r="E4" s="173">
        <f>'Activity Data'!$B$65</f>
        <v>25.000000000000007</v>
      </c>
      <c r="F4" s="173">
        <f>'Activity Data'!$B$66</f>
        <v>25.000000000000007</v>
      </c>
      <c r="G4" s="173">
        <f>'Activity Data'!$B$67</f>
        <v>25.000000000000007</v>
      </c>
      <c r="H4" s="173">
        <f>'Activity Data'!$B$68</f>
        <v>25.000000000000007</v>
      </c>
      <c r="I4">
        <v>7</v>
      </c>
      <c r="J4">
        <v>52</v>
      </c>
      <c r="K4" s="151">
        <v>24</v>
      </c>
      <c r="L4" s="151">
        <f t="shared" si="0"/>
        <v>8736</v>
      </c>
      <c r="M4" s="139">
        <f>Calculations!G$35</f>
        <v>4751008.8324999996</v>
      </c>
      <c r="N4" t="s">
        <v>174</v>
      </c>
      <c r="O4">
        <f t="shared" ref="O4:O8" si="1">M4*AR4</f>
        <v>13052.222067307694</v>
      </c>
      <c r="P4" t="s">
        <v>174</v>
      </c>
      <c r="Q4">
        <f t="shared" ref="Q4:Q8" si="2">M4*AS4</f>
        <v>13052.222067307694</v>
      </c>
      <c r="R4" t="s">
        <v>174</v>
      </c>
      <c r="U4" t="s">
        <v>42</v>
      </c>
      <c r="V4">
        <v>20110101</v>
      </c>
      <c r="W4">
        <v>20111231</v>
      </c>
      <c r="Z4" s="140">
        <f>Calculations!J35</f>
        <v>1.8169584111070858</v>
      </c>
      <c r="AA4" s="151" t="s">
        <v>234</v>
      </c>
      <c r="AB4" s="174">
        <f t="shared" ref="AB4:AB8" si="3">Z4*AR4</f>
        <v>4.9916439865579296E-3</v>
      </c>
      <c r="AC4" s="151" t="s">
        <v>234</v>
      </c>
      <c r="AD4" s="174">
        <f t="shared" ref="AD4:AD8" si="4">Z4*AS4</f>
        <v>4.9916439865579296E-3</v>
      </c>
      <c r="AE4" s="151" t="s">
        <v>234</v>
      </c>
      <c r="AF4" s="140">
        <f t="shared" ref="AF4:AF8" si="5">Z4</f>
        <v>1.8169584111070858</v>
      </c>
      <c r="AG4" s="174">
        <f t="shared" ref="AG4:AG8" si="6">AB4</f>
        <v>4.9916439865579296E-3</v>
      </c>
      <c r="AH4" s="174">
        <f t="shared" ref="AH4:AH8" si="7">AD4</f>
        <v>4.9916439865579296E-3</v>
      </c>
      <c r="AJ4">
        <v>0</v>
      </c>
      <c r="AK4">
        <v>0</v>
      </c>
      <c r="AL4">
        <v>0</v>
      </c>
      <c r="AN4">
        <f t="shared" ref="AN4:AN38" si="8">AF4*907200/M4</f>
        <v>0.34694624419146425</v>
      </c>
      <c r="AO4" s="151" t="s">
        <v>235</v>
      </c>
      <c r="AP4" t="s">
        <v>174</v>
      </c>
      <c r="AR4">
        <f>'Activity Data'!$B$63</f>
        <v>2.7472527472527479E-3</v>
      </c>
      <c r="AS4">
        <f>'Activity Data'!$B$64</f>
        <v>2.7472527472527479E-3</v>
      </c>
      <c r="AW4" s="151" t="s">
        <v>233</v>
      </c>
      <c r="AX4">
        <v>2011</v>
      </c>
    </row>
    <row r="5" spans="1:51" x14ac:dyDescent="0.2">
      <c r="A5" s="151">
        <v>10</v>
      </c>
      <c r="B5" s="164" t="s">
        <v>41</v>
      </c>
      <c r="D5" s="165">
        <v>2280002100</v>
      </c>
      <c r="E5" s="173">
        <f>'Activity Data'!$B$65</f>
        <v>25.000000000000007</v>
      </c>
      <c r="F5" s="173">
        <f>'Activity Data'!$B$66</f>
        <v>25.000000000000007</v>
      </c>
      <c r="G5" s="173">
        <f>'Activity Data'!$B$67</f>
        <v>25.000000000000007</v>
      </c>
      <c r="H5" s="173">
        <f>'Activity Data'!$B$68</f>
        <v>25.000000000000007</v>
      </c>
      <c r="I5">
        <v>7</v>
      </c>
      <c r="J5">
        <v>52</v>
      </c>
      <c r="K5" s="151">
        <v>24</v>
      </c>
      <c r="L5" s="151">
        <f t="shared" si="0"/>
        <v>8736</v>
      </c>
      <c r="M5" s="139">
        <f>Calculations!G$36</f>
        <v>337779.36549999996</v>
      </c>
      <c r="N5" t="s">
        <v>174</v>
      </c>
      <c r="O5">
        <f t="shared" si="1"/>
        <v>927.96528983516498</v>
      </c>
      <c r="P5" t="s">
        <v>174</v>
      </c>
      <c r="Q5">
        <f t="shared" si="2"/>
        <v>927.96528983516498</v>
      </c>
      <c r="R5" t="s">
        <v>174</v>
      </c>
      <c r="U5" t="s">
        <v>42</v>
      </c>
      <c r="V5">
        <v>20110101</v>
      </c>
      <c r="W5">
        <v>20111231</v>
      </c>
      <c r="Z5" s="140">
        <f>Calculations!J36</f>
        <v>0.12917910298236426</v>
      </c>
      <c r="AA5" s="151" t="s">
        <v>234</v>
      </c>
      <c r="AB5" s="174">
        <f t="shared" si="3"/>
        <v>3.5488764555594585E-4</v>
      </c>
      <c r="AC5" s="151" t="s">
        <v>234</v>
      </c>
      <c r="AD5" s="174">
        <f t="shared" si="4"/>
        <v>3.5488764555594585E-4</v>
      </c>
      <c r="AE5" s="151" t="s">
        <v>234</v>
      </c>
      <c r="AF5" s="140">
        <f t="shared" si="5"/>
        <v>0.12917910298236426</v>
      </c>
      <c r="AG5" s="174">
        <f t="shared" si="6"/>
        <v>3.5488764555594585E-4</v>
      </c>
      <c r="AH5" s="174">
        <f t="shared" si="7"/>
        <v>3.5488764555594585E-4</v>
      </c>
      <c r="AJ5">
        <v>0</v>
      </c>
      <c r="AK5">
        <v>0</v>
      </c>
      <c r="AL5">
        <v>0</v>
      </c>
      <c r="AN5">
        <f t="shared" si="8"/>
        <v>0.3469462441914643</v>
      </c>
      <c r="AO5" s="151" t="s">
        <v>235</v>
      </c>
      <c r="AP5" t="s">
        <v>174</v>
      </c>
      <c r="AR5">
        <f>'Activity Data'!$B$63</f>
        <v>2.7472527472527479E-3</v>
      </c>
      <c r="AS5">
        <f>'Activity Data'!$B$64</f>
        <v>2.7472527472527479E-3</v>
      </c>
      <c r="AW5" s="151" t="s">
        <v>233</v>
      </c>
      <c r="AX5">
        <v>2011</v>
      </c>
    </row>
    <row r="6" spans="1:51" x14ac:dyDescent="0.2">
      <c r="A6" s="151">
        <v>10</v>
      </c>
      <c r="B6" s="164" t="s">
        <v>40</v>
      </c>
      <c r="D6" s="165">
        <v>2280002200</v>
      </c>
      <c r="E6" s="173">
        <f>'Activity Data'!$B$65</f>
        <v>25.000000000000007</v>
      </c>
      <c r="F6" s="173">
        <f>'Activity Data'!$B$66</f>
        <v>25.000000000000007</v>
      </c>
      <c r="G6" s="173">
        <f>'Activity Data'!$B$67</f>
        <v>25.000000000000007</v>
      </c>
      <c r="H6" s="173">
        <f>'Activity Data'!$B$68</f>
        <v>25.000000000000007</v>
      </c>
      <c r="I6">
        <v>7</v>
      </c>
      <c r="J6">
        <v>52</v>
      </c>
      <c r="K6" s="151">
        <v>24</v>
      </c>
      <c r="L6" s="151">
        <f t="shared" si="0"/>
        <v>8736</v>
      </c>
      <c r="M6" s="139">
        <f>Calculations!G$37</f>
        <v>11137347.182507096</v>
      </c>
      <c r="N6" t="s">
        <v>174</v>
      </c>
      <c r="O6">
        <f t="shared" si="1"/>
        <v>30597.107644250271</v>
      </c>
      <c r="P6" t="s">
        <v>174</v>
      </c>
      <c r="Q6">
        <f t="shared" si="2"/>
        <v>30597.107644250271</v>
      </c>
      <c r="R6" t="s">
        <v>174</v>
      </c>
      <c r="U6" t="s">
        <v>42</v>
      </c>
      <c r="V6">
        <v>20110101</v>
      </c>
      <c r="W6">
        <v>20111231</v>
      </c>
      <c r="Z6" s="140">
        <f>Calculations!J37</f>
        <v>4.2593262513527588</v>
      </c>
      <c r="AA6" s="151" t="s">
        <v>234</v>
      </c>
      <c r="AB6" s="174">
        <f t="shared" si="3"/>
        <v>1.1701445745474616E-2</v>
      </c>
      <c r="AC6" s="151" t="s">
        <v>234</v>
      </c>
      <c r="AD6" s="174">
        <f t="shared" si="4"/>
        <v>1.1701445745474616E-2</v>
      </c>
      <c r="AE6" s="151" t="s">
        <v>234</v>
      </c>
      <c r="AF6" s="140">
        <f t="shared" si="5"/>
        <v>4.2593262513527588</v>
      </c>
      <c r="AG6" s="174">
        <f t="shared" si="6"/>
        <v>1.1701445745474616E-2</v>
      </c>
      <c r="AH6" s="174">
        <f t="shared" si="7"/>
        <v>1.1701445745474616E-2</v>
      </c>
      <c r="AJ6">
        <v>0</v>
      </c>
      <c r="AK6">
        <v>0</v>
      </c>
      <c r="AL6">
        <v>0</v>
      </c>
      <c r="AN6">
        <f t="shared" si="8"/>
        <v>0.34694624419146419</v>
      </c>
      <c r="AO6" s="151" t="s">
        <v>235</v>
      </c>
      <c r="AP6" t="s">
        <v>174</v>
      </c>
      <c r="AR6">
        <f>'Activity Data'!$B$63</f>
        <v>2.7472527472527479E-3</v>
      </c>
      <c r="AS6">
        <f>'Activity Data'!$B$64</f>
        <v>2.7472527472527479E-3</v>
      </c>
      <c r="AW6" s="151" t="s">
        <v>233</v>
      </c>
      <c r="AX6">
        <v>2011</v>
      </c>
    </row>
    <row r="7" spans="1:51" x14ac:dyDescent="0.2">
      <c r="A7" s="151">
        <v>10</v>
      </c>
      <c r="B7" s="164" t="s">
        <v>39</v>
      </c>
      <c r="D7" s="165">
        <v>2280002200</v>
      </c>
      <c r="E7" s="173">
        <f>'Activity Data'!$B$65</f>
        <v>25.000000000000007</v>
      </c>
      <c r="F7" s="173">
        <f>'Activity Data'!$B$66</f>
        <v>25.000000000000007</v>
      </c>
      <c r="G7" s="173">
        <f>'Activity Data'!$B$67</f>
        <v>25.000000000000007</v>
      </c>
      <c r="H7" s="173">
        <f>'Activity Data'!$B$68</f>
        <v>25.000000000000007</v>
      </c>
      <c r="I7">
        <v>7</v>
      </c>
      <c r="J7">
        <v>52</v>
      </c>
      <c r="K7" s="151">
        <v>24</v>
      </c>
      <c r="L7" s="151">
        <f t="shared" si="0"/>
        <v>8736</v>
      </c>
      <c r="M7" s="139">
        <f>Calculations!G$38</f>
        <v>3143055.0331001617</v>
      </c>
      <c r="N7" t="s">
        <v>174</v>
      </c>
      <c r="O7">
        <f t="shared" si="1"/>
        <v>8634.7665744509959</v>
      </c>
      <c r="P7" t="s">
        <v>174</v>
      </c>
      <c r="Q7">
        <f t="shared" si="2"/>
        <v>8634.7665744509959</v>
      </c>
      <c r="R7" t="s">
        <v>174</v>
      </c>
      <c r="U7" t="s">
        <v>42</v>
      </c>
      <c r="V7">
        <v>20110101</v>
      </c>
      <c r="W7">
        <v>20111231</v>
      </c>
      <c r="Z7" s="140">
        <f>Calculations!J38</f>
        <v>1.2020184513020054</v>
      </c>
      <c r="AA7" s="151" t="s">
        <v>234</v>
      </c>
      <c r="AB7" s="174">
        <f t="shared" si="3"/>
        <v>3.3022484925879277E-3</v>
      </c>
      <c r="AC7" s="151" t="s">
        <v>234</v>
      </c>
      <c r="AD7" s="174">
        <f t="shared" si="4"/>
        <v>3.3022484925879277E-3</v>
      </c>
      <c r="AE7" s="151" t="s">
        <v>234</v>
      </c>
      <c r="AF7" s="140">
        <f t="shared" si="5"/>
        <v>1.2020184513020054</v>
      </c>
      <c r="AG7" s="174">
        <f t="shared" si="6"/>
        <v>3.3022484925879277E-3</v>
      </c>
      <c r="AH7" s="174">
        <f t="shared" si="7"/>
        <v>3.3022484925879277E-3</v>
      </c>
      <c r="AJ7">
        <v>0</v>
      </c>
      <c r="AK7">
        <v>0</v>
      </c>
      <c r="AL7">
        <v>0</v>
      </c>
      <c r="AN7">
        <f t="shared" si="8"/>
        <v>0.34694624419146414</v>
      </c>
      <c r="AO7" s="151" t="s">
        <v>235</v>
      </c>
      <c r="AP7" t="s">
        <v>174</v>
      </c>
      <c r="AR7">
        <f>'Activity Data'!$B$63</f>
        <v>2.7472527472527479E-3</v>
      </c>
      <c r="AS7">
        <f>'Activity Data'!$B$64</f>
        <v>2.7472527472527479E-3</v>
      </c>
      <c r="AW7" s="151" t="s">
        <v>233</v>
      </c>
      <c r="AX7">
        <v>2011</v>
      </c>
    </row>
    <row r="8" spans="1:51" x14ac:dyDescent="0.2">
      <c r="A8" s="151">
        <v>10</v>
      </c>
      <c r="B8" s="164" t="s">
        <v>41</v>
      </c>
      <c r="D8" s="165">
        <v>2280002200</v>
      </c>
      <c r="E8" s="173">
        <f>'Activity Data'!$B$65</f>
        <v>25.000000000000007</v>
      </c>
      <c r="F8" s="173">
        <f>'Activity Data'!$B$66</f>
        <v>25.000000000000007</v>
      </c>
      <c r="G8" s="173">
        <f>'Activity Data'!$B$67</f>
        <v>25.000000000000007</v>
      </c>
      <c r="H8" s="173">
        <f>'Activity Data'!$B$68</f>
        <v>25.000000000000007</v>
      </c>
      <c r="I8">
        <v>7</v>
      </c>
      <c r="J8">
        <v>52</v>
      </c>
      <c r="K8" s="151">
        <v>24</v>
      </c>
      <c r="L8" s="151">
        <f t="shared" si="0"/>
        <v>8736</v>
      </c>
      <c r="M8" s="139">
        <f>Calculations!G$39</f>
        <v>5432019.024597019</v>
      </c>
      <c r="N8" t="s">
        <v>174</v>
      </c>
      <c r="O8">
        <f t="shared" si="1"/>
        <v>14923.129188453353</v>
      </c>
      <c r="P8" t="s">
        <v>174</v>
      </c>
      <c r="Q8">
        <f t="shared" si="2"/>
        <v>14923.129188453353</v>
      </c>
      <c r="R8" t="s">
        <v>174</v>
      </c>
      <c r="U8" t="s">
        <v>42</v>
      </c>
      <c r="V8">
        <v>20110101</v>
      </c>
      <c r="W8">
        <v>20111231</v>
      </c>
      <c r="Z8" s="140">
        <f>Calculations!J39</f>
        <v>2.0774014538806398</v>
      </c>
      <c r="AA8" s="151" t="s">
        <v>234</v>
      </c>
      <c r="AB8" s="174">
        <f t="shared" si="3"/>
        <v>5.7071468513204401E-3</v>
      </c>
      <c r="AC8" s="151" t="s">
        <v>234</v>
      </c>
      <c r="AD8" s="174">
        <f t="shared" si="4"/>
        <v>5.7071468513204401E-3</v>
      </c>
      <c r="AE8" s="151" t="s">
        <v>234</v>
      </c>
      <c r="AF8" s="140">
        <f t="shared" si="5"/>
        <v>2.0774014538806398</v>
      </c>
      <c r="AG8" s="174">
        <f t="shared" si="6"/>
        <v>5.7071468513204401E-3</v>
      </c>
      <c r="AH8" s="174">
        <f t="shared" si="7"/>
        <v>5.7071468513204401E-3</v>
      </c>
      <c r="AJ8">
        <v>0</v>
      </c>
      <c r="AK8">
        <v>0</v>
      </c>
      <c r="AL8">
        <v>0</v>
      </c>
      <c r="AN8">
        <f t="shared" si="8"/>
        <v>0.34694624419146419</v>
      </c>
      <c r="AO8" s="151" t="s">
        <v>235</v>
      </c>
      <c r="AP8" t="s">
        <v>174</v>
      </c>
      <c r="AR8">
        <f>'Activity Data'!$B$63</f>
        <v>2.7472527472527479E-3</v>
      </c>
      <c r="AS8">
        <f>'Activity Data'!$B$64</f>
        <v>2.7472527472527479E-3</v>
      </c>
      <c r="AW8" s="151" t="s">
        <v>233</v>
      </c>
      <c r="AX8">
        <v>2011</v>
      </c>
    </row>
    <row r="9" spans="1:51" x14ac:dyDescent="0.2">
      <c r="A9" s="151">
        <v>10</v>
      </c>
      <c r="B9" s="164" t="s">
        <v>40</v>
      </c>
      <c r="D9" s="165">
        <v>2280002100</v>
      </c>
      <c r="E9" s="173">
        <f>'Activity Data'!$B$65</f>
        <v>25.000000000000007</v>
      </c>
      <c r="F9" s="173">
        <f>'Activity Data'!$B$66</f>
        <v>25.000000000000007</v>
      </c>
      <c r="G9" s="173">
        <f>'Activity Data'!$B$67</f>
        <v>25.000000000000007</v>
      </c>
      <c r="H9" s="173">
        <f>'Activity Data'!$B$68</f>
        <v>25.000000000000007</v>
      </c>
      <c r="I9">
        <v>7</v>
      </c>
      <c r="J9">
        <v>52</v>
      </c>
      <c r="K9" s="151">
        <v>24</v>
      </c>
      <c r="L9" s="151">
        <f t="shared" ref="L9:L20" si="9">I9*J9*K9</f>
        <v>8736</v>
      </c>
      <c r="M9" s="139">
        <f>Calculations!G$34</f>
        <v>0</v>
      </c>
      <c r="N9" t="s">
        <v>174</v>
      </c>
      <c r="O9">
        <f>M9*AR9</f>
        <v>0</v>
      </c>
      <c r="P9" t="s">
        <v>174</v>
      </c>
      <c r="Q9">
        <f>M9*AS9</f>
        <v>0</v>
      </c>
      <c r="R9" t="s">
        <v>174</v>
      </c>
      <c r="U9" s="151" t="s">
        <v>6</v>
      </c>
      <c r="V9">
        <v>20110101</v>
      </c>
      <c r="W9">
        <v>20111231</v>
      </c>
      <c r="Z9" s="140">
        <f>Calculations!I34</f>
        <v>0</v>
      </c>
      <c r="AA9" s="151" t="s">
        <v>234</v>
      </c>
      <c r="AB9" s="174">
        <f t="shared" ref="AB9:AB38" si="10">Z9*AR9</f>
        <v>0</v>
      </c>
      <c r="AC9" s="151" t="s">
        <v>234</v>
      </c>
      <c r="AD9" s="174">
        <f t="shared" ref="AD9:AD38" si="11">Z9*AS9</f>
        <v>0</v>
      </c>
      <c r="AE9" s="151" t="s">
        <v>234</v>
      </c>
      <c r="AF9" s="140">
        <f t="shared" ref="AF9:AF38" si="12">Z9</f>
        <v>0</v>
      </c>
      <c r="AG9" s="174">
        <f t="shared" ref="AG9:AG38" si="13">AB9</f>
        <v>0</v>
      </c>
      <c r="AH9" s="174">
        <f t="shared" ref="AH9:AH38" si="14">AD9</f>
        <v>0</v>
      </c>
      <c r="AJ9">
        <v>0</v>
      </c>
      <c r="AK9">
        <v>0</v>
      </c>
      <c r="AL9">
        <v>0</v>
      </c>
      <c r="AN9">
        <v>0</v>
      </c>
      <c r="AO9" s="151" t="s">
        <v>235</v>
      </c>
      <c r="AP9" t="s">
        <v>174</v>
      </c>
      <c r="AR9">
        <f>'Activity Data'!$B$63</f>
        <v>2.7472527472527479E-3</v>
      </c>
      <c r="AS9">
        <f>'Activity Data'!$B$64</f>
        <v>2.7472527472527479E-3</v>
      </c>
      <c r="AW9" s="151" t="s">
        <v>233</v>
      </c>
      <c r="AX9">
        <v>2011</v>
      </c>
    </row>
    <row r="10" spans="1:51" x14ac:dyDescent="0.2">
      <c r="A10" s="151">
        <v>10</v>
      </c>
      <c r="B10" s="164" t="s">
        <v>39</v>
      </c>
      <c r="D10" s="165">
        <v>2280002100</v>
      </c>
      <c r="E10" s="173">
        <f>'Activity Data'!$B$65</f>
        <v>25.000000000000007</v>
      </c>
      <c r="F10" s="173">
        <f>'Activity Data'!$B$66</f>
        <v>25.000000000000007</v>
      </c>
      <c r="G10" s="173">
        <f>'Activity Data'!$B$67</f>
        <v>25.000000000000007</v>
      </c>
      <c r="H10" s="173">
        <f>'Activity Data'!$B$68</f>
        <v>25.000000000000007</v>
      </c>
      <c r="I10">
        <v>7</v>
      </c>
      <c r="J10">
        <v>52</v>
      </c>
      <c r="K10" s="151">
        <v>24</v>
      </c>
      <c r="L10" s="151">
        <f t="shared" si="9"/>
        <v>8736</v>
      </c>
      <c r="M10" s="139">
        <f>Calculations!G$35</f>
        <v>4751008.8324999996</v>
      </c>
      <c r="N10" t="s">
        <v>174</v>
      </c>
      <c r="O10">
        <f t="shared" ref="O10:O14" si="15">M10*AR10</f>
        <v>13052.222067307694</v>
      </c>
      <c r="P10" t="s">
        <v>174</v>
      </c>
      <c r="Q10">
        <f t="shared" ref="Q10:Q14" si="16">M10*AS10</f>
        <v>13052.222067307694</v>
      </c>
      <c r="R10" t="s">
        <v>174</v>
      </c>
      <c r="U10" s="151" t="s">
        <v>6</v>
      </c>
      <c r="V10">
        <v>20110101</v>
      </c>
      <c r="W10">
        <v>20111231</v>
      </c>
      <c r="Z10" s="140">
        <f>Calculations!I35</f>
        <v>52.709403960003286</v>
      </c>
      <c r="AA10" s="151" t="s">
        <v>234</v>
      </c>
      <c r="AB10" s="174">
        <f t="shared" si="10"/>
        <v>0.14480605483517389</v>
      </c>
      <c r="AC10" s="151" t="s">
        <v>234</v>
      </c>
      <c r="AD10" s="174">
        <f t="shared" si="11"/>
        <v>0.14480605483517389</v>
      </c>
      <c r="AE10" s="151" t="s">
        <v>234</v>
      </c>
      <c r="AF10" s="140">
        <f t="shared" si="12"/>
        <v>52.709403960003286</v>
      </c>
      <c r="AG10" s="174">
        <f t="shared" si="13"/>
        <v>0.14480605483517389</v>
      </c>
      <c r="AH10" s="174">
        <f t="shared" si="14"/>
        <v>0.14480605483517389</v>
      </c>
      <c r="AJ10">
        <v>0</v>
      </c>
      <c r="AK10">
        <v>0</v>
      </c>
      <c r="AL10">
        <v>0</v>
      </c>
      <c r="AN10">
        <f t="shared" si="8"/>
        <v>10.064803699249909</v>
      </c>
      <c r="AO10" s="151" t="s">
        <v>235</v>
      </c>
      <c r="AP10" t="s">
        <v>174</v>
      </c>
      <c r="AR10">
        <f>'Activity Data'!$B$63</f>
        <v>2.7472527472527479E-3</v>
      </c>
      <c r="AS10">
        <f>'Activity Data'!$B$64</f>
        <v>2.7472527472527479E-3</v>
      </c>
      <c r="AW10" s="151" t="s">
        <v>233</v>
      </c>
      <c r="AX10">
        <v>2011</v>
      </c>
    </row>
    <row r="11" spans="1:51" x14ac:dyDescent="0.2">
      <c r="A11" s="151">
        <v>10</v>
      </c>
      <c r="B11" s="164" t="s">
        <v>41</v>
      </c>
      <c r="D11" s="165">
        <v>2280002100</v>
      </c>
      <c r="E11" s="173">
        <f>'Activity Data'!$B$65</f>
        <v>25.000000000000007</v>
      </c>
      <c r="F11" s="173">
        <f>'Activity Data'!$B$66</f>
        <v>25.000000000000007</v>
      </c>
      <c r="G11" s="173">
        <f>'Activity Data'!$B$67</f>
        <v>25.000000000000007</v>
      </c>
      <c r="H11" s="173">
        <f>'Activity Data'!$B$68</f>
        <v>25.000000000000007</v>
      </c>
      <c r="I11">
        <v>7</v>
      </c>
      <c r="J11">
        <v>52</v>
      </c>
      <c r="K11" s="151">
        <v>24</v>
      </c>
      <c r="L11" s="151">
        <f t="shared" si="9"/>
        <v>8736</v>
      </c>
      <c r="M11" s="139">
        <f>Calculations!G$36</f>
        <v>337779.36549999996</v>
      </c>
      <c r="N11" t="s">
        <v>174</v>
      </c>
      <c r="O11">
        <f t="shared" si="15"/>
        <v>927.96528983516498</v>
      </c>
      <c r="P11" t="s">
        <v>174</v>
      </c>
      <c r="Q11">
        <f t="shared" si="16"/>
        <v>927.96528983516498</v>
      </c>
      <c r="R11" t="s">
        <v>174</v>
      </c>
      <c r="U11" s="151" t="s">
        <v>6</v>
      </c>
      <c r="V11">
        <v>20110101</v>
      </c>
      <c r="W11">
        <v>20111231</v>
      </c>
      <c r="Z11" s="140">
        <f>Calculations!I36</f>
        <v>3.7474459958274764</v>
      </c>
      <c r="AA11" s="151" t="s">
        <v>234</v>
      </c>
      <c r="AB11" s="174">
        <f t="shared" si="10"/>
        <v>1.0295181307218345E-2</v>
      </c>
      <c r="AC11" s="151" t="s">
        <v>234</v>
      </c>
      <c r="AD11" s="174">
        <f t="shared" si="11"/>
        <v>1.0295181307218345E-2</v>
      </c>
      <c r="AE11" s="151" t="s">
        <v>234</v>
      </c>
      <c r="AF11" s="140">
        <f t="shared" si="12"/>
        <v>3.7474459958274764</v>
      </c>
      <c r="AG11" s="174">
        <f t="shared" si="13"/>
        <v>1.0295181307218345E-2</v>
      </c>
      <c r="AH11" s="174">
        <f t="shared" si="14"/>
        <v>1.0295181307218345E-2</v>
      </c>
      <c r="AJ11">
        <v>0</v>
      </c>
      <c r="AK11">
        <v>0</v>
      </c>
      <c r="AL11">
        <v>0</v>
      </c>
      <c r="AN11">
        <f t="shared" si="8"/>
        <v>10.064803699249909</v>
      </c>
      <c r="AO11" s="151" t="s">
        <v>235</v>
      </c>
      <c r="AP11" t="s">
        <v>174</v>
      </c>
      <c r="AR11">
        <f>'Activity Data'!$B$63</f>
        <v>2.7472527472527479E-3</v>
      </c>
      <c r="AS11">
        <f>'Activity Data'!$B$64</f>
        <v>2.7472527472527479E-3</v>
      </c>
      <c r="AW11" s="151" t="s">
        <v>233</v>
      </c>
      <c r="AX11">
        <v>2011</v>
      </c>
    </row>
    <row r="12" spans="1:51" x14ac:dyDescent="0.2">
      <c r="A12" s="151">
        <v>10</v>
      </c>
      <c r="B12" s="164" t="s">
        <v>40</v>
      </c>
      <c r="D12" s="165">
        <v>2280002200</v>
      </c>
      <c r="E12" s="173">
        <f>'Activity Data'!$B$65</f>
        <v>25.000000000000007</v>
      </c>
      <c r="F12" s="173">
        <f>'Activity Data'!$B$66</f>
        <v>25.000000000000007</v>
      </c>
      <c r="G12" s="173">
        <f>'Activity Data'!$B$67</f>
        <v>25.000000000000007</v>
      </c>
      <c r="H12" s="173">
        <f>'Activity Data'!$B$68</f>
        <v>25.000000000000007</v>
      </c>
      <c r="I12">
        <v>7</v>
      </c>
      <c r="J12">
        <v>52</v>
      </c>
      <c r="K12" s="151">
        <v>24</v>
      </c>
      <c r="L12" s="151">
        <f t="shared" si="9"/>
        <v>8736</v>
      </c>
      <c r="M12" s="139">
        <f>Calculations!G$37</f>
        <v>11137347.182507096</v>
      </c>
      <c r="N12" t="s">
        <v>174</v>
      </c>
      <c r="O12">
        <f t="shared" si="15"/>
        <v>30597.107644250271</v>
      </c>
      <c r="P12" t="s">
        <v>174</v>
      </c>
      <c r="Q12">
        <f t="shared" si="16"/>
        <v>30597.107644250271</v>
      </c>
      <c r="R12" t="s">
        <v>174</v>
      </c>
      <c r="U12" s="151" t="s">
        <v>6</v>
      </c>
      <c r="V12">
        <v>20110101</v>
      </c>
      <c r="W12">
        <v>20111231</v>
      </c>
      <c r="Z12" s="140">
        <f>Calculations!I37</f>
        <v>123.56174285970897</v>
      </c>
      <c r="AA12" s="151" t="s">
        <v>234</v>
      </c>
      <c r="AB12" s="174">
        <f t="shared" si="10"/>
        <v>0.33945533752667306</v>
      </c>
      <c r="AC12" s="151" t="s">
        <v>234</v>
      </c>
      <c r="AD12" s="174">
        <f t="shared" si="11"/>
        <v>0.33945533752667306</v>
      </c>
      <c r="AE12" s="151" t="s">
        <v>234</v>
      </c>
      <c r="AF12" s="140">
        <f t="shared" si="12"/>
        <v>123.56174285970897</v>
      </c>
      <c r="AG12" s="174">
        <f t="shared" si="13"/>
        <v>0.33945533752667306</v>
      </c>
      <c r="AH12" s="174">
        <f t="shared" si="14"/>
        <v>0.33945533752667306</v>
      </c>
      <c r="AJ12">
        <v>0</v>
      </c>
      <c r="AK12">
        <v>0</v>
      </c>
      <c r="AL12">
        <v>0</v>
      </c>
      <c r="AN12">
        <f t="shared" si="8"/>
        <v>10.064803699249911</v>
      </c>
      <c r="AO12" s="151" t="s">
        <v>235</v>
      </c>
      <c r="AP12" t="s">
        <v>174</v>
      </c>
      <c r="AR12">
        <f>'Activity Data'!$B$63</f>
        <v>2.7472527472527479E-3</v>
      </c>
      <c r="AS12">
        <f>'Activity Data'!$B$64</f>
        <v>2.7472527472527479E-3</v>
      </c>
      <c r="AW12" s="151" t="s">
        <v>233</v>
      </c>
      <c r="AX12">
        <v>2011</v>
      </c>
    </row>
    <row r="13" spans="1:51" x14ac:dyDescent="0.2">
      <c r="A13" s="151">
        <v>10</v>
      </c>
      <c r="B13" s="164" t="s">
        <v>39</v>
      </c>
      <c r="D13" s="165">
        <v>2280002200</v>
      </c>
      <c r="E13" s="173">
        <f>'Activity Data'!$B$65</f>
        <v>25.000000000000007</v>
      </c>
      <c r="F13" s="173">
        <f>'Activity Data'!$B$66</f>
        <v>25.000000000000007</v>
      </c>
      <c r="G13" s="173">
        <f>'Activity Data'!$B$67</f>
        <v>25.000000000000007</v>
      </c>
      <c r="H13" s="173">
        <f>'Activity Data'!$B$68</f>
        <v>25.000000000000007</v>
      </c>
      <c r="I13">
        <v>7</v>
      </c>
      <c r="J13">
        <v>52</v>
      </c>
      <c r="K13" s="151">
        <v>24</v>
      </c>
      <c r="L13" s="151">
        <f t="shared" si="9"/>
        <v>8736</v>
      </c>
      <c r="M13" s="139">
        <f>Calculations!G$38</f>
        <v>3143055.0331001617</v>
      </c>
      <c r="N13" t="s">
        <v>174</v>
      </c>
      <c r="O13">
        <f t="shared" si="15"/>
        <v>8634.7665744509959</v>
      </c>
      <c r="P13" t="s">
        <v>174</v>
      </c>
      <c r="Q13">
        <f t="shared" si="16"/>
        <v>8634.7665744509959</v>
      </c>
      <c r="R13" t="s">
        <v>174</v>
      </c>
      <c r="U13" s="151" t="s">
        <v>6</v>
      </c>
      <c r="V13">
        <v>20110101</v>
      </c>
      <c r="W13">
        <v>20111231</v>
      </c>
      <c r="Z13" s="140">
        <f>Calculations!I38</f>
        <v>34.870185101512952</v>
      </c>
      <c r="AA13" s="151" t="s">
        <v>234</v>
      </c>
      <c r="AB13" s="174">
        <f t="shared" si="10"/>
        <v>9.5797211817343297E-2</v>
      </c>
      <c r="AC13" s="151" t="s">
        <v>234</v>
      </c>
      <c r="AD13" s="174">
        <f t="shared" si="11"/>
        <v>9.5797211817343297E-2</v>
      </c>
      <c r="AE13" s="151" t="s">
        <v>234</v>
      </c>
      <c r="AF13" s="140">
        <f t="shared" si="12"/>
        <v>34.870185101512952</v>
      </c>
      <c r="AG13" s="174">
        <f t="shared" si="13"/>
        <v>9.5797211817343297E-2</v>
      </c>
      <c r="AH13" s="174">
        <f t="shared" si="14"/>
        <v>9.5797211817343297E-2</v>
      </c>
      <c r="AJ13">
        <v>0</v>
      </c>
      <c r="AK13">
        <v>0</v>
      </c>
      <c r="AL13">
        <v>0</v>
      </c>
      <c r="AN13">
        <f t="shared" si="8"/>
        <v>10.064803699249907</v>
      </c>
      <c r="AO13" s="151" t="s">
        <v>235</v>
      </c>
      <c r="AP13" t="s">
        <v>174</v>
      </c>
      <c r="AR13">
        <f>'Activity Data'!$B$63</f>
        <v>2.7472527472527479E-3</v>
      </c>
      <c r="AS13">
        <f>'Activity Data'!$B$64</f>
        <v>2.7472527472527479E-3</v>
      </c>
      <c r="AW13" s="151" t="s">
        <v>233</v>
      </c>
      <c r="AX13">
        <v>2011</v>
      </c>
    </row>
    <row r="14" spans="1:51" x14ac:dyDescent="0.2">
      <c r="A14" s="151">
        <v>10</v>
      </c>
      <c r="B14" s="164" t="s">
        <v>41</v>
      </c>
      <c r="D14" s="165">
        <v>2280002200</v>
      </c>
      <c r="E14" s="173">
        <f>'Activity Data'!$B$65</f>
        <v>25.000000000000007</v>
      </c>
      <c r="F14" s="173">
        <f>'Activity Data'!$B$66</f>
        <v>25.000000000000007</v>
      </c>
      <c r="G14" s="173">
        <f>'Activity Data'!$B$67</f>
        <v>25.000000000000007</v>
      </c>
      <c r="H14" s="173">
        <f>'Activity Data'!$B$68</f>
        <v>25.000000000000007</v>
      </c>
      <c r="I14">
        <v>7</v>
      </c>
      <c r="J14">
        <v>52</v>
      </c>
      <c r="K14" s="151">
        <v>24</v>
      </c>
      <c r="L14" s="151">
        <f t="shared" si="9"/>
        <v>8736</v>
      </c>
      <c r="M14" s="139">
        <f>Calculations!G$39</f>
        <v>5432019.024597019</v>
      </c>
      <c r="N14" t="s">
        <v>174</v>
      </c>
      <c r="O14">
        <f t="shared" si="15"/>
        <v>14923.129188453353</v>
      </c>
      <c r="P14" t="s">
        <v>174</v>
      </c>
      <c r="Q14">
        <f t="shared" si="16"/>
        <v>14923.129188453353</v>
      </c>
      <c r="R14" t="s">
        <v>174</v>
      </c>
      <c r="U14" s="151" t="s">
        <v>6</v>
      </c>
      <c r="V14">
        <v>20110101</v>
      </c>
      <c r="W14">
        <v>20111231</v>
      </c>
      <c r="Z14" s="140">
        <f>Calculations!I39</f>
        <v>60.264776425440871</v>
      </c>
      <c r="AA14" s="151" t="s">
        <v>234</v>
      </c>
      <c r="AB14" s="174">
        <f t="shared" si="10"/>
        <v>0.16556257259736507</v>
      </c>
      <c r="AC14" s="151" t="s">
        <v>234</v>
      </c>
      <c r="AD14" s="174">
        <f t="shared" si="11"/>
        <v>0.16556257259736507</v>
      </c>
      <c r="AE14" s="151" t="s">
        <v>234</v>
      </c>
      <c r="AF14" s="140">
        <f t="shared" si="12"/>
        <v>60.264776425440871</v>
      </c>
      <c r="AG14" s="174">
        <f t="shared" si="13"/>
        <v>0.16556257259736507</v>
      </c>
      <c r="AH14" s="174">
        <f t="shared" si="14"/>
        <v>0.16556257259736507</v>
      </c>
      <c r="AJ14">
        <v>0</v>
      </c>
      <c r="AK14">
        <v>0</v>
      </c>
      <c r="AL14">
        <v>0</v>
      </c>
      <c r="AN14">
        <f t="shared" si="8"/>
        <v>10.064803699249909</v>
      </c>
      <c r="AO14" s="151" t="s">
        <v>235</v>
      </c>
      <c r="AP14" t="s">
        <v>174</v>
      </c>
      <c r="AR14">
        <f>'Activity Data'!$B$63</f>
        <v>2.7472527472527479E-3</v>
      </c>
      <c r="AS14">
        <f>'Activity Data'!$B$64</f>
        <v>2.7472527472527479E-3</v>
      </c>
      <c r="AW14" s="151" t="s">
        <v>233</v>
      </c>
      <c r="AX14">
        <v>2011</v>
      </c>
    </row>
    <row r="15" spans="1:51" x14ac:dyDescent="0.2">
      <c r="A15" s="151">
        <v>10</v>
      </c>
      <c r="B15" s="164" t="s">
        <v>40</v>
      </c>
      <c r="D15" s="165">
        <v>2280002100</v>
      </c>
      <c r="E15" s="173">
        <f>'Activity Data'!$B$65</f>
        <v>25.000000000000007</v>
      </c>
      <c r="F15" s="173">
        <f>'Activity Data'!$B$66</f>
        <v>25.000000000000007</v>
      </c>
      <c r="G15" s="173">
        <f>'Activity Data'!$B$67</f>
        <v>25.000000000000007</v>
      </c>
      <c r="H15" s="173">
        <f>'Activity Data'!$B$68</f>
        <v>25.000000000000007</v>
      </c>
      <c r="I15">
        <v>7</v>
      </c>
      <c r="J15">
        <v>52</v>
      </c>
      <c r="K15" s="151">
        <v>24</v>
      </c>
      <c r="L15" s="151">
        <f t="shared" si="9"/>
        <v>8736</v>
      </c>
      <c r="M15" s="139">
        <f>Calculations!G$34</f>
        <v>0</v>
      </c>
      <c r="N15" t="s">
        <v>174</v>
      </c>
      <c r="O15">
        <f>M15*AR15</f>
        <v>0</v>
      </c>
      <c r="P15" t="s">
        <v>174</v>
      </c>
      <c r="Q15">
        <f>M15*AS15</f>
        <v>0</v>
      </c>
      <c r="R15" t="s">
        <v>174</v>
      </c>
      <c r="U15" s="151" t="s">
        <v>5</v>
      </c>
      <c r="V15">
        <v>20110101</v>
      </c>
      <c r="W15">
        <v>20111231</v>
      </c>
      <c r="Z15" s="140">
        <f>Calculations!H34</f>
        <v>0</v>
      </c>
      <c r="AA15" s="151" t="s">
        <v>234</v>
      </c>
      <c r="AB15" s="174">
        <f t="shared" si="10"/>
        <v>0</v>
      </c>
      <c r="AC15" s="151" t="s">
        <v>234</v>
      </c>
      <c r="AD15" s="174">
        <f t="shared" si="11"/>
        <v>0</v>
      </c>
      <c r="AE15" s="151" t="s">
        <v>234</v>
      </c>
      <c r="AF15" s="140">
        <f t="shared" si="12"/>
        <v>0</v>
      </c>
      <c r="AG15" s="174">
        <f t="shared" si="13"/>
        <v>0</v>
      </c>
      <c r="AH15" s="174">
        <f t="shared" si="14"/>
        <v>0</v>
      </c>
      <c r="AJ15">
        <v>0</v>
      </c>
      <c r="AK15">
        <v>0</v>
      </c>
      <c r="AL15">
        <v>0</v>
      </c>
      <c r="AN15">
        <v>0</v>
      </c>
      <c r="AO15" s="151" t="s">
        <v>235</v>
      </c>
      <c r="AP15" t="s">
        <v>174</v>
      </c>
      <c r="AR15">
        <f>'Activity Data'!$B$63</f>
        <v>2.7472527472527479E-3</v>
      </c>
      <c r="AS15">
        <f>'Activity Data'!$B$64</f>
        <v>2.7472527472527479E-3</v>
      </c>
      <c r="AW15" s="151" t="s">
        <v>233</v>
      </c>
      <c r="AX15">
        <v>2011</v>
      </c>
    </row>
    <row r="16" spans="1:51" x14ac:dyDescent="0.2">
      <c r="A16" s="151">
        <v>10</v>
      </c>
      <c r="B16" s="164" t="s">
        <v>39</v>
      </c>
      <c r="D16" s="165">
        <v>2280002100</v>
      </c>
      <c r="E16" s="173">
        <f>'Activity Data'!$B$65</f>
        <v>25.000000000000007</v>
      </c>
      <c r="F16" s="173">
        <f>'Activity Data'!$B$66</f>
        <v>25.000000000000007</v>
      </c>
      <c r="G16" s="173">
        <f>'Activity Data'!$B$67</f>
        <v>25.000000000000007</v>
      </c>
      <c r="H16" s="173">
        <f>'Activity Data'!$B$68</f>
        <v>25.000000000000007</v>
      </c>
      <c r="I16">
        <v>7</v>
      </c>
      <c r="J16">
        <v>52</v>
      </c>
      <c r="K16" s="151">
        <v>24</v>
      </c>
      <c r="L16" s="151">
        <f t="shared" si="9"/>
        <v>8736</v>
      </c>
      <c r="M16" s="139">
        <f>Calculations!G$35</f>
        <v>4751008.8324999996</v>
      </c>
      <c r="N16" t="s">
        <v>174</v>
      </c>
      <c r="O16">
        <f t="shared" ref="O16:O20" si="17">M16*AR16</f>
        <v>13052.222067307694</v>
      </c>
      <c r="P16" t="s">
        <v>174</v>
      </c>
      <c r="Q16">
        <f t="shared" ref="Q16:Q20" si="18">M16*AS16</f>
        <v>13052.222067307694</v>
      </c>
      <c r="R16" t="s">
        <v>174</v>
      </c>
      <c r="U16" s="151" t="s">
        <v>5</v>
      </c>
      <c r="V16">
        <v>20110101</v>
      </c>
      <c r="W16">
        <v>20111231</v>
      </c>
      <c r="Z16" s="140">
        <f>Calculations!H35</f>
        <v>8.3639746594607338</v>
      </c>
      <c r="AA16" s="151" t="s">
        <v>234</v>
      </c>
      <c r="AB16" s="174">
        <f t="shared" si="10"/>
        <v>2.2977952361155869E-2</v>
      </c>
      <c r="AC16" s="151" t="s">
        <v>234</v>
      </c>
      <c r="AD16" s="174">
        <f t="shared" si="11"/>
        <v>2.2977952361155869E-2</v>
      </c>
      <c r="AE16" s="151" t="s">
        <v>234</v>
      </c>
      <c r="AF16" s="140">
        <f t="shared" si="12"/>
        <v>8.3639746594607338</v>
      </c>
      <c r="AG16" s="174">
        <f t="shared" si="13"/>
        <v>2.2977952361155869E-2</v>
      </c>
      <c r="AH16" s="174">
        <f t="shared" si="14"/>
        <v>2.2977952361155869E-2</v>
      </c>
      <c r="AJ16">
        <v>0</v>
      </c>
      <c r="AK16">
        <v>0</v>
      </c>
      <c r="AL16">
        <v>0</v>
      </c>
      <c r="AN16">
        <f t="shared" si="8"/>
        <v>1.597091918490509</v>
      </c>
      <c r="AO16" s="151" t="s">
        <v>235</v>
      </c>
      <c r="AP16" t="s">
        <v>174</v>
      </c>
      <c r="AR16">
        <f>'Activity Data'!$B$63</f>
        <v>2.7472527472527479E-3</v>
      </c>
      <c r="AS16">
        <f>'Activity Data'!$B$64</f>
        <v>2.7472527472527479E-3</v>
      </c>
      <c r="AW16" s="151" t="s">
        <v>233</v>
      </c>
      <c r="AX16">
        <v>2011</v>
      </c>
    </row>
    <row r="17" spans="1:50" x14ac:dyDescent="0.2">
      <c r="A17" s="151">
        <v>10</v>
      </c>
      <c r="B17" s="164" t="s">
        <v>41</v>
      </c>
      <c r="D17" s="165">
        <v>2280002100</v>
      </c>
      <c r="E17" s="173">
        <f>'Activity Data'!$B$65</f>
        <v>25.000000000000007</v>
      </c>
      <c r="F17" s="173">
        <f>'Activity Data'!$B$66</f>
        <v>25.000000000000007</v>
      </c>
      <c r="G17" s="173">
        <f>'Activity Data'!$B$67</f>
        <v>25.000000000000007</v>
      </c>
      <c r="H17" s="173">
        <f>'Activity Data'!$B$68</f>
        <v>25.000000000000007</v>
      </c>
      <c r="I17">
        <v>7</v>
      </c>
      <c r="J17">
        <v>52</v>
      </c>
      <c r="K17" s="151">
        <v>24</v>
      </c>
      <c r="L17" s="151">
        <f t="shared" si="9"/>
        <v>8736</v>
      </c>
      <c r="M17" s="139">
        <f>Calculations!G$36</f>
        <v>337779.36549999996</v>
      </c>
      <c r="N17" t="s">
        <v>174</v>
      </c>
      <c r="O17">
        <f t="shared" si="17"/>
        <v>927.96528983516498</v>
      </c>
      <c r="P17" t="s">
        <v>174</v>
      </c>
      <c r="Q17">
        <f t="shared" si="18"/>
        <v>927.96528983516498</v>
      </c>
      <c r="R17" t="s">
        <v>174</v>
      </c>
      <c r="U17" s="151" t="s">
        <v>5</v>
      </c>
      <c r="V17">
        <v>20110101</v>
      </c>
      <c r="W17">
        <v>20111231</v>
      </c>
      <c r="Z17" s="140">
        <f>Calculations!H36</f>
        <v>0.594648032267308</v>
      </c>
      <c r="AA17" s="151" t="s">
        <v>234</v>
      </c>
      <c r="AB17" s="174">
        <f t="shared" si="10"/>
        <v>1.6336484402948025E-3</v>
      </c>
      <c r="AC17" s="151" t="s">
        <v>234</v>
      </c>
      <c r="AD17" s="174">
        <f t="shared" si="11"/>
        <v>1.6336484402948025E-3</v>
      </c>
      <c r="AE17" s="151" t="s">
        <v>234</v>
      </c>
      <c r="AF17" s="140">
        <f t="shared" si="12"/>
        <v>0.594648032267308</v>
      </c>
      <c r="AG17" s="174">
        <f t="shared" si="13"/>
        <v>1.6336484402948025E-3</v>
      </c>
      <c r="AH17" s="174">
        <f t="shared" si="14"/>
        <v>1.6336484402948025E-3</v>
      </c>
      <c r="AJ17">
        <v>0</v>
      </c>
      <c r="AK17">
        <v>0</v>
      </c>
      <c r="AL17">
        <v>0</v>
      </c>
      <c r="AN17">
        <f t="shared" si="8"/>
        <v>1.597091918490509</v>
      </c>
      <c r="AO17" s="151" t="s">
        <v>235</v>
      </c>
      <c r="AP17" t="s">
        <v>174</v>
      </c>
      <c r="AR17">
        <f>'Activity Data'!$B$63</f>
        <v>2.7472527472527479E-3</v>
      </c>
      <c r="AS17">
        <f>'Activity Data'!$B$64</f>
        <v>2.7472527472527479E-3</v>
      </c>
      <c r="AW17" s="151" t="s">
        <v>233</v>
      </c>
      <c r="AX17">
        <v>2011</v>
      </c>
    </row>
    <row r="18" spans="1:50" x14ac:dyDescent="0.2">
      <c r="A18" s="151">
        <v>10</v>
      </c>
      <c r="B18" s="164" t="s">
        <v>40</v>
      </c>
      <c r="D18" s="165">
        <v>2280002200</v>
      </c>
      <c r="E18" s="173">
        <f>'Activity Data'!$B$65</f>
        <v>25.000000000000007</v>
      </c>
      <c r="F18" s="173">
        <f>'Activity Data'!$B$66</f>
        <v>25.000000000000007</v>
      </c>
      <c r="G18" s="173">
        <f>'Activity Data'!$B$67</f>
        <v>25.000000000000007</v>
      </c>
      <c r="H18" s="173">
        <f>'Activity Data'!$B$68</f>
        <v>25.000000000000007</v>
      </c>
      <c r="I18">
        <v>7</v>
      </c>
      <c r="J18">
        <v>52</v>
      </c>
      <c r="K18" s="151">
        <v>24</v>
      </c>
      <c r="L18" s="151">
        <f t="shared" si="9"/>
        <v>8736</v>
      </c>
      <c r="M18" s="139">
        <f>Calculations!G$37</f>
        <v>11137347.182507096</v>
      </c>
      <c r="N18" t="s">
        <v>174</v>
      </c>
      <c r="O18">
        <f t="shared" si="17"/>
        <v>30597.107644250271</v>
      </c>
      <c r="P18" t="s">
        <v>174</v>
      </c>
      <c r="Q18">
        <f t="shared" si="18"/>
        <v>30597.107644250271</v>
      </c>
      <c r="R18" t="s">
        <v>174</v>
      </c>
      <c r="U18" s="151" t="s">
        <v>5</v>
      </c>
      <c r="V18">
        <v>20110101</v>
      </c>
      <c r="W18">
        <v>20111231</v>
      </c>
      <c r="Z18" s="140">
        <f>Calculations!H37</f>
        <v>19.606886219802824</v>
      </c>
      <c r="AA18" s="151" t="s">
        <v>234</v>
      </c>
      <c r="AB18" s="174">
        <f t="shared" si="10"/>
        <v>5.3865072032425354E-2</v>
      </c>
      <c r="AC18" s="151" t="s">
        <v>234</v>
      </c>
      <c r="AD18" s="174">
        <f t="shared" si="11"/>
        <v>5.3865072032425354E-2</v>
      </c>
      <c r="AE18" s="151" t="s">
        <v>234</v>
      </c>
      <c r="AF18" s="140">
        <f t="shared" si="12"/>
        <v>19.606886219802824</v>
      </c>
      <c r="AG18" s="174">
        <f t="shared" si="13"/>
        <v>5.3865072032425354E-2</v>
      </c>
      <c r="AH18" s="174">
        <f t="shared" si="14"/>
        <v>5.3865072032425354E-2</v>
      </c>
      <c r="AJ18">
        <v>0</v>
      </c>
      <c r="AK18">
        <v>0</v>
      </c>
      <c r="AL18">
        <v>0</v>
      </c>
      <c r="AN18">
        <f t="shared" si="8"/>
        <v>1.5970919184905088</v>
      </c>
      <c r="AO18" s="151" t="s">
        <v>235</v>
      </c>
      <c r="AP18" t="s">
        <v>174</v>
      </c>
      <c r="AR18">
        <f>'Activity Data'!$B$63</f>
        <v>2.7472527472527479E-3</v>
      </c>
      <c r="AS18">
        <f>'Activity Data'!$B$64</f>
        <v>2.7472527472527479E-3</v>
      </c>
      <c r="AW18" s="151" t="s">
        <v>233</v>
      </c>
      <c r="AX18">
        <v>2011</v>
      </c>
    </row>
    <row r="19" spans="1:50" x14ac:dyDescent="0.2">
      <c r="A19" s="151">
        <v>10</v>
      </c>
      <c r="B19" s="164" t="s">
        <v>39</v>
      </c>
      <c r="D19" s="165">
        <v>2280002200</v>
      </c>
      <c r="E19" s="173">
        <f>'Activity Data'!$B$65</f>
        <v>25.000000000000007</v>
      </c>
      <c r="F19" s="173">
        <f>'Activity Data'!$B$66</f>
        <v>25.000000000000007</v>
      </c>
      <c r="G19" s="173">
        <f>'Activity Data'!$B$67</f>
        <v>25.000000000000007</v>
      </c>
      <c r="H19" s="173">
        <f>'Activity Data'!$B$68</f>
        <v>25.000000000000007</v>
      </c>
      <c r="I19">
        <v>7</v>
      </c>
      <c r="J19">
        <v>52</v>
      </c>
      <c r="K19" s="151">
        <v>24</v>
      </c>
      <c r="L19" s="151">
        <f t="shared" si="9"/>
        <v>8736</v>
      </c>
      <c r="M19" s="139">
        <f>Calculations!G$38</f>
        <v>3143055.0331001617</v>
      </c>
      <c r="N19" t="s">
        <v>174</v>
      </c>
      <c r="O19">
        <f t="shared" si="17"/>
        <v>8634.7665744509959</v>
      </c>
      <c r="P19" t="s">
        <v>174</v>
      </c>
      <c r="Q19">
        <f t="shared" si="18"/>
        <v>8634.7665744509959</v>
      </c>
      <c r="R19" t="s">
        <v>174</v>
      </c>
      <c r="U19" s="151" t="s">
        <v>5</v>
      </c>
      <c r="V19">
        <v>20110101</v>
      </c>
      <c r="W19">
        <v>20111231</v>
      </c>
      <c r="Z19" s="140">
        <f>Calculations!H38</f>
        <v>5.5332316939320858</v>
      </c>
      <c r="AA19" s="151" t="s">
        <v>234</v>
      </c>
      <c r="AB19" s="174">
        <f t="shared" si="10"/>
        <v>1.52011859723409E-2</v>
      </c>
      <c r="AC19" s="151" t="s">
        <v>234</v>
      </c>
      <c r="AD19" s="174">
        <f t="shared" si="11"/>
        <v>1.52011859723409E-2</v>
      </c>
      <c r="AE19" s="151" t="s">
        <v>234</v>
      </c>
      <c r="AF19" s="140">
        <f t="shared" si="12"/>
        <v>5.5332316939320858</v>
      </c>
      <c r="AG19" s="174">
        <f t="shared" si="13"/>
        <v>1.52011859723409E-2</v>
      </c>
      <c r="AH19" s="174">
        <f t="shared" si="14"/>
        <v>1.52011859723409E-2</v>
      </c>
      <c r="AJ19">
        <v>0</v>
      </c>
      <c r="AK19">
        <v>0</v>
      </c>
      <c r="AL19">
        <v>0</v>
      </c>
      <c r="AN19">
        <f t="shared" si="8"/>
        <v>1.5970919184905092</v>
      </c>
      <c r="AO19" s="151" t="s">
        <v>235</v>
      </c>
      <c r="AP19" t="s">
        <v>174</v>
      </c>
      <c r="AR19">
        <f>'Activity Data'!$B$63</f>
        <v>2.7472527472527479E-3</v>
      </c>
      <c r="AS19">
        <f>'Activity Data'!$B$64</f>
        <v>2.7472527472527479E-3</v>
      </c>
      <c r="AW19" s="151" t="s">
        <v>233</v>
      </c>
      <c r="AX19">
        <v>2011</v>
      </c>
    </row>
    <row r="20" spans="1:50" x14ac:dyDescent="0.2">
      <c r="A20" s="151">
        <v>10</v>
      </c>
      <c r="B20" s="164" t="s">
        <v>41</v>
      </c>
      <c r="D20" s="165">
        <v>2280002200</v>
      </c>
      <c r="E20" s="173">
        <f>'Activity Data'!$B$65</f>
        <v>25.000000000000007</v>
      </c>
      <c r="F20" s="173">
        <f>'Activity Data'!$B$66</f>
        <v>25.000000000000007</v>
      </c>
      <c r="G20" s="173">
        <f>'Activity Data'!$B$67</f>
        <v>25.000000000000007</v>
      </c>
      <c r="H20" s="173">
        <f>'Activity Data'!$B$68</f>
        <v>25.000000000000007</v>
      </c>
      <c r="I20">
        <v>7</v>
      </c>
      <c r="J20">
        <v>52</v>
      </c>
      <c r="K20" s="151">
        <v>24</v>
      </c>
      <c r="L20" s="151">
        <f t="shared" si="9"/>
        <v>8736</v>
      </c>
      <c r="M20" s="139">
        <f>Calculations!G$39</f>
        <v>5432019.024597019</v>
      </c>
      <c r="N20" t="s">
        <v>174</v>
      </c>
      <c r="O20">
        <f t="shared" si="17"/>
        <v>14923.129188453353</v>
      </c>
      <c r="P20" t="s">
        <v>174</v>
      </c>
      <c r="Q20">
        <f t="shared" si="18"/>
        <v>14923.129188453353</v>
      </c>
      <c r="R20" t="s">
        <v>174</v>
      </c>
      <c r="U20" s="151" t="s">
        <v>5</v>
      </c>
      <c r="V20">
        <v>20110101</v>
      </c>
      <c r="W20">
        <v>20111231</v>
      </c>
      <c r="Z20" s="140">
        <f>Calculations!H39</f>
        <v>9.5628678188608873</v>
      </c>
      <c r="AA20" s="151" t="s">
        <v>234</v>
      </c>
      <c r="AB20" s="174">
        <f t="shared" si="10"/>
        <v>2.6271614886980467E-2</v>
      </c>
      <c r="AC20" s="151" t="s">
        <v>234</v>
      </c>
      <c r="AD20" s="174">
        <f t="shared" si="11"/>
        <v>2.6271614886980467E-2</v>
      </c>
      <c r="AE20" s="151" t="s">
        <v>234</v>
      </c>
      <c r="AF20" s="140">
        <f t="shared" si="12"/>
        <v>9.5628678188608873</v>
      </c>
      <c r="AG20" s="174">
        <f t="shared" si="13"/>
        <v>2.6271614886980467E-2</v>
      </c>
      <c r="AH20" s="174">
        <f t="shared" si="14"/>
        <v>2.6271614886980467E-2</v>
      </c>
      <c r="AJ20">
        <v>0</v>
      </c>
      <c r="AK20">
        <v>0</v>
      </c>
      <c r="AL20">
        <v>0</v>
      </c>
      <c r="AN20">
        <f t="shared" si="8"/>
        <v>1.597091918490509</v>
      </c>
      <c r="AO20" s="151" t="s">
        <v>235</v>
      </c>
      <c r="AP20" t="s">
        <v>174</v>
      </c>
      <c r="AR20">
        <f>'Activity Data'!$B$63</f>
        <v>2.7472527472527479E-3</v>
      </c>
      <c r="AS20">
        <f>'Activity Data'!$B$64</f>
        <v>2.7472527472527479E-3</v>
      </c>
      <c r="AW20" s="151" t="s">
        <v>233</v>
      </c>
      <c r="AX20">
        <v>2011</v>
      </c>
    </row>
    <row r="21" spans="1:50" x14ac:dyDescent="0.2">
      <c r="A21" s="151">
        <v>10</v>
      </c>
      <c r="B21" s="164" t="s">
        <v>40</v>
      </c>
      <c r="D21" s="165">
        <v>2280002100</v>
      </c>
      <c r="E21" s="173">
        <f>'Activity Data'!$B$65</f>
        <v>25.000000000000007</v>
      </c>
      <c r="F21" s="173">
        <f>'Activity Data'!$B$66</f>
        <v>25.000000000000007</v>
      </c>
      <c r="G21" s="173">
        <f>'Activity Data'!$B$67</f>
        <v>25.000000000000007</v>
      </c>
      <c r="H21" s="173">
        <f>'Activity Data'!$B$68</f>
        <v>25.000000000000007</v>
      </c>
      <c r="I21">
        <v>7</v>
      </c>
      <c r="J21">
        <v>52</v>
      </c>
      <c r="K21" s="151">
        <v>24</v>
      </c>
      <c r="L21" s="151">
        <f t="shared" ref="L21:L38" si="19">I21*J21*K21</f>
        <v>8736</v>
      </c>
      <c r="M21" s="139">
        <f>Calculations!G$34</f>
        <v>0</v>
      </c>
      <c r="N21" t="s">
        <v>174</v>
      </c>
      <c r="O21">
        <f>M21*AR21</f>
        <v>0</v>
      </c>
      <c r="P21" t="s">
        <v>174</v>
      </c>
      <c r="Q21">
        <f>M21*AS21</f>
        <v>0</v>
      </c>
      <c r="R21" t="s">
        <v>174</v>
      </c>
      <c r="U21" s="151" t="s">
        <v>8</v>
      </c>
      <c r="V21">
        <v>20110101</v>
      </c>
      <c r="W21">
        <v>20111231</v>
      </c>
      <c r="Z21" s="140">
        <f>Calculations!K34</f>
        <v>0</v>
      </c>
      <c r="AA21" s="151" t="s">
        <v>234</v>
      </c>
      <c r="AB21" s="174">
        <f t="shared" si="10"/>
        <v>0</v>
      </c>
      <c r="AC21" s="151" t="s">
        <v>234</v>
      </c>
      <c r="AD21" s="174">
        <f t="shared" si="11"/>
        <v>0</v>
      </c>
      <c r="AE21" s="151" t="s">
        <v>234</v>
      </c>
      <c r="AF21" s="140">
        <f t="shared" si="12"/>
        <v>0</v>
      </c>
      <c r="AG21" s="174">
        <f t="shared" si="13"/>
        <v>0</v>
      </c>
      <c r="AH21" s="174">
        <f t="shared" si="14"/>
        <v>0</v>
      </c>
      <c r="AJ21">
        <v>0</v>
      </c>
      <c r="AK21">
        <v>0</v>
      </c>
      <c r="AL21">
        <v>0</v>
      </c>
      <c r="AN21">
        <v>0</v>
      </c>
      <c r="AO21" s="151" t="s">
        <v>235</v>
      </c>
      <c r="AP21" t="s">
        <v>174</v>
      </c>
      <c r="AR21">
        <f>'Activity Data'!$B$63</f>
        <v>2.7472527472527479E-3</v>
      </c>
      <c r="AS21">
        <f>'Activity Data'!$B$64</f>
        <v>2.7472527472527479E-3</v>
      </c>
      <c r="AW21" s="151" t="s">
        <v>233</v>
      </c>
      <c r="AX21">
        <v>2011</v>
      </c>
    </row>
    <row r="22" spans="1:50" x14ac:dyDescent="0.2">
      <c r="A22" s="151">
        <v>10</v>
      </c>
      <c r="B22" s="164" t="s">
        <v>39</v>
      </c>
      <c r="D22" s="165">
        <v>2280002100</v>
      </c>
      <c r="E22" s="173">
        <f>'Activity Data'!$B$65</f>
        <v>25.000000000000007</v>
      </c>
      <c r="F22" s="173">
        <f>'Activity Data'!$B$66</f>
        <v>25.000000000000007</v>
      </c>
      <c r="G22" s="173">
        <f>'Activity Data'!$B$67</f>
        <v>25.000000000000007</v>
      </c>
      <c r="H22" s="173">
        <f>'Activity Data'!$B$68</f>
        <v>25.000000000000007</v>
      </c>
      <c r="I22">
        <v>7</v>
      </c>
      <c r="J22">
        <v>52</v>
      </c>
      <c r="K22" s="151">
        <v>24</v>
      </c>
      <c r="L22" s="151">
        <f t="shared" si="19"/>
        <v>8736</v>
      </c>
      <c r="M22" s="139">
        <f>Calculations!G$35</f>
        <v>4751008.8324999996</v>
      </c>
      <c r="N22" t="s">
        <v>174</v>
      </c>
      <c r="O22">
        <f t="shared" ref="O22:O26" si="20">M22*AR22</f>
        <v>13052.222067307694</v>
      </c>
      <c r="P22" t="s">
        <v>174</v>
      </c>
      <c r="Q22">
        <f t="shared" ref="Q22:Q26" si="21">M22*AS22</f>
        <v>13052.222067307694</v>
      </c>
      <c r="R22" t="s">
        <v>174</v>
      </c>
      <c r="U22" s="151" t="s">
        <v>8</v>
      </c>
      <c r="V22">
        <v>20110101</v>
      </c>
      <c r="W22">
        <v>20111231</v>
      </c>
      <c r="Z22" s="140">
        <f>Calculations!K35</f>
        <v>0.6886664295071252</v>
      </c>
      <c r="AA22" s="151" t="s">
        <v>234</v>
      </c>
      <c r="AB22" s="174">
        <f t="shared" si="10"/>
        <v>1.8919407404041906E-3</v>
      </c>
      <c r="AC22" s="151" t="s">
        <v>234</v>
      </c>
      <c r="AD22" s="174">
        <f t="shared" si="11"/>
        <v>1.8919407404041906E-3</v>
      </c>
      <c r="AE22" s="151" t="s">
        <v>234</v>
      </c>
      <c r="AF22" s="140">
        <f t="shared" si="12"/>
        <v>0.6886664295071252</v>
      </c>
      <c r="AG22" s="174">
        <f t="shared" si="13"/>
        <v>1.8919407404041906E-3</v>
      </c>
      <c r="AH22" s="174">
        <f t="shared" si="14"/>
        <v>1.8919407404041906E-3</v>
      </c>
      <c r="AJ22">
        <v>0</v>
      </c>
      <c r="AK22">
        <v>0</v>
      </c>
      <c r="AL22">
        <v>0</v>
      </c>
      <c r="AN22" s="180">
        <f t="shared" si="8"/>
        <v>0.13150011016083793</v>
      </c>
      <c r="AO22" s="151" t="s">
        <v>235</v>
      </c>
      <c r="AP22" t="s">
        <v>174</v>
      </c>
      <c r="AR22">
        <f>'Activity Data'!$B$63</f>
        <v>2.7472527472527479E-3</v>
      </c>
      <c r="AS22">
        <f>'Activity Data'!$B$64</f>
        <v>2.7472527472527479E-3</v>
      </c>
      <c r="AW22" s="151" t="s">
        <v>233</v>
      </c>
      <c r="AX22">
        <v>2011</v>
      </c>
    </row>
    <row r="23" spans="1:50" x14ac:dyDescent="0.2">
      <c r="A23" s="151">
        <v>10</v>
      </c>
      <c r="B23" s="164" t="s">
        <v>41</v>
      </c>
      <c r="D23" s="165">
        <v>2280002100</v>
      </c>
      <c r="E23" s="173">
        <f>'Activity Data'!$B$65</f>
        <v>25.000000000000007</v>
      </c>
      <c r="F23" s="173">
        <f>'Activity Data'!$B$66</f>
        <v>25.000000000000007</v>
      </c>
      <c r="G23" s="173">
        <f>'Activity Data'!$B$67</f>
        <v>25.000000000000007</v>
      </c>
      <c r="H23" s="173">
        <f>'Activity Data'!$B$68</f>
        <v>25.000000000000007</v>
      </c>
      <c r="I23">
        <v>7</v>
      </c>
      <c r="J23">
        <v>52</v>
      </c>
      <c r="K23" s="151">
        <v>24</v>
      </c>
      <c r="L23" s="151">
        <f t="shared" si="19"/>
        <v>8736</v>
      </c>
      <c r="M23" s="139">
        <f>Calculations!G$36</f>
        <v>337779.36549999996</v>
      </c>
      <c r="N23" t="s">
        <v>174</v>
      </c>
      <c r="O23">
        <f t="shared" si="20"/>
        <v>927.96528983516498</v>
      </c>
      <c r="P23" t="s">
        <v>174</v>
      </c>
      <c r="Q23">
        <f t="shared" si="21"/>
        <v>927.96528983516498</v>
      </c>
      <c r="R23" t="s">
        <v>174</v>
      </c>
      <c r="U23" s="151" t="s">
        <v>8</v>
      </c>
      <c r="V23">
        <v>20110101</v>
      </c>
      <c r="W23">
        <v>20111231</v>
      </c>
      <c r="Z23" s="140">
        <f>Calculations!K36</f>
        <v>4.8961666416785635E-2</v>
      </c>
      <c r="AA23" s="151" t="s">
        <v>234</v>
      </c>
      <c r="AB23" s="174">
        <f t="shared" si="10"/>
        <v>1.3451007257358694E-4</v>
      </c>
      <c r="AC23" s="151" t="s">
        <v>234</v>
      </c>
      <c r="AD23" s="174">
        <f t="shared" si="11"/>
        <v>1.3451007257358694E-4</v>
      </c>
      <c r="AE23" s="151" t="s">
        <v>234</v>
      </c>
      <c r="AF23" s="140">
        <f t="shared" si="12"/>
        <v>4.8961666416785635E-2</v>
      </c>
      <c r="AG23" s="174">
        <f t="shared" si="13"/>
        <v>1.3451007257358694E-4</v>
      </c>
      <c r="AH23" s="174">
        <f t="shared" si="14"/>
        <v>1.3451007257358694E-4</v>
      </c>
      <c r="AJ23">
        <v>0</v>
      </c>
      <c r="AK23">
        <v>0</v>
      </c>
      <c r="AL23">
        <v>0</v>
      </c>
      <c r="AN23" s="180">
        <f t="shared" si="8"/>
        <v>0.1315001101608379</v>
      </c>
      <c r="AO23" s="151" t="s">
        <v>235</v>
      </c>
      <c r="AP23" t="s">
        <v>174</v>
      </c>
      <c r="AR23">
        <f>'Activity Data'!$B$63</f>
        <v>2.7472527472527479E-3</v>
      </c>
      <c r="AS23">
        <f>'Activity Data'!$B$64</f>
        <v>2.7472527472527479E-3</v>
      </c>
      <c r="AW23" s="151" t="s">
        <v>233</v>
      </c>
      <c r="AX23">
        <v>2011</v>
      </c>
    </row>
    <row r="24" spans="1:50" x14ac:dyDescent="0.2">
      <c r="A24" s="151">
        <v>10</v>
      </c>
      <c r="B24" s="164" t="s">
        <v>40</v>
      </c>
      <c r="D24" s="165">
        <v>2280002200</v>
      </c>
      <c r="E24" s="173">
        <f>'Activity Data'!$B$65</f>
        <v>25.000000000000007</v>
      </c>
      <c r="F24" s="173">
        <f>'Activity Data'!$B$66</f>
        <v>25.000000000000007</v>
      </c>
      <c r="G24" s="173">
        <f>'Activity Data'!$B$67</f>
        <v>25.000000000000007</v>
      </c>
      <c r="H24" s="173">
        <f>'Activity Data'!$B$68</f>
        <v>25.000000000000007</v>
      </c>
      <c r="I24">
        <v>7</v>
      </c>
      <c r="J24">
        <v>52</v>
      </c>
      <c r="K24" s="151">
        <v>24</v>
      </c>
      <c r="L24" s="151">
        <f t="shared" si="19"/>
        <v>8736</v>
      </c>
      <c r="M24" s="139">
        <f>Calculations!G$37</f>
        <v>11137347.182507096</v>
      </c>
      <c r="N24" t="s">
        <v>174</v>
      </c>
      <c r="O24">
        <f t="shared" si="20"/>
        <v>30597.107644250271</v>
      </c>
      <c r="P24" t="s">
        <v>174</v>
      </c>
      <c r="Q24">
        <f t="shared" si="21"/>
        <v>30597.107644250271</v>
      </c>
      <c r="R24" t="s">
        <v>174</v>
      </c>
      <c r="U24" s="151" t="s">
        <v>8</v>
      </c>
      <c r="V24">
        <v>20110101</v>
      </c>
      <c r="W24">
        <v>20111231</v>
      </c>
      <c r="Z24" s="140">
        <f>Calculations!K37</f>
        <v>1.6143765227063283</v>
      </c>
      <c r="AA24" s="151" t="s">
        <v>234</v>
      </c>
      <c r="AB24" s="174">
        <f t="shared" si="10"/>
        <v>4.4351003371052985E-3</v>
      </c>
      <c r="AC24" s="151" t="s">
        <v>234</v>
      </c>
      <c r="AD24" s="174">
        <f t="shared" si="11"/>
        <v>4.4351003371052985E-3</v>
      </c>
      <c r="AE24" s="151" t="s">
        <v>234</v>
      </c>
      <c r="AF24" s="140">
        <f t="shared" si="12"/>
        <v>1.6143765227063283</v>
      </c>
      <c r="AG24" s="174">
        <f t="shared" si="13"/>
        <v>4.4351003371052985E-3</v>
      </c>
      <c r="AH24" s="174">
        <f t="shared" si="14"/>
        <v>4.4351003371052985E-3</v>
      </c>
      <c r="AJ24">
        <v>0</v>
      </c>
      <c r="AK24">
        <v>0</v>
      </c>
      <c r="AL24">
        <v>0</v>
      </c>
      <c r="AN24" s="180">
        <f t="shared" si="8"/>
        <v>0.13150011016083793</v>
      </c>
      <c r="AO24" s="151" t="s">
        <v>235</v>
      </c>
      <c r="AP24" t="s">
        <v>174</v>
      </c>
      <c r="AR24">
        <f>'Activity Data'!$B$63</f>
        <v>2.7472527472527479E-3</v>
      </c>
      <c r="AS24">
        <f>'Activity Data'!$B$64</f>
        <v>2.7472527472527479E-3</v>
      </c>
      <c r="AW24" s="151" t="s">
        <v>233</v>
      </c>
      <c r="AX24">
        <v>2011</v>
      </c>
    </row>
    <row r="25" spans="1:50" x14ac:dyDescent="0.2">
      <c r="A25" s="151">
        <v>10</v>
      </c>
      <c r="B25" s="164" t="s">
        <v>39</v>
      </c>
      <c r="D25" s="165">
        <v>2280002200</v>
      </c>
      <c r="E25" s="173">
        <f>'Activity Data'!$B$65</f>
        <v>25.000000000000007</v>
      </c>
      <c r="F25" s="173">
        <f>'Activity Data'!$B$66</f>
        <v>25.000000000000007</v>
      </c>
      <c r="G25" s="173">
        <f>'Activity Data'!$B$67</f>
        <v>25.000000000000007</v>
      </c>
      <c r="H25" s="173">
        <f>'Activity Data'!$B$68</f>
        <v>25.000000000000007</v>
      </c>
      <c r="I25">
        <v>7</v>
      </c>
      <c r="J25">
        <v>52</v>
      </c>
      <c r="K25" s="151">
        <v>24</v>
      </c>
      <c r="L25" s="151">
        <f t="shared" si="19"/>
        <v>8736</v>
      </c>
      <c r="M25" s="139">
        <f>Calculations!G$38</f>
        <v>3143055.0331001617</v>
      </c>
      <c r="N25" t="s">
        <v>174</v>
      </c>
      <c r="O25">
        <f t="shared" si="20"/>
        <v>8634.7665744509959</v>
      </c>
      <c r="P25" t="s">
        <v>174</v>
      </c>
      <c r="Q25">
        <f t="shared" si="21"/>
        <v>8634.7665744509959</v>
      </c>
      <c r="R25" t="s">
        <v>174</v>
      </c>
      <c r="U25" s="151" t="s">
        <v>8</v>
      </c>
      <c r="V25">
        <v>20110101</v>
      </c>
      <c r="W25">
        <v>20111231</v>
      </c>
      <c r="Z25" s="140">
        <f>Calculations!K38</f>
        <v>0.45559092051835021</v>
      </c>
      <c r="AA25" s="151" t="s">
        <v>234</v>
      </c>
      <c r="AB25" s="174">
        <f t="shared" si="10"/>
        <v>1.2516234080174459E-3</v>
      </c>
      <c r="AC25" s="151" t="s">
        <v>234</v>
      </c>
      <c r="AD25" s="174">
        <f t="shared" si="11"/>
        <v>1.2516234080174459E-3</v>
      </c>
      <c r="AE25" s="151" t="s">
        <v>234</v>
      </c>
      <c r="AF25" s="140">
        <f t="shared" si="12"/>
        <v>0.45559092051835021</v>
      </c>
      <c r="AG25" s="174">
        <f t="shared" si="13"/>
        <v>1.2516234080174459E-3</v>
      </c>
      <c r="AH25" s="174">
        <f t="shared" si="14"/>
        <v>1.2516234080174459E-3</v>
      </c>
      <c r="AJ25">
        <v>0</v>
      </c>
      <c r="AK25">
        <v>0</v>
      </c>
      <c r="AL25">
        <v>0</v>
      </c>
      <c r="AN25" s="180">
        <f t="shared" si="8"/>
        <v>0.13150011016083793</v>
      </c>
      <c r="AO25" s="151" t="s">
        <v>235</v>
      </c>
      <c r="AP25" t="s">
        <v>174</v>
      </c>
      <c r="AR25">
        <f>'Activity Data'!$B$63</f>
        <v>2.7472527472527479E-3</v>
      </c>
      <c r="AS25">
        <f>'Activity Data'!$B$64</f>
        <v>2.7472527472527479E-3</v>
      </c>
      <c r="AW25" s="151" t="s">
        <v>233</v>
      </c>
      <c r="AX25">
        <v>2011</v>
      </c>
    </row>
    <row r="26" spans="1:50" x14ac:dyDescent="0.2">
      <c r="A26" s="151">
        <v>10</v>
      </c>
      <c r="B26" s="164" t="s">
        <v>41</v>
      </c>
      <c r="D26" s="165">
        <v>2280002200</v>
      </c>
      <c r="E26" s="173">
        <f>'Activity Data'!$B$65</f>
        <v>25.000000000000007</v>
      </c>
      <c r="F26" s="173">
        <f>'Activity Data'!$B$66</f>
        <v>25.000000000000007</v>
      </c>
      <c r="G26" s="173">
        <f>'Activity Data'!$B$67</f>
        <v>25.000000000000007</v>
      </c>
      <c r="H26" s="173">
        <f>'Activity Data'!$B$68</f>
        <v>25.000000000000007</v>
      </c>
      <c r="I26">
        <v>7</v>
      </c>
      <c r="J26">
        <v>52</v>
      </c>
      <c r="K26" s="151">
        <v>24</v>
      </c>
      <c r="L26" s="151">
        <f t="shared" si="19"/>
        <v>8736</v>
      </c>
      <c r="M26" s="139">
        <f>Calculations!G$39</f>
        <v>5432019.024597019</v>
      </c>
      <c r="N26" t="s">
        <v>174</v>
      </c>
      <c r="O26">
        <f t="shared" si="20"/>
        <v>14923.129188453353</v>
      </c>
      <c r="P26" t="s">
        <v>174</v>
      </c>
      <c r="Q26">
        <f t="shared" si="21"/>
        <v>14923.129188453353</v>
      </c>
      <c r="R26" t="s">
        <v>174</v>
      </c>
      <c r="U26" s="151" t="s">
        <v>8</v>
      </c>
      <c r="V26">
        <v>20110101</v>
      </c>
      <c r="W26">
        <v>20111231</v>
      </c>
      <c r="Z26" s="140">
        <f>Calculations!K39</f>
        <v>0.78737996046106196</v>
      </c>
      <c r="AA26" s="151" t="s">
        <v>234</v>
      </c>
      <c r="AB26" s="174">
        <f t="shared" si="10"/>
        <v>2.1631317595084123E-3</v>
      </c>
      <c r="AC26" s="151" t="s">
        <v>234</v>
      </c>
      <c r="AD26" s="174">
        <f t="shared" si="11"/>
        <v>2.1631317595084123E-3</v>
      </c>
      <c r="AE26" s="151" t="s">
        <v>234</v>
      </c>
      <c r="AF26" s="140">
        <f t="shared" si="12"/>
        <v>0.78737996046106196</v>
      </c>
      <c r="AG26" s="174">
        <f t="shared" si="13"/>
        <v>2.1631317595084123E-3</v>
      </c>
      <c r="AH26" s="174">
        <f t="shared" si="14"/>
        <v>2.1631317595084123E-3</v>
      </c>
      <c r="AJ26">
        <v>0</v>
      </c>
      <c r="AK26">
        <v>0</v>
      </c>
      <c r="AL26">
        <v>0</v>
      </c>
      <c r="AN26" s="180">
        <f t="shared" si="8"/>
        <v>0.13150011016083793</v>
      </c>
      <c r="AO26" s="151" t="s">
        <v>235</v>
      </c>
      <c r="AP26" t="s">
        <v>174</v>
      </c>
      <c r="AR26">
        <f>'Activity Data'!$B$63</f>
        <v>2.7472527472527479E-3</v>
      </c>
      <c r="AS26">
        <f>'Activity Data'!$B$64</f>
        <v>2.7472527472527479E-3</v>
      </c>
      <c r="AW26" s="151" t="s">
        <v>233</v>
      </c>
      <c r="AX26">
        <v>2011</v>
      </c>
    </row>
    <row r="27" spans="1:50" x14ac:dyDescent="0.2">
      <c r="A27" s="151">
        <v>10</v>
      </c>
      <c r="B27" s="164" t="s">
        <v>40</v>
      </c>
      <c r="D27" s="165">
        <v>2280002100</v>
      </c>
      <c r="E27" s="173">
        <f>'Activity Data'!$B$65</f>
        <v>25.000000000000007</v>
      </c>
      <c r="F27" s="173">
        <f>'Activity Data'!$B$66</f>
        <v>25.000000000000007</v>
      </c>
      <c r="G27" s="173">
        <f>'Activity Data'!$B$67</f>
        <v>25.000000000000007</v>
      </c>
      <c r="H27" s="173">
        <f>'Activity Data'!$B$68</f>
        <v>25.000000000000007</v>
      </c>
      <c r="I27">
        <v>7</v>
      </c>
      <c r="J27">
        <v>52</v>
      </c>
      <c r="K27" s="151">
        <v>24</v>
      </c>
      <c r="L27" s="151">
        <f t="shared" si="19"/>
        <v>8736</v>
      </c>
      <c r="M27" s="139">
        <f>Calculations!G$34</f>
        <v>0</v>
      </c>
      <c r="N27" t="s">
        <v>174</v>
      </c>
      <c r="O27">
        <f>M27*AR27</f>
        <v>0</v>
      </c>
      <c r="P27" t="s">
        <v>174</v>
      </c>
      <c r="Q27">
        <f>M27*AS27</f>
        <v>0</v>
      </c>
      <c r="R27" t="s">
        <v>174</v>
      </c>
      <c r="U27" s="151" t="s">
        <v>13</v>
      </c>
      <c r="V27">
        <v>20110101</v>
      </c>
      <c r="W27">
        <v>20111231</v>
      </c>
      <c r="Z27" s="140">
        <f>Calculations!L34</f>
        <v>0</v>
      </c>
      <c r="AA27" s="151" t="s">
        <v>234</v>
      </c>
      <c r="AB27" s="174">
        <f t="shared" si="10"/>
        <v>0</v>
      </c>
      <c r="AC27" s="151" t="s">
        <v>234</v>
      </c>
      <c r="AD27" s="174">
        <f t="shared" si="11"/>
        <v>0</v>
      </c>
      <c r="AE27" s="151" t="s">
        <v>234</v>
      </c>
      <c r="AF27" s="140">
        <f t="shared" si="12"/>
        <v>0</v>
      </c>
      <c r="AG27" s="174">
        <f t="shared" si="13"/>
        <v>0</v>
      </c>
      <c r="AH27" s="174">
        <f t="shared" si="14"/>
        <v>0</v>
      </c>
      <c r="AJ27">
        <v>0</v>
      </c>
      <c r="AK27">
        <v>0</v>
      </c>
      <c r="AL27">
        <v>0</v>
      </c>
      <c r="AN27">
        <v>0</v>
      </c>
      <c r="AO27" s="151" t="s">
        <v>235</v>
      </c>
      <c r="AP27" t="s">
        <v>174</v>
      </c>
      <c r="AR27">
        <f>'Activity Data'!$B$63</f>
        <v>2.7472527472527479E-3</v>
      </c>
      <c r="AS27">
        <f>'Activity Data'!$B$64</f>
        <v>2.7472527472527479E-3</v>
      </c>
      <c r="AW27" s="151" t="s">
        <v>233</v>
      </c>
      <c r="AX27">
        <v>2011</v>
      </c>
    </row>
    <row r="28" spans="1:50" x14ac:dyDescent="0.2">
      <c r="A28" s="151">
        <v>10</v>
      </c>
      <c r="B28" s="164" t="s">
        <v>39</v>
      </c>
      <c r="D28" s="165">
        <v>2280002100</v>
      </c>
      <c r="E28" s="173">
        <f>'Activity Data'!$B$65</f>
        <v>25.000000000000007</v>
      </c>
      <c r="F28" s="173">
        <f>'Activity Data'!$B$66</f>
        <v>25.000000000000007</v>
      </c>
      <c r="G28" s="173">
        <f>'Activity Data'!$B$67</f>
        <v>25.000000000000007</v>
      </c>
      <c r="H28" s="173">
        <f>'Activity Data'!$B$68</f>
        <v>25.000000000000007</v>
      </c>
      <c r="I28">
        <v>7</v>
      </c>
      <c r="J28">
        <v>52</v>
      </c>
      <c r="K28" s="151">
        <v>24</v>
      </c>
      <c r="L28" s="151">
        <f t="shared" si="19"/>
        <v>8736</v>
      </c>
      <c r="M28" s="139">
        <f>Calculations!G$35</f>
        <v>4751008.8324999996</v>
      </c>
      <c r="N28" t="s">
        <v>174</v>
      </c>
      <c r="O28">
        <f t="shared" ref="O28:O32" si="22">M28*AR28</f>
        <v>13052.222067307694</v>
      </c>
      <c r="P28" t="s">
        <v>174</v>
      </c>
      <c r="Q28">
        <f t="shared" ref="Q28:Q32" si="23">M28*AS28</f>
        <v>13052.222067307694</v>
      </c>
      <c r="R28" t="s">
        <v>174</v>
      </c>
      <c r="U28" s="151" t="s">
        <v>13</v>
      </c>
      <c r="V28">
        <v>20110101</v>
      </c>
      <c r="W28">
        <v>20111231</v>
      </c>
      <c r="Z28" s="140">
        <f>Calculations!L35</f>
        <v>2.2300675165761672</v>
      </c>
      <c r="AA28" s="151" t="s">
        <v>234</v>
      </c>
      <c r="AB28" s="174">
        <f t="shared" si="10"/>
        <v>6.1265591114729881E-3</v>
      </c>
      <c r="AC28" s="151" t="s">
        <v>234</v>
      </c>
      <c r="AD28" s="174">
        <f t="shared" si="11"/>
        <v>6.1265591114729881E-3</v>
      </c>
      <c r="AE28" s="151" t="s">
        <v>234</v>
      </c>
      <c r="AF28" s="140">
        <f t="shared" si="12"/>
        <v>2.2300675165761672</v>
      </c>
      <c r="AG28" s="174">
        <f t="shared" si="13"/>
        <v>6.1265591114729881E-3</v>
      </c>
      <c r="AH28" s="174">
        <f t="shared" si="14"/>
        <v>6.1265591114729881E-3</v>
      </c>
      <c r="AJ28">
        <v>0</v>
      </c>
      <c r="AK28">
        <v>0</v>
      </c>
      <c r="AL28">
        <v>0</v>
      </c>
      <c r="AN28">
        <f t="shared" si="8"/>
        <v>0.42582898124677376</v>
      </c>
      <c r="AO28" s="151" t="s">
        <v>235</v>
      </c>
      <c r="AP28" t="s">
        <v>174</v>
      </c>
      <c r="AR28">
        <f>'Activity Data'!$B$63</f>
        <v>2.7472527472527479E-3</v>
      </c>
      <c r="AS28">
        <f>'Activity Data'!$B$64</f>
        <v>2.7472527472527479E-3</v>
      </c>
      <c r="AW28" s="151" t="s">
        <v>233</v>
      </c>
      <c r="AX28">
        <v>2011</v>
      </c>
    </row>
    <row r="29" spans="1:50" x14ac:dyDescent="0.2">
      <c r="A29" s="151">
        <v>10</v>
      </c>
      <c r="B29" s="164" t="s">
        <v>41</v>
      </c>
      <c r="D29" s="165">
        <v>2280002100</v>
      </c>
      <c r="E29" s="173">
        <f>'Activity Data'!$B$65</f>
        <v>25.000000000000007</v>
      </c>
      <c r="F29" s="173">
        <f>'Activity Data'!$B$66</f>
        <v>25.000000000000007</v>
      </c>
      <c r="G29" s="173">
        <f>'Activity Data'!$B$67</f>
        <v>25.000000000000007</v>
      </c>
      <c r="H29" s="173">
        <f>'Activity Data'!$B$68</f>
        <v>25.000000000000007</v>
      </c>
      <c r="I29">
        <v>7</v>
      </c>
      <c r="J29">
        <v>52</v>
      </c>
      <c r="K29" s="151">
        <v>24</v>
      </c>
      <c r="L29" s="151">
        <f t="shared" si="19"/>
        <v>8736</v>
      </c>
      <c r="M29" s="139">
        <f>Calculations!G$36</f>
        <v>337779.36549999996</v>
      </c>
      <c r="N29" t="s">
        <v>174</v>
      </c>
      <c r="O29">
        <f t="shared" si="22"/>
        <v>927.96528983516498</v>
      </c>
      <c r="P29" t="s">
        <v>174</v>
      </c>
      <c r="Q29">
        <f t="shared" si="23"/>
        <v>927.96528983516498</v>
      </c>
      <c r="R29" t="s">
        <v>174</v>
      </c>
      <c r="U29" s="151" t="s">
        <v>13</v>
      </c>
      <c r="V29">
        <v>20110101</v>
      </c>
      <c r="W29">
        <v>20111231</v>
      </c>
      <c r="Z29" s="140">
        <f>Calculations!L36</f>
        <v>0.15854965068016605</v>
      </c>
      <c r="AA29" s="151" t="s">
        <v>234</v>
      </c>
      <c r="AB29" s="174">
        <f t="shared" si="10"/>
        <v>4.3557596340704967E-4</v>
      </c>
      <c r="AC29" s="151" t="s">
        <v>234</v>
      </c>
      <c r="AD29" s="174">
        <f t="shared" si="11"/>
        <v>4.3557596340704967E-4</v>
      </c>
      <c r="AE29" s="151" t="s">
        <v>234</v>
      </c>
      <c r="AF29" s="140">
        <f t="shared" si="12"/>
        <v>0.15854965068016605</v>
      </c>
      <c r="AG29" s="174">
        <f t="shared" si="13"/>
        <v>4.3557596340704967E-4</v>
      </c>
      <c r="AH29" s="174">
        <f t="shared" si="14"/>
        <v>4.3557596340704967E-4</v>
      </c>
      <c r="AJ29">
        <v>0</v>
      </c>
      <c r="AK29">
        <v>0</v>
      </c>
      <c r="AL29">
        <v>0</v>
      </c>
      <c r="AN29">
        <f t="shared" si="8"/>
        <v>0.42582898124677387</v>
      </c>
      <c r="AO29" s="151" t="s">
        <v>235</v>
      </c>
      <c r="AP29" t="s">
        <v>174</v>
      </c>
      <c r="AR29">
        <f>'Activity Data'!$B$63</f>
        <v>2.7472527472527479E-3</v>
      </c>
      <c r="AS29">
        <f>'Activity Data'!$B$64</f>
        <v>2.7472527472527479E-3</v>
      </c>
      <c r="AW29" s="151" t="s">
        <v>233</v>
      </c>
      <c r="AX29">
        <v>2011</v>
      </c>
    </row>
    <row r="30" spans="1:50" x14ac:dyDescent="0.2">
      <c r="A30" s="151">
        <v>10</v>
      </c>
      <c r="B30" s="164" t="s">
        <v>40</v>
      </c>
      <c r="D30" s="165">
        <v>2280002200</v>
      </c>
      <c r="E30" s="173">
        <f>'Activity Data'!$B$65</f>
        <v>25.000000000000007</v>
      </c>
      <c r="F30" s="173">
        <f>'Activity Data'!$B$66</f>
        <v>25.000000000000007</v>
      </c>
      <c r="G30" s="173">
        <f>'Activity Data'!$B$67</f>
        <v>25.000000000000007</v>
      </c>
      <c r="H30" s="173">
        <f>'Activity Data'!$B$68</f>
        <v>25.000000000000007</v>
      </c>
      <c r="I30">
        <v>7</v>
      </c>
      <c r="J30">
        <v>52</v>
      </c>
      <c r="K30" s="151">
        <v>24</v>
      </c>
      <c r="L30" s="151">
        <f t="shared" si="19"/>
        <v>8736</v>
      </c>
      <c r="M30" s="139">
        <f>Calculations!G$37</f>
        <v>11137347.182507096</v>
      </c>
      <c r="N30" t="s">
        <v>174</v>
      </c>
      <c r="O30">
        <f t="shared" si="22"/>
        <v>30597.107644250271</v>
      </c>
      <c r="P30" t="s">
        <v>174</v>
      </c>
      <c r="Q30">
        <f t="shared" si="23"/>
        <v>30597.107644250271</v>
      </c>
      <c r="R30" t="s">
        <v>174</v>
      </c>
      <c r="U30" s="151" t="s">
        <v>13</v>
      </c>
      <c r="V30">
        <v>20110101</v>
      </c>
      <c r="W30">
        <v>20111231</v>
      </c>
      <c r="Z30" s="140">
        <f>Calculations!L37</f>
        <v>5.227739422970263</v>
      </c>
      <c r="AA30" s="151" t="s">
        <v>234</v>
      </c>
      <c r="AB30" s="174">
        <f t="shared" si="10"/>
        <v>1.436192149167655E-2</v>
      </c>
      <c r="AC30" s="151" t="s">
        <v>234</v>
      </c>
      <c r="AD30" s="174">
        <f t="shared" si="11"/>
        <v>1.436192149167655E-2</v>
      </c>
      <c r="AE30" s="151" t="s">
        <v>234</v>
      </c>
      <c r="AF30" s="140">
        <f t="shared" si="12"/>
        <v>5.227739422970263</v>
      </c>
      <c r="AG30" s="174">
        <f t="shared" si="13"/>
        <v>1.436192149167655E-2</v>
      </c>
      <c r="AH30" s="174">
        <f t="shared" si="14"/>
        <v>1.436192149167655E-2</v>
      </c>
      <c r="AJ30">
        <v>0</v>
      </c>
      <c r="AK30">
        <v>0</v>
      </c>
      <c r="AL30">
        <v>0</v>
      </c>
      <c r="AN30">
        <f t="shared" si="8"/>
        <v>0.42582898124677376</v>
      </c>
      <c r="AO30" s="151" t="s">
        <v>235</v>
      </c>
      <c r="AP30" t="s">
        <v>174</v>
      </c>
      <c r="AR30">
        <f>'Activity Data'!$B$63</f>
        <v>2.7472527472527479E-3</v>
      </c>
      <c r="AS30">
        <f>'Activity Data'!$B$64</f>
        <v>2.7472527472527479E-3</v>
      </c>
      <c r="AW30" s="151" t="s">
        <v>233</v>
      </c>
      <c r="AX30">
        <v>2011</v>
      </c>
    </row>
    <row r="31" spans="1:50" x14ac:dyDescent="0.2">
      <c r="A31" s="151">
        <v>10</v>
      </c>
      <c r="B31" s="164" t="s">
        <v>39</v>
      </c>
      <c r="D31" s="165">
        <v>2280002200</v>
      </c>
      <c r="E31" s="173">
        <f>'Activity Data'!$B$65</f>
        <v>25.000000000000007</v>
      </c>
      <c r="F31" s="173">
        <f>'Activity Data'!$B$66</f>
        <v>25.000000000000007</v>
      </c>
      <c r="G31" s="173">
        <f>'Activity Data'!$B$67</f>
        <v>25.000000000000007</v>
      </c>
      <c r="H31" s="173">
        <f>'Activity Data'!$B$68</f>
        <v>25.000000000000007</v>
      </c>
      <c r="I31">
        <v>7</v>
      </c>
      <c r="J31">
        <v>52</v>
      </c>
      <c r="K31" s="151">
        <v>24</v>
      </c>
      <c r="L31" s="151">
        <f t="shared" si="19"/>
        <v>8736</v>
      </c>
      <c r="M31" s="139">
        <f>Calculations!G$38</f>
        <v>3143055.0331001617</v>
      </c>
      <c r="N31" t="s">
        <v>174</v>
      </c>
      <c r="O31">
        <f t="shared" si="22"/>
        <v>8634.7665744509959</v>
      </c>
      <c r="P31" t="s">
        <v>174</v>
      </c>
      <c r="Q31">
        <f t="shared" si="23"/>
        <v>8634.7665744509959</v>
      </c>
      <c r="R31" t="s">
        <v>174</v>
      </c>
      <c r="U31" s="151" t="s">
        <v>13</v>
      </c>
      <c r="V31">
        <v>20110101</v>
      </c>
      <c r="W31">
        <v>20111231</v>
      </c>
      <c r="Z31" s="140">
        <f>Calculations!L38</f>
        <v>1.4753129659916078</v>
      </c>
      <c r="AA31" s="151" t="s">
        <v>234</v>
      </c>
      <c r="AB31" s="174">
        <f t="shared" si="10"/>
        <v>4.053057598878044E-3</v>
      </c>
      <c r="AC31" s="151" t="s">
        <v>234</v>
      </c>
      <c r="AD31" s="174">
        <f t="shared" si="11"/>
        <v>4.053057598878044E-3</v>
      </c>
      <c r="AE31" s="151" t="s">
        <v>234</v>
      </c>
      <c r="AF31" s="140">
        <f t="shared" si="12"/>
        <v>1.4753129659916078</v>
      </c>
      <c r="AG31" s="174">
        <f t="shared" si="13"/>
        <v>4.053057598878044E-3</v>
      </c>
      <c r="AH31" s="174">
        <f t="shared" si="14"/>
        <v>4.053057598878044E-3</v>
      </c>
      <c r="AJ31">
        <v>0</v>
      </c>
      <c r="AK31">
        <v>0</v>
      </c>
      <c r="AL31">
        <v>0</v>
      </c>
      <c r="AN31">
        <f t="shared" si="8"/>
        <v>0.42582898124677376</v>
      </c>
      <c r="AO31" s="151" t="s">
        <v>235</v>
      </c>
      <c r="AP31" t="s">
        <v>174</v>
      </c>
      <c r="AR31">
        <f>'Activity Data'!$B$63</f>
        <v>2.7472527472527479E-3</v>
      </c>
      <c r="AS31">
        <f>'Activity Data'!$B$64</f>
        <v>2.7472527472527479E-3</v>
      </c>
      <c r="AW31" s="151" t="s">
        <v>233</v>
      </c>
      <c r="AX31">
        <v>2011</v>
      </c>
    </row>
    <row r="32" spans="1:50" x14ac:dyDescent="0.2">
      <c r="A32" s="151">
        <v>10</v>
      </c>
      <c r="B32" s="164" t="s">
        <v>41</v>
      </c>
      <c r="D32" s="165">
        <v>2280002200</v>
      </c>
      <c r="E32" s="173">
        <f>'Activity Data'!$B$65</f>
        <v>25.000000000000007</v>
      </c>
      <c r="F32" s="173">
        <f>'Activity Data'!$B$66</f>
        <v>25.000000000000007</v>
      </c>
      <c r="G32" s="173">
        <f>'Activity Data'!$B$67</f>
        <v>25.000000000000007</v>
      </c>
      <c r="H32" s="173">
        <f>'Activity Data'!$B$68</f>
        <v>25.000000000000007</v>
      </c>
      <c r="I32">
        <v>7</v>
      </c>
      <c r="J32">
        <v>52</v>
      </c>
      <c r="K32" s="151">
        <v>24</v>
      </c>
      <c r="L32" s="151">
        <f t="shared" si="19"/>
        <v>8736</v>
      </c>
      <c r="M32" s="139">
        <f>Calculations!G$39</f>
        <v>5432019.024597019</v>
      </c>
      <c r="N32" t="s">
        <v>174</v>
      </c>
      <c r="O32">
        <f t="shared" si="22"/>
        <v>14923.129188453353</v>
      </c>
      <c r="P32" t="s">
        <v>174</v>
      </c>
      <c r="Q32">
        <f t="shared" si="23"/>
        <v>14923.129188453353</v>
      </c>
      <c r="R32" t="s">
        <v>174</v>
      </c>
      <c r="U32" s="151" t="s">
        <v>13</v>
      </c>
      <c r="V32">
        <v>20110101</v>
      </c>
      <c r="W32">
        <v>20111231</v>
      </c>
      <c r="Z32" s="140">
        <f>Calculations!L39</f>
        <v>2.5497256694854964</v>
      </c>
      <c r="AA32" s="151" t="s">
        <v>234</v>
      </c>
      <c r="AB32" s="174">
        <f t="shared" si="10"/>
        <v>7.0047408502348823E-3</v>
      </c>
      <c r="AC32" s="151" t="s">
        <v>234</v>
      </c>
      <c r="AD32" s="174">
        <f t="shared" si="11"/>
        <v>7.0047408502348823E-3</v>
      </c>
      <c r="AE32" s="151" t="s">
        <v>234</v>
      </c>
      <c r="AF32" s="140">
        <f t="shared" si="12"/>
        <v>2.5497256694854964</v>
      </c>
      <c r="AG32" s="174">
        <f t="shared" si="13"/>
        <v>7.0047408502348823E-3</v>
      </c>
      <c r="AH32" s="174">
        <f t="shared" si="14"/>
        <v>7.0047408502348823E-3</v>
      </c>
      <c r="AJ32">
        <v>0</v>
      </c>
      <c r="AK32">
        <v>0</v>
      </c>
      <c r="AL32">
        <v>0</v>
      </c>
      <c r="AN32">
        <f t="shared" si="8"/>
        <v>0.42582898124677376</v>
      </c>
      <c r="AO32" s="151" t="s">
        <v>235</v>
      </c>
      <c r="AP32" t="s">
        <v>174</v>
      </c>
      <c r="AR32">
        <f>'Activity Data'!$B$63</f>
        <v>2.7472527472527479E-3</v>
      </c>
      <c r="AS32">
        <f>'Activity Data'!$B$64</f>
        <v>2.7472527472527479E-3</v>
      </c>
      <c r="AW32" s="151" t="s">
        <v>233</v>
      </c>
      <c r="AX32">
        <v>2011</v>
      </c>
    </row>
    <row r="33" spans="1:50" x14ac:dyDescent="0.2">
      <c r="A33" s="151">
        <v>10</v>
      </c>
      <c r="B33" s="164" t="s">
        <v>40</v>
      </c>
      <c r="D33" s="165">
        <v>2280002100</v>
      </c>
      <c r="E33" s="173">
        <f>'Activity Data'!$B$65</f>
        <v>25.000000000000007</v>
      </c>
      <c r="F33" s="173">
        <f>'Activity Data'!$B$66</f>
        <v>25.000000000000007</v>
      </c>
      <c r="G33" s="173">
        <f>'Activity Data'!$B$67</f>
        <v>25.000000000000007</v>
      </c>
      <c r="H33" s="173">
        <f>'Activity Data'!$B$68</f>
        <v>25.000000000000007</v>
      </c>
      <c r="I33">
        <v>7</v>
      </c>
      <c r="J33">
        <v>52</v>
      </c>
      <c r="K33" s="151">
        <v>24</v>
      </c>
      <c r="L33" s="151">
        <f t="shared" si="19"/>
        <v>8736</v>
      </c>
      <c r="M33" s="139">
        <f>Calculations!G$34</f>
        <v>0</v>
      </c>
      <c r="N33" t="s">
        <v>174</v>
      </c>
      <c r="O33">
        <f>M33*AR33</f>
        <v>0</v>
      </c>
      <c r="P33" t="s">
        <v>174</v>
      </c>
      <c r="Q33">
        <f>M33*AS33</f>
        <v>0</v>
      </c>
      <c r="R33" t="s">
        <v>174</v>
      </c>
      <c r="U33" s="151" t="s">
        <v>15</v>
      </c>
      <c r="V33">
        <v>20110101</v>
      </c>
      <c r="W33">
        <v>20111231</v>
      </c>
      <c r="Z33" s="140">
        <f>Calculations!M$34</f>
        <v>0</v>
      </c>
      <c r="AA33" s="151" t="s">
        <v>234</v>
      </c>
      <c r="AB33" s="174">
        <f t="shared" si="10"/>
        <v>0</v>
      </c>
      <c r="AC33" s="151" t="s">
        <v>234</v>
      </c>
      <c r="AD33" s="174">
        <f t="shared" si="11"/>
        <v>0</v>
      </c>
      <c r="AE33" s="151" t="s">
        <v>234</v>
      </c>
      <c r="AF33" s="140">
        <f t="shared" si="12"/>
        <v>0</v>
      </c>
      <c r="AG33" s="174">
        <f t="shared" si="13"/>
        <v>0</v>
      </c>
      <c r="AH33" s="174">
        <f t="shared" si="14"/>
        <v>0</v>
      </c>
      <c r="AJ33">
        <v>0</v>
      </c>
      <c r="AK33">
        <v>0</v>
      </c>
      <c r="AL33">
        <v>0</v>
      </c>
      <c r="AN33">
        <v>0</v>
      </c>
      <c r="AO33" s="151" t="s">
        <v>235</v>
      </c>
      <c r="AP33" t="s">
        <v>174</v>
      </c>
      <c r="AR33">
        <f>'Activity Data'!$B$63</f>
        <v>2.7472527472527479E-3</v>
      </c>
      <c r="AS33">
        <f>'Activity Data'!$B$64</f>
        <v>2.7472527472527479E-3</v>
      </c>
      <c r="AW33" s="151" t="s">
        <v>233</v>
      </c>
      <c r="AX33">
        <v>2011</v>
      </c>
    </row>
    <row r="34" spans="1:50" x14ac:dyDescent="0.2">
      <c r="A34" s="151">
        <v>10</v>
      </c>
      <c r="B34" s="164" t="s">
        <v>39</v>
      </c>
      <c r="D34" s="165">
        <v>2280002100</v>
      </c>
      <c r="E34" s="173">
        <f>'Activity Data'!$B$65</f>
        <v>25.000000000000007</v>
      </c>
      <c r="F34" s="173">
        <f>'Activity Data'!$B$66</f>
        <v>25.000000000000007</v>
      </c>
      <c r="G34" s="173">
        <f>'Activity Data'!$B$67</f>
        <v>25.000000000000007</v>
      </c>
      <c r="H34" s="173">
        <f>'Activity Data'!$B$68</f>
        <v>25.000000000000007</v>
      </c>
      <c r="I34">
        <v>7</v>
      </c>
      <c r="J34">
        <v>52</v>
      </c>
      <c r="K34" s="151">
        <v>24</v>
      </c>
      <c r="L34" s="151">
        <f t="shared" si="19"/>
        <v>8736</v>
      </c>
      <c r="M34" s="139">
        <f>Calculations!G$35</f>
        <v>4751008.8324999996</v>
      </c>
      <c r="N34" t="s">
        <v>174</v>
      </c>
      <c r="O34">
        <f t="shared" ref="O34:O45" si="24">M34*AR34</f>
        <v>13052.222067307694</v>
      </c>
      <c r="P34" t="s">
        <v>174</v>
      </c>
      <c r="Q34">
        <f t="shared" ref="Q34:Q45" si="25">M34*AS34</f>
        <v>13052.222067307694</v>
      </c>
      <c r="R34" t="s">
        <v>174</v>
      </c>
      <c r="U34" s="151" t="s">
        <v>15</v>
      </c>
      <c r="V34">
        <v>20110101</v>
      </c>
      <c r="W34">
        <v>20111231</v>
      </c>
      <c r="Z34" s="140">
        <f>Calculations!M$35</f>
        <v>2.1631654910788822</v>
      </c>
      <c r="AA34" s="151" t="s">
        <v>234</v>
      </c>
      <c r="AB34" s="174">
        <f t="shared" si="10"/>
        <v>5.9427623381287991E-3</v>
      </c>
      <c r="AC34" s="151" t="s">
        <v>234</v>
      </c>
      <c r="AD34" s="174">
        <f t="shared" si="11"/>
        <v>5.9427623381287991E-3</v>
      </c>
      <c r="AE34" s="151" t="s">
        <v>234</v>
      </c>
      <c r="AF34" s="140">
        <f t="shared" si="12"/>
        <v>2.1631654910788822</v>
      </c>
      <c r="AG34" s="174">
        <f t="shared" si="13"/>
        <v>5.9427623381287991E-3</v>
      </c>
      <c r="AH34" s="174">
        <f t="shared" si="14"/>
        <v>5.9427623381287991E-3</v>
      </c>
      <c r="AJ34">
        <v>0</v>
      </c>
      <c r="AK34">
        <v>0</v>
      </c>
      <c r="AL34">
        <v>0</v>
      </c>
      <c r="AN34">
        <f t="shared" si="8"/>
        <v>0.41305411180937057</v>
      </c>
      <c r="AO34" s="151" t="s">
        <v>235</v>
      </c>
      <c r="AP34" t="s">
        <v>174</v>
      </c>
      <c r="AR34">
        <f>'Activity Data'!$B$63</f>
        <v>2.7472527472527479E-3</v>
      </c>
      <c r="AS34">
        <f>'Activity Data'!$B$64</f>
        <v>2.7472527472527479E-3</v>
      </c>
      <c r="AW34" s="151" t="s">
        <v>233</v>
      </c>
      <c r="AX34">
        <v>2011</v>
      </c>
    </row>
    <row r="35" spans="1:50" x14ac:dyDescent="0.2">
      <c r="A35" s="151">
        <v>10</v>
      </c>
      <c r="B35" s="164" t="s">
        <v>41</v>
      </c>
      <c r="D35" s="165">
        <v>2280002100</v>
      </c>
      <c r="E35" s="173">
        <f>'Activity Data'!$B$65</f>
        <v>25.000000000000007</v>
      </c>
      <c r="F35" s="173">
        <f>'Activity Data'!$B$66</f>
        <v>25.000000000000007</v>
      </c>
      <c r="G35" s="173">
        <f>'Activity Data'!$B$67</f>
        <v>25.000000000000007</v>
      </c>
      <c r="H35" s="173">
        <f>'Activity Data'!$B$68</f>
        <v>25.000000000000007</v>
      </c>
      <c r="I35">
        <v>7</v>
      </c>
      <c r="J35">
        <v>52</v>
      </c>
      <c r="K35" s="151">
        <v>24</v>
      </c>
      <c r="L35" s="151">
        <f t="shared" si="19"/>
        <v>8736</v>
      </c>
      <c r="M35" s="139">
        <f>Calculations!G$36</f>
        <v>337779.36549999996</v>
      </c>
      <c r="N35" t="s">
        <v>174</v>
      </c>
      <c r="O35">
        <f t="shared" si="24"/>
        <v>927.96528983516498</v>
      </c>
      <c r="P35" t="s">
        <v>174</v>
      </c>
      <c r="Q35">
        <f t="shared" si="25"/>
        <v>927.96528983516498</v>
      </c>
      <c r="R35" t="s">
        <v>174</v>
      </c>
      <c r="U35" s="151" t="s">
        <v>15</v>
      </c>
      <c r="V35">
        <v>20110101</v>
      </c>
      <c r="W35">
        <v>20111231</v>
      </c>
      <c r="Z35" s="140">
        <f>Calculations!M$36</f>
        <v>0.15379316115976105</v>
      </c>
      <c r="AA35" s="151" t="s">
        <v>234</v>
      </c>
      <c r="AB35" s="174">
        <f t="shared" si="10"/>
        <v>4.2250868450483816E-4</v>
      </c>
      <c r="AC35" s="151" t="s">
        <v>234</v>
      </c>
      <c r="AD35" s="174">
        <f t="shared" si="11"/>
        <v>4.2250868450483816E-4</v>
      </c>
      <c r="AE35" s="151" t="s">
        <v>234</v>
      </c>
      <c r="AF35" s="140">
        <f t="shared" si="12"/>
        <v>0.15379316115976105</v>
      </c>
      <c r="AG35" s="174">
        <f t="shared" si="13"/>
        <v>4.2250868450483816E-4</v>
      </c>
      <c r="AH35" s="174">
        <f t="shared" si="14"/>
        <v>4.2250868450483816E-4</v>
      </c>
      <c r="AJ35">
        <v>0</v>
      </c>
      <c r="AK35">
        <v>0</v>
      </c>
      <c r="AL35">
        <v>0</v>
      </c>
      <c r="AN35">
        <f t="shared" si="8"/>
        <v>0.41305411180937057</v>
      </c>
      <c r="AO35" s="151" t="s">
        <v>235</v>
      </c>
      <c r="AP35" t="s">
        <v>174</v>
      </c>
      <c r="AR35">
        <f>'Activity Data'!$B$63</f>
        <v>2.7472527472527479E-3</v>
      </c>
      <c r="AS35">
        <f>'Activity Data'!$B$64</f>
        <v>2.7472527472527479E-3</v>
      </c>
      <c r="AW35" s="151" t="s">
        <v>233</v>
      </c>
      <c r="AX35">
        <v>2011</v>
      </c>
    </row>
    <row r="36" spans="1:50" x14ac:dyDescent="0.2">
      <c r="A36" s="151">
        <v>10</v>
      </c>
      <c r="B36" s="164" t="s">
        <v>40</v>
      </c>
      <c r="D36" s="165">
        <v>2280002200</v>
      </c>
      <c r="E36" s="173">
        <f>'Activity Data'!$B$65</f>
        <v>25.000000000000007</v>
      </c>
      <c r="F36" s="173">
        <f>'Activity Data'!$B$66</f>
        <v>25.000000000000007</v>
      </c>
      <c r="G36" s="173">
        <f>'Activity Data'!$B$67</f>
        <v>25.000000000000007</v>
      </c>
      <c r="H36" s="173">
        <f>'Activity Data'!$B$68</f>
        <v>25.000000000000007</v>
      </c>
      <c r="I36">
        <v>7</v>
      </c>
      <c r="J36">
        <v>52</v>
      </c>
      <c r="K36" s="151">
        <v>24</v>
      </c>
      <c r="L36" s="151">
        <f t="shared" si="19"/>
        <v>8736</v>
      </c>
      <c r="M36" s="139">
        <f>Calculations!G$37</f>
        <v>11137347.182507096</v>
      </c>
      <c r="N36" t="s">
        <v>174</v>
      </c>
      <c r="O36">
        <f t="shared" si="24"/>
        <v>30597.107644250271</v>
      </c>
      <c r="P36" t="s">
        <v>174</v>
      </c>
      <c r="Q36">
        <f t="shared" si="25"/>
        <v>30597.107644250271</v>
      </c>
      <c r="R36" t="s">
        <v>174</v>
      </c>
      <c r="U36" s="151" t="s">
        <v>15</v>
      </c>
      <c r="V36">
        <v>20110101</v>
      </c>
      <c r="W36">
        <v>20111231</v>
      </c>
      <c r="Z36" s="140">
        <f>Calculations!M$37</f>
        <v>5.070907240281155</v>
      </c>
      <c r="AA36" s="151" t="s">
        <v>234</v>
      </c>
      <c r="AB36" s="174">
        <f t="shared" si="10"/>
        <v>1.3931063846926254E-2</v>
      </c>
      <c r="AC36" s="151" t="s">
        <v>234</v>
      </c>
      <c r="AD36" s="174">
        <f t="shared" si="11"/>
        <v>1.3931063846926254E-2</v>
      </c>
      <c r="AE36" s="151" t="s">
        <v>234</v>
      </c>
      <c r="AF36" s="140">
        <f t="shared" si="12"/>
        <v>5.070907240281155</v>
      </c>
      <c r="AG36" s="174">
        <f t="shared" si="13"/>
        <v>1.3931063846926254E-2</v>
      </c>
      <c r="AH36" s="174">
        <f t="shared" si="14"/>
        <v>1.3931063846926254E-2</v>
      </c>
      <c r="AJ36">
        <v>0</v>
      </c>
      <c r="AK36">
        <v>0</v>
      </c>
      <c r="AL36">
        <v>0</v>
      </c>
      <c r="AN36">
        <f t="shared" si="8"/>
        <v>0.41305411180937052</v>
      </c>
      <c r="AO36" s="151" t="s">
        <v>235</v>
      </c>
      <c r="AP36" t="s">
        <v>174</v>
      </c>
      <c r="AR36">
        <f>'Activity Data'!$B$63</f>
        <v>2.7472527472527479E-3</v>
      </c>
      <c r="AS36">
        <f>'Activity Data'!$B$64</f>
        <v>2.7472527472527479E-3</v>
      </c>
      <c r="AW36" s="151" t="s">
        <v>233</v>
      </c>
      <c r="AX36">
        <v>2011</v>
      </c>
    </row>
    <row r="37" spans="1:50" x14ac:dyDescent="0.2">
      <c r="A37" s="151">
        <v>10</v>
      </c>
      <c r="B37" s="164" t="s">
        <v>39</v>
      </c>
      <c r="D37" s="165">
        <v>2280002200</v>
      </c>
      <c r="E37" s="173">
        <f>'Activity Data'!$B$65</f>
        <v>25.000000000000007</v>
      </c>
      <c r="F37" s="173">
        <f>'Activity Data'!$B$66</f>
        <v>25.000000000000007</v>
      </c>
      <c r="G37" s="173">
        <f>'Activity Data'!$B$67</f>
        <v>25.000000000000007</v>
      </c>
      <c r="H37" s="173">
        <f>'Activity Data'!$B$68</f>
        <v>25.000000000000007</v>
      </c>
      <c r="I37">
        <v>7</v>
      </c>
      <c r="J37">
        <v>52</v>
      </c>
      <c r="K37" s="151">
        <v>24</v>
      </c>
      <c r="L37" s="151">
        <f t="shared" si="19"/>
        <v>8736</v>
      </c>
      <c r="M37" s="139">
        <f>Calculations!G$38</f>
        <v>3143055.0331001617</v>
      </c>
      <c r="N37" t="s">
        <v>174</v>
      </c>
      <c r="O37">
        <f t="shared" si="24"/>
        <v>8634.7665744509959</v>
      </c>
      <c r="P37" t="s">
        <v>174</v>
      </c>
      <c r="Q37">
        <f t="shared" si="25"/>
        <v>8634.7665744509959</v>
      </c>
      <c r="R37" t="s">
        <v>174</v>
      </c>
      <c r="U37" s="151" t="s">
        <v>15</v>
      </c>
      <c r="V37">
        <v>20110101</v>
      </c>
      <c r="W37">
        <v>20111231</v>
      </c>
      <c r="Z37" s="140">
        <f>Calculations!M$38</f>
        <v>1.4310535770118595</v>
      </c>
      <c r="AA37" s="151" t="s">
        <v>234</v>
      </c>
      <c r="AB37" s="174">
        <f t="shared" si="10"/>
        <v>3.9314658709117033E-3</v>
      </c>
      <c r="AC37" s="151" t="s">
        <v>234</v>
      </c>
      <c r="AD37" s="174">
        <f t="shared" si="11"/>
        <v>3.9314658709117033E-3</v>
      </c>
      <c r="AE37" s="151" t="s">
        <v>234</v>
      </c>
      <c r="AF37" s="140">
        <f t="shared" si="12"/>
        <v>1.4310535770118595</v>
      </c>
      <c r="AG37" s="174">
        <f t="shared" si="13"/>
        <v>3.9314658709117033E-3</v>
      </c>
      <c r="AH37" s="174">
        <f t="shared" si="14"/>
        <v>3.9314658709117033E-3</v>
      </c>
      <c r="AJ37">
        <v>0</v>
      </c>
      <c r="AK37">
        <v>0</v>
      </c>
      <c r="AL37">
        <v>0</v>
      </c>
      <c r="AN37">
        <f t="shared" si="8"/>
        <v>0.41305411180937052</v>
      </c>
      <c r="AO37" s="151" t="s">
        <v>235</v>
      </c>
      <c r="AP37" t="s">
        <v>174</v>
      </c>
      <c r="AR37">
        <f>'Activity Data'!$B$63</f>
        <v>2.7472527472527479E-3</v>
      </c>
      <c r="AS37">
        <f>'Activity Data'!$B$64</f>
        <v>2.7472527472527479E-3</v>
      </c>
      <c r="AW37" s="151" t="s">
        <v>233</v>
      </c>
      <c r="AX37">
        <v>2011</v>
      </c>
    </row>
    <row r="38" spans="1:50" x14ac:dyDescent="0.2">
      <c r="A38" s="151">
        <v>10</v>
      </c>
      <c r="B38" s="164" t="s">
        <v>41</v>
      </c>
      <c r="D38" s="165">
        <v>2280002200</v>
      </c>
      <c r="E38" s="173">
        <f>'Activity Data'!$B$65</f>
        <v>25.000000000000007</v>
      </c>
      <c r="F38" s="173">
        <f>'Activity Data'!$B$66</f>
        <v>25.000000000000007</v>
      </c>
      <c r="G38" s="173">
        <f>'Activity Data'!$B$67</f>
        <v>25.000000000000007</v>
      </c>
      <c r="H38" s="173">
        <f>'Activity Data'!$B$68</f>
        <v>25.000000000000007</v>
      </c>
      <c r="I38">
        <v>7</v>
      </c>
      <c r="J38">
        <v>52</v>
      </c>
      <c r="K38" s="151">
        <v>24</v>
      </c>
      <c r="L38" s="151">
        <f t="shared" si="19"/>
        <v>8736</v>
      </c>
      <c r="M38" s="139">
        <f>Calculations!G$39</f>
        <v>5432019.024597019</v>
      </c>
      <c r="N38" t="s">
        <v>174</v>
      </c>
      <c r="O38">
        <f t="shared" si="24"/>
        <v>14923.129188453353</v>
      </c>
      <c r="P38" t="s">
        <v>174</v>
      </c>
      <c r="Q38">
        <f t="shared" si="25"/>
        <v>14923.129188453353</v>
      </c>
      <c r="R38" t="s">
        <v>174</v>
      </c>
      <c r="U38" s="151" t="s">
        <v>15</v>
      </c>
      <c r="V38">
        <v>20110101</v>
      </c>
      <c r="W38">
        <v>20111231</v>
      </c>
      <c r="Z38" s="140">
        <f>Calculations!M$39</f>
        <v>2.4732338994009311</v>
      </c>
      <c r="AA38" s="151" t="s">
        <v>234</v>
      </c>
      <c r="AB38" s="174">
        <f t="shared" si="10"/>
        <v>6.7945986247278344E-3</v>
      </c>
      <c r="AC38" s="151" t="s">
        <v>234</v>
      </c>
      <c r="AD38" s="174">
        <f t="shared" si="11"/>
        <v>6.7945986247278344E-3</v>
      </c>
      <c r="AE38" s="151" t="s">
        <v>234</v>
      </c>
      <c r="AF38" s="140">
        <f t="shared" si="12"/>
        <v>2.4732338994009311</v>
      </c>
      <c r="AG38" s="174">
        <f t="shared" si="13"/>
        <v>6.7945986247278344E-3</v>
      </c>
      <c r="AH38" s="174">
        <f t="shared" si="14"/>
        <v>6.7945986247278344E-3</v>
      </c>
      <c r="AJ38">
        <v>0</v>
      </c>
      <c r="AK38">
        <v>0</v>
      </c>
      <c r="AL38">
        <v>0</v>
      </c>
      <c r="AN38">
        <f t="shared" si="8"/>
        <v>0.41305411180937052</v>
      </c>
      <c r="AO38" s="151" t="s">
        <v>235</v>
      </c>
      <c r="AP38" t="s">
        <v>174</v>
      </c>
      <c r="AR38">
        <f>'Activity Data'!$B$63</f>
        <v>2.7472527472527479E-3</v>
      </c>
      <c r="AS38">
        <f>'Activity Data'!$B$64</f>
        <v>2.7472527472527479E-3</v>
      </c>
      <c r="AW38" s="151" t="s">
        <v>233</v>
      </c>
      <c r="AX38">
        <v>2011</v>
      </c>
    </row>
    <row r="39" spans="1:50" x14ac:dyDescent="0.2">
      <c r="A39" s="151">
        <v>10</v>
      </c>
      <c r="B39" s="164" t="s">
        <v>40</v>
      </c>
      <c r="D39" s="165">
        <v>2280002100</v>
      </c>
      <c r="E39" s="173">
        <f>'Activity Data'!$B$65</f>
        <v>25.000000000000007</v>
      </c>
      <c r="F39" s="173">
        <f>'Activity Data'!$B$66</f>
        <v>25.000000000000007</v>
      </c>
      <c r="G39" s="173">
        <f>'Activity Data'!$B$67</f>
        <v>25.000000000000007</v>
      </c>
      <c r="H39" s="173">
        <f>'Activity Data'!$B$68</f>
        <v>25.000000000000007</v>
      </c>
      <c r="I39">
        <v>7</v>
      </c>
      <c r="J39">
        <v>52</v>
      </c>
      <c r="K39" s="151">
        <v>24</v>
      </c>
      <c r="L39" s="151">
        <f t="shared" ref="L39:L44" si="26">I39*J39*K39</f>
        <v>8736</v>
      </c>
      <c r="M39" s="139">
        <f>Calculations!G$34</f>
        <v>0</v>
      </c>
      <c r="N39" t="s">
        <v>174</v>
      </c>
      <c r="O39">
        <f>M39*AR39</f>
        <v>0</v>
      </c>
      <c r="P39" t="s">
        <v>174</v>
      </c>
      <c r="Q39">
        <f>M39*AS39</f>
        <v>0</v>
      </c>
      <c r="R39" t="s">
        <v>174</v>
      </c>
      <c r="U39" s="151" t="s">
        <v>243</v>
      </c>
      <c r="V39">
        <v>20110101</v>
      </c>
      <c r="W39">
        <v>20111231</v>
      </c>
      <c r="Z39" s="140">
        <f>Calculations!N34</f>
        <v>0</v>
      </c>
      <c r="AA39" s="151" t="s">
        <v>234</v>
      </c>
      <c r="AB39" s="174">
        <f t="shared" ref="AB39:AB44" si="27">Z39*AR39</f>
        <v>0</v>
      </c>
      <c r="AC39" s="151" t="s">
        <v>234</v>
      </c>
      <c r="AD39" s="174">
        <f t="shared" ref="AD39:AD44" si="28">Z39*AS39</f>
        <v>0</v>
      </c>
      <c r="AE39" s="151" t="s">
        <v>234</v>
      </c>
      <c r="AF39" s="140">
        <f t="shared" ref="AF39:AF44" si="29">Z39</f>
        <v>0</v>
      </c>
      <c r="AG39" s="174">
        <f t="shared" ref="AG39:AG44" si="30">AB39</f>
        <v>0</v>
      </c>
      <c r="AH39" s="174">
        <f t="shared" ref="AH39:AH44" si="31">AD39</f>
        <v>0</v>
      </c>
      <c r="AJ39">
        <v>0</v>
      </c>
      <c r="AK39">
        <v>0</v>
      </c>
      <c r="AL39">
        <v>0</v>
      </c>
      <c r="AN39">
        <v>0</v>
      </c>
      <c r="AO39" s="151" t="s">
        <v>235</v>
      </c>
      <c r="AP39" t="s">
        <v>174</v>
      </c>
      <c r="AR39">
        <f>'Activity Data'!$B$63</f>
        <v>2.7472527472527479E-3</v>
      </c>
      <c r="AS39">
        <f>'Activity Data'!$B$64</f>
        <v>2.7472527472527479E-3</v>
      </c>
      <c r="AW39" s="151" t="s">
        <v>233</v>
      </c>
      <c r="AX39">
        <v>2011</v>
      </c>
    </row>
    <row r="40" spans="1:50" x14ac:dyDescent="0.2">
      <c r="A40" s="151">
        <v>10</v>
      </c>
      <c r="B40" s="164" t="s">
        <v>39</v>
      </c>
      <c r="D40" s="165">
        <v>2280002100</v>
      </c>
      <c r="E40" s="173">
        <f>'Activity Data'!$B$65</f>
        <v>25.000000000000007</v>
      </c>
      <c r="F40" s="173">
        <f>'Activity Data'!$B$66</f>
        <v>25.000000000000007</v>
      </c>
      <c r="G40" s="173">
        <f>'Activity Data'!$B$67</f>
        <v>25.000000000000007</v>
      </c>
      <c r="H40" s="173">
        <f>'Activity Data'!$B$68</f>
        <v>25.000000000000007</v>
      </c>
      <c r="I40">
        <v>7</v>
      </c>
      <c r="J40">
        <v>52</v>
      </c>
      <c r="K40" s="151">
        <v>24</v>
      </c>
      <c r="L40" s="151">
        <f t="shared" si="26"/>
        <v>8736</v>
      </c>
      <c r="M40" s="139">
        <f>Calculations!G$35</f>
        <v>4751008.8324999996</v>
      </c>
      <c r="N40" t="s">
        <v>174</v>
      </c>
      <c r="O40">
        <f t="shared" ref="O40:O44" si="32">M40*AR40</f>
        <v>13052.222067307694</v>
      </c>
      <c r="P40" t="s">
        <v>174</v>
      </c>
      <c r="Q40">
        <f t="shared" ref="Q40:Q44" si="33">M40*AS40</f>
        <v>13052.222067307694</v>
      </c>
      <c r="R40" t="s">
        <v>174</v>
      </c>
      <c r="U40" s="151" t="s">
        <v>243</v>
      </c>
      <c r="V40">
        <v>20110101</v>
      </c>
      <c r="W40">
        <v>20111231</v>
      </c>
      <c r="Z40" s="140">
        <f>Calculations!N35</f>
        <v>3.0172965238884818E-2</v>
      </c>
      <c r="AA40" s="151" t="s">
        <v>234</v>
      </c>
      <c r="AB40" s="174">
        <f t="shared" si="27"/>
        <v>8.2892761645287982E-5</v>
      </c>
      <c r="AC40" s="151" t="s">
        <v>234</v>
      </c>
      <c r="AD40" s="174">
        <f t="shared" si="28"/>
        <v>8.2892761645287982E-5</v>
      </c>
      <c r="AE40" s="151" t="s">
        <v>234</v>
      </c>
      <c r="AF40" s="140">
        <f t="shared" si="29"/>
        <v>3.0172965238884818E-2</v>
      </c>
      <c r="AG40" s="174">
        <f t="shared" si="30"/>
        <v>8.2892761645287982E-5</v>
      </c>
      <c r="AH40" s="174">
        <f t="shared" si="31"/>
        <v>8.2892761645287982E-5</v>
      </c>
      <c r="AJ40">
        <v>0</v>
      </c>
      <c r="AK40">
        <v>0</v>
      </c>
      <c r="AL40">
        <v>0</v>
      </c>
      <c r="AN40">
        <f t="shared" ref="AN40:AN44" si="34">AF40*907200/M40</f>
        <v>5.7614950907831867E-3</v>
      </c>
      <c r="AO40" s="151" t="s">
        <v>235</v>
      </c>
      <c r="AP40" t="s">
        <v>174</v>
      </c>
      <c r="AR40">
        <f>'Activity Data'!$B$63</f>
        <v>2.7472527472527479E-3</v>
      </c>
      <c r="AS40">
        <f>'Activity Data'!$B$64</f>
        <v>2.7472527472527479E-3</v>
      </c>
      <c r="AW40" s="151" t="s">
        <v>233</v>
      </c>
      <c r="AX40">
        <v>2011</v>
      </c>
    </row>
    <row r="41" spans="1:50" x14ac:dyDescent="0.2">
      <c r="A41" s="151">
        <v>10</v>
      </c>
      <c r="B41" s="164" t="s">
        <v>41</v>
      </c>
      <c r="D41" s="165">
        <v>2280002100</v>
      </c>
      <c r="E41" s="173">
        <f>'Activity Data'!$B$65</f>
        <v>25.000000000000007</v>
      </c>
      <c r="F41" s="173">
        <f>'Activity Data'!$B$66</f>
        <v>25.000000000000007</v>
      </c>
      <c r="G41" s="173">
        <f>'Activity Data'!$B$67</f>
        <v>25.000000000000007</v>
      </c>
      <c r="H41" s="173">
        <f>'Activity Data'!$B$68</f>
        <v>25.000000000000007</v>
      </c>
      <c r="I41">
        <v>7</v>
      </c>
      <c r="J41">
        <v>52</v>
      </c>
      <c r="K41" s="151">
        <v>24</v>
      </c>
      <c r="L41" s="151">
        <f t="shared" si="26"/>
        <v>8736</v>
      </c>
      <c r="M41" s="139">
        <f>Calculations!G$36</f>
        <v>337779.36549999996</v>
      </c>
      <c r="N41" t="s">
        <v>174</v>
      </c>
      <c r="O41">
        <f t="shared" si="32"/>
        <v>927.96528983516498</v>
      </c>
      <c r="P41" t="s">
        <v>174</v>
      </c>
      <c r="Q41">
        <f t="shared" si="33"/>
        <v>927.96528983516498</v>
      </c>
      <c r="R41" t="s">
        <v>174</v>
      </c>
      <c r="U41" s="151" t="s">
        <v>243</v>
      </c>
      <c r="V41">
        <v>20110101</v>
      </c>
      <c r="W41">
        <v>20111231</v>
      </c>
      <c r="Z41" s="140">
        <f>Calculations!N36</f>
        <v>2.1451875618343358E-3</v>
      </c>
      <c r="AA41" s="151" t="s">
        <v>234</v>
      </c>
      <c r="AB41" s="174">
        <f t="shared" si="27"/>
        <v>5.893372422621803E-6</v>
      </c>
      <c r="AC41" s="151" t="s">
        <v>234</v>
      </c>
      <c r="AD41" s="174">
        <f t="shared" si="28"/>
        <v>5.893372422621803E-6</v>
      </c>
      <c r="AE41" s="151" t="s">
        <v>234</v>
      </c>
      <c r="AF41" s="140">
        <f t="shared" si="29"/>
        <v>2.1451875618343358E-3</v>
      </c>
      <c r="AG41" s="174">
        <f t="shared" si="30"/>
        <v>5.893372422621803E-6</v>
      </c>
      <c r="AH41" s="174">
        <f t="shared" si="31"/>
        <v>5.893372422621803E-6</v>
      </c>
      <c r="AJ41">
        <v>0</v>
      </c>
      <c r="AK41">
        <v>0</v>
      </c>
      <c r="AL41">
        <v>0</v>
      </c>
      <c r="AN41">
        <f t="shared" si="34"/>
        <v>5.7614950907831867E-3</v>
      </c>
      <c r="AO41" s="151" t="s">
        <v>235</v>
      </c>
      <c r="AP41" t="s">
        <v>174</v>
      </c>
      <c r="AR41">
        <f>'Activity Data'!$B$63</f>
        <v>2.7472527472527479E-3</v>
      </c>
      <c r="AS41">
        <f>'Activity Data'!$B$64</f>
        <v>2.7472527472527479E-3</v>
      </c>
      <c r="AW41" s="151" t="s">
        <v>233</v>
      </c>
      <c r="AX41">
        <v>2011</v>
      </c>
    </row>
    <row r="42" spans="1:50" x14ac:dyDescent="0.2">
      <c r="A42" s="151">
        <v>10</v>
      </c>
      <c r="B42" s="164" t="s">
        <v>40</v>
      </c>
      <c r="D42" s="165">
        <v>2280002200</v>
      </c>
      <c r="E42" s="173">
        <f>'Activity Data'!$B$65</f>
        <v>25.000000000000007</v>
      </c>
      <c r="F42" s="173">
        <f>'Activity Data'!$B$66</f>
        <v>25.000000000000007</v>
      </c>
      <c r="G42" s="173">
        <f>'Activity Data'!$B$67</f>
        <v>25.000000000000007</v>
      </c>
      <c r="H42" s="173">
        <f>'Activity Data'!$B$68</f>
        <v>25.000000000000007</v>
      </c>
      <c r="I42">
        <v>7</v>
      </c>
      <c r="J42">
        <v>52</v>
      </c>
      <c r="K42" s="151">
        <v>24</v>
      </c>
      <c r="L42" s="151">
        <f t="shared" si="26"/>
        <v>8736</v>
      </c>
      <c r="M42" s="139">
        <f>Calculations!G$37</f>
        <v>11137347.182507096</v>
      </c>
      <c r="N42" t="s">
        <v>174</v>
      </c>
      <c r="O42">
        <f t="shared" si="32"/>
        <v>30597.107644250271</v>
      </c>
      <c r="P42" t="s">
        <v>174</v>
      </c>
      <c r="Q42">
        <f t="shared" si="33"/>
        <v>30597.107644250271</v>
      </c>
      <c r="R42" t="s">
        <v>174</v>
      </c>
      <c r="U42" s="151" t="s">
        <v>243</v>
      </c>
      <c r="V42">
        <v>20110101</v>
      </c>
      <c r="W42">
        <v>20111231</v>
      </c>
      <c r="Z42" s="140">
        <f>Calculations!N37</f>
        <v>7.0731670101810612E-2</v>
      </c>
      <c r="AA42" s="151" t="s">
        <v>234</v>
      </c>
      <c r="AB42" s="174">
        <f t="shared" si="27"/>
        <v>1.9431777500497426E-4</v>
      </c>
      <c r="AC42" s="151" t="s">
        <v>234</v>
      </c>
      <c r="AD42" s="174">
        <f t="shared" si="28"/>
        <v>1.9431777500497426E-4</v>
      </c>
      <c r="AE42" s="151" t="s">
        <v>234</v>
      </c>
      <c r="AF42" s="140">
        <f t="shared" si="29"/>
        <v>7.0731670101810612E-2</v>
      </c>
      <c r="AG42" s="174">
        <f t="shared" si="30"/>
        <v>1.9431777500497426E-4</v>
      </c>
      <c r="AH42" s="174">
        <f t="shared" si="31"/>
        <v>1.9431777500497426E-4</v>
      </c>
      <c r="AJ42">
        <v>0</v>
      </c>
      <c r="AK42">
        <v>0</v>
      </c>
      <c r="AL42">
        <v>0</v>
      </c>
      <c r="AN42">
        <f t="shared" si="34"/>
        <v>5.7614950907831867E-3</v>
      </c>
      <c r="AO42" s="151" t="s">
        <v>235</v>
      </c>
      <c r="AP42" t="s">
        <v>174</v>
      </c>
      <c r="AR42">
        <f>'Activity Data'!$B$63</f>
        <v>2.7472527472527479E-3</v>
      </c>
      <c r="AS42">
        <f>'Activity Data'!$B$64</f>
        <v>2.7472527472527479E-3</v>
      </c>
      <c r="AW42" s="151" t="s">
        <v>233</v>
      </c>
      <c r="AX42">
        <v>2011</v>
      </c>
    </row>
    <row r="43" spans="1:50" x14ac:dyDescent="0.2">
      <c r="A43" s="151">
        <v>10</v>
      </c>
      <c r="B43" s="164" t="s">
        <v>39</v>
      </c>
      <c r="D43" s="165">
        <v>2280002200</v>
      </c>
      <c r="E43" s="173">
        <f>'Activity Data'!$B$65</f>
        <v>25.000000000000007</v>
      </c>
      <c r="F43" s="173">
        <f>'Activity Data'!$B$66</f>
        <v>25.000000000000007</v>
      </c>
      <c r="G43" s="173">
        <f>'Activity Data'!$B$67</f>
        <v>25.000000000000007</v>
      </c>
      <c r="H43" s="173">
        <f>'Activity Data'!$B$68</f>
        <v>25.000000000000007</v>
      </c>
      <c r="I43">
        <v>7</v>
      </c>
      <c r="J43">
        <v>52</v>
      </c>
      <c r="K43" s="151">
        <v>24</v>
      </c>
      <c r="L43" s="151">
        <f t="shared" si="26"/>
        <v>8736</v>
      </c>
      <c r="M43" s="139">
        <f>Calculations!G$38</f>
        <v>3143055.0331001617</v>
      </c>
      <c r="N43" t="s">
        <v>174</v>
      </c>
      <c r="O43">
        <f t="shared" si="32"/>
        <v>8634.7665744509959</v>
      </c>
      <c r="P43" t="s">
        <v>174</v>
      </c>
      <c r="Q43">
        <f t="shared" si="33"/>
        <v>8634.7665744509959</v>
      </c>
      <c r="R43" t="s">
        <v>174</v>
      </c>
      <c r="U43" s="151" t="s">
        <v>243</v>
      </c>
      <c r="V43">
        <v>20110101</v>
      </c>
      <c r="W43">
        <v>20111231</v>
      </c>
      <c r="Z43" s="140">
        <f>Calculations!N38</f>
        <v>1.99610848140079E-2</v>
      </c>
      <c r="AA43" s="151" t="s">
        <v>234</v>
      </c>
      <c r="AB43" s="174">
        <f t="shared" si="27"/>
        <v>5.4838145093428306E-5</v>
      </c>
      <c r="AC43" s="151" t="s">
        <v>234</v>
      </c>
      <c r="AD43" s="174">
        <f t="shared" si="28"/>
        <v>5.4838145093428306E-5</v>
      </c>
      <c r="AE43" s="151" t="s">
        <v>234</v>
      </c>
      <c r="AF43" s="140">
        <f t="shared" si="29"/>
        <v>1.99610848140079E-2</v>
      </c>
      <c r="AG43" s="174">
        <f t="shared" si="30"/>
        <v>5.4838145093428306E-5</v>
      </c>
      <c r="AH43" s="174">
        <f t="shared" si="31"/>
        <v>5.4838145093428306E-5</v>
      </c>
      <c r="AJ43">
        <v>0</v>
      </c>
      <c r="AK43">
        <v>0</v>
      </c>
      <c r="AL43">
        <v>0</v>
      </c>
      <c r="AN43">
        <f t="shared" si="34"/>
        <v>5.7614950907831867E-3</v>
      </c>
      <c r="AO43" s="151" t="s">
        <v>235</v>
      </c>
      <c r="AP43" t="s">
        <v>174</v>
      </c>
      <c r="AR43">
        <f>'Activity Data'!$B$63</f>
        <v>2.7472527472527479E-3</v>
      </c>
      <c r="AS43">
        <f>'Activity Data'!$B$64</f>
        <v>2.7472527472527479E-3</v>
      </c>
      <c r="AW43" s="151" t="s">
        <v>233</v>
      </c>
      <c r="AX43">
        <v>2011</v>
      </c>
    </row>
    <row r="44" spans="1:50" x14ac:dyDescent="0.2">
      <c r="A44" s="151">
        <v>10</v>
      </c>
      <c r="B44" s="164" t="s">
        <v>41</v>
      </c>
      <c r="D44" s="165">
        <v>2280002200</v>
      </c>
      <c r="E44" s="173">
        <f>'Activity Data'!$B$65</f>
        <v>25.000000000000007</v>
      </c>
      <c r="F44" s="173">
        <f>'Activity Data'!$B$66</f>
        <v>25.000000000000007</v>
      </c>
      <c r="G44" s="173">
        <f>'Activity Data'!$B$67</f>
        <v>25.000000000000007</v>
      </c>
      <c r="H44" s="173">
        <f>'Activity Data'!$B$68</f>
        <v>25.000000000000007</v>
      </c>
      <c r="I44">
        <v>7</v>
      </c>
      <c r="J44">
        <v>52</v>
      </c>
      <c r="K44" s="151">
        <v>24</v>
      </c>
      <c r="L44" s="151">
        <f t="shared" si="26"/>
        <v>8736</v>
      </c>
      <c r="M44" s="139">
        <f>Calculations!G$39</f>
        <v>5432019.024597019</v>
      </c>
      <c r="N44" t="s">
        <v>174</v>
      </c>
      <c r="O44">
        <f t="shared" si="32"/>
        <v>14923.129188453353</v>
      </c>
      <c r="P44" t="s">
        <v>174</v>
      </c>
      <c r="Q44">
        <f t="shared" si="33"/>
        <v>14923.129188453353</v>
      </c>
      <c r="R44" t="s">
        <v>174</v>
      </c>
      <c r="U44" s="151" t="s">
        <v>243</v>
      </c>
      <c r="V44">
        <v>20110101</v>
      </c>
      <c r="W44">
        <v>20111231</v>
      </c>
      <c r="Z44" s="140">
        <f>Calculations!N39</f>
        <v>3.4497961798122354E-2</v>
      </c>
      <c r="AA44" s="151" t="s">
        <v>234</v>
      </c>
      <c r="AB44" s="174">
        <f t="shared" si="27"/>
        <v>9.4774620324511983E-5</v>
      </c>
      <c r="AC44" s="151" t="s">
        <v>234</v>
      </c>
      <c r="AD44" s="174">
        <f t="shared" si="28"/>
        <v>9.4774620324511983E-5</v>
      </c>
      <c r="AE44" s="151" t="s">
        <v>234</v>
      </c>
      <c r="AF44" s="140">
        <f t="shared" si="29"/>
        <v>3.4497961798122354E-2</v>
      </c>
      <c r="AG44" s="174">
        <f t="shared" si="30"/>
        <v>9.4774620324511983E-5</v>
      </c>
      <c r="AH44" s="174">
        <f t="shared" si="31"/>
        <v>9.4774620324511983E-5</v>
      </c>
      <c r="AJ44">
        <v>0</v>
      </c>
      <c r="AK44">
        <v>0</v>
      </c>
      <c r="AL44">
        <v>0</v>
      </c>
      <c r="AN44">
        <f t="shared" si="34"/>
        <v>5.7614950907831867E-3</v>
      </c>
      <c r="AO44" s="151" t="s">
        <v>235</v>
      </c>
      <c r="AP44" t="s">
        <v>174</v>
      </c>
      <c r="AR44">
        <f>'Activity Data'!$B$63</f>
        <v>2.7472527472527479E-3</v>
      </c>
      <c r="AS44">
        <f>'Activity Data'!$B$64</f>
        <v>2.7472527472527479E-3</v>
      </c>
      <c r="AW44" s="151" t="s">
        <v>233</v>
      </c>
      <c r="AX44">
        <v>2011</v>
      </c>
    </row>
    <row r="45" spans="1:50" x14ac:dyDescent="0.2">
      <c r="A45" s="151">
        <v>10</v>
      </c>
      <c r="B45" s="164" t="s">
        <v>40</v>
      </c>
      <c r="D45" s="165">
        <v>2280002100</v>
      </c>
      <c r="E45" s="173">
        <f>'Activity Data'!$B$65</f>
        <v>25.000000000000007</v>
      </c>
      <c r="F45" s="173">
        <f>'Activity Data'!$B$66</f>
        <v>25.000000000000007</v>
      </c>
      <c r="G45" s="173">
        <f>'Activity Data'!$B$67</f>
        <v>25.000000000000007</v>
      </c>
      <c r="H45" s="173">
        <f>'Activity Data'!$B$68</f>
        <v>25.000000000000007</v>
      </c>
      <c r="I45">
        <v>7</v>
      </c>
      <c r="J45">
        <v>52</v>
      </c>
      <c r="K45" s="151">
        <v>24</v>
      </c>
      <c r="L45" s="151">
        <f t="shared" ref="L45:L62" si="35">I45*J45*K45</f>
        <v>8736</v>
      </c>
      <c r="M45" s="139">
        <f>Calculations!G$34</f>
        <v>0</v>
      </c>
      <c r="N45" t="s">
        <v>174</v>
      </c>
      <c r="O45">
        <f t="shared" si="24"/>
        <v>0</v>
      </c>
      <c r="P45" t="s">
        <v>174</v>
      </c>
      <c r="Q45">
        <f t="shared" si="25"/>
        <v>0</v>
      </c>
      <c r="R45" t="s">
        <v>174</v>
      </c>
      <c r="U45" s="151" t="s">
        <v>95</v>
      </c>
      <c r="V45">
        <v>20110101</v>
      </c>
      <c r="W45">
        <v>20111231</v>
      </c>
      <c r="Z45" s="140">
        <f>Calculations!O34</f>
        <v>0</v>
      </c>
      <c r="AA45" s="151" t="s">
        <v>234</v>
      </c>
      <c r="AB45" s="174">
        <f t="shared" ref="AB45:AB62" si="36">Z45*AR45</f>
        <v>0</v>
      </c>
      <c r="AC45" s="151" t="s">
        <v>234</v>
      </c>
      <c r="AD45" s="174">
        <f t="shared" ref="AD45:AD62" si="37">Z45*AS45</f>
        <v>0</v>
      </c>
      <c r="AE45" s="151" t="s">
        <v>234</v>
      </c>
      <c r="AF45" s="140">
        <f t="shared" ref="AF45:AF62" si="38">Z45</f>
        <v>0</v>
      </c>
      <c r="AG45" s="174">
        <f t="shared" ref="AG45:AG62" si="39">AB45</f>
        <v>0</v>
      </c>
      <c r="AH45" s="174">
        <f t="shared" ref="AH45:AH62" si="40">AD45</f>
        <v>0</v>
      </c>
      <c r="AJ45">
        <v>0</v>
      </c>
      <c r="AK45">
        <v>0</v>
      </c>
      <c r="AL45">
        <v>0</v>
      </c>
      <c r="AN45">
        <v>0</v>
      </c>
      <c r="AO45" s="151" t="s">
        <v>235</v>
      </c>
      <c r="AP45" t="s">
        <v>174</v>
      </c>
      <c r="AR45">
        <f>'Activity Data'!$B$63</f>
        <v>2.7472527472527479E-3</v>
      </c>
      <c r="AS45">
        <f>'Activity Data'!$B$64</f>
        <v>2.7472527472527479E-3</v>
      </c>
      <c r="AW45" s="151" t="s">
        <v>242</v>
      </c>
      <c r="AX45">
        <v>2011</v>
      </c>
    </row>
    <row r="46" spans="1:50" x14ac:dyDescent="0.2">
      <c r="A46" s="151">
        <v>10</v>
      </c>
      <c r="B46" s="164" t="s">
        <v>39</v>
      </c>
      <c r="D46" s="165">
        <v>2280002100</v>
      </c>
      <c r="E46" s="173">
        <f>'Activity Data'!$B$65</f>
        <v>25.000000000000007</v>
      </c>
      <c r="F46" s="173">
        <f>'Activity Data'!$B$66</f>
        <v>25.000000000000007</v>
      </c>
      <c r="G46" s="173">
        <f>'Activity Data'!$B$67</f>
        <v>25.000000000000007</v>
      </c>
      <c r="H46" s="173">
        <f>'Activity Data'!$B$68</f>
        <v>25.000000000000007</v>
      </c>
      <c r="I46">
        <v>7</v>
      </c>
      <c r="J46">
        <v>52</v>
      </c>
      <c r="K46" s="151">
        <v>24</v>
      </c>
      <c r="L46" s="151">
        <f t="shared" si="35"/>
        <v>8736</v>
      </c>
      <c r="M46" s="139">
        <f>Calculations!G$35</f>
        <v>4751008.8324999996</v>
      </c>
      <c r="N46" t="s">
        <v>174</v>
      </c>
      <c r="O46">
        <f t="shared" ref="O46:O62" si="41">M46*AR46</f>
        <v>13052.222067307694</v>
      </c>
      <c r="P46" t="s">
        <v>174</v>
      </c>
      <c r="Q46">
        <f t="shared" ref="Q46:Q62" si="42">M46*AS46</f>
        <v>13052.222067307694</v>
      </c>
      <c r="R46" t="s">
        <v>174</v>
      </c>
      <c r="U46" s="151" t="s">
        <v>95</v>
      </c>
      <c r="V46">
        <v>20110101</v>
      </c>
      <c r="W46">
        <v>20111231</v>
      </c>
      <c r="Z46" s="140">
        <f>Calculations!O35</f>
        <v>3613.5927936449989</v>
      </c>
      <c r="AA46" s="151" t="s">
        <v>234</v>
      </c>
      <c r="AB46" s="174">
        <f t="shared" si="36"/>
        <v>9.9274527297939557</v>
      </c>
      <c r="AC46" s="151" t="s">
        <v>234</v>
      </c>
      <c r="AD46" s="174">
        <f t="shared" si="37"/>
        <v>9.9274527297939557</v>
      </c>
      <c r="AE46" s="151" t="s">
        <v>234</v>
      </c>
      <c r="AF46" s="140">
        <f t="shared" si="38"/>
        <v>3613.5927936449989</v>
      </c>
      <c r="AG46" s="174">
        <f t="shared" si="39"/>
        <v>9.9274527297939557</v>
      </c>
      <c r="AH46" s="174">
        <f t="shared" si="40"/>
        <v>9.9274527297939557</v>
      </c>
      <c r="AJ46">
        <v>0</v>
      </c>
      <c r="AK46">
        <v>0</v>
      </c>
      <c r="AL46">
        <v>0</v>
      </c>
      <c r="AN46" s="90">
        <f t="shared" ref="AN46:AN50" si="43">AF46*907200/M46</f>
        <v>690.01163710102264</v>
      </c>
      <c r="AO46" s="151" t="s">
        <v>235</v>
      </c>
      <c r="AP46" t="s">
        <v>174</v>
      </c>
      <c r="AR46">
        <f>'Activity Data'!$B$63</f>
        <v>2.7472527472527479E-3</v>
      </c>
      <c r="AS46">
        <f>'Activity Data'!$B$64</f>
        <v>2.7472527472527479E-3</v>
      </c>
      <c r="AW46" s="151" t="s">
        <v>242</v>
      </c>
      <c r="AX46">
        <v>2011</v>
      </c>
    </row>
    <row r="47" spans="1:50" x14ac:dyDescent="0.2">
      <c r="A47" s="151">
        <v>10</v>
      </c>
      <c r="B47" s="164" t="s">
        <v>41</v>
      </c>
      <c r="D47" s="165">
        <v>2280002100</v>
      </c>
      <c r="E47" s="173">
        <f>'Activity Data'!$B$65</f>
        <v>25.000000000000007</v>
      </c>
      <c r="F47" s="173">
        <f>'Activity Data'!$B$66</f>
        <v>25.000000000000007</v>
      </c>
      <c r="G47" s="173">
        <f>'Activity Data'!$B$67</f>
        <v>25.000000000000007</v>
      </c>
      <c r="H47" s="173">
        <f>'Activity Data'!$B$68</f>
        <v>25.000000000000007</v>
      </c>
      <c r="I47">
        <v>7</v>
      </c>
      <c r="J47">
        <v>52</v>
      </c>
      <c r="K47" s="151">
        <v>24</v>
      </c>
      <c r="L47" s="151">
        <f t="shared" si="35"/>
        <v>8736</v>
      </c>
      <c r="M47" s="139">
        <f>Calculations!G$36</f>
        <v>337779.36549999996</v>
      </c>
      <c r="N47" t="s">
        <v>174</v>
      </c>
      <c r="O47">
        <f t="shared" si="41"/>
        <v>927.96528983516498</v>
      </c>
      <c r="P47" t="s">
        <v>174</v>
      </c>
      <c r="Q47">
        <f t="shared" si="42"/>
        <v>927.96528983516498</v>
      </c>
      <c r="R47" t="s">
        <v>174</v>
      </c>
      <c r="U47" s="151" t="s">
        <v>95</v>
      </c>
      <c r="V47">
        <v>20110101</v>
      </c>
      <c r="W47">
        <v>20111231</v>
      </c>
      <c r="Z47" s="140">
        <f>Calculations!O36</f>
        <v>256.91324180731885</v>
      </c>
      <c r="AA47" s="151" t="s">
        <v>234</v>
      </c>
      <c r="AB47" s="174">
        <f t="shared" si="36"/>
        <v>0.70580560936076631</v>
      </c>
      <c r="AC47" s="151" t="s">
        <v>234</v>
      </c>
      <c r="AD47" s="174">
        <f t="shared" si="37"/>
        <v>0.70580560936076631</v>
      </c>
      <c r="AE47" s="151" t="s">
        <v>234</v>
      </c>
      <c r="AF47" s="140">
        <f t="shared" si="38"/>
        <v>256.91324180731885</v>
      </c>
      <c r="AG47" s="174">
        <f t="shared" si="39"/>
        <v>0.70580560936076631</v>
      </c>
      <c r="AH47" s="174">
        <f t="shared" si="40"/>
        <v>0.70580560936076631</v>
      </c>
      <c r="AJ47">
        <v>0</v>
      </c>
      <c r="AK47">
        <v>0</v>
      </c>
      <c r="AL47">
        <v>0</v>
      </c>
      <c r="AN47" s="90">
        <f t="shared" si="43"/>
        <v>690.01163710102264</v>
      </c>
      <c r="AO47" s="151" t="s">
        <v>235</v>
      </c>
      <c r="AP47" t="s">
        <v>174</v>
      </c>
      <c r="AR47">
        <f>'Activity Data'!$B$63</f>
        <v>2.7472527472527479E-3</v>
      </c>
      <c r="AS47">
        <f>'Activity Data'!$B$64</f>
        <v>2.7472527472527479E-3</v>
      </c>
      <c r="AW47" s="151" t="s">
        <v>242</v>
      </c>
      <c r="AX47">
        <v>2011</v>
      </c>
    </row>
    <row r="48" spans="1:50" x14ac:dyDescent="0.2">
      <c r="A48" s="151">
        <v>10</v>
      </c>
      <c r="B48" s="164" t="s">
        <v>40</v>
      </c>
      <c r="D48" s="165">
        <v>2280002200</v>
      </c>
      <c r="E48" s="173">
        <f>'Activity Data'!$B$65</f>
        <v>25.000000000000007</v>
      </c>
      <c r="F48" s="173">
        <f>'Activity Data'!$B$66</f>
        <v>25.000000000000007</v>
      </c>
      <c r="G48" s="173">
        <f>'Activity Data'!$B$67</f>
        <v>25.000000000000007</v>
      </c>
      <c r="H48" s="173">
        <f>'Activity Data'!$B$68</f>
        <v>25.000000000000007</v>
      </c>
      <c r="I48">
        <v>7</v>
      </c>
      <c r="J48">
        <v>52</v>
      </c>
      <c r="K48" s="151">
        <v>24</v>
      </c>
      <c r="L48" s="151">
        <f t="shared" si="35"/>
        <v>8736</v>
      </c>
      <c r="M48" s="139">
        <f>Calculations!G$37</f>
        <v>11137347.182507096</v>
      </c>
      <c r="N48" t="s">
        <v>174</v>
      </c>
      <c r="O48">
        <f t="shared" si="41"/>
        <v>30597.107644250271</v>
      </c>
      <c r="P48" t="s">
        <v>174</v>
      </c>
      <c r="Q48">
        <f t="shared" si="42"/>
        <v>30597.107644250271</v>
      </c>
      <c r="R48" t="s">
        <v>174</v>
      </c>
      <c r="U48" s="151" t="s">
        <v>95</v>
      </c>
      <c r="V48">
        <v>20110101</v>
      </c>
      <c r="W48">
        <v>20111231</v>
      </c>
      <c r="Z48" s="140">
        <f>Calculations!O37</f>
        <v>8471.0087768564608</v>
      </c>
      <c r="AA48" s="151" t="s">
        <v>234</v>
      </c>
      <c r="AB48" s="174">
        <f t="shared" si="36"/>
        <v>23.272002134221051</v>
      </c>
      <c r="AC48" s="151" t="s">
        <v>234</v>
      </c>
      <c r="AD48" s="174">
        <f t="shared" si="37"/>
        <v>23.272002134221051</v>
      </c>
      <c r="AE48" s="151" t="s">
        <v>234</v>
      </c>
      <c r="AF48" s="140">
        <f t="shared" si="38"/>
        <v>8471.0087768564608</v>
      </c>
      <c r="AG48" s="174">
        <f t="shared" si="39"/>
        <v>23.272002134221051</v>
      </c>
      <c r="AH48" s="174">
        <f t="shared" si="40"/>
        <v>23.272002134221051</v>
      </c>
      <c r="AJ48">
        <v>0</v>
      </c>
      <c r="AK48">
        <v>0</v>
      </c>
      <c r="AL48">
        <v>0</v>
      </c>
      <c r="AN48" s="90">
        <f t="shared" si="43"/>
        <v>690.01163710102253</v>
      </c>
      <c r="AO48" s="151" t="s">
        <v>235</v>
      </c>
      <c r="AP48" t="s">
        <v>174</v>
      </c>
      <c r="AR48">
        <f>'Activity Data'!$B$63</f>
        <v>2.7472527472527479E-3</v>
      </c>
      <c r="AS48">
        <f>'Activity Data'!$B$64</f>
        <v>2.7472527472527479E-3</v>
      </c>
      <c r="AW48" s="151" t="s">
        <v>242</v>
      </c>
      <c r="AX48">
        <v>2011</v>
      </c>
    </row>
    <row r="49" spans="1:50" x14ac:dyDescent="0.2">
      <c r="A49" s="151">
        <v>10</v>
      </c>
      <c r="B49" s="164" t="s">
        <v>39</v>
      </c>
      <c r="D49" s="165">
        <v>2280002200</v>
      </c>
      <c r="E49" s="173">
        <f>'Activity Data'!$B$65</f>
        <v>25.000000000000007</v>
      </c>
      <c r="F49" s="173">
        <f>'Activity Data'!$B$66</f>
        <v>25.000000000000007</v>
      </c>
      <c r="G49" s="173">
        <f>'Activity Data'!$B$67</f>
        <v>25.000000000000007</v>
      </c>
      <c r="H49" s="173">
        <f>'Activity Data'!$B$68</f>
        <v>25.000000000000007</v>
      </c>
      <c r="I49">
        <v>7</v>
      </c>
      <c r="J49">
        <v>52</v>
      </c>
      <c r="K49" s="151">
        <v>24</v>
      </c>
      <c r="L49" s="151">
        <f t="shared" si="35"/>
        <v>8736</v>
      </c>
      <c r="M49" s="139">
        <f>Calculations!G$38</f>
        <v>3143055.0331001617</v>
      </c>
      <c r="N49" t="s">
        <v>174</v>
      </c>
      <c r="O49">
        <f t="shared" si="41"/>
        <v>8634.7665744509959</v>
      </c>
      <c r="P49" t="s">
        <v>174</v>
      </c>
      <c r="Q49">
        <f t="shared" si="42"/>
        <v>8634.7665744509959</v>
      </c>
      <c r="R49" t="s">
        <v>174</v>
      </c>
      <c r="U49" s="151" t="s">
        <v>95</v>
      </c>
      <c r="V49">
        <v>20110101</v>
      </c>
      <c r="W49">
        <v>20111231</v>
      </c>
      <c r="Z49" s="140">
        <f>Calculations!O38</f>
        <v>2390.591433959492</v>
      </c>
      <c r="AA49" s="151" t="s">
        <v>234</v>
      </c>
      <c r="AB49" s="174">
        <f t="shared" si="36"/>
        <v>6.5675588845041002</v>
      </c>
      <c r="AC49" s="151" t="s">
        <v>234</v>
      </c>
      <c r="AD49" s="174">
        <f t="shared" si="37"/>
        <v>6.5675588845041002</v>
      </c>
      <c r="AE49" s="151" t="s">
        <v>234</v>
      </c>
      <c r="AF49" s="140">
        <f t="shared" si="38"/>
        <v>2390.591433959492</v>
      </c>
      <c r="AG49" s="174">
        <f t="shared" si="39"/>
        <v>6.5675588845041002</v>
      </c>
      <c r="AH49" s="174">
        <f t="shared" si="40"/>
        <v>6.5675588845041002</v>
      </c>
      <c r="AJ49">
        <v>0</v>
      </c>
      <c r="AK49">
        <v>0</v>
      </c>
      <c r="AL49">
        <v>0</v>
      </c>
      <c r="AN49" s="90">
        <f t="shared" si="43"/>
        <v>690.01163710102253</v>
      </c>
      <c r="AO49" s="151" t="s">
        <v>235</v>
      </c>
      <c r="AP49" t="s">
        <v>174</v>
      </c>
      <c r="AR49">
        <f>'Activity Data'!$B$63</f>
        <v>2.7472527472527479E-3</v>
      </c>
      <c r="AS49">
        <f>'Activity Data'!$B$64</f>
        <v>2.7472527472527479E-3</v>
      </c>
      <c r="AW49" s="151" t="s">
        <v>242</v>
      </c>
      <c r="AX49">
        <v>2011</v>
      </c>
    </row>
    <row r="50" spans="1:50" x14ac:dyDescent="0.2">
      <c r="A50" s="151">
        <v>10</v>
      </c>
      <c r="B50" s="164" t="s">
        <v>41</v>
      </c>
      <c r="D50" s="165">
        <v>2280002200</v>
      </c>
      <c r="E50" s="173">
        <f>'Activity Data'!$B$65</f>
        <v>25.000000000000007</v>
      </c>
      <c r="F50" s="173">
        <f>'Activity Data'!$B$66</f>
        <v>25.000000000000007</v>
      </c>
      <c r="G50" s="173">
        <f>'Activity Data'!$B$67</f>
        <v>25.000000000000007</v>
      </c>
      <c r="H50" s="173">
        <f>'Activity Data'!$B$68</f>
        <v>25.000000000000007</v>
      </c>
      <c r="I50">
        <v>7</v>
      </c>
      <c r="J50">
        <v>52</v>
      </c>
      <c r="K50" s="151">
        <v>24</v>
      </c>
      <c r="L50" s="151">
        <f t="shared" si="35"/>
        <v>8736</v>
      </c>
      <c r="M50" s="139">
        <f>Calculations!G$39</f>
        <v>5432019.024597019</v>
      </c>
      <c r="N50" t="s">
        <v>174</v>
      </c>
      <c r="O50">
        <f t="shared" si="41"/>
        <v>14923.129188453353</v>
      </c>
      <c r="P50" t="s">
        <v>174</v>
      </c>
      <c r="Q50">
        <f t="shared" si="42"/>
        <v>14923.129188453353</v>
      </c>
      <c r="R50" t="s">
        <v>174</v>
      </c>
      <c r="U50" s="151" t="s">
        <v>95</v>
      </c>
      <c r="V50">
        <v>20110101</v>
      </c>
      <c r="W50">
        <v>20111231</v>
      </c>
      <c r="Z50" s="140">
        <f>Calculations!O39</f>
        <v>4131.5656304299919</v>
      </c>
      <c r="AA50" s="151" t="s">
        <v>234</v>
      </c>
      <c r="AB50" s="174">
        <f t="shared" si="36"/>
        <v>11.350455028653826</v>
      </c>
      <c r="AC50" s="151" t="s">
        <v>234</v>
      </c>
      <c r="AD50" s="174">
        <f t="shared" si="37"/>
        <v>11.350455028653826</v>
      </c>
      <c r="AE50" s="151" t="s">
        <v>234</v>
      </c>
      <c r="AF50" s="140">
        <f t="shared" si="38"/>
        <v>4131.5656304299919</v>
      </c>
      <c r="AG50" s="174">
        <f t="shared" si="39"/>
        <v>11.350455028653826</v>
      </c>
      <c r="AH50" s="174">
        <f t="shared" si="40"/>
        <v>11.350455028653826</v>
      </c>
      <c r="AJ50">
        <v>0</v>
      </c>
      <c r="AK50">
        <v>0</v>
      </c>
      <c r="AL50">
        <v>0</v>
      </c>
      <c r="AN50" s="90">
        <f t="shared" si="43"/>
        <v>690.01163710102253</v>
      </c>
      <c r="AO50" s="151" t="s">
        <v>235</v>
      </c>
      <c r="AP50" t="s">
        <v>174</v>
      </c>
      <c r="AR50">
        <f>'Activity Data'!$B$63</f>
        <v>2.7472527472527479E-3</v>
      </c>
      <c r="AS50">
        <f>'Activity Data'!$B$64</f>
        <v>2.7472527472527479E-3</v>
      </c>
      <c r="AW50" s="151" t="s">
        <v>242</v>
      </c>
      <c r="AX50">
        <v>2011</v>
      </c>
    </row>
    <row r="51" spans="1:50" x14ac:dyDescent="0.2">
      <c r="A51" s="151">
        <v>10</v>
      </c>
      <c r="B51" s="164" t="s">
        <v>40</v>
      </c>
      <c r="D51" s="165">
        <v>2280002100</v>
      </c>
      <c r="E51" s="173">
        <f>'Activity Data'!$B$65</f>
        <v>25.000000000000007</v>
      </c>
      <c r="F51" s="173">
        <f>'Activity Data'!$B$66</f>
        <v>25.000000000000007</v>
      </c>
      <c r="G51" s="173">
        <f>'Activity Data'!$B$67</f>
        <v>25.000000000000007</v>
      </c>
      <c r="H51" s="173">
        <f>'Activity Data'!$B$68</f>
        <v>25.000000000000007</v>
      </c>
      <c r="I51">
        <v>7</v>
      </c>
      <c r="J51">
        <v>52</v>
      </c>
      <c r="K51" s="151">
        <v>24</v>
      </c>
      <c r="L51" s="151">
        <f t="shared" si="35"/>
        <v>8736</v>
      </c>
      <c r="M51" s="139">
        <f>Calculations!G$34</f>
        <v>0</v>
      </c>
      <c r="N51" t="s">
        <v>174</v>
      </c>
      <c r="O51">
        <f t="shared" si="41"/>
        <v>0</v>
      </c>
      <c r="P51" t="s">
        <v>174</v>
      </c>
      <c r="Q51">
        <f t="shared" si="42"/>
        <v>0</v>
      </c>
      <c r="R51" t="s">
        <v>174</v>
      </c>
      <c r="U51" s="151" t="s">
        <v>96</v>
      </c>
      <c r="V51">
        <v>20110101</v>
      </c>
      <c r="W51">
        <v>20111231</v>
      </c>
      <c r="Z51" s="140">
        <f>Calculations!P34</f>
        <v>0</v>
      </c>
      <c r="AA51" s="151" t="s">
        <v>234</v>
      </c>
      <c r="AB51" s="174">
        <f t="shared" si="36"/>
        <v>0</v>
      </c>
      <c r="AC51" s="151" t="s">
        <v>234</v>
      </c>
      <c r="AD51" s="174">
        <f t="shared" si="37"/>
        <v>0</v>
      </c>
      <c r="AE51" s="151" t="s">
        <v>234</v>
      </c>
      <c r="AF51" s="140">
        <f t="shared" si="38"/>
        <v>0</v>
      </c>
      <c r="AG51" s="174">
        <f t="shared" si="39"/>
        <v>0</v>
      </c>
      <c r="AH51" s="174">
        <f t="shared" si="40"/>
        <v>0</v>
      </c>
      <c r="AJ51">
        <v>0</v>
      </c>
      <c r="AK51">
        <v>0</v>
      </c>
      <c r="AL51">
        <v>0</v>
      </c>
      <c r="AN51">
        <v>0</v>
      </c>
      <c r="AO51" s="151" t="s">
        <v>235</v>
      </c>
      <c r="AP51" t="s">
        <v>174</v>
      </c>
      <c r="AR51">
        <f>'Activity Data'!$B$63</f>
        <v>2.7472527472527479E-3</v>
      </c>
      <c r="AS51">
        <f>'Activity Data'!$B$64</f>
        <v>2.7472527472527479E-3</v>
      </c>
      <c r="AW51" s="151" t="s">
        <v>242</v>
      </c>
      <c r="AX51">
        <v>2011</v>
      </c>
    </row>
    <row r="52" spans="1:50" x14ac:dyDescent="0.2">
      <c r="A52" s="151">
        <v>10</v>
      </c>
      <c r="B52" s="164" t="s">
        <v>39</v>
      </c>
      <c r="D52" s="165">
        <v>2280002100</v>
      </c>
      <c r="E52" s="173">
        <f>'Activity Data'!$B$65</f>
        <v>25.000000000000007</v>
      </c>
      <c r="F52" s="173">
        <f>'Activity Data'!$B$66</f>
        <v>25.000000000000007</v>
      </c>
      <c r="G52" s="173">
        <f>'Activity Data'!$B$67</f>
        <v>25.000000000000007</v>
      </c>
      <c r="H52" s="173">
        <f>'Activity Data'!$B$68</f>
        <v>25.000000000000007</v>
      </c>
      <c r="I52">
        <v>7</v>
      </c>
      <c r="J52">
        <v>52</v>
      </c>
      <c r="K52" s="151">
        <v>24</v>
      </c>
      <c r="L52" s="151">
        <f t="shared" si="35"/>
        <v>8736</v>
      </c>
      <c r="M52" s="139">
        <f>Calculations!G$35</f>
        <v>4751008.8324999996</v>
      </c>
      <c r="N52" t="s">
        <v>174</v>
      </c>
      <c r="O52">
        <f t="shared" si="41"/>
        <v>13052.222067307694</v>
      </c>
      <c r="P52" t="s">
        <v>174</v>
      </c>
      <c r="Q52">
        <f t="shared" si="42"/>
        <v>13052.222067307694</v>
      </c>
      <c r="R52" t="s">
        <v>174</v>
      </c>
      <c r="U52" s="151" t="s">
        <v>96</v>
      </c>
      <c r="V52">
        <v>20110101</v>
      </c>
      <c r="W52">
        <v>20111231</v>
      </c>
      <c r="Z52" s="140">
        <f>Calculations!P35</f>
        <v>0.47133819047543457</v>
      </c>
      <c r="AA52" s="151" t="s">
        <v>234</v>
      </c>
      <c r="AB52" s="174">
        <f t="shared" si="36"/>
        <v>1.2948851386687765E-3</v>
      </c>
      <c r="AC52" s="151" t="s">
        <v>234</v>
      </c>
      <c r="AD52" s="174">
        <f t="shared" si="37"/>
        <v>1.2948851386687765E-3</v>
      </c>
      <c r="AE52" s="151" t="s">
        <v>234</v>
      </c>
      <c r="AF52" s="140">
        <f t="shared" si="38"/>
        <v>0.47133819047543457</v>
      </c>
      <c r="AG52" s="174">
        <f t="shared" si="39"/>
        <v>1.2948851386687765E-3</v>
      </c>
      <c r="AH52" s="174">
        <f t="shared" si="40"/>
        <v>1.2948851386687765E-3</v>
      </c>
      <c r="AJ52">
        <v>0</v>
      </c>
      <c r="AK52">
        <v>0</v>
      </c>
      <c r="AL52">
        <v>0</v>
      </c>
      <c r="AN52" s="180">
        <f t="shared" ref="AN52:AN56" si="44">AF52*907200/M52</f>
        <v>9.0001517882742077E-2</v>
      </c>
      <c r="AO52" s="151" t="s">
        <v>235</v>
      </c>
      <c r="AP52" t="s">
        <v>174</v>
      </c>
      <c r="AR52">
        <f>'Activity Data'!$B$63</f>
        <v>2.7472527472527479E-3</v>
      </c>
      <c r="AS52">
        <f>'Activity Data'!$B$64</f>
        <v>2.7472527472527479E-3</v>
      </c>
      <c r="AW52" s="151" t="s">
        <v>242</v>
      </c>
      <c r="AX52">
        <v>2011</v>
      </c>
    </row>
    <row r="53" spans="1:50" x14ac:dyDescent="0.2">
      <c r="A53" s="151">
        <v>10</v>
      </c>
      <c r="B53" s="164" t="s">
        <v>41</v>
      </c>
      <c r="D53" s="165">
        <v>2280002100</v>
      </c>
      <c r="E53" s="173">
        <f>'Activity Data'!$B$65</f>
        <v>25.000000000000007</v>
      </c>
      <c r="F53" s="173">
        <f>'Activity Data'!$B$66</f>
        <v>25.000000000000007</v>
      </c>
      <c r="G53" s="173">
        <f>'Activity Data'!$B$67</f>
        <v>25.000000000000007</v>
      </c>
      <c r="H53" s="173">
        <f>'Activity Data'!$B$68</f>
        <v>25.000000000000007</v>
      </c>
      <c r="I53">
        <v>7</v>
      </c>
      <c r="J53">
        <v>52</v>
      </c>
      <c r="K53" s="151">
        <v>24</v>
      </c>
      <c r="L53" s="151">
        <f t="shared" si="35"/>
        <v>8736</v>
      </c>
      <c r="M53" s="139">
        <f>Calculations!G$36</f>
        <v>337779.36549999996</v>
      </c>
      <c r="N53" t="s">
        <v>174</v>
      </c>
      <c r="O53">
        <f t="shared" si="41"/>
        <v>927.96528983516498</v>
      </c>
      <c r="P53" t="s">
        <v>174</v>
      </c>
      <c r="Q53">
        <f t="shared" si="42"/>
        <v>927.96528983516498</v>
      </c>
      <c r="R53" t="s">
        <v>174</v>
      </c>
      <c r="U53" s="151" t="s">
        <v>96</v>
      </c>
      <c r="V53">
        <v>20110101</v>
      </c>
      <c r="W53">
        <v>20111231</v>
      </c>
      <c r="Z53" s="140">
        <f>Calculations!P36</f>
        <v>3.351042284443289E-2</v>
      </c>
      <c r="AA53" s="151" t="s">
        <v>234</v>
      </c>
      <c r="AB53" s="174">
        <f t="shared" si="36"/>
        <v>9.2061601220969506E-5</v>
      </c>
      <c r="AC53" s="151" t="s">
        <v>234</v>
      </c>
      <c r="AD53" s="174">
        <f t="shared" si="37"/>
        <v>9.2061601220969506E-5</v>
      </c>
      <c r="AE53" s="151" t="s">
        <v>234</v>
      </c>
      <c r="AF53" s="140">
        <f t="shared" si="38"/>
        <v>3.351042284443289E-2</v>
      </c>
      <c r="AG53" s="174">
        <f t="shared" si="39"/>
        <v>9.2061601220969506E-5</v>
      </c>
      <c r="AH53" s="174">
        <f t="shared" si="40"/>
        <v>9.2061601220969506E-5</v>
      </c>
      <c r="AJ53">
        <v>0</v>
      </c>
      <c r="AK53">
        <v>0</v>
      </c>
      <c r="AL53">
        <v>0</v>
      </c>
      <c r="AN53" s="180">
        <f t="shared" si="44"/>
        <v>9.0001517882742077E-2</v>
      </c>
      <c r="AO53" s="151" t="s">
        <v>235</v>
      </c>
      <c r="AP53" t="s">
        <v>174</v>
      </c>
      <c r="AR53">
        <f>'Activity Data'!$B$63</f>
        <v>2.7472527472527479E-3</v>
      </c>
      <c r="AS53">
        <f>'Activity Data'!$B$64</f>
        <v>2.7472527472527479E-3</v>
      </c>
      <c r="AW53" s="151" t="s">
        <v>242</v>
      </c>
      <c r="AX53">
        <v>2011</v>
      </c>
    </row>
    <row r="54" spans="1:50" x14ac:dyDescent="0.2">
      <c r="A54" s="151">
        <v>10</v>
      </c>
      <c r="B54" s="164" t="s">
        <v>40</v>
      </c>
      <c r="D54" s="165">
        <v>2280002200</v>
      </c>
      <c r="E54" s="173">
        <f>'Activity Data'!$B$65</f>
        <v>25.000000000000007</v>
      </c>
      <c r="F54" s="173">
        <f>'Activity Data'!$B$66</f>
        <v>25.000000000000007</v>
      </c>
      <c r="G54" s="173">
        <f>'Activity Data'!$B$67</f>
        <v>25.000000000000007</v>
      </c>
      <c r="H54" s="173">
        <f>'Activity Data'!$B$68</f>
        <v>25.000000000000007</v>
      </c>
      <c r="I54">
        <v>7</v>
      </c>
      <c r="J54">
        <v>52</v>
      </c>
      <c r="K54" s="151">
        <v>24</v>
      </c>
      <c r="L54" s="151">
        <f t="shared" si="35"/>
        <v>8736</v>
      </c>
      <c r="M54" s="139">
        <f>Calculations!G$37</f>
        <v>11137347.182507096</v>
      </c>
      <c r="N54" t="s">
        <v>174</v>
      </c>
      <c r="O54">
        <f t="shared" si="41"/>
        <v>30597.107644250271</v>
      </c>
      <c r="P54" t="s">
        <v>174</v>
      </c>
      <c r="Q54">
        <f t="shared" si="42"/>
        <v>30597.107644250271</v>
      </c>
      <c r="R54" t="s">
        <v>174</v>
      </c>
      <c r="U54" s="151" t="s">
        <v>96</v>
      </c>
      <c r="V54">
        <v>20110101</v>
      </c>
      <c r="W54">
        <v>20111231</v>
      </c>
      <c r="Z54" s="140">
        <f>Calculations!P37</f>
        <v>1.1049141882856255</v>
      </c>
      <c r="AA54" s="151" t="s">
        <v>234</v>
      </c>
      <c r="AB54" s="174">
        <f t="shared" si="36"/>
        <v>3.0354785392462244E-3</v>
      </c>
      <c r="AC54" s="151" t="s">
        <v>234</v>
      </c>
      <c r="AD54" s="174">
        <f t="shared" si="37"/>
        <v>3.0354785392462244E-3</v>
      </c>
      <c r="AE54" s="151" t="s">
        <v>234</v>
      </c>
      <c r="AF54" s="140">
        <f t="shared" si="38"/>
        <v>1.1049141882856255</v>
      </c>
      <c r="AG54" s="174">
        <f t="shared" si="39"/>
        <v>3.0354785392462244E-3</v>
      </c>
      <c r="AH54" s="174">
        <f t="shared" si="40"/>
        <v>3.0354785392462244E-3</v>
      </c>
      <c r="AJ54">
        <v>0</v>
      </c>
      <c r="AK54">
        <v>0</v>
      </c>
      <c r="AL54">
        <v>0</v>
      </c>
      <c r="AN54" s="180">
        <f t="shared" si="44"/>
        <v>9.0001517882742077E-2</v>
      </c>
      <c r="AO54" s="151" t="s">
        <v>235</v>
      </c>
      <c r="AP54" t="s">
        <v>174</v>
      </c>
      <c r="AR54">
        <f>'Activity Data'!$B$63</f>
        <v>2.7472527472527479E-3</v>
      </c>
      <c r="AS54">
        <f>'Activity Data'!$B$64</f>
        <v>2.7472527472527479E-3</v>
      </c>
      <c r="AW54" s="151" t="s">
        <v>242</v>
      </c>
      <c r="AX54">
        <v>2011</v>
      </c>
    </row>
    <row r="55" spans="1:50" x14ac:dyDescent="0.2">
      <c r="A55" s="151">
        <v>10</v>
      </c>
      <c r="B55" s="164" t="s">
        <v>39</v>
      </c>
      <c r="D55" s="165">
        <v>2280002200</v>
      </c>
      <c r="E55" s="173">
        <f>'Activity Data'!$B$65</f>
        <v>25.000000000000007</v>
      </c>
      <c r="F55" s="173">
        <f>'Activity Data'!$B$66</f>
        <v>25.000000000000007</v>
      </c>
      <c r="G55" s="173">
        <f>'Activity Data'!$B$67</f>
        <v>25.000000000000007</v>
      </c>
      <c r="H55" s="173">
        <f>'Activity Data'!$B$68</f>
        <v>25.000000000000007</v>
      </c>
      <c r="I55">
        <v>7</v>
      </c>
      <c r="J55">
        <v>52</v>
      </c>
      <c r="K55" s="151">
        <v>24</v>
      </c>
      <c r="L55" s="151">
        <f t="shared" si="35"/>
        <v>8736</v>
      </c>
      <c r="M55" s="139">
        <f>Calculations!G$38</f>
        <v>3143055.0331001617</v>
      </c>
      <c r="N55" t="s">
        <v>174</v>
      </c>
      <c r="O55">
        <f t="shared" si="41"/>
        <v>8634.7665744509959</v>
      </c>
      <c r="P55" t="s">
        <v>174</v>
      </c>
      <c r="Q55">
        <f t="shared" si="42"/>
        <v>8634.7665744509959</v>
      </c>
      <c r="R55" t="s">
        <v>174</v>
      </c>
      <c r="U55" s="151" t="s">
        <v>96</v>
      </c>
      <c r="V55">
        <v>20110101</v>
      </c>
      <c r="W55">
        <v>20111231</v>
      </c>
      <c r="Z55" s="140">
        <f>Calculations!P38</f>
        <v>0.31181627399471634</v>
      </c>
      <c r="AA55" s="151" t="s">
        <v>234</v>
      </c>
      <c r="AB55" s="174">
        <f t="shared" si="36"/>
        <v>8.5663811537010004E-4</v>
      </c>
      <c r="AC55" s="151" t="s">
        <v>234</v>
      </c>
      <c r="AD55" s="174">
        <f t="shared" si="37"/>
        <v>8.5663811537010004E-4</v>
      </c>
      <c r="AE55" s="151" t="s">
        <v>234</v>
      </c>
      <c r="AF55" s="140">
        <f t="shared" si="38"/>
        <v>0.31181627399471634</v>
      </c>
      <c r="AG55" s="174">
        <f t="shared" si="39"/>
        <v>8.5663811537010004E-4</v>
      </c>
      <c r="AH55" s="174">
        <f t="shared" si="40"/>
        <v>8.5663811537010004E-4</v>
      </c>
      <c r="AJ55">
        <v>0</v>
      </c>
      <c r="AK55">
        <v>0</v>
      </c>
      <c r="AL55">
        <v>0</v>
      </c>
      <c r="AN55" s="180">
        <f t="shared" si="44"/>
        <v>9.0001517882742063E-2</v>
      </c>
      <c r="AO55" s="151" t="s">
        <v>235</v>
      </c>
      <c r="AP55" t="s">
        <v>174</v>
      </c>
      <c r="AR55">
        <f>'Activity Data'!$B$63</f>
        <v>2.7472527472527479E-3</v>
      </c>
      <c r="AS55">
        <f>'Activity Data'!$B$64</f>
        <v>2.7472527472527479E-3</v>
      </c>
      <c r="AW55" s="151" t="s">
        <v>242</v>
      </c>
      <c r="AX55">
        <v>2011</v>
      </c>
    </row>
    <row r="56" spans="1:50" x14ac:dyDescent="0.2">
      <c r="A56" s="151">
        <v>10</v>
      </c>
      <c r="B56" s="164" t="s">
        <v>41</v>
      </c>
      <c r="D56" s="165">
        <v>2280002200</v>
      </c>
      <c r="E56" s="173">
        <f>'Activity Data'!$B$65</f>
        <v>25.000000000000007</v>
      </c>
      <c r="F56" s="173">
        <f>'Activity Data'!$B$66</f>
        <v>25.000000000000007</v>
      </c>
      <c r="G56" s="173">
        <f>'Activity Data'!$B$67</f>
        <v>25.000000000000007</v>
      </c>
      <c r="H56" s="173">
        <f>'Activity Data'!$B$68</f>
        <v>25.000000000000007</v>
      </c>
      <c r="I56">
        <v>7</v>
      </c>
      <c r="J56">
        <v>52</v>
      </c>
      <c r="K56" s="151">
        <v>24</v>
      </c>
      <c r="L56" s="151">
        <f t="shared" si="35"/>
        <v>8736</v>
      </c>
      <c r="M56" s="139">
        <f>Calculations!G$39</f>
        <v>5432019.024597019</v>
      </c>
      <c r="N56" t="s">
        <v>174</v>
      </c>
      <c r="O56">
        <f t="shared" si="41"/>
        <v>14923.129188453353</v>
      </c>
      <c r="P56" t="s">
        <v>174</v>
      </c>
      <c r="Q56">
        <f t="shared" si="42"/>
        <v>14923.129188453353</v>
      </c>
      <c r="R56" t="s">
        <v>174</v>
      </c>
      <c r="U56" s="151" t="s">
        <v>96</v>
      </c>
      <c r="V56">
        <v>20110101</v>
      </c>
      <c r="W56">
        <v>20111231</v>
      </c>
      <c r="Z56" s="140">
        <f>Calculations!P39</f>
        <v>0.53889986483869468</v>
      </c>
      <c r="AA56" s="151" t="s">
        <v>234</v>
      </c>
      <c r="AB56" s="174">
        <f t="shared" si="36"/>
        <v>1.4804941341722384E-3</v>
      </c>
      <c r="AC56" s="151" t="s">
        <v>234</v>
      </c>
      <c r="AD56" s="174">
        <f t="shared" si="37"/>
        <v>1.4804941341722384E-3</v>
      </c>
      <c r="AE56" s="151" t="s">
        <v>234</v>
      </c>
      <c r="AF56" s="140">
        <f t="shared" si="38"/>
        <v>0.53889986483869468</v>
      </c>
      <c r="AG56" s="174">
        <f t="shared" si="39"/>
        <v>1.4804941341722384E-3</v>
      </c>
      <c r="AH56" s="174">
        <f t="shared" si="40"/>
        <v>1.4804941341722384E-3</v>
      </c>
      <c r="AJ56">
        <v>0</v>
      </c>
      <c r="AK56">
        <v>0</v>
      </c>
      <c r="AL56">
        <v>0</v>
      </c>
      <c r="AN56" s="180">
        <f t="shared" si="44"/>
        <v>9.0001517882742077E-2</v>
      </c>
      <c r="AO56" s="151" t="s">
        <v>235</v>
      </c>
      <c r="AP56" t="s">
        <v>174</v>
      </c>
      <c r="AR56">
        <f>'Activity Data'!$B$63</f>
        <v>2.7472527472527479E-3</v>
      </c>
      <c r="AS56">
        <f>'Activity Data'!$B$64</f>
        <v>2.7472527472527479E-3</v>
      </c>
      <c r="AW56" s="151" t="s">
        <v>242</v>
      </c>
      <c r="AX56">
        <v>2011</v>
      </c>
    </row>
    <row r="57" spans="1:50" x14ac:dyDescent="0.2">
      <c r="A57" s="151">
        <v>10</v>
      </c>
      <c r="B57" s="164" t="s">
        <v>40</v>
      </c>
      <c r="D57" s="165">
        <v>2280002100</v>
      </c>
      <c r="E57" s="173">
        <f>'Activity Data'!$B$65</f>
        <v>25.000000000000007</v>
      </c>
      <c r="F57" s="173">
        <f>'Activity Data'!$B$66</f>
        <v>25.000000000000007</v>
      </c>
      <c r="G57" s="173">
        <f>'Activity Data'!$B$67</f>
        <v>25.000000000000007</v>
      </c>
      <c r="H57" s="173">
        <f>'Activity Data'!$B$68</f>
        <v>25.000000000000007</v>
      </c>
      <c r="I57">
        <v>7</v>
      </c>
      <c r="J57">
        <v>52</v>
      </c>
      <c r="K57" s="151">
        <v>24</v>
      </c>
      <c r="L57" s="151">
        <f t="shared" si="35"/>
        <v>8736</v>
      </c>
      <c r="M57" s="139">
        <f>Calculations!G$34</f>
        <v>0</v>
      </c>
      <c r="N57" t="s">
        <v>174</v>
      </c>
      <c r="O57">
        <f t="shared" si="41"/>
        <v>0</v>
      </c>
      <c r="P57" t="s">
        <v>174</v>
      </c>
      <c r="Q57">
        <f t="shared" si="42"/>
        <v>0</v>
      </c>
      <c r="R57" t="s">
        <v>174</v>
      </c>
      <c r="U57" s="151" t="s">
        <v>97</v>
      </c>
      <c r="V57">
        <v>20110101</v>
      </c>
      <c r="W57">
        <v>20111231</v>
      </c>
      <c r="Z57" s="140">
        <f>Calculations!Q34</f>
        <v>0</v>
      </c>
      <c r="AA57" s="151" t="s">
        <v>234</v>
      </c>
      <c r="AB57" s="174">
        <f t="shared" si="36"/>
        <v>0</v>
      </c>
      <c r="AC57" s="151" t="s">
        <v>234</v>
      </c>
      <c r="AD57" s="174">
        <f t="shared" si="37"/>
        <v>0</v>
      </c>
      <c r="AE57" s="151" t="s">
        <v>234</v>
      </c>
      <c r="AF57" s="140">
        <f t="shared" si="38"/>
        <v>0</v>
      </c>
      <c r="AG57" s="174">
        <f t="shared" si="39"/>
        <v>0</v>
      </c>
      <c r="AH57" s="174">
        <f t="shared" si="40"/>
        <v>0</v>
      </c>
      <c r="AJ57">
        <v>0</v>
      </c>
      <c r="AK57">
        <v>0</v>
      </c>
      <c r="AL57">
        <v>0</v>
      </c>
      <c r="AN57">
        <v>0</v>
      </c>
      <c r="AO57" s="151" t="s">
        <v>235</v>
      </c>
      <c r="AP57" t="s">
        <v>174</v>
      </c>
      <c r="AR57">
        <f>'Activity Data'!$B$63</f>
        <v>2.7472527472527479E-3</v>
      </c>
      <c r="AS57">
        <f>'Activity Data'!$B$64</f>
        <v>2.7472527472527479E-3</v>
      </c>
      <c r="AW57" s="151" t="s">
        <v>242</v>
      </c>
      <c r="AX57">
        <v>2011</v>
      </c>
    </row>
    <row r="58" spans="1:50" x14ac:dyDescent="0.2">
      <c r="A58" s="151">
        <v>10</v>
      </c>
      <c r="B58" s="164" t="s">
        <v>39</v>
      </c>
      <c r="D58" s="165">
        <v>2280002100</v>
      </c>
      <c r="E58" s="173">
        <f>'Activity Data'!$B$65</f>
        <v>25.000000000000007</v>
      </c>
      <c r="F58" s="173">
        <f>'Activity Data'!$B$66</f>
        <v>25.000000000000007</v>
      </c>
      <c r="G58" s="173">
        <f>'Activity Data'!$B$67</f>
        <v>25.000000000000007</v>
      </c>
      <c r="H58" s="173">
        <f>'Activity Data'!$B$68</f>
        <v>25.000000000000007</v>
      </c>
      <c r="I58">
        <v>7</v>
      </c>
      <c r="J58">
        <v>52</v>
      </c>
      <c r="K58" s="151">
        <v>24</v>
      </c>
      <c r="L58" s="151">
        <f t="shared" si="35"/>
        <v>8736</v>
      </c>
      <c r="M58" s="139">
        <f>Calculations!G$35</f>
        <v>4751008.8324999996</v>
      </c>
      <c r="N58" t="s">
        <v>174</v>
      </c>
      <c r="O58">
        <f t="shared" si="41"/>
        <v>13052.222067307694</v>
      </c>
      <c r="P58" t="s">
        <v>174</v>
      </c>
      <c r="Q58">
        <f t="shared" si="42"/>
        <v>13052.222067307694</v>
      </c>
      <c r="R58" t="s">
        <v>174</v>
      </c>
      <c r="U58" s="151" t="s">
        <v>97</v>
      </c>
      <c r="V58">
        <v>20110101</v>
      </c>
      <c r="W58">
        <v>20111231</v>
      </c>
      <c r="Z58" s="140">
        <f>Calculations!Q35</f>
        <v>0.10474182010565214</v>
      </c>
      <c r="AA58" s="151" t="s">
        <v>234</v>
      </c>
      <c r="AB58" s="174">
        <f t="shared" si="36"/>
        <v>2.8775225303750594E-4</v>
      </c>
      <c r="AC58" s="151" t="s">
        <v>234</v>
      </c>
      <c r="AD58" s="174">
        <f t="shared" si="37"/>
        <v>2.8775225303750594E-4</v>
      </c>
      <c r="AE58" s="151" t="s">
        <v>234</v>
      </c>
      <c r="AF58" s="140">
        <f t="shared" si="38"/>
        <v>0.10474182010565214</v>
      </c>
      <c r="AG58" s="174">
        <f t="shared" si="39"/>
        <v>2.8775225303750594E-4</v>
      </c>
      <c r="AH58" s="174">
        <f t="shared" si="40"/>
        <v>2.8775225303750594E-4</v>
      </c>
      <c r="AJ58">
        <v>0</v>
      </c>
      <c r="AK58">
        <v>0</v>
      </c>
      <c r="AL58">
        <v>0</v>
      </c>
      <c r="AN58">
        <f t="shared" ref="AN58:AN62" si="45">AF58*907200/M58</f>
        <v>2.0000337307276017E-2</v>
      </c>
      <c r="AO58" s="151" t="s">
        <v>235</v>
      </c>
      <c r="AP58" t="s">
        <v>174</v>
      </c>
      <c r="AR58">
        <f>'Activity Data'!$B$63</f>
        <v>2.7472527472527479E-3</v>
      </c>
      <c r="AS58">
        <f>'Activity Data'!$B$64</f>
        <v>2.7472527472527479E-3</v>
      </c>
      <c r="AW58" s="151" t="s">
        <v>242</v>
      </c>
      <c r="AX58">
        <v>2011</v>
      </c>
    </row>
    <row r="59" spans="1:50" x14ac:dyDescent="0.2">
      <c r="A59" s="151">
        <v>10</v>
      </c>
      <c r="B59" s="164" t="s">
        <v>41</v>
      </c>
      <c r="D59" s="165">
        <v>2280002100</v>
      </c>
      <c r="E59" s="173">
        <f>'Activity Data'!$B$65</f>
        <v>25.000000000000007</v>
      </c>
      <c r="F59" s="173">
        <f>'Activity Data'!$B$66</f>
        <v>25.000000000000007</v>
      </c>
      <c r="G59" s="173">
        <f>'Activity Data'!$B$67</f>
        <v>25.000000000000007</v>
      </c>
      <c r="H59" s="173">
        <f>'Activity Data'!$B$68</f>
        <v>25.000000000000007</v>
      </c>
      <c r="I59">
        <v>7</v>
      </c>
      <c r="J59">
        <v>52</v>
      </c>
      <c r="K59" s="151">
        <v>24</v>
      </c>
      <c r="L59" s="151">
        <f t="shared" si="35"/>
        <v>8736</v>
      </c>
      <c r="M59" s="139">
        <f>Calculations!G$36</f>
        <v>337779.36549999996</v>
      </c>
      <c r="N59" t="s">
        <v>174</v>
      </c>
      <c r="O59">
        <f t="shared" si="41"/>
        <v>927.96528983516498</v>
      </c>
      <c r="P59" t="s">
        <v>174</v>
      </c>
      <c r="Q59">
        <f t="shared" si="42"/>
        <v>927.96528983516498</v>
      </c>
      <c r="R59" t="s">
        <v>174</v>
      </c>
      <c r="U59" s="151" t="s">
        <v>97</v>
      </c>
      <c r="V59">
        <v>20110101</v>
      </c>
      <c r="W59">
        <v>20111231</v>
      </c>
      <c r="Z59" s="140">
        <f>Calculations!Q36</f>
        <v>7.4467606320961994E-3</v>
      </c>
      <c r="AA59" s="151" t="s">
        <v>234</v>
      </c>
      <c r="AB59" s="174">
        <f t="shared" si="36"/>
        <v>2.0458133604659894E-5</v>
      </c>
      <c r="AC59" s="151" t="s">
        <v>234</v>
      </c>
      <c r="AD59" s="174">
        <f t="shared" si="37"/>
        <v>2.0458133604659894E-5</v>
      </c>
      <c r="AE59" s="151" t="s">
        <v>234</v>
      </c>
      <c r="AF59" s="140">
        <f t="shared" si="38"/>
        <v>7.4467606320961994E-3</v>
      </c>
      <c r="AG59" s="174">
        <f t="shared" si="39"/>
        <v>2.0458133604659894E-5</v>
      </c>
      <c r="AH59" s="174">
        <f t="shared" si="40"/>
        <v>2.0458133604659894E-5</v>
      </c>
      <c r="AJ59">
        <v>0</v>
      </c>
      <c r="AK59">
        <v>0</v>
      </c>
      <c r="AL59">
        <v>0</v>
      </c>
      <c r="AN59">
        <f t="shared" si="45"/>
        <v>2.0000337307276021E-2</v>
      </c>
      <c r="AO59" s="151" t="s">
        <v>235</v>
      </c>
      <c r="AP59" t="s">
        <v>174</v>
      </c>
      <c r="AR59">
        <f>'Activity Data'!$B$63</f>
        <v>2.7472527472527479E-3</v>
      </c>
      <c r="AS59">
        <f>'Activity Data'!$B$64</f>
        <v>2.7472527472527479E-3</v>
      </c>
      <c r="AW59" s="151" t="s">
        <v>242</v>
      </c>
      <c r="AX59">
        <v>2011</v>
      </c>
    </row>
    <row r="60" spans="1:50" x14ac:dyDescent="0.2">
      <c r="A60" s="151">
        <v>10</v>
      </c>
      <c r="B60" s="164" t="s">
        <v>40</v>
      </c>
      <c r="D60" s="165">
        <v>2280002200</v>
      </c>
      <c r="E60" s="173">
        <f>'Activity Data'!$B$65</f>
        <v>25.000000000000007</v>
      </c>
      <c r="F60" s="173">
        <f>'Activity Data'!$B$66</f>
        <v>25.000000000000007</v>
      </c>
      <c r="G60" s="173">
        <f>'Activity Data'!$B$67</f>
        <v>25.000000000000007</v>
      </c>
      <c r="H60" s="173">
        <f>'Activity Data'!$B$68</f>
        <v>25.000000000000007</v>
      </c>
      <c r="I60">
        <v>7</v>
      </c>
      <c r="J60">
        <v>52</v>
      </c>
      <c r="K60" s="151">
        <v>24</v>
      </c>
      <c r="L60" s="151">
        <f t="shared" si="35"/>
        <v>8736</v>
      </c>
      <c r="M60" s="139">
        <f>Calculations!G$37</f>
        <v>11137347.182507096</v>
      </c>
      <c r="N60" t="s">
        <v>174</v>
      </c>
      <c r="O60">
        <f t="shared" si="41"/>
        <v>30597.107644250271</v>
      </c>
      <c r="P60" t="s">
        <v>174</v>
      </c>
      <c r="Q60">
        <f t="shared" si="42"/>
        <v>30597.107644250271</v>
      </c>
      <c r="R60" t="s">
        <v>174</v>
      </c>
      <c r="U60" s="151" t="s">
        <v>97</v>
      </c>
      <c r="V60">
        <v>20110101</v>
      </c>
      <c r="W60">
        <v>20111231</v>
      </c>
      <c r="Z60" s="140">
        <f>Calculations!Q37</f>
        <v>0.24553648628569458</v>
      </c>
      <c r="AA60" s="151" t="s">
        <v>234</v>
      </c>
      <c r="AB60" s="174">
        <f t="shared" si="36"/>
        <v>6.7455078649916104E-4</v>
      </c>
      <c r="AC60" s="151" t="s">
        <v>234</v>
      </c>
      <c r="AD60" s="174">
        <f t="shared" si="37"/>
        <v>6.7455078649916104E-4</v>
      </c>
      <c r="AE60" s="151" t="s">
        <v>234</v>
      </c>
      <c r="AF60" s="140">
        <f t="shared" si="38"/>
        <v>0.24553648628569458</v>
      </c>
      <c r="AG60" s="174">
        <f t="shared" si="39"/>
        <v>6.7455078649916104E-4</v>
      </c>
      <c r="AH60" s="174">
        <f t="shared" si="40"/>
        <v>6.7455078649916104E-4</v>
      </c>
      <c r="AJ60">
        <v>0</v>
      </c>
      <c r="AK60">
        <v>0</v>
      </c>
      <c r="AL60">
        <v>0</v>
      </c>
      <c r="AN60">
        <f t="shared" si="45"/>
        <v>2.0000337307276017E-2</v>
      </c>
      <c r="AO60" s="151" t="s">
        <v>235</v>
      </c>
      <c r="AP60" t="s">
        <v>174</v>
      </c>
      <c r="AR60">
        <f>'Activity Data'!$B$63</f>
        <v>2.7472527472527479E-3</v>
      </c>
      <c r="AS60">
        <f>'Activity Data'!$B$64</f>
        <v>2.7472527472527479E-3</v>
      </c>
      <c r="AW60" s="151" t="s">
        <v>242</v>
      </c>
      <c r="AX60">
        <v>2011</v>
      </c>
    </row>
    <row r="61" spans="1:50" x14ac:dyDescent="0.2">
      <c r="A61" s="151">
        <v>10</v>
      </c>
      <c r="B61" s="164" t="s">
        <v>39</v>
      </c>
      <c r="D61" s="165">
        <v>2280002200</v>
      </c>
      <c r="E61" s="173">
        <f>'Activity Data'!$B$65</f>
        <v>25.000000000000007</v>
      </c>
      <c r="F61" s="173">
        <f>'Activity Data'!$B$66</f>
        <v>25.000000000000007</v>
      </c>
      <c r="G61" s="173">
        <f>'Activity Data'!$B$67</f>
        <v>25.000000000000007</v>
      </c>
      <c r="H61" s="173">
        <f>'Activity Data'!$B$68</f>
        <v>25.000000000000007</v>
      </c>
      <c r="I61">
        <v>7</v>
      </c>
      <c r="J61">
        <v>52</v>
      </c>
      <c r="K61" s="151">
        <v>24</v>
      </c>
      <c r="L61" s="151">
        <f t="shared" si="35"/>
        <v>8736</v>
      </c>
      <c r="M61" s="139">
        <f>Calculations!G$38</f>
        <v>3143055.0331001617</v>
      </c>
      <c r="N61" t="s">
        <v>174</v>
      </c>
      <c r="O61">
        <f t="shared" si="41"/>
        <v>8634.7665744509959</v>
      </c>
      <c r="P61" t="s">
        <v>174</v>
      </c>
      <c r="Q61">
        <f t="shared" si="42"/>
        <v>8634.7665744509959</v>
      </c>
      <c r="R61" t="s">
        <v>174</v>
      </c>
      <c r="U61" s="151" t="s">
        <v>97</v>
      </c>
      <c r="V61">
        <v>20110101</v>
      </c>
      <c r="W61">
        <v>20111231</v>
      </c>
      <c r="Z61" s="140">
        <f>Calculations!Q38</f>
        <v>6.9292505332159193E-2</v>
      </c>
      <c r="AA61" s="151" t="s">
        <v>234</v>
      </c>
      <c r="AB61" s="174">
        <f t="shared" si="36"/>
        <v>1.9036402563780004E-4</v>
      </c>
      <c r="AC61" s="151" t="s">
        <v>234</v>
      </c>
      <c r="AD61" s="174">
        <f t="shared" si="37"/>
        <v>1.9036402563780004E-4</v>
      </c>
      <c r="AE61" s="151" t="s">
        <v>234</v>
      </c>
      <c r="AF61" s="140">
        <f t="shared" si="38"/>
        <v>6.9292505332159193E-2</v>
      </c>
      <c r="AG61" s="174">
        <f t="shared" si="39"/>
        <v>1.9036402563780004E-4</v>
      </c>
      <c r="AH61" s="174">
        <f t="shared" si="40"/>
        <v>1.9036402563780004E-4</v>
      </c>
      <c r="AJ61">
        <v>0</v>
      </c>
      <c r="AK61">
        <v>0</v>
      </c>
      <c r="AL61">
        <v>0</v>
      </c>
      <c r="AN61">
        <f t="shared" si="45"/>
        <v>2.0000337307276017E-2</v>
      </c>
      <c r="AO61" s="151" t="s">
        <v>235</v>
      </c>
      <c r="AP61" t="s">
        <v>174</v>
      </c>
      <c r="AR61">
        <f>'Activity Data'!$B$63</f>
        <v>2.7472527472527479E-3</v>
      </c>
      <c r="AS61">
        <f>'Activity Data'!$B$64</f>
        <v>2.7472527472527479E-3</v>
      </c>
      <c r="AW61" s="151" t="s">
        <v>242</v>
      </c>
      <c r="AX61">
        <v>2011</v>
      </c>
    </row>
    <row r="62" spans="1:50" x14ac:dyDescent="0.2">
      <c r="A62" s="151">
        <v>10</v>
      </c>
      <c r="B62" s="164" t="s">
        <v>41</v>
      </c>
      <c r="D62" s="165">
        <v>2280002200</v>
      </c>
      <c r="E62" s="173">
        <f>'Activity Data'!$B$65</f>
        <v>25.000000000000007</v>
      </c>
      <c r="F62" s="173">
        <f>'Activity Data'!$B$66</f>
        <v>25.000000000000007</v>
      </c>
      <c r="G62" s="173">
        <f>'Activity Data'!$B$67</f>
        <v>25.000000000000007</v>
      </c>
      <c r="H62" s="173">
        <f>'Activity Data'!$B$68</f>
        <v>25.000000000000007</v>
      </c>
      <c r="I62">
        <v>7</v>
      </c>
      <c r="J62">
        <v>52</v>
      </c>
      <c r="K62" s="151">
        <v>24</v>
      </c>
      <c r="L62" s="151">
        <f t="shared" si="35"/>
        <v>8736</v>
      </c>
      <c r="M62" s="139">
        <f>Calculations!G$39</f>
        <v>5432019.024597019</v>
      </c>
      <c r="N62" t="s">
        <v>174</v>
      </c>
      <c r="O62">
        <f t="shared" si="41"/>
        <v>14923.129188453353</v>
      </c>
      <c r="P62" t="s">
        <v>174</v>
      </c>
      <c r="Q62">
        <f t="shared" si="42"/>
        <v>14923.129188453353</v>
      </c>
      <c r="R62" t="s">
        <v>174</v>
      </c>
      <c r="U62" s="151" t="s">
        <v>97</v>
      </c>
      <c r="V62">
        <v>20110101</v>
      </c>
      <c r="W62">
        <v>20111231</v>
      </c>
      <c r="Z62" s="140">
        <f>Calculations!Q39</f>
        <v>0.11975552551970992</v>
      </c>
      <c r="AA62" s="151" t="s">
        <v>234</v>
      </c>
      <c r="AB62" s="174">
        <f t="shared" si="36"/>
        <v>3.2899869648271964E-4</v>
      </c>
      <c r="AC62" s="151" t="s">
        <v>234</v>
      </c>
      <c r="AD62" s="174">
        <f t="shared" si="37"/>
        <v>3.2899869648271964E-4</v>
      </c>
      <c r="AE62" s="151" t="s">
        <v>234</v>
      </c>
      <c r="AF62" s="140">
        <f t="shared" si="38"/>
        <v>0.11975552551970992</v>
      </c>
      <c r="AG62" s="174">
        <f t="shared" si="39"/>
        <v>3.2899869648271964E-4</v>
      </c>
      <c r="AH62" s="174">
        <f t="shared" si="40"/>
        <v>3.2899869648271964E-4</v>
      </c>
      <c r="AJ62">
        <v>0</v>
      </c>
      <c r="AK62">
        <v>0</v>
      </c>
      <c r="AL62">
        <v>0</v>
      </c>
      <c r="AN62">
        <f t="shared" si="45"/>
        <v>2.0000337307276017E-2</v>
      </c>
      <c r="AO62" s="151" t="s">
        <v>235</v>
      </c>
      <c r="AP62" t="s">
        <v>174</v>
      </c>
      <c r="AR62">
        <f>'Activity Data'!$B$63</f>
        <v>2.7472527472527479E-3</v>
      </c>
      <c r="AS62">
        <f>'Activity Data'!$B$64</f>
        <v>2.7472527472527479E-3</v>
      </c>
      <c r="AW62" s="151" t="s">
        <v>242</v>
      </c>
      <c r="AX62">
        <v>2011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2"/>
  <sheetViews>
    <sheetView workbookViewId="0"/>
  </sheetViews>
  <sheetFormatPr defaultRowHeight="12.75" x14ac:dyDescent="0.2"/>
  <cols>
    <col min="4" max="4" width="12.140625" customWidth="1"/>
    <col min="13" max="13" width="14.140625" customWidth="1"/>
    <col min="21" max="21" width="13.85546875" customWidth="1"/>
    <col min="26" max="26" width="26.85546875" customWidth="1"/>
    <col min="28" max="28" width="28.28515625" customWidth="1"/>
    <col min="30" max="30" width="27" customWidth="1"/>
    <col min="32" max="32" width="25" customWidth="1"/>
    <col min="33" max="33" width="27.28515625" customWidth="1"/>
    <col min="34" max="34" width="27.5703125" customWidth="1"/>
    <col min="44" max="44" width="12.28515625" customWidth="1"/>
    <col min="45" max="45" width="12.42578125" customWidth="1"/>
  </cols>
  <sheetData>
    <row r="1" spans="1:51" x14ac:dyDescent="0.2">
      <c r="A1" t="s">
        <v>124</v>
      </c>
      <c r="B1" t="s">
        <v>125</v>
      </c>
      <c r="C1" t="s">
        <v>126</v>
      </c>
      <c r="D1" t="s">
        <v>38</v>
      </c>
      <c r="E1" t="s">
        <v>127</v>
      </c>
      <c r="F1" t="s">
        <v>128</v>
      </c>
      <c r="G1" t="s">
        <v>129</v>
      </c>
      <c r="H1" t="s">
        <v>130</v>
      </c>
      <c r="I1" t="s">
        <v>131</v>
      </c>
      <c r="J1" t="s">
        <v>132</v>
      </c>
      <c r="K1" t="s">
        <v>133</v>
      </c>
      <c r="L1" t="s">
        <v>134</v>
      </c>
      <c r="M1" t="s">
        <v>135</v>
      </c>
      <c r="N1" t="s">
        <v>136</v>
      </c>
      <c r="O1" t="s">
        <v>137</v>
      </c>
      <c r="P1" t="s">
        <v>138</v>
      </c>
      <c r="Q1" t="s">
        <v>139</v>
      </c>
      <c r="R1" t="s">
        <v>140</v>
      </c>
      <c r="S1" t="s">
        <v>141</v>
      </c>
      <c r="T1" t="s">
        <v>142</v>
      </c>
      <c r="U1" t="s">
        <v>143</v>
      </c>
      <c r="V1" t="s">
        <v>144</v>
      </c>
      <c r="W1" t="s">
        <v>145</v>
      </c>
      <c r="X1" t="s">
        <v>146</v>
      </c>
      <c r="Y1" t="s">
        <v>147</v>
      </c>
      <c r="Z1" t="s">
        <v>148</v>
      </c>
      <c r="AA1" t="s">
        <v>149</v>
      </c>
      <c r="AB1" t="s">
        <v>150</v>
      </c>
      <c r="AC1" t="s">
        <v>151</v>
      </c>
      <c r="AD1" t="s">
        <v>152</v>
      </c>
      <c r="AE1" t="s">
        <v>153</v>
      </c>
      <c r="AF1" t="s">
        <v>154</v>
      </c>
      <c r="AG1" t="s">
        <v>155</v>
      </c>
      <c r="AH1" t="s">
        <v>156</v>
      </c>
      <c r="AI1" t="s">
        <v>157</v>
      </c>
      <c r="AJ1" t="s">
        <v>158</v>
      </c>
      <c r="AK1" t="s">
        <v>159</v>
      </c>
      <c r="AL1" t="s">
        <v>160</v>
      </c>
      <c r="AM1" t="s">
        <v>161</v>
      </c>
      <c r="AN1" t="s">
        <v>162</v>
      </c>
      <c r="AO1" t="s">
        <v>163</v>
      </c>
      <c r="AP1" t="s">
        <v>164</v>
      </c>
      <c r="AQ1" t="s">
        <v>165</v>
      </c>
      <c r="AR1" t="s">
        <v>166</v>
      </c>
      <c r="AS1" t="s">
        <v>167</v>
      </c>
      <c r="AT1" t="s">
        <v>168</v>
      </c>
      <c r="AU1" t="s">
        <v>169</v>
      </c>
      <c r="AV1" t="s">
        <v>170</v>
      </c>
      <c r="AW1" t="s">
        <v>171</v>
      </c>
      <c r="AX1" t="s">
        <v>172</v>
      </c>
      <c r="AY1" t="s">
        <v>173</v>
      </c>
    </row>
    <row r="3" spans="1:51" x14ac:dyDescent="0.2">
      <c r="A3">
        <v>10</v>
      </c>
      <c r="B3" t="s">
        <v>40</v>
      </c>
      <c r="D3">
        <v>2280002100</v>
      </c>
      <c r="E3">
        <v>25.000000000000007</v>
      </c>
      <c r="F3">
        <v>25.000000000000007</v>
      </c>
      <c r="G3">
        <v>25.000000000000007</v>
      </c>
      <c r="H3">
        <v>25.000000000000007</v>
      </c>
      <c r="I3">
        <v>7</v>
      </c>
      <c r="J3">
        <v>52</v>
      </c>
      <c r="K3">
        <v>24</v>
      </c>
      <c r="L3">
        <v>8736</v>
      </c>
      <c r="M3">
        <v>0</v>
      </c>
      <c r="N3" t="s">
        <v>174</v>
      </c>
      <c r="O3">
        <v>0</v>
      </c>
      <c r="P3" t="s">
        <v>174</v>
      </c>
      <c r="Q3">
        <v>0</v>
      </c>
      <c r="R3" t="s">
        <v>174</v>
      </c>
      <c r="U3" t="s">
        <v>42</v>
      </c>
      <c r="V3">
        <v>20110101</v>
      </c>
      <c r="W3">
        <v>20111231</v>
      </c>
      <c r="Z3">
        <v>0</v>
      </c>
      <c r="AA3" t="s">
        <v>234</v>
      </c>
      <c r="AB3">
        <v>0</v>
      </c>
      <c r="AC3" t="s">
        <v>234</v>
      </c>
      <c r="AD3">
        <v>0</v>
      </c>
      <c r="AE3" t="s">
        <v>234</v>
      </c>
      <c r="AF3">
        <v>0</v>
      </c>
      <c r="AG3">
        <v>0</v>
      </c>
      <c r="AH3">
        <v>0</v>
      </c>
      <c r="AJ3">
        <v>0</v>
      </c>
      <c r="AK3">
        <v>0</v>
      </c>
      <c r="AL3">
        <v>0</v>
      </c>
      <c r="AN3">
        <v>0</v>
      </c>
      <c r="AO3" t="s">
        <v>235</v>
      </c>
      <c r="AP3" t="s">
        <v>174</v>
      </c>
      <c r="AR3">
        <v>2.7472527472527479E-3</v>
      </c>
      <c r="AS3">
        <v>2.7472527472527479E-3</v>
      </c>
      <c r="AW3" t="s">
        <v>233</v>
      </c>
      <c r="AX3">
        <v>2011</v>
      </c>
    </row>
    <row r="4" spans="1:51" x14ac:dyDescent="0.2">
      <c r="A4">
        <v>10</v>
      </c>
      <c r="B4" t="s">
        <v>39</v>
      </c>
      <c r="D4">
        <v>2280002100</v>
      </c>
      <c r="E4">
        <v>25.000000000000007</v>
      </c>
      <c r="F4">
        <v>25.000000000000007</v>
      </c>
      <c r="G4">
        <v>25.000000000000007</v>
      </c>
      <c r="H4">
        <v>25.000000000000007</v>
      </c>
      <c r="I4">
        <v>7</v>
      </c>
      <c r="J4">
        <v>52</v>
      </c>
      <c r="K4">
        <v>24</v>
      </c>
      <c r="L4">
        <v>8736</v>
      </c>
      <c r="M4">
        <v>4751008.8324999996</v>
      </c>
      <c r="N4" t="s">
        <v>174</v>
      </c>
      <c r="O4">
        <v>13052.222067307694</v>
      </c>
      <c r="P4" t="s">
        <v>174</v>
      </c>
      <c r="Q4">
        <v>13052.222067307694</v>
      </c>
      <c r="R4" t="s">
        <v>174</v>
      </c>
      <c r="U4" t="s">
        <v>42</v>
      </c>
      <c r="V4">
        <v>20110101</v>
      </c>
      <c r="W4">
        <v>20111231</v>
      </c>
      <c r="Z4">
        <v>1.9134832573510114</v>
      </c>
      <c r="AA4" t="s">
        <v>234</v>
      </c>
      <c r="AB4">
        <v>5.2568221355797033E-3</v>
      </c>
      <c r="AC4" t="s">
        <v>234</v>
      </c>
      <c r="AD4">
        <v>5.2568221355797033E-3</v>
      </c>
      <c r="AE4" t="s">
        <v>234</v>
      </c>
      <c r="AF4">
        <v>1.9134832573510114</v>
      </c>
      <c r="AG4">
        <v>5.2568221355797033E-3</v>
      </c>
      <c r="AH4">
        <v>5.2568221355797033E-3</v>
      </c>
      <c r="AJ4">
        <v>0</v>
      </c>
      <c r="AK4">
        <v>0</v>
      </c>
      <c r="AL4">
        <v>0</v>
      </c>
      <c r="AN4">
        <v>0.36537755922364679</v>
      </c>
      <c r="AO4" t="s">
        <v>235</v>
      </c>
      <c r="AP4" t="s">
        <v>174</v>
      </c>
      <c r="AR4">
        <v>2.7472527472527479E-3</v>
      </c>
      <c r="AS4">
        <v>2.7472527472527479E-3</v>
      </c>
      <c r="AW4" t="s">
        <v>233</v>
      </c>
      <c r="AX4">
        <v>2011</v>
      </c>
    </row>
    <row r="5" spans="1:51" x14ac:dyDescent="0.2">
      <c r="A5">
        <v>10</v>
      </c>
      <c r="B5" t="s">
        <v>41</v>
      </c>
      <c r="D5">
        <v>2280002100</v>
      </c>
      <c r="E5">
        <v>25.000000000000007</v>
      </c>
      <c r="F5">
        <v>25.000000000000007</v>
      </c>
      <c r="G5">
        <v>25.000000000000007</v>
      </c>
      <c r="H5">
        <v>25.000000000000007</v>
      </c>
      <c r="I5">
        <v>7</v>
      </c>
      <c r="J5">
        <v>52</v>
      </c>
      <c r="K5">
        <v>24</v>
      </c>
      <c r="L5">
        <v>8736</v>
      </c>
      <c r="M5">
        <v>337779.36549999996</v>
      </c>
      <c r="N5" t="s">
        <v>174</v>
      </c>
      <c r="O5">
        <v>927.96528983516498</v>
      </c>
      <c r="P5" t="s">
        <v>174</v>
      </c>
      <c r="Q5">
        <v>927.96528983516498</v>
      </c>
      <c r="R5" t="s">
        <v>174</v>
      </c>
      <c r="U5" t="s">
        <v>42</v>
      </c>
      <c r="V5">
        <v>20110101</v>
      </c>
      <c r="W5">
        <v>20111231</v>
      </c>
      <c r="Z5">
        <v>0.13604166680169982</v>
      </c>
      <c r="AA5" t="s">
        <v>234</v>
      </c>
      <c r="AB5">
        <v>3.737408428618128E-4</v>
      </c>
      <c r="AC5" t="s">
        <v>234</v>
      </c>
      <c r="AD5">
        <v>3.737408428618128E-4</v>
      </c>
      <c r="AE5" t="s">
        <v>234</v>
      </c>
      <c r="AF5">
        <v>0.13604166680169982</v>
      </c>
      <c r="AG5">
        <v>3.737408428618128E-4</v>
      </c>
      <c r="AH5">
        <v>3.737408428618128E-4</v>
      </c>
      <c r="AJ5">
        <v>0</v>
      </c>
      <c r="AK5">
        <v>0</v>
      </c>
      <c r="AL5">
        <v>0</v>
      </c>
      <c r="AN5">
        <v>0.36537755922364684</v>
      </c>
      <c r="AO5" t="s">
        <v>235</v>
      </c>
      <c r="AP5" t="s">
        <v>174</v>
      </c>
      <c r="AR5">
        <v>2.7472527472527479E-3</v>
      </c>
      <c r="AS5">
        <v>2.7472527472527479E-3</v>
      </c>
      <c r="AW5" t="s">
        <v>233</v>
      </c>
      <c r="AX5">
        <v>2011</v>
      </c>
    </row>
    <row r="6" spans="1:51" x14ac:dyDescent="0.2">
      <c r="A6">
        <v>10</v>
      </c>
      <c r="B6" t="s">
        <v>40</v>
      </c>
      <c r="D6">
        <v>2280002200</v>
      </c>
      <c r="E6">
        <v>25.000000000000007</v>
      </c>
      <c r="F6">
        <v>25.000000000000007</v>
      </c>
      <c r="G6">
        <v>25.000000000000007</v>
      </c>
      <c r="H6">
        <v>25.000000000000007</v>
      </c>
      <c r="I6">
        <v>7</v>
      </c>
      <c r="J6">
        <v>52</v>
      </c>
      <c r="K6">
        <v>24</v>
      </c>
      <c r="L6">
        <v>8736</v>
      </c>
      <c r="M6">
        <v>11137347.182507096</v>
      </c>
      <c r="N6" t="s">
        <v>174</v>
      </c>
      <c r="O6">
        <v>30597.107644250271</v>
      </c>
      <c r="P6" t="s">
        <v>174</v>
      </c>
      <c r="Q6">
        <v>30597.107644250271</v>
      </c>
      <c r="R6" t="s">
        <v>174</v>
      </c>
      <c r="U6" t="s">
        <v>42</v>
      </c>
      <c r="V6">
        <v>20110101</v>
      </c>
      <c r="W6">
        <v>20111231</v>
      </c>
      <c r="Z6">
        <v>4.4856004516873913</v>
      </c>
      <c r="AA6" t="s">
        <v>234</v>
      </c>
      <c r="AB6">
        <v>1.2323078163976353E-2</v>
      </c>
      <c r="AC6" t="s">
        <v>234</v>
      </c>
      <c r="AD6">
        <v>1.2323078163976353E-2</v>
      </c>
      <c r="AE6" t="s">
        <v>234</v>
      </c>
      <c r="AF6">
        <v>4.4856004516873913</v>
      </c>
      <c r="AG6">
        <v>1.2323078163976353E-2</v>
      </c>
      <c r="AH6">
        <v>1.2323078163976353E-2</v>
      </c>
      <c r="AJ6">
        <v>0</v>
      </c>
      <c r="AK6">
        <v>0</v>
      </c>
      <c r="AL6">
        <v>0</v>
      </c>
      <c r="AN6">
        <v>0.36537755922364673</v>
      </c>
      <c r="AO6" t="s">
        <v>235</v>
      </c>
      <c r="AP6" t="s">
        <v>174</v>
      </c>
      <c r="AR6">
        <v>2.7472527472527479E-3</v>
      </c>
      <c r="AS6">
        <v>2.7472527472527479E-3</v>
      </c>
      <c r="AW6" t="s">
        <v>233</v>
      </c>
      <c r="AX6">
        <v>2011</v>
      </c>
    </row>
    <row r="7" spans="1:51" x14ac:dyDescent="0.2">
      <c r="A7">
        <v>10</v>
      </c>
      <c r="B7" t="s">
        <v>39</v>
      </c>
      <c r="D7">
        <v>2280002200</v>
      </c>
      <c r="E7">
        <v>25.000000000000007</v>
      </c>
      <c r="F7">
        <v>25.000000000000007</v>
      </c>
      <c r="G7">
        <v>25.000000000000007</v>
      </c>
      <c r="H7">
        <v>25.000000000000007</v>
      </c>
      <c r="I7">
        <v>7</v>
      </c>
      <c r="J7">
        <v>52</v>
      </c>
      <c r="K7">
        <v>24</v>
      </c>
      <c r="L7">
        <v>8736</v>
      </c>
      <c r="M7">
        <v>25134542.066848423</v>
      </c>
      <c r="N7" t="s">
        <v>174</v>
      </c>
      <c r="O7">
        <v>69050.93974408909</v>
      </c>
      <c r="P7" t="s">
        <v>174</v>
      </c>
      <c r="Q7">
        <v>69050.93974408909</v>
      </c>
      <c r="R7" t="s">
        <v>174</v>
      </c>
      <c r="U7" t="s">
        <v>42</v>
      </c>
      <c r="V7">
        <v>20110101</v>
      </c>
      <c r="W7">
        <v>20111231</v>
      </c>
      <c r="Z7">
        <v>10.123013263436013</v>
      </c>
      <c r="AA7" t="s">
        <v>234</v>
      </c>
      <c r="AB7">
        <v>2.7810475998450591E-2</v>
      </c>
      <c r="AC7" t="s">
        <v>234</v>
      </c>
      <c r="AD7">
        <v>2.7810475998450591E-2</v>
      </c>
      <c r="AE7" t="s">
        <v>234</v>
      </c>
      <c r="AF7">
        <v>10.123013263436013</v>
      </c>
      <c r="AG7">
        <v>2.7810475998450591E-2</v>
      </c>
      <c r="AH7">
        <v>2.7810475998450591E-2</v>
      </c>
      <c r="AJ7">
        <v>0</v>
      </c>
      <c r="AK7">
        <v>0</v>
      </c>
      <c r="AL7">
        <v>0</v>
      </c>
      <c r="AN7">
        <v>0.36537755922364673</v>
      </c>
      <c r="AO7" t="s">
        <v>235</v>
      </c>
      <c r="AP7" t="s">
        <v>174</v>
      </c>
      <c r="AR7">
        <v>2.7472527472527479E-3</v>
      </c>
      <c r="AS7">
        <v>2.7472527472527479E-3</v>
      </c>
      <c r="AW7" t="s">
        <v>233</v>
      </c>
      <c r="AX7">
        <v>2011</v>
      </c>
    </row>
    <row r="8" spans="1:51" x14ac:dyDescent="0.2">
      <c r="A8">
        <v>10</v>
      </c>
      <c r="B8" t="s">
        <v>41</v>
      </c>
      <c r="D8">
        <v>2280002200</v>
      </c>
      <c r="E8">
        <v>25.000000000000007</v>
      </c>
      <c r="F8">
        <v>25.000000000000007</v>
      </c>
      <c r="G8">
        <v>25.000000000000007</v>
      </c>
      <c r="H8">
        <v>25.000000000000007</v>
      </c>
      <c r="I8">
        <v>7</v>
      </c>
      <c r="J8">
        <v>52</v>
      </c>
      <c r="K8">
        <v>24</v>
      </c>
      <c r="L8">
        <v>8736</v>
      </c>
      <c r="M8">
        <v>5666832.6259178398</v>
      </c>
      <c r="N8" t="s">
        <v>174</v>
      </c>
      <c r="O8">
        <v>15568.221499774289</v>
      </c>
      <c r="P8" t="s">
        <v>174</v>
      </c>
      <c r="Q8">
        <v>15568.221499774289</v>
      </c>
      <c r="R8" t="s">
        <v>174</v>
      </c>
      <c r="U8" t="s">
        <v>42</v>
      </c>
      <c r="V8">
        <v>20110101</v>
      </c>
      <c r="W8">
        <v>20111231</v>
      </c>
      <c r="Z8">
        <v>2.2823340756027219</v>
      </c>
      <c r="AA8" t="s">
        <v>234</v>
      </c>
      <c r="AB8">
        <v>6.2701485593481387E-3</v>
      </c>
      <c r="AC8" t="s">
        <v>234</v>
      </c>
      <c r="AD8">
        <v>6.2701485593481387E-3</v>
      </c>
      <c r="AE8" t="s">
        <v>234</v>
      </c>
      <c r="AF8">
        <v>2.2823340756027219</v>
      </c>
      <c r="AG8">
        <v>6.2701485593481387E-3</v>
      </c>
      <c r="AH8">
        <v>6.2701485593481387E-3</v>
      </c>
      <c r="AJ8">
        <v>0</v>
      </c>
      <c r="AK8">
        <v>0</v>
      </c>
      <c r="AL8">
        <v>0</v>
      </c>
      <c r="AN8">
        <v>0.36537755922364679</v>
      </c>
      <c r="AO8" t="s">
        <v>235</v>
      </c>
      <c r="AP8" t="s">
        <v>174</v>
      </c>
      <c r="AR8">
        <v>2.7472527472527479E-3</v>
      </c>
      <c r="AS8">
        <v>2.7472527472527479E-3</v>
      </c>
      <c r="AW8" t="s">
        <v>233</v>
      </c>
      <c r="AX8">
        <v>2011</v>
      </c>
    </row>
    <row r="9" spans="1:51" x14ac:dyDescent="0.2">
      <c r="A9">
        <v>10</v>
      </c>
      <c r="B9" t="s">
        <v>40</v>
      </c>
      <c r="D9">
        <v>2280002100</v>
      </c>
      <c r="E9">
        <v>25.000000000000007</v>
      </c>
      <c r="F9">
        <v>25.000000000000007</v>
      </c>
      <c r="G9">
        <v>25.000000000000007</v>
      </c>
      <c r="H9">
        <v>25.000000000000007</v>
      </c>
      <c r="I9">
        <v>7</v>
      </c>
      <c r="J9">
        <v>52</v>
      </c>
      <c r="K9">
        <v>24</v>
      </c>
      <c r="L9">
        <v>8736</v>
      </c>
      <c r="M9">
        <v>0</v>
      </c>
      <c r="N9" t="s">
        <v>174</v>
      </c>
      <c r="O9">
        <v>0</v>
      </c>
      <c r="P9" t="s">
        <v>174</v>
      </c>
      <c r="Q9">
        <v>0</v>
      </c>
      <c r="R9" t="s">
        <v>174</v>
      </c>
      <c r="U9" t="s">
        <v>6</v>
      </c>
      <c r="V9">
        <v>20110101</v>
      </c>
      <c r="W9">
        <v>20111231</v>
      </c>
      <c r="Z9">
        <v>0</v>
      </c>
      <c r="AA9" t="s">
        <v>234</v>
      </c>
      <c r="AB9">
        <v>0</v>
      </c>
      <c r="AC9" t="s">
        <v>234</v>
      </c>
      <c r="AD9">
        <v>0</v>
      </c>
      <c r="AE9" t="s">
        <v>234</v>
      </c>
      <c r="AF9">
        <v>0</v>
      </c>
      <c r="AG9">
        <v>0</v>
      </c>
      <c r="AH9">
        <v>0</v>
      </c>
      <c r="AJ9">
        <v>0</v>
      </c>
      <c r="AK9">
        <v>0</v>
      </c>
      <c r="AL9">
        <v>0</v>
      </c>
      <c r="AN9">
        <v>0</v>
      </c>
      <c r="AO9" t="s">
        <v>235</v>
      </c>
      <c r="AP9" t="s">
        <v>174</v>
      </c>
      <c r="AR9">
        <v>2.7472527472527479E-3</v>
      </c>
      <c r="AS9">
        <v>2.7472527472527479E-3</v>
      </c>
      <c r="AW9" t="s">
        <v>233</v>
      </c>
      <c r="AX9">
        <v>2011</v>
      </c>
    </row>
    <row r="10" spans="1:51" x14ac:dyDescent="0.2">
      <c r="A10">
        <v>10</v>
      </c>
      <c r="B10" t="s">
        <v>39</v>
      </c>
      <c r="D10">
        <v>2280002100</v>
      </c>
      <c r="E10">
        <v>25.000000000000007</v>
      </c>
      <c r="F10">
        <v>25.000000000000007</v>
      </c>
      <c r="G10">
        <v>25.000000000000007</v>
      </c>
      <c r="H10">
        <v>25.000000000000007</v>
      </c>
      <c r="I10">
        <v>7</v>
      </c>
      <c r="J10">
        <v>52</v>
      </c>
      <c r="K10">
        <v>24</v>
      </c>
      <c r="L10">
        <v>8736</v>
      </c>
      <c r="M10">
        <v>4751008.8324999996</v>
      </c>
      <c r="N10" t="s">
        <v>174</v>
      </c>
      <c r="O10">
        <v>13052.222067307694</v>
      </c>
      <c r="P10" t="s">
        <v>174</v>
      </c>
      <c r="Q10">
        <v>13052.222067307694</v>
      </c>
      <c r="R10" t="s">
        <v>174</v>
      </c>
      <c r="U10" t="s">
        <v>6</v>
      </c>
      <c r="V10">
        <v>20110101</v>
      </c>
      <c r="W10">
        <v>20111231</v>
      </c>
      <c r="Z10">
        <v>67.287200525427721</v>
      </c>
      <c r="AA10" t="s">
        <v>234</v>
      </c>
      <c r="AB10">
        <v>0.18485494649842785</v>
      </c>
      <c r="AC10" t="s">
        <v>234</v>
      </c>
      <c r="AD10">
        <v>0.18485494649842785</v>
      </c>
      <c r="AE10" t="s">
        <v>234</v>
      </c>
      <c r="AF10">
        <v>67.287200525427721</v>
      </c>
      <c r="AG10">
        <v>0.18485494649842785</v>
      </c>
      <c r="AH10">
        <v>0.18485494649842785</v>
      </c>
      <c r="AJ10">
        <v>0</v>
      </c>
      <c r="AK10">
        <v>0</v>
      </c>
      <c r="AL10">
        <v>0</v>
      </c>
      <c r="AN10">
        <v>12.848418192594053</v>
      </c>
      <c r="AO10" t="s">
        <v>235</v>
      </c>
      <c r="AP10" t="s">
        <v>174</v>
      </c>
      <c r="AR10">
        <v>2.7472527472527479E-3</v>
      </c>
      <c r="AS10">
        <v>2.7472527472527479E-3</v>
      </c>
      <c r="AW10" t="s">
        <v>233</v>
      </c>
      <c r="AX10">
        <v>2011</v>
      </c>
    </row>
    <row r="11" spans="1:51" x14ac:dyDescent="0.2">
      <c r="A11">
        <v>10</v>
      </c>
      <c r="B11" t="s">
        <v>41</v>
      </c>
      <c r="D11">
        <v>2280002100</v>
      </c>
      <c r="E11">
        <v>25.000000000000007</v>
      </c>
      <c r="F11">
        <v>25.000000000000007</v>
      </c>
      <c r="G11">
        <v>25.000000000000007</v>
      </c>
      <c r="H11">
        <v>25.000000000000007</v>
      </c>
      <c r="I11">
        <v>7</v>
      </c>
      <c r="J11">
        <v>52</v>
      </c>
      <c r="K11">
        <v>24</v>
      </c>
      <c r="L11">
        <v>8736</v>
      </c>
      <c r="M11">
        <v>337779.36549999996</v>
      </c>
      <c r="N11" t="s">
        <v>174</v>
      </c>
      <c r="O11">
        <v>927.96528983516498</v>
      </c>
      <c r="P11" t="s">
        <v>174</v>
      </c>
      <c r="Q11">
        <v>927.96528983516498</v>
      </c>
      <c r="R11" t="s">
        <v>174</v>
      </c>
      <c r="U11" t="s">
        <v>6</v>
      </c>
      <c r="V11">
        <v>20110101</v>
      </c>
      <c r="W11">
        <v>20111231</v>
      </c>
      <c r="Z11">
        <v>4.7838740572895464</v>
      </c>
      <c r="AA11" t="s">
        <v>234</v>
      </c>
      <c r="AB11">
        <v>1.3142511146399857E-2</v>
      </c>
      <c r="AC11" t="s">
        <v>234</v>
      </c>
      <c r="AD11">
        <v>1.3142511146399857E-2</v>
      </c>
      <c r="AE11" t="s">
        <v>234</v>
      </c>
      <c r="AF11">
        <v>4.7838740572895464</v>
      </c>
      <c r="AG11">
        <v>1.3142511146399857E-2</v>
      </c>
      <c r="AH11">
        <v>1.3142511146399857E-2</v>
      </c>
      <c r="AJ11">
        <v>0</v>
      </c>
      <c r="AK11">
        <v>0</v>
      </c>
      <c r="AL11">
        <v>0</v>
      </c>
      <c r="AN11">
        <v>12.848418192594057</v>
      </c>
      <c r="AO11" t="s">
        <v>235</v>
      </c>
      <c r="AP11" t="s">
        <v>174</v>
      </c>
      <c r="AR11">
        <v>2.7472527472527479E-3</v>
      </c>
      <c r="AS11">
        <v>2.7472527472527479E-3</v>
      </c>
      <c r="AW11" t="s">
        <v>233</v>
      </c>
      <c r="AX11">
        <v>2011</v>
      </c>
    </row>
    <row r="12" spans="1:51" x14ac:dyDescent="0.2">
      <c r="A12">
        <v>10</v>
      </c>
      <c r="B12" t="s">
        <v>40</v>
      </c>
      <c r="D12">
        <v>2280002200</v>
      </c>
      <c r="E12">
        <v>25.000000000000007</v>
      </c>
      <c r="F12">
        <v>25.000000000000007</v>
      </c>
      <c r="G12">
        <v>25.000000000000007</v>
      </c>
      <c r="H12">
        <v>25.000000000000007</v>
      </c>
      <c r="I12">
        <v>7</v>
      </c>
      <c r="J12">
        <v>52</v>
      </c>
      <c r="K12">
        <v>24</v>
      </c>
      <c r="L12">
        <v>8736</v>
      </c>
      <c r="M12">
        <v>11137347.182507096</v>
      </c>
      <c r="N12" t="s">
        <v>174</v>
      </c>
      <c r="O12">
        <v>30597.107644250271</v>
      </c>
      <c r="P12" t="s">
        <v>174</v>
      </c>
      <c r="Q12">
        <v>30597.107644250271</v>
      </c>
      <c r="R12" t="s">
        <v>174</v>
      </c>
      <c r="U12" t="s">
        <v>6</v>
      </c>
      <c r="V12">
        <v>20110101</v>
      </c>
      <c r="W12">
        <v>20111231</v>
      </c>
      <c r="Z12">
        <v>157.73511260687863</v>
      </c>
      <c r="AA12" t="s">
        <v>234</v>
      </c>
      <c r="AB12">
        <v>0.43333822144746886</v>
      </c>
      <c r="AC12" t="s">
        <v>234</v>
      </c>
      <c r="AD12">
        <v>0.43333822144746886</v>
      </c>
      <c r="AE12" t="s">
        <v>234</v>
      </c>
      <c r="AF12">
        <v>157.73511260687863</v>
      </c>
      <c r="AG12">
        <v>0.43333822144746886</v>
      </c>
      <c r="AH12">
        <v>0.43333822144746886</v>
      </c>
      <c r="AJ12">
        <v>0</v>
      </c>
      <c r="AK12">
        <v>0</v>
      </c>
      <c r="AL12">
        <v>0</v>
      </c>
      <c r="AN12">
        <v>12.848418192594051</v>
      </c>
      <c r="AO12" t="s">
        <v>235</v>
      </c>
      <c r="AP12" t="s">
        <v>174</v>
      </c>
      <c r="AR12">
        <v>2.7472527472527479E-3</v>
      </c>
      <c r="AS12">
        <v>2.7472527472527479E-3</v>
      </c>
      <c r="AW12" t="s">
        <v>233</v>
      </c>
      <c r="AX12">
        <v>2011</v>
      </c>
    </row>
    <row r="13" spans="1:51" x14ac:dyDescent="0.2">
      <c r="A13">
        <v>10</v>
      </c>
      <c r="B13" t="s">
        <v>39</v>
      </c>
      <c r="D13">
        <v>2280002200</v>
      </c>
      <c r="E13">
        <v>25.000000000000007</v>
      </c>
      <c r="F13">
        <v>25.000000000000007</v>
      </c>
      <c r="G13">
        <v>25.000000000000007</v>
      </c>
      <c r="H13">
        <v>25.000000000000007</v>
      </c>
      <c r="I13">
        <v>7</v>
      </c>
      <c r="J13">
        <v>52</v>
      </c>
      <c r="K13">
        <v>24</v>
      </c>
      <c r="L13">
        <v>8736</v>
      </c>
      <c r="M13">
        <v>25134542.066848423</v>
      </c>
      <c r="N13" t="s">
        <v>174</v>
      </c>
      <c r="O13">
        <v>69050.93974408909</v>
      </c>
      <c r="P13" t="s">
        <v>174</v>
      </c>
      <c r="Q13">
        <v>69050.93974408909</v>
      </c>
      <c r="R13" t="s">
        <v>174</v>
      </c>
      <c r="U13" t="s">
        <v>6</v>
      </c>
      <c r="V13">
        <v>20110101</v>
      </c>
      <c r="W13">
        <v>20111231</v>
      </c>
      <c r="Z13">
        <v>355.97344307122557</v>
      </c>
      <c r="AA13" t="s">
        <v>234</v>
      </c>
      <c r="AB13">
        <v>0.97794901942644408</v>
      </c>
      <c r="AC13" t="s">
        <v>234</v>
      </c>
      <c r="AD13">
        <v>0.97794901942644408</v>
      </c>
      <c r="AE13" t="s">
        <v>234</v>
      </c>
      <c r="AF13">
        <v>355.97344307122557</v>
      </c>
      <c r="AG13">
        <v>0.97794901942644408</v>
      </c>
      <c r="AH13">
        <v>0.97794901942644408</v>
      </c>
      <c r="AJ13">
        <v>0</v>
      </c>
      <c r="AK13">
        <v>0</v>
      </c>
      <c r="AL13">
        <v>0</v>
      </c>
      <c r="AN13">
        <v>12.848418192594055</v>
      </c>
      <c r="AO13" t="s">
        <v>235</v>
      </c>
      <c r="AP13" t="s">
        <v>174</v>
      </c>
      <c r="AR13">
        <v>2.7472527472527479E-3</v>
      </c>
      <c r="AS13">
        <v>2.7472527472527479E-3</v>
      </c>
      <c r="AW13" t="s">
        <v>233</v>
      </c>
      <c r="AX13">
        <v>2011</v>
      </c>
    </row>
    <row r="14" spans="1:51" x14ac:dyDescent="0.2">
      <c r="A14">
        <v>10</v>
      </c>
      <c r="B14" t="s">
        <v>41</v>
      </c>
      <c r="D14">
        <v>2280002200</v>
      </c>
      <c r="E14">
        <v>25.000000000000007</v>
      </c>
      <c r="F14">
        <v>25.000000000000007</v>
      </c>
      <c r="G14">
        <v>25.000000000000007</v>
      </c>
      <c r="H14">
        <v>25.000000000000007</v>
      </c>
      <c r="I14">
        <v>7</v>
      </c>
      <c r="J14">
        <v>52</v>
      </c>
      <c r="K14">
        <v>24</v>
      </c>
      <c r="L14">
        <v>8736</v>
      </c>
      <c r="M14">
        <v>5666832.6259178398</v>
      </c>
      <c r="N14" t="s">
        <v>174</v>
      </c>
      <c r="O14">
        <v>15568.221499774289</v>
      </c>
      <c r="P14" t="s">
        <v>174</v>
      </c>
      <c r="Q14">
        <v>15568.221499774289</v>
      </c>
      <c r="R14" t="s">
        <v>174</v>
      </c>
      <c r="U14" t="s">
        <v>6</v>
      </c>
      <c r="V14">
        <v>20110101</v>
      </c>
      <c r="W14">
        <v>20111231</v>
      </c>
      <c r="Z14">
        <v>80.257755076309877</v>
      </c>
      <c r="AA14" t="s">
        <v>234</v>
      </c>
      <c r="AB14">
        <v>0.22048833812173049</v>
      </c>
      <c r="AC14" t="s">
        <v>234</v>
      </c>
      <c r="AD14">
        <v>0.22048833812173049</v>
      </c>
      <c r="AE14" t="s">
        <v>234</v>
      </c>
      <c r="AF14">
        <v>80.257755076309877</v>
      </c>
      <c r="AG14">
        <v>0.22048833812173049</v>
      </c>
      <c r="AH14">
        <v>0.22048833812173049</v>
      </c>
      <c r="AJ14">
        <v>0</v>
      </c>
      <c r="AK14">
        <v>0</v>
      </c>
      <c r="AL14">
        <v>0</v>
      </c>
      <c r="AN14">
        <v>12.848418192594055</v>
      </c>
      <c r="AO14" t="s">
        <v>235</v>
      </c>
      <c r="AP14" t="s">
        <v>174</v>
      </c>
      <c r="AR14">
        <v>2.7472527472527479E-3</v>
      </c>
      <c r="AS14">
        <v>2.7472527472527479E-3</v>
      </c>
      <c r="AW14" t="s">
        <v>233</v>
      </c>
      <c r="AX14">
        <v>2011</v>
      </c>
    </row>
    <row r="15" spans="1:51" x14ac:dyDescent="0.2">
      <c r="A15">
        <v>10</v>
      </c>
      <c r="B15" t="s">
        <v>40</v>
      </c>
      <c r="D15">
        <v>2280002100</v>
      </c>
      <c r="E15">
        <v>25.000000000000007</v>
      </c>
      <c r="F15">
        <v>25.000000000000007</v>
      </c>
      <c r="G15">
        <v>25.000000000000007</v>
      </c>
      <c r="H15">
        <v>25.000000000000007</v>
      </c>
      <c r="I15">
        <v>7</v>
      </c>
      <c r="J15">
        <v>52</v>
      </c>
      <c r="K15">
        <v>24</v>
      </c>
      <c r="L15">
        <v>8736</v>
      </c>
      <c r="M15">
        <v>0</v>
      </c>
      <c r="N15" t="s">
        <v>174</v>
      </c>
      <c r="O15">
        <v>0</v>
      </c>
      <c r="P15" t="s">
        <v>174</v>
      </c>
      <c r="Q15">
        <v>0</v>
      </c>
      <c r="R15" t="s">
        <v>174</v>
      </c>
      <c r="U15" t="s">
        <v>5</v>
      </c>
      <c r="V15">
        <v>20110101</v>
      </c>
      <c r="W15">
        <v>20111231</v>
      </c>
      <c r="Z15">
        <v>0</v>
      </c>
      <c r="AA15" t="s">
        <v>234</v>
      </c>
      <c r="AB15">
        <v>0</v>
      </c>
      <c r="AC15" t="s">
        <v>234</v>
      </c>
      <c r="AD15">
        <v>0</v>
      </c>
      <c r="AE15" t="s">
        <v>234</v>
      </c>
      <c r="AF15">
        <v>0</v>
      </c>
      <c r="AG15">
        <v>0</v>
      </c>
      <c r="AH15">
        <v>0</v>
      </c>
      <c r="AJ15">
        <v>0</v>
      </c>
      <c r="AK15">
        <v>0</v>
      </c>
      <c r="AL15">
        <v>0</v>
      </c>
      <c r="AN15">
        <v>0</v>
      </c>
      <c r="AO15" t="s">
        <v>235</v>
      </c>
      <c r="AP15" t="s">
        <v>174</v>
      </c>
      <c r="AR15">
        <v>2.7472527472527479E-3</v>
      </c>
      <c r="AS15">
        <v>2.7472527472527479E-3</v>
      </c>
      <c r="AW15" t="s">
        <v>233</v>
      </c>
      <c r="AX15">
        <v>2011</v>
      </c>
    </row>
    <row r="16" spans="1:51" x14ac:dyDescent="0.2">
      <c r="A16">
        <v>10</v>
      </c>
      <c r="B16" t="s">
        <v>39</v>
      </c>
      <c r="D16">
        <v>2280002100</v>
      </c>
      <c r="E16">
        <v>25.000000000000007</v>
      </c>
      <c r="F16">
        <v>25.000000000000007</v>
      </c>
      <c r="G16">
        <v>25.000000000000007</v>
      </c>
      <c r="H16">
        <v>25.000000000000007</v>
      </c>
      <c r="I16">
        <v>7</v>
      </c>
      <c r="J16">
        <v>52</v>
      </c>
      <c r="K16">
        <v>24</v>
      </c>
      <c r="L16">
        <v>8736</v>
      </c>
      <c r="M16">
        <v>4751008.8324999996</v>
      </c>
      <c r="N16" t="s">
        <v>174</v>
      </c>
      <c r="O16">
        <v>13052.222067307694</v>
      </c>
      <c r="P16" t="s">
        <v>174</v>
      </c>
      <c r="Q16">
        <v>13052.222067307694</v>
      </c>
      <c r="R16" t="s">
        <v>174</v>
      </c>
      <c r="U16" t="s">
        <v>5</v>
      </c>
      <c r="V16">
        <v>20110101</v>
      </c>
      <c r="W16">
        <v>20111231</v>
      </c>
      <c r="Z16">
        <v>9.6427156247785035</v>
      </c>
      <c r="AA16" t="s">
        <v>234</v>
      </c>
      <c r="AB16">
        <v>2.6490976991149742E-2</v>
      </c>
      <c r="AC16" t="s">
        <v>234</v>
      </c>
      <c r="AD16">
        <v>2.6490976991149742E-2</v>
      </c>
      <c r="AE16" t="s">
        <v>234</v>
      </c>
      <c r="AF16">
        <v>9.6427156247785035</v>
      </c>
      <c r="AG16">
        <v>2.6490976991149742E-2</v>
      </c>
      <c r="AH16">
        <v>2.6490976991149742E-2</v>
      </c>
      <c r="AJ16">
        <v>0</v>
      </c>
      <c r="AK16">
        <v>0</v>
      </c>
      <c r="AL16">
        <v>0</v>
      </c>
      <c r="AN16">
        <v>1.8412661233037309</v>
      </c>
      <c r="AO16" t="s">
        <v>235</v>
      </c>
      <c r="AP16" t="s">
        <v>174</v>
      </c>
      <c r="AR16">
        <v>2.7472527472527479E-3</v>
      </c>
      <c r="AS16">
        <v>2.7472527472527479E-3</v>
      </c>
      <c r="AW16" t="s">
        <v>233</v>
      </c>
      <c r="AX16">
        <v>2011</v>
      </c>
    </row>
    <row r="17" spans="1:50" x14ac:dyDescent="0.2">
      <c r="A17">
        <v>10</v>
      </c>
      <c r="B17" t="s">
        <v>41</v>
      </c>
      <c r="D17">
        <v>2280002100</v>
      </c>
      <c r="E17">
        <v>25.000000000000007</v>
      </c>
      <c r="F17">
        <v>25.000000000000007</v>
      </c>
      <c r="G17">
        <v>25.000000000000007</v>
      </c>
      <c r="H17">
        <v>25.000000000000007</v>
      </c>
      <c r="I17">
        <v>7</v>
      </c>
      <c r="J17">
        <v>52</v>
      </c>
      <c r="K17">
        <v>24</v>
      </c>
      <c r="L17">
        <v>8736</v>
      </c>
      <c r="M17">
        <v>337779.36549999996</v>
      </c>
      <c r="N17" t="s">
        <v>174</v>
      </c>
      <c r="O17">
        <v>927.96528983516498</v>
      </c>
      <c r="P17" t="s">
        <v>174</v>
      </c>
      <c r="Q17">
        <v>927.96528983516498</v>
      </c>
      <c r="R17" t="s">
        <v>174</v>
      </c>
      <c r="U17" t="s">
        <v>5</v>
      </c>
      <c r="V17">
        <v>20110101</v>
      </c>
      <c r="W17">
        <v>20111231</v>
      </c>
      <c r="Z17">
        <v>0.68556184176166113</v>
      </c>
      <c r="AA17" t="s">
        <v>234</v>
      </c>
      <c r="AB17">
        <v>1.8834116531913773E-3</v>
      </c>
      <c r="AC17" t="s">
        <v>234</v>
      </c>
      <c r="AD17">
        <v>1.8834116531913773E-3</v>
      </c>
      <c r="AE17" t="s">
        <v>234</v>
      </c>
      <c r="AF17">
        <v>0.68556184176166113</v>
      </c>
      <c r="AG17">
        <v>1.8834116531913773E-3</v>
      </c>
      <c r="AH17">
        <v>1.8834116531913773E-3</v>
      </c>
      <c r="AJ17">
        <v>0</v>
      </c>
      <c r="AK17">
        <v>0</v>
      </c>
      <c r="AL17">
        <v>0</v>
      </c>
      <c r="AN17">
        <v>1.8412661233037313</v>
      </c>
      <c r="AO17" t="s">
        <v>235</v>
      </c>
      <c r="AP17" t="s">
        <v>174</v>
      </c>
      <c r="AR17">
        <v>2.7472527472527479E-3</v>
      </c>
      <c r="AS17">
        <v>2.7472527472527479E-3</v>
      </c>
      <c r="AW17" t="s">
        <v>233</v>
      </c>
      <c r="AX17">
        <v>2011</v>
      </c>
    </row>
    <row r="18" spans="1:50" x14ac:dyDescent="0.2">
      <c r="A18">
        <v>10</v>
      </c>
      <c r="B18" t="s">
        <v>40</v>
      </c>
      <c r="D18">
        <v>2280002200</v>
      </c>
      <c r="E18">
        <v>25.000000000000007</v>
      </c>
      <c r="F18">
        <v>25.000000000000007</v>
      </c>
      <c r="G18">
        <v>25.000000000000007</v>
      </c>
      <c r="H18">
        <v>25.000000000000007</v>
      </c>
      <c r="I18">
        <v>7</v>
      </c>
      <c r="J18">
        <v>52</v>
      </c>
      <c r="K18">
        <v>24</v>
      </c>
      <c r="L18">
        <v>8736</v>
      </c>
      <c r="M18">
        <v>11137347.182507096</v>
      </c>
      <c r="N18" t="s">
        <v>174</v>
      </c>
      <c r="O18">
        <v>30597.107644250271</v>
      </c>
      <c r="P18" t="s">
        <v>174</v>
      </c>
      <c r="Q18">
        <v>30597.107644250271</v>
      </c>
      <c r="R18" t="s">
        <v>174</v>
      </c>
      <c r="U18" t="s">
        <v>5</v>
      </c>
      <c r="V18">
        <v>20110101</v>
      </c>
      <c r="W18">
        <v>20111231</v>
      </c>
      <c r="Z18">
        <v>22.604519478199485</v>
      </c>
      <c r="AA18" t="s">
        <v>234</v>
      </c>
      <c r="AB18">
        <v>6.2100328236811789E-2</v>
      </c>
      <c r="AC18" t="s">
        <v>234</v>
      </c>
      <c r="AD18">
        <v>6.2100328236811789E-2</v>
      </c>
      <c r="AE18" t="s">
        <v>234</v>
      </c>
      <c r="AF18">
        <v>22.604519478199485</v>
      </c>
      <c r="AG18">
        <v>6.2100328236811789E-2</v>
      </c>
      <c r="AH18">
        <v>6.2100328236811789E-2</v>
      </c>
      <c r="AJ18">
        <v>0</v>
      </c>
      <c r="AK18">
        <v>0</v>
      </c>
      <c r="AL18">
        <v>0</v>
      </c>
      <c r="AN18">
        <v>1.8412661233037313</v>
      </c>
      <c r="AO18" t="s">
        <v>235</v>
      </c>
      <c r="AP18" t="s">
        <v>174</v>
      </c>
      <c r="AR18">
        <v>2.7472527472527479E-3</v>
      </c>
      <c r="AS18">
        <v>2.7472527472527479E-3</v>
      </c>
      <c r="AW18" t="s">
        <v>233</v>
      </c>
      <c r="AX18">
        <v>2011</v>
      </c>
    </row>
    <row r="19" spans="1:50" x14ac:dyDescent="0.2">
      <c r="A19">
        <v>10</v>
      </c>
      <c r="B19" t="s">
        <v>39</v>
      </c>
      <c r="D19">
        <v>2280002200</v>
      </c>
      <c r="E19">
        <v>25.000000000000007</v>
      </c>
      <c r="F19">
        <v>25.000000000000007</v>
      </c>
      <c r="G19">
        <v>25.000000000000007</v>
      </c>
      <c r="H19">
        <v>25.000000000000007</v>
      </c>
      <c r="I19">
        <v>7</v>
      </c>
      <c r="J19">
        <v>52</v>
      </c>
      <c r="K19">
        <v>24</v>
      </c>
      <c r="L19">
        <v>8736</v>
      </c>
      <c r="M19">
        <v>25134542.066848423</v>
      </c>
      <c r="N19" t="s">
        <v>174</v>
      </c>
      <c r="O19">
        <v>69050.93974408909</v>
      </c>
      <c r="P19" t="s">
        <v>174</v>
      </c>
      <c r="Q19">
        <v>69050.93974408909</v>
      </c>
      <c r="R19" t="s">
        <v>174</v>
      </c>
      <c r="U19" t="s">
        <v>5</v>
      </c>
      <c r="V19">
        <v>20110101</v>
      </c>
      <c r="W19">
        <v>20111231</v>
      </c>
      <c r="Z19">
        <v>51.013426843519113</v>
      </c>
      <c r="AA19" t="s">
        <v>234</v>
      </c>
      <c r="AB19">
        <v>0.14014677704263495</v>
      </c>
      <c r="AC19" t="s">
        <v>234</v>
      </c>
      <c r="AD19">
        <v>0.14014677704263495</v>
      </c>
      <c r="AE19" t="s">
        <v>234</v>
      </c>
      <c r="AF19">
        <v>51.013426843519113</v>
      </c>
      <c r="AG19">
        <v>0.14014677704263495</v>
      </c>
      <c r="AH19">
        <v>0.14014677704263495</v>
      </c>
      <c r="AJ19">
        <v>0</v>
      </c>
      <c r="AK19">
        <v>0</v>
      </c>
      <c r="AL19">
        <v>0</v>
      </c>
      <c r="AN19">
        <v>1.8412661233037309</v>
      </c>
      <c r="AO19" t="s">
        <v>235</v>
      </c>
      <c r="AP19" t="s">
        <v>174</v>
      </c>
      <c r="AR19">
        <v>2.7472527472527479E-3</v>
      </c>
      <c r="AS19">
        <v>2.7472527472527479E-3</v>
      </c>
      <c r="AW19" t="s">
        <v>233</v>
      </c>
      <c r="AX19">
        <v>2011</v>
      </c>
    </row>
    <row r="20" spans="1:50" x14ac:dyDescent="0.2">
      <c r="A20">
        <v>10</v>
      </c>
      <c r="B20" t="s">
        <v>41</v>
      </c>
      <c r="D20">
        <v>2280002200</v>
      </c>
      <c r="E20">
        <v>25.000000000000007</v>
      </c>
      <c r="F20">
        <v>25.000000000000007</v>
      </c>
      <c r="G20">
        <v>25.000000000000007</v>
      </c>
      <c r="H20">
        <v>25.000000000000007</v>
      </c>
      <c r="I20">
        <v>7</v>
      </c>
      <c r="J20">
        <v>52</v>
      </c>
      <c r="K20">
        <v>24</v>
      </c>
      <c r="L20">
        <v>8736</v>
      </c>
      <c r="M20">
        <v>5666832.6259178398</v>
      </c>
      <c r="N20" t="s">
        <v>174</v>
      </c>
      <c r="O20">
        <v>15568.221499774289</v>
      </c>
      <c r="P20" t="s">
        <v>174</v>
      </c>
      <c r="Q20">
        <v>15568.221499774289</v>
      </c>
      <c r="R20" t="s">
        <v>174</v>
      </c>
      <c r="U20" t="s">
        <v>5</v>
      </c>
      <c r="V20">
        <v>20110101</v>
      </c>
      <c r="W20">
        <v>20111231</v>
      </c>
      <c r="Z20">
        <v>11.501484722811774</v>
      </c>
      <c r="AA20" t="s">
        <v>234</v>
      </c>
      <c r="AB20">
        <v>3.1597485502230155E-2</v>
      </c>
      <c r="AC20" t="s">
        <v>234</v>
      </c>
      <c r="AD20">
        <v>3.1597485502230155E-2</v>
      </c>
      <c r="AE20" t="s">
        <v>234</v>
      </c>
      <c r="AF20">
        <v>11.501484722811774</v>
      </c>
      <c r="AG20">
        <v>3.1597485502230155E-2</v>
      </c>
      <c r="AH20">
        <v>3.1597485502230155E-2</v>
      </c>
      <c r="AJ20">
        <v>0</v>
      </c>
      <c r="AK20">
        <v>0</v>
      </c>
      <c r="AL20">
        <v>0</v>
      </c>
      <c r="AN20">
        <v>1.8412661233037306</v>
      </c>
      <c r="AO20" t="s">
        <v>235</v>
      </c>
      <c r="AP20" t="s">
        <v>174</v>
      </c>
      <c r="AR20">
        <v>2.7472527472527479E-3</v>
      </c>
      <c r="AS20">
        <v>2.7472527472527479E-3</v>
      </c>
      <c r="AW20" t="s">
        <v>233</v>
      </c>
      <c r="AX20">
        <v>2011</v>
      </c>
    </row>
    <row r="21" spans="1:50" x14ac:dyDescent="0.2">
      <c r="A21">
        <v>10</v>
      </c>
      <c r="B21" t="s">
        <v>40</v>
      </c>
      <c r="D21">
        <v>2280002100</v>
      </c>
      <c r="E21">
        <v>25.000000000000007</v>
      </c>
      <c r="F21">
        <v>25.000000000000007</v>
      </c>
      <c r="G21">
        <v>25.000000000000007</v>
      </c>
      <c r="H21">
        <v>25.000000000000007</v>
      </c>
      <c r="I21">
        <v>7</v>
      </c>
      <c r="J21">
        <v>52</v>
      </c>
      <c r="K21">
        <v>24</v>
      </c>
      <c r="L21">
        <v>8736</v>
      </c>
      <c r="M21">
        <v>0</v>
      </c>
      <c r="N21" t="s">
        <v>174</v>
      </c>
      <c r="O21">
        <v>0</v>
      </c>
      <c r="P21" t="s">
        <v>174</v>
      </c>
      <c r="Q21">
        <v>0</v>
      </c>
      <c r="R21" t="s">
        <v>174</v>
      </c>
      <c r="U21" t="s">
        <v>8</v>
      </c>
      <c r="V21">
        <v>20110101</v>
      </c>
      <c r="W21">
        <v>20111231</v>
      </c>
      <c r="Z21">
        <v>0</v>
      </c>
      <c r="AA21" t="s">
        <v>234</v>
      </c>
      <c r="AB21">
        <v>0</v>
      </c>
      <c r="AC21" t="s">
        <v>234</v>
      </c>
      <c r="AD21">
        <v>0</v>
      </c>
      <c r="AE21" t="s">
        <v>234</v>
      </c>
      <c r="AF21">
        <v>0</v>
      </c>
      <c r="AG21">
        <v>0</v>
      </c>
      <c r="AH21">
        <v>0</v>
      </c>
      <c r="AJ21">
        <v>0</v>
      </c>
      <c r="AK21">
        <v>0</v>
      </c>
      <c r="AL21">
        <v>0</v>
      </c>
      <c r="AN21">
        <v>0</v>
      </c>
      <c r="AO21" t="s">
        <v>235</v>
      </c>
      <c r="AP21" t="s">
        <v>174</v>
      </c>
      <c r="AR21">
        <v>2.7472527472527479E-3</v>
      </c>
      <c r="AS21">
        <v>2.7472527472527479E-3</v>
      </c>
      <c r="AW21" t="s">
        <v>233</v>
      </c>
      <c r="AX21">
        <v>2011</v>
      </c>
    </row>
    <row r="22" spans="1:50" x14ac:dyDescent="0.2">
      <c r="A22">
        <v>10</v>
      </c>
      <c r="B22" t="s">
        <v>39</v>
      </c>
      <c r="D22">
        <v>2280002100</v>
      </c>
      <c r="E22">
        <v>25.000000000000007</v>
      </c>
      <c r="F22">
        <v>25.000000000000007</v>
      </c>
      <c r="G22">
        <v>25.000000000000007</v>
      </c>
      <c r="H22">
        <v>25.000000000000007</v>
      </c>
      <c r="I22">
        <v>7</v>
      </c>
      <c r="J22">
        <v>52</v>
      </c>
      <c r="K22">
        <v>24</v>
      </c>
      <c r="L22">
        <v>8736</v>
      </c>
      <c r="M22">
        <v>4751008.8324999996</v>
      </c>
      <c r="N22" t="s">
        <v>174</v>
      </c>
      <c r="O22">
        <v>13052.222067307694</v>
      </c>
      <c r="P22" t="s">
        <v>174</v>
      </c>
      <c r="Q22">
        <v>13052.222067307694</v>
      </c>
      <c r="R22" t="s">
        <v>174</v>
      </c>
      <c r="U22" t="s">
        <v>8</v>
      </c>
      <c r="V22">
        <v>20110101</v>
      </c>
      <c r="W22">
        <v>20111231</v>
      </c>
      <c r="Z22">
        <v>1.1349299917547935</v>
      </c>
      <c r="AA22" t="s">
        <v>234</v>
      </c>
      <c r="AB22">
        <v>3.1179395377878951E-3</v>
      </c>
      <c r="AC22" t="s">
        <v>234</v>
      </c>
      <c r="AD22">
        <v>3.1179395377878951E-3</v>
      </c>
      <c r="AE22" t="s">
        <v>234</v>
      </c>
      <c r="AF22">
        <v>1.1349299917547935</v>
      </c>
      <c r="AG22">
        <v>3.1179395377878951E-3</v>
      </c>
      <c r="AH22">
        <v>3.1179395377878951E-3</v>
      </c>
      <c r="AJ22">
        <v>0</v>
      </c>
      <c r="AK22">
        <v>0</v>
      </c>
      <c r="AL22">
        <v>0</v>
      </c>
      <c r="AN22">
        <v>0.21671365489298924</v>
      </c>
      <c r="AO22" t="s">
        <v>235</v>
      </c>
      <c r="AP22" t="s">
        <v>174</v>
      </c>
      <c r="AR22">
        <v>2.7472527472527479E-3</v>
      </c>
      <c r="AS22">
        <v>2.7472527472527479E-3</v>
      </c>
      <c r="AW22" t="s">
        <v>233</v>
      </c>
      <c r="AX22">
        <v>2011</v>
      </c>
    </row>
    <row r="23" spans="1:50" x14ac:dyDescent="0.2">
      <c r="A23">
        <v>10</v>
      </c>
      <c r="B23" t="s">
        <v>41</v>
      </c>
      <c r="D23">
        <v>2280002100</v>
      </c>
      <c r="E23">
        <v>25.000000000000007</v>
      </c>
      <c r="F23">
        <v>25.000000000000007</v>
      </c>
      <c r="G23">
        <v>25.000000000000007</v>
      </c>
      <c r="H23">
        <v>25.000000000000007</v>
      </c>
      <c r="I23">
        <v>7</v>
      </c>
      <c r="J23">
        <v>52</v>
      </c>
      <c r="K23">
        <v>24</v>
      </c>
      <c r="L23">
        <v>8736</v>
      </c>
      <c r="M23">
        <v>337779.36549999996</v>
      </c>
      <c r="N23" t="s">
        <v>174</v>
      </c>
      <c r="O23">
        <v>927.96528983516498</v>
      </c>
      <c r="P23" t="s">
        <v>174</v>
      </c>
      <c r="Q23">
        <v>927.96528983516498</v>
      </c>
      <c r="R23" t="s">
        <v>174</v>
      </c>
      <c r="U23" t="s">
        <v>8</v>
      </c>
      <c r="V23">
        <v>20110101</v>
      </c>
      <c r="W23">
        <v>20111231</v>
      </c>
      <c r="Z23">
        <v>8.0689374829078356E-2</v>
      </c>
      <c r="AA23" t="s">
        <v>234</v>
      </c>
      <c r="AB23">
        <v>2.2167410667329223E-4</v>
      </c>
      <c r="AC23" t="s">
        <v>234</v>
      </c>
      <c r="AD23">
        <v>2.2167410667329223E-4</v>
      </c>
      <c r="AE23" t="s">
        <v>234</v>
      </c>
      <c r="AF23">
        <v>8.0689374829078356E-2</v>
      </c>
      <c r="AG23">
        <v>2.2167410667329223E-4</v>
      </c>
      <c r="AH23">
        <v>2.2167410667329223E-4</v>
      </c>
      <c r="AJ23">
        <v>0</v>
      </c>
      <c r="AK23">
        <v>0</v>
      </c>
      <c r="AL23">
        <v>0</v>
      </c>
      <c r="AN23">
        <v>0.2167136548929893</v>
      </c>
      <c r="AO23" t="s">
        <v>235</v>
      </c>
      <c r="AP23" t="s">
        <v>174</v>
      </c>
      <c r="AR23">
        <v>2.7472527472527479E-3</v>
      </c>
      <c r="AS23">
        <v>2.7472527472527479E-3</v>
      </c>
      <c r="AW23" t="s">
        <v>233</v>
      </c>
      <c r="AX23">
        <v>2011</v>
      </c>
    </row>
    <row r="24" spans="1:50" x14ac:dyDescent="0.2">
      <c r="A24">
        <v>10</v>
      </c>
      <c r="B24" t="s">
        <v>40</v>
      </c>
      <c r="D24">
        <v>2280002200</v>
      </c>
      <c r="E24">
        <v>25.000000000000007</v>
      </c>
      <c r="F24">
        <v>25.000000000000007</v>
      </c>
      <c r="G24">
        <v>25.000000000000007</v>
      </c>
      <c r="H24">
        <v>25.000000000000007</v>
      </c>
      <c r="I24">
        <v>7</v>
      </c>
      <c r="J24">
        <v>52</v>
      </c>
      <c r="K24">
        <v>24</v>
      </c>
      <c r="L24">
        <v>8736</v>
      </c>
      <c r="M24">
        <v>11137347.182507096</v>
      </c>
      <c r="N24" t="s">
        <v>174</v>
      </c>
      <c r="O24">
        <v>30597.107644250271</v>
      </c>
      <c r="P24" t="s">
        <v>174</v>
      </c>
      <c r="Q24">
        <v>30597.107644250271</v>
      </c>
      <c r="R24" t="s">
        <v>174</v>
      </c>
      <c r="U24" t="s">
        <v>8</v>
      </c>
      <c r="V24">
        <v>20110101</v>
      </c>
      <c r="W24">
        <v>20111231</v>
      </c>
      <c r="Z24">
        <v>2.6605105971486434</v>
      </c>
      <c r="AA24" t="s">
        <v>234</v>
      </c>
      <c r="AB24">
        <v>7.309095047111659E-3</v>
      </c>
      <c r="AC24" t="s">
        <v>234</v>
      </c>
      <c r="AD24">
        <v>7.309095047111659E-3</v>
      </c>
      <c r="AE24" t="s">
        <v>234</v>
      </c>
      <c r="AF24">
        <v>2.6605105971486434</v>
      </c>
      <c r="AG24">
        <v>7.309095047111659E-3</v>
      </c>
      <c r="AH24">
        <v>7.309095047111659E-3</v>
      </c>
      <c r="AJ24">
        <v>0</v>
      </c>
      <c r="AK24">
        <v>0</v>
      </c>
      <c r="AL24">
        <v>0</v>
      </c>
      <c r="AN24">
        <v>0.2167136548929893</v>
      </c>
      <c r="AO24" t="s">
        <v>235</v>
      </c>
      <c r="AP24" t="s">
        <v>174</v>
      </c>
      <c r="AR24">
        <v>2.7472527472527479E-3</v>
      </c>
      <c r="AS24">
        <v>2.7472527472527479E-3</v>
      </c>
      <c r="AW24" t="s">
        <v>233</v>
      </c>
      <c r="AX24">
        <v>2011</v>
      </c>
    </row>
    <row r="25" spans="1:50" x14ac:dyDescent="0.2">
      <c r="A25">
        <v>10</v>
      </c>
      <c r="B25" t="s">
        <v>39</v>
      </c>
      <c r="D25">
        <v>2280002200</v>
      </c>
      <c r="E25">
        <v>25.000000000000007</v>
      </c>
      <c r="F25">
        <v>25.000000000000007</v>
      </c>
      <c r="G25">
        <v>25.000000000000007</v>
      </c>
      <c r="H25">
        <v>25.000000000000007</v>
      </c>
      <c r="I25">
        <v>7</v>
      </c>
      <c r="J25">
        <v>52</v>
      </c>
      <c r="K25">
        <v>24</v>
      </c>
      <c r="L25">
        <v>8736</v>
      </c>
      <c r="M25">
        <v>25134542.066848423</v>
      </c>
      <c r="N25" t="s">
        <v>174</v>
      </c>
      <c r="O25">
        <v>69050.93974408909</v>
      </c>
      <c r="P25" t="s">
        <v>174</v>
      </c>
      <c r="Q25">
        <v>69050.93974408909</v>
      </c>
      <c r="R25" t="s">
        <v>174</v>
      </c>
      <c r="U25" t="s">
        <v>8</v>
      </c>
      <c r="V25">
        <v>20110101</v>
      </c>
      <c r="W25">
        <v>20111231</v>
      </c>
      <c r="Z25">
        <v>6.0041870319315596</v>
      </c>
      <c r="AA25" t="s">
        <v>234</v>
      </c>
      <c r="AB25">
        <v>1.6495019318493301E-2</v>
      </c>
      <c r="AC25" t="s">
        <v>234</v>
      </c>
      <c r="AD25">
        <v>1.6495019318493301E-2</v>
      </c>
      <c r="AE25" t="s">
        <v>234</v>
      </c>
      <c r="AF25">
        <v>6.0041870319315596</v>
      </c>
      <c r="AG25">
        <v>1.6495019318493301E-2</v>
      </c>
      <c r="AH25">
        <v>1.6495019318493301E-2</v>
      </c>
      <c r="AJ25">
        <v>0</v>
      </c>
      <c r="AK25">
        <v>0</v>
      </c>
      <c r="AL25">
        <v>0</v>
      </c>
      <c r="AN25">
        <v>0.21671365489298927</v>
      </c>
      <c r="AO25" t="s">
        <v>235</v>
      </c>
      <c r="AP25" t="s">
        <v>174</v>
      </c>
      <c r="AR25">
        <v>2.7472527472527479E-3</v>
      </c>
      <c r="AS25">
        <v>2.7472527472527479E-3</v>
      </c>
      <c r="AW25" t="s">
        <v>233</v>
      </c>
      <c r="AX25">
        <v>2011</v>
      </c>
    </row>
    <row r="26" spans="1:50" x14ac:dyDescent="0.2">
      <c r="A26">
        <v>10</v>
      </c>
      <c r="B26" t="s">
        <v>41</v>
      </c>
      <c r="D26">
        <v>2280002200</v>
      </c>
      <c r="E26">
        <v>25.000000000000007</v>
      </c>
      <c r="F26">
        <v>25.000000000000007</v>
      </c>
      <c r="G26">
        <v>25.000000000000007</v>
      </c>
      <c r="H26">
        <v>25.000000000000007</v>
      </c>
      <c r="I26">
        <v>7</v>
      </c>
      <c r="J26">
        <v>52</v>
      </c>
      <c r="K26">
        <v>24</v>
      </c>
      <c r="L26">
        <v>8736</v>
      </c>
      <c r="M26">
        <v>5666832.6259178398</v>
      </c>
      <c r="N26" t="s">
        <v>174</v>
      </c>
      <c r="O26">
        <v>15568.221499774289</v>
      </c>
      <c r="P26" t="s">
        <v>174</v>
      </c>
      <c r="Q26">
        <v>15568.221499774289</v>
      </c>
      <c r="R26" t="s">
        <v>174</v>
      </c>
      <c r="U26" t="s">
        <v>8</v>
      </c>
      <c r="V26">
        <v>20110101</v>
      </c>
      <c r="W26">
        <v>20111231</v>
      </c>
      <c r="Z26">
        <v>1.3537037147591389</v>
      </c>
      <c r="AA26" t="s">
        <v>234</v>
      </c>
      <c r="AB26">
        <v>3.7189662493382946E-3</v>
      </c>
      <c r="AC26" t="s">
        <v>234</v>
      </c>
      <c r="AD26">
        <v>3.7189662493382946E-3</v>
      </c>
      <c r="AE26" t="s">
        <v>234</v>
      </c>
      <c r="AF26">
        <v>1.3537037147591389</v>
      </c>
      <c r="AG26">
        <v>3.7189662493382946E-3</v>
      </c>
      <c r="AH26">
        <v>3.7189662493382946E-3</v>
      </c>
      <c r="AJ26">
        <v>0</v>
      </c>
      <c r="AK26">
        <v>0</v>
      </c>
      <c r="AL26">
        <v>0</v>
      </c>
      <c r="AN26">
        <v>0.21671365489298924</v>
      </c>
      <c r="AO26" t="s">
        <v>235</v>
      </c>
      <c r="AP26" t="s">
        <v>174</v>
      </c>
      <c r="AR26">
        <v>2.7472527472527479E-3</v>
      </c>
      <c r="AS26">
        <v>2.7472527472527479E-3</v>
      </c>
      <c r="AW26" t="s">
        <v>233</v>
      </c>
      <c r="AX26">
        <v>2011</v>
      </c>
    </row>
    <row r="27" spans="1:50" x14ac:dyDescent="0.2">
      <c r="A27">
        <v>10</v>
      </c>
      <c r="B27" t="s">
        <v>40</v>
      </c>
      <c r="D27">
        <v>2280002100</v>
      </c>
      <c r="E27">
        <v>25.000000000000007</v>
      </c>
      <c r="F27">
        <v>25.000000000000007</v>
      </c>
      <c r="G27">
        <v>25.000000000000007</v>
      </c>
      <c r="H27">
        <v>25.000000000000007</v>
      </c>
      <c r="I27">
        <v>7</v>
      </c>
      <c r="J27">
        <v>52</v>
      </c>
      <c r="K27">
        <v>24</v>
      </c>
      <c r="L27">
        <v>8736</v>
      </c>
      <c r="M27">
        <v>0</v>
      </c>
      <c r="N27" t="s">
        <v>174</v>
      </c>
      <c r="O27">
        <v>0</v>
      </c>
      <c r="P27" t="s">
        <v>174</v>
      </c>
      <c r="Q27">
        <v>0</v>
      </c>
      <c r="R27" t="s">
        <v>174</v>
      </c>
      <c r="U27" t="s">
        <v>13</v>
      </c>
      <c r="V27">
        <v>20110101</v>
      </c>
      <c r="W27">
        <v>20111231</v>
      </c>
      <c r="Z27">
        <v>0</v>
      </c>
      <c r="AA27" t="s">
        <v>234</v>
      </c>
      <c r="AB27">
        <v>0</v>
      </c>
      <c r="AC27" t="s">
        <v>234</v>
      </c>
      <c r="AD27">
        <v>0</v>
      </c>
      <c r="AE27" t="s">
        <v>234</v>
      </c>
      <c r="AF27">
        <v>0</v>
      </c>
      <c r="AG27">
        <v>0</v>
      </c>
      <c r="AH27">
        <v>0</v>
      </c>
      <c r="AJ27">
        <v>0</v>
      </c>
      <c r="AK27">
        <v>0</v>
      </c>
      <c r="AL27">
        <v>0</v>
      </c>
      <c r="AN27">
        <v>0</v>
      </c>
      <c r="AO27" t="s">
        <v>235</v>
      </c>
      <c r="AP27" t="s">
        <v>174</v>
      </c>
      <c r="AR27">
        <v>2.7472527472527479E-3</v>
      </c>
      <c r="AS27">
        <v>2.7472527472527479E-3</v>
      </c>
      <c r="AW27" t="s">
        <v>233</v>
      </c>
      <c r="AX27">
        <v>2011</v>
      </c>
    </row>
    <row r="28" spans="1:50" x14ac:dyDescent="0.2">
      <c r="A28">
        <v>10</v>
      </c>
      <c r="B28" t="s">
        <v>39</v>
      </c>
      <c r="D28">
        <v>2280002100</v>
      </c>
      <c r="E28">
        <v>25.000000000000007</v>
      </c>
      <c r="F28">
        <v>25.000000000000007</v>
      </c>
      <c r="G28">
        <v>25.000000000000007</v>
      </c>
      <c r="H28">
        <v>25.000000000000007</v>
      </c>
      <c r="I28">
        <v>7</v>
      </c>
      <c r="J28">
        <v>52</v>
      </c>
      <c r="K28">
        <v>24</v>
      </c>
      <c r="L28">
        <v>8736</v>
      </c>
      <c r="M28">
        <v>4751008.8324999996</v>
      </c>
      <c r="N28" t="s">
        <v>174</v>
      </c>
      <c r="O28">
        <v>13052.222067307694</v>
      </c>
      <c r="P28" t="s">
        <v>174</v>
      </c>
      <c r="Q28">
        <v>13052.222067307694</v>
      </c>
      <c r="R28" t="s">
        <v>174</v>
      </c>
      <c r="U28" t="s">
        <v>13</v>
      </c>
      <c r="V28">
        <v>20110101</v>
      </c>
      <c r="W28">
        <v>20111231</v>
      </c>
      <c r="Z28">
        <v>2.196034273155731</v>
      </c>
      <c r="AA28" t="s">
        <v>234</v>
      </c>
      <c r="AB28">
        <v>6.0330611899882735E-3</v>
      </c>
      <c r="AC28" t="s">
        <v>234</v>
      </c>
      <c r="AD28">
        <v>6.0330611899882735E-3</v>
      </c>
      <c r="AE28" t="s">
        <v>234</v>
      </c>
      <c r="AF28">
        <v>2.196034273155731</v>
      </c>
      <c r="AG28">
        <v>6.0330611899882735E-3</v>
      </c>
      <c r="AH28">
        <v>6.0330611899882735E-3</v>
      </c>
      <c r="AJ28">
        <v>0</v>
      </c>
      <c r="AK28">
        <v>0</v>
      </c>
      <c r="AL28">
        <v>0</v>
      </c>
      <c r="AN28">
        <v>0.41933037021077341</v>
      </c>
      <c r="AO28" t="s">
        <v>235</v>
      </c>
      <c r="AP28" t="s">
        <v>174</v>
      </c>
      <c r="AR28">
        <v>2.7472527472527479E-3</v>
      </c>
      <c r="AS28">
        <v>2.7472527472527479E-3</v>
      </c>
      <c r="AW28" t="s">
        <v>233</v>
      </c>
      <c r="AX28">
        <v>2011</v>
      </c>
    </row>
    <row r="29" spans="1:50" x14ac:dyDescent="0.2">
      <c r="A29">
        <v>10</v>
      </c>
      <c r="B29" t="s">
        <v>41</v>
      </c>
      <c r="D29">
        <v>2280002100</v>
      </c>
      <c r="E29">
        <v>25.000000000000007</v>
      </c>
      <c r="F29">
        <v>25.000000000000007</v>
      </c>
      <c r="G29">
        <v>25.000000000000007</v>
      </c>
      <c r="H29">
        <v>25.000000000000007</v>
      </c>
      <c r="I29">
        <v>7</v>
      </c>
      <c r="J29">
        <v>52</v>
      </c>
      <c r="K29">
        <v>24</v>
      </c>
      <c r="L29">
        <v>8736</v>
      </c>
      <c r="M29">
        <v>337779.36549999996</v>
      </c>
      <c r="N29" t="s">
        <v>174</v>
      </c>
      <c r="O29">
        <v>927.96528983516498</v>
      </c>
      <c r="P29" t="s">
        <v>174</v>
      </c>
      <c r="Q29">
        <v>927.96528983516498</v>
      </c>
      <c r="R29" t="s">
        <v>174</v>
      </c>
      <c r="U29" t="s">
        <v>13</v>
      </c>
      <c r="V29">
        <v>20110101</v>
      </c>
      <c r="W29">
        <v>20111231</v>
      </c>
      <c r="Z29">
        <v>0.15613001144695232</v>
      </c>
      <c r="AA29" t="s">
        <v>234</v>
      </c>
      <c r="AB29">
        <v>4.2892860287624277E-4</v>
      </c>
      <c r="AC29" t="s">
        <v>234</v>
      </c>
      <c r="AD29">
        <v>4.2892860287624277E-4</v>
      </c>
      <c r="AE29" t="s">
        <v>234</v>
      </c>
      <c r="AF29">
        <v>0.15613001144695232</v>
      </c>
      <c r="AG29">
        <v>4.2892860287624277E-4</v>
      </c>
      <c r="AH29">
        <v>4.2892860287624277E-4</v>
      </c>
      <c r="AJ29">
        <v>0</v>
      </c>
      <c r="AK29">
        <v>0</v>
      </c>
      <c r="AL29">
        <v>0</v>
      </c>
      <c r="AN29">
        <v>0.41933037021077346</v>
      </c>
      <c r="AO29" t="s">
        <v>235</v>
      </c>
      <c r="AP29" t="s">
        <v>174</v>
      </c>
      <c r="AR29">
        <v>2.7472527472527479E-3</v>
      </c>
      <c r="AS29">
        <v>2.7472527472527479E-3</v>
      </c>
      <c r="AW29" t="s">
        <v>233</v>
      </c>
      <c r="AX29">
        <v>2011</v>
      </c>
    </row>
    <row r="30" spans="1:50" x14ac:dyDescent="0.2">
      <c r="A30">
        <v>10</v>
      </c>
      <c r="B30" t="s">
        <v>40</v>
      </c>
      <c r="D30">
        <v>2280002200</v>
      </c>
      <c r="E30">
        <v>25.000000000000007</v>
      </c>
      <c r="F30">
        <v>25.000000000000007</v>
      </c>
      <c r="G30">
        <v>25.000000000000007</v>
      </c>
      <c r="H30">
        <v>25.000000000000007</v>
      </c>
      <c r="I30">
        <v>7</v>
      </c>
      <c r="J30">
        <v>52</v>
      </c>
      <c r="K30">
        <v>24</v>
      </c>
      <c r="L30">
        <v>8736</v>
      </c>
      <c r="M30">
        <v>11137347.182507096</v>
      </c>
      <c r="N30" t="s">
        <v>174</v>
      </c>
      <c r="O30">
        <v>30597.107644250271</v>
      </c>
      <c r="P30" t="s">
        <v>174</v>
      </c>
      <c r="Q30">
        <v>30597.107644250271</v>
      </c>
      <c r="R30" t="s">
        <v>174</v>
      </c>
      <c r="U30" t="s">
        <v>13</v>
      </c>
      <c r="V30">
        <v>20110101</v>
      </c>
      <c r="W30">
        <v>20111231</v>
      </c>
      <c r="Z30">
        <v>5.1479584625293375</v>
      </c>
      <c r="AA30" t="s">
        <v>234</v>
      </c>
      <c r="AB30">
        <v>1.4142743028926754E-2</v>
      </c>
      <c r="AC30" t="s">
        <v>234</v>
      </c>
      <c r="AD30">
        <v>1.4142743028926754E-2</v>
      </c>
      <c r="AE30" t="s">
        <v>234</v>
      </c>
      <c r="AF30">
        <v>5.1479584625293375</v>
      </c>
      <c r="AG30">
        <v>1.4142743028926754E-2</v>
      </c>
      <c r="AH30">
        <v>1.4142743028926754E-2</v>
      </c>
      <c r="AJ30">
        <v>0</v>
      </c>
      <c r="AK30">
        <v>0</v>
      </c>
      <c r="AL30">
        <v>0</v>
      </c>
      <c r="AN30">
        <v>0.41933037021077346</v>
      </c>
      <c r="AO30" t="s">
        <v>235</v>
      </c>
      <c r="AP30" t="s">
        <v>174</v>
      </c>
      <c r="AR30">
        <v>2.7472527472527479E-3</v>
      </c>
      <c r="AS30">
        <v>2.7472527472527479E-3</v>
      </c>
      <c r="AW30" t="s">
        <v>233</v>
      </c>
      <c r="AX30">
        <v>2011</v>
      </c>
    </row>
    <row r="31" spans="1:50" x14ac:dyDescent="0.2">
      <c r="A31">
        <v>10</v>
      </c>
      <c r="B31" t="s">
        <v>39</v>
      </c>
      <c r="D31">
        <v>2280002200</v>
      </c>
      <c r="E31">
        <v>25.000000000000007</v>
      </c>
      <c r="F31">
        <v>25.000000000000007</v>
      </c>
      <c r="G31">
        <v>25.000000000000007</v>
      </c>
      <c r="H31">
        <v>25.000000000000007</v>
      </c>
      <c r="I31">
        <v>7</v>
      </c>
      <c r="J31">
        <v>52</v>
      </c>
      <c r="K31">
        <v>24</v>
      </c>
      <c r="L31">
        <v>8736</v>
      </c>
      <c r="M31">
        <v>25134542.066848423</v>
      </c>
      <c r="N31" t="s">
        <v>174</v>
      </c>
      <c r="O31">
        <v>69050.93974408909</v>
      </c>
      <c r="P31" t="s">
        <v>174</v>
      </c>
      <c r="Q31">
        <v>69050.93974408909</v>
      </c>
      <c r="R31" t="s">
        <v>174</v>
      </c>
      <c r="U31" t="s">
        <v>13</v>
      </c>
      <c r="V31">
        <v>20110101</v>
      </c>
      <c r="W31">
        <v>20111231</v>
      </c>
      <c r="Z31">
        <v>11.617809556845025</v>
      </c>
      <c r="AA31" t="s">
        <v>234</v>
      </c>
      <c r="AB31">
        <v>3.1917059222101724E-2</v>
      </c>
      <c r="AC31" t="s">
        <v>234</v>
      </c>
      <c r="AD31">
        <v>3.1917059222101724E-2</v>
      </c>
      <c r="AE31" t="s">
        <v>234</v>
      </c>
      <c r="AF31">
        <v>11.617809556845025</v>
      </c>
      <c r="AG31">
        <v>3.1917059222101724E-2</v>
      </c>
      <c r="AH31">
        <v>3.1917059222101724E-2</v>
      </c>
      <c r="AJ31">
        <v>0</v>
      </c>
      <c r="AK31">
        <v>0</v>
      </c>
      <c r="AL31">
        <v>0</v>
      </c>
      <c r="AN31">
        <v>0.41933037021077341</v>
      </c>
      <c r="AO31" t="s">
        <v>235</v>
      </c>
      <c r="AP31" t="s">
        <v>174</v>
      </c>
      <c r="AR31">
        <v>2.7472527472527479E-3</v>
      </c>
      <c r="AS31">
        <v>2.7472527472527479E-3</v>
      </c>
      <c r="AW31" t="s">
        <v>233</v>
      </c>
      <c r="AX31">
        <v>2011</v>
      </c>
    </row>
    <row r="32" spans="1:50" x14ac:dyDescent="0.2">
      <c r="A32">
        <v>10</v>
      </c>
      <c r="B32" t="s">
        <v>41</v>
      </c>
      <c r="D32">
        <v>2280002200</v>
      </c>
      <c r="E32">
        <v>25.000000000000007</v>
      </c>
      <c r="F32">
        <v>25.000000000000007</v>
      </c>
      <c r="G32">
        <v>25.000000000000007</v>
      </c>
      <c r="H32">
        <v>25.000000000000007</v>
      </c>
      <c r="I32">
        <v>7</v>
      </c>
      <c r="J32">
        <v>52</v>
      </c>
      <c r="K32">
        <v>24</v>
      </c>
      <c r="L32">
        <v>8736</v>
      </c>
      <c r="M32">
        <v>5666832.6259178398</v>
      </c>
      <c r="N32" t="s">
        <v>174</v>
      </c>
      <c r="O32">
        <v>15568.221499774289</v>
      </c>
      <c r="P32" t="s">
        <v>174</v>
      </c>
      <c r="Q32">
        <v>15568.221499774289</v>
      </c>
      <c r="R32" t="s">
        <v>174</v>
      </c>
      <c r="U32" t="s">
        <v>13</v>
      </c>
      <c r="V32">
        <v>20110101</v>
      </c>
      <c r="W32">
        <v>20111231</v>
      </c>
      <c r="Z32">
        <v>2.6193507748551776</v>
      </c>
      <c r="AA32" t="s">
        <v>234</v>
      </c>
      <c r="AB32">
        <v>7.1960186122395006E-3</v>
      </c>
      <c r="AC32" t="s">
        <v>234</v>
      </c>
      <c r="AD32">
        <v>7.1960186122395006E-3</v>
      </c>
      <c r="AE32" t="s">
        <v>234</v>
      </c>
      <c r="AF32">
        <v>2.6193507748551776</v>
      </c>
      <c r="AG32">
        <v>7.1960186122395006E-3</v>
      </c>
      <c r="AH32">
        <v>7.1960186122395006E-3</v>
      </c>
      <c r="AJ32">
        <v>0</v>
      </c>
      <c r="AK32">
        <v>0</v>
      </c>
      <c r="AL32">
        <v>0</v>
      </c>
      <c r="AN32">
        <v>0.41933037021077341</v>
      </c>
      <c r="AO32" t="s">
        <v>235</v>
      </c>
      <c r="AP32" t="s">
        <v>174</v>
      </c>
      <c r="AR32">
        <v>2.7472527472527479E-3</v>
      </c>
      <c r="AS32">
        <v>2.7472527472527479E-3</v>
      </c>
      <c r="AW32" t="s">
        <v>233</v>
      </c>
      <c r="AX32">
        <v>2011</v>
      </c>
    </row>
    <row r="33" spans="1:50" x14ac:dyDescent="0.2">
      <c r="A33">
        <v>10</v>
      </c>
      <c r="B33" t="s">
        <v>40</v>
      </c>
      <c r="D33">
        <v>2280002100</v>
      </c>
      <c r="E33">
        <v>25.000000000000007</v>
      </c>
      <c r="F33">
        <v>25.000000000000007</v>
      </c>
      <c r="G33">
        <v>25.000000000000007</v>
      </c>
      <c r="H33">
        <v>25.000000000000007</v>
      </c>
      <c r="I33">
        <v>7</v>
      </c>
      <c r="J33">
        <v>52</v>
      </c>
      <c r="K33">
        <v>24</v>
      </c>
      <c r="L33">
        <v>8736</v>
      </c>
      <c r="M33">
        <v>0</v>
      </c>
      <c r="N33" t="s">
        <v>174</v>
      </c>
      <c r="O33">
        <v>0</v>
      </c>
      <c r="P33" t="s">
        <v>174</v>
      </c>
      <c r="Q33">
        <v>0</v>
      </c>
      <c r="R33" t="s">
        <v>174</v>
      </c>
      <c r="U33" t="s">
        <v>15</v>
      </c>
      <c r="V33">
        <v>20110101</v>
      </c>
      <c r="W33">
        <v>20111231</v>
      </c>
      <c r="Z33">
        <v>0</v>
      </c>
      <c r="AA33" t="s">
        <v>234</v>
      </c>
      <c r="AB33">
        <v>0</v>
      </c>
      <c r="AC33" t="s">
        <v>234</v>
      </c>
      <c r="AD33">
        <v>0</v>
      </c>
      <c r="AE33" t="s">
        <v>234</v>
      </c>
      <c r="AF33">
        <v>0</v>
      </c>
      <c r="AG33">
        <v>0</v>
      </c>
      <c r="AH33">
        <v>0</v>
      </c>
      <c r="AJ33">
        <v>0</v>
      </c>
      <c r="AK33">
        <v>0</v>
      </c>
      <c r="AL33">
        <v>0</v>
      </c>
      <c r="AN33">
        <v>0</v>
      </c>
      <c r="AO33" t="s">
        <v>235</v>
      </c>
      <c r="AP33" t="s">
        <v>174</v>
      </c>
      <c r="AR33">
        <v>2.7472527472527479E-3</v>
      </c>
      <c r="AS33">
        <v>2.7472527472527479E-3</v>
      </c>
      <c r="AW33" t="s">
        <v>233</v>
      </c>
      <c r="AX33">
        <v>2011</v>
      </c>
    </row>
    <row r="34" spans="1:50" x14ac:dyDescent="0.2">
      <c r="A34">
        <v>10</v>
      </c>
      <c r="B34" t="s">
        <v>39</v>
      </c>
      <c r="D34">
        <v>2280002100</v>
      </c>
      <c r="E34">
        <v>25.000000000000007</v>
      </c>
      <c r="F34">
        <v>25.000000000000007</v>
      </c>
      <c r="G34">
        <v>25.000000000000007</v>
      </c>
      <c r="H34">
        <v>25.000000000000007</v>
      </c>
      <c r="I34">
        <v>7</v>
      </c>
      <c r="J34">
        <v>52</v>
      </c>
      <c r="K34">
        <v>24</v>
      </c>
      <c r="L34">
        <v>8736</v>
      </c>
      <c r="M34">
        <v>4751008.8324999996</v>
      </c>
      <c r="N34" t="s">
        <v>174</v>
      </c>
      <c r="O34">
        <v>13052.222067307694</v>
      </c>
      <c r="P34" t="s">
        <v>174</v>
      </c>
      <c r="Q34">
        <v>13052.222067307694</v>
      </c>
      <c r="R34" t="s">
        <v>174</v>
      </c>
      <c r="U34" t="s">
        <v>15</v>
      </c>
      <c r="V34">
        <v>20110101</v>
      </c>
      <c r="W34">
        <v>20111231</v>
      </c>
      <c r="Z34">
        <v>2.130153244961059</v>
      </c>
      <c r="AA34" t="s">
        <v>234</v>
      </c>
      <c r="AB34">
        <v>5.852069354288625E-3</v>
      </c>
      <c r="AC34" t="s">
        <v>234</v>
      </c>
      <c r="AD34">
        <v>5.852069354288625E-3</v>
      </c>
      <c r="AE34" t="s">
        <v>234</v>
      </c>
      <c r="AF34">
        <v>2.130153244961059</v>
      </c>
      <c r="AG34">
        <v>5.852069354288625E-3</v>
      </c>
      <c r="AH34">
        <v>5.852069354288625E-3</v>
      </c>
      <c r="AJ34">
        <v>0</v>
      </c>
      <c r="AK34">
        <v>0</v>
      </c>
      <c r="AL34">
        <v>0</v>
      </c>
      <c r="AN34">
        <v>0.40675045910445018</v>
      </c>
      <c r="AO34" t="s">
        <v>235</v>
      </c>
      <c r="AP34" t="s">
        <v>174</v>
      </c>
      <c r="AR34">
        <v>2.7472527472527479E-3</v>
      </c>
      <c r="AS34">
        <v>2.7472527472527479E-3</v>
      </c>
      <c r="AW34" t="s">
        <v>233</v>
      </c>
      <c r="AX34">
        <v>2011</v>
      </c>
    </row>
    <row r="35" spans="1:50" x14ac:dyDescent="0.2">
      <c r="A35">
        <v>10</v>
      </c>
      <c r="B35" t="s">
        <v>41</v>
      </c>
      <c r="D35">
        <v>2280002100</v>
      </c>
      <c r="E35">
        <v>25.000000000000007</v>
      </c>
      <c r="F35">
        <v>25.000000000000007</v>
      </c>
      <c r="G35">
        <v>25.000000000000007</v>
      </c>
      <c r="H35">
        <v>25.000000000000007</v>
      </c>
      <c r="I35">
        <v>7</v>
      </c>
      <c r="J35">
        <v>52</v>
      </c>
      <c r="K35">
        <v>24</v>
      </c>
      <c r="L35">
        <v>8736</v>
      </c>
      <c r="M35">
        <v>337779.36549999996</v>
      </c>
      <c r="N35" t="s">
        <v>174</v>
      </c>
      <c r="O35">
        <v>927.96528983516498</v>
      </c>
      <c r="P35" t="s">
        <v>174</v>
      </c>
      <c r="Q35">
        <v>927.96528983516498</v>
      </c>
      <c r="R35" t="s">
        <v>174</v>
      </c>
      <c r="U35" t="s">
        <v>15</v>
      </c>
      <c r="V35">
        <v>20110101</v>
      </c>
      <c r="W35">
        <v>20111231</v>
      </c>
      <c r="Z35">
        <v>0.15144611110354372</v>
      </c>
      <c r="AA35" t="s">
        <v>234</v>
      </c>
      <c r="AB35">
        <v>4.160607447899554E-4</v>
      </c>
      <c r="AC35" t="s">
        <v>234</v>
      </c>
      <c r="AD35">
        <v>4.160607447899554E-4</v>
      </c>
      <c r="AE35" t="s">
        <v>234</v>
      </c>
      <c r="AF35">
        <v>0.15144611110354372</v>
      </c>
      <c r="AG35">
        <v>4.160607447899554E-4</v>
      </c>
      <c r="AH35">
        <v>4.160607447899554E-4</v>
      </c>
      <c r="AJ35">
        <v>0</v>
      </c>
      <c r="AK35">
        <v>0</v>
      </c>
      <c r="AL35">
        <v>0</v>
      </c>
      <c r="AN35">
        <v>0.40675045910445018</v>
      </c>
      <c r="AO35" t="s">
        <v>235</v>
      </c>
      <c r="AP35" t="s">
        <v>174</v>
      </c>
      <c r="AR35">
        <v>2.7472527472527479E-3</v>
      </c>
      <c r="AS35">
        <v>2.7472527472527479E-3</v>
      </c>
      <c r="AW35" t="s">
        <v>233</v>
      </c>
      <c r="AX35">
        <v>2011</v>
      </c>
    </row>
    <row r="36" spans="1:50" x14ac:dyDescent="0.2">
      <c r="A36">
        <v>10</v>
      </c>
      <c r="B36" t="s">
        <v>40</v>
      </c>
      <c r="D36">
        <v>2280002200</v>
      </c>
      <c r="E36">
        <v>25.000000000000007</v>
      </c>
      <c r="F36">
        <v>25.000000000000007</v>
      </c>
      <c r="G36">
        <v>25.000000000000007</v>
      </c>
      <c r="H36">
        <v>25.000000000000007</v>
      </c>
      <c r="I36">
        <v>7</v>
      </c>
      <c r="J36">
        <v>52</v>
      </c>
      <c r="K36">
        <v>24</v>
      </c>
      <c r="L36">
        <v>8736</v>
      </c>
      <c r="M36">
        <v>11137347.182507096</v>
      </c>
      <c r="N36" t="s">
        <v>174</v>
      </c>
      <c r="O36">
        <v>30597.107644250271</v>
      </c>
      <c r="P36" t="s">
        <v>174</v>
      </c>
      <c r="Q36">
        <v>30597.107644250271</v>
      </c>
      <c r="R36" t="s">
        <v>174</v>
      </c>
      <c r="U36" t="s">
        <v>15</v>
      </c>
      <c r="V36">
        <v>20110101</v>
      </c>
      <c r="W36">
        <v>20111231</v>
      </c>
      <c r="Z36">
        <v>4.9935197086534568</v>
      </c>
      <c r="AA36" t="s">
        <v>234</v>
      </c>
      <c r="AB36">
        <v>1.3718460738058951E-2</v>
      </c>
      <c r="AC36" t="s">
        <v>234</v>
      </c>
      <c r="AD36">
        <v>1.3718460738058951E-2</v>
      </c>
      <c r="AE36" t="s">
        <v>234</v>
      </c>
      <c r="AF36">
        <v>4.9935197086534568</v>
      </c>
      <c r="AG36">
        <v>1.3718460738058951E-2</v>
      </c>
      <c r="AH36">
        <v>1.3718460738058951E-2</v>
      </c>
      <c r="AJ36">
        <v>0</v>
      </c>
      <c r="AK36">
        <v>0</v>
      </c>
      <c r="AL36">
        <v>0</v>
      </c>
      <c r="AN36">
        <v>0.40675045910445023</v>
      </c>
      <c r="AO36" t="s">
        <v>235</v>
      </c>
      <c r="AP36" t="s">
        <v>174</v>
      </c>
      <c r="AR36">
        <v>2.7472527472527479E-3</v>
      </c>
      <c r="AS36">
        <v>2.7472527472527479E-3</v>
      </c>
      <c r="AW36" t="s">
        <v>233</v>
      </c>
      <c r="AX36">
        <v>2011</v>
      </c>
    </row>
    <row r="37" spans="1:50" x14ac:dyDescent="0.2">
      <c r="A37">
        <v>10</v>
      </c>
      <c r="B37" t="s">
        <v>39</v>
      </c>
      <c r="D37">
        <v>2280002200</v>
      </c>
      <c r="E37">
        <v>25.000000000000007</v>
      </c>
      <c r="F37">
        <v>25.000000000000007</v>
      </c>
      <c r="G37">
        <v>25.000000000000007</v>
      </c>
      <c r="H37">
        <v>25.000000000000007</v>
      </c>
      <c r="I37">
        <v>7</v>
      </c>
      <c r="J37">
        <v>52</v>
      </c>
      <c r="K37">
        <v>24</v>
      </c>
      <c r="L37">
        <v>8736</v>
      </c>
      <c r="M37">
        <v>25134542.066848423</v>
      </c>
      <c r="N37" t="s">
        <v>174</v>
      </c>
      <c r="O37">
        <v>69050.93974408909</v>
      </c>
      <c r="P37" t="s">
        <v>174</v>
      </c>
      <c r="Q37">
        <v>69050.93974408909</v>
      </c>
      <c r="R37" t="s">
        <v>174</v>
      </c>
      <c r="U37" t="s">
        <v>15</v>
      </c>
      <c r="V37">
        <v>20110101</v>
      </c>
      <c r="W37">
        <v>20111231</v>
      </c>
      <c r="Z37">
        <v>11.269275270139673</v>
      </c>
      <c r="AA37" t="s">
        <v>234</v>
      </c>
      <c r="AB37">
        <v>3.0959547445438669E-2</v>
      </c>
      <c r="AC37" t="s">
        <v>234</v>
      </c>
      <c r="AD37">
        <v>3.0959547445438669E-2</v>
      </c>
      <c r="AE37" t="s">
        <v>234</v>
      </c>
      <c r="AF37">
        <v>11.269275270139673</v>
      </c>
      <c r="AG37">
        <v>3.0959547445438669E-2</v>
      </c>
      <c r="AH37">
        <v>3.0959547445438669E-2</v>
      </c>
      <c r="AJ37">
        <v>0</v>
      </c>
      <c r="AK37">
        <v>0</v>
      </c>
      <c r="AL37">
        <v>0</v>
      </c>
      <c r="AN37">
        <v>0.40675045910445018</v>
      </c>
      <c r="AO37" t="s">
        <v>235</v>
      </c>
      <c r="AP37" t="s">
        <v>174</v>
      </c>
      <c r="AR37">
        <v>2.7472527472527479E-3</v>
      </c>
      <c r="AS37">
        <v>2.7472527472527479E-3</v>
      </c>
      <c r="AW37" t="s">
        <v>233</v>
      </c>
      <c r="AX37">
        <v>2011</v>
      </c>
    </row>
    <row r="38" spans="1:50" x14ac:dyDescent="0.2">
      <c r="A38">
        <v>10</v>
      </c>
      <c r="B38" t="s">
        <v>41</v>
      </c>
      <c r="D38">
        <v>2280002200</v>
      </c>
      <c r="E38">
        <v>25.000000000000007</v>
      </c>
      <c r="F38">
        <v>25.000000000000007</v>
      </c>
      <c r="G38">
        <v>25.000000000000007</v>
      </c>
      <c r="H38">
        <v>25.000000000000007</v>
      </c>
      <c r="I38">
        <v>7</v>
      </c>
      <c r="J38">
        <v>52</v>
      </c>
      <c r="K38">
        <v>24</v>
      </c>
      <c r="L38">
        <v>8736</v>
      </c>
      <c r="M38">
        <v>5666832.6259178398</v>
      </c>
      <c r="N38" t="s">
        <v>174</v>
      </c>
      <c r="O38">
        <v>15568.221499774289</v>
      </c>
      <c r="P38" t="s">
        <v>174</v>
      </c>
      <c r="Q38">
        <v>15568.221499774289</v>
      </c>
      <c r="R38" t="s">
        <v>174</v>
      </c>
      <c r="U38" t="s">
        <v>15</v>
      </c>
      <c r="V38">
        <v>20110101</v>
      </c>
      <c r="W38">
        <v>20111231</v>
      </c>
      <c r="Z38">
        <v>2.5407702516095223</v>
      </c>
      <c r="AA38" t="s">
        <v>234</v>
      </c>
      <c r="AB38">
        <v>6.9801380538723158E-3</v>
      </c>
      <c r="AC38" t="s">
        <v>234</v>
      </c>
      <c r="AD38">
        <v>6.9801380538723158E-3</v>
      </c>
      <c r="AE38" t="s">
        <v>234</v>
      </c>
      <c r="AF38">
        <v>2.5407702516095223</v>
      </c>
      <c r="AG38">
        <v>6.9801380538723158E-3</v>
      </c>
      <c r="AH38">
        <v>6.9801380538723158E-3</v>
      </c>
      <c r="AJ38">
        <v>0</v>
      </c>
      <c r="AK38">
        <v>0</v>
      </c>
      <c r="AL38">
        <v>0</v>
      </c>
      <c r="AN38">
        <v>0.40675045910445023</v>
      </c>
      <c r="AO38" t="s">
        <v>235</v>
      </c>
      <c r="AP38" t="s">
        <v>174</v>
      </c>
      <c r="AR38">
        <v>2.7472527472527479E-3</v>
      </c>
      <c r="AS38">
        <v>2.7472527472527479E-3</v>
      </c>
      <c r="AW38" t="s">
        <v>233</v>
      </c>
      <c r="AX38">
        <v>2011</v>
      </c>
    </row>
    <row r="39" spans="1:50" x14ac:dyDescent="0.2">
      <c r="A39">
        <v>10</v>
      </c>
      <c r="B39" t="s">
        <v>40</v>
      </c>
      <c r="D39">
        <v>2280002100</v>
      </c>
      <c r="E39">
        <v>25.000000000000007</v>
      </c>
      <c r="F39">
        <v>25.000000000000007</v>
      </c>
      <c r="G39">
        <v>25.000000000000007</v>
      </c>
      <c r="H39">
        <v>25.000000000000007</v>
      </c>
      <c r="I39">
        <v>7</v>
      </c>
      <c r="J39">
        <v>52</v>
      </c>
      <c r="K39">
        <v>24</v>
      </c>
      <c r="L39">
        <v>8736</v>
      </c>
      <c r="M39">
        <v>0</v>
      </c>
      <c r="N39" t="s">
        <v>174</v>
      </c>
      <c r="O39">
        <v>0</v>
      </c>
      <c r="P39" t="s">
        <v>174</v>
      </c>
      <c r="Q39">
        <v>0</v>
      </c>
      <c r="R39" t="s">
        <v>174</v>
      </c>
      <c r="U39" t="s">
        <v>243</v>
      </c>
      <c r="V39">
        <v>20110101</v>
      </c>
      <c r="W39">
        <v>20111231</v>
      </c>
      <c r="Z39">
        <v>0</v>
      </c>
      <c r="AA39" t="s">
        <v>234</v>
      </c>
      <c r="AB39">
        <v>0</v>
      </c>
      <c r="AC39" t="s">
        <v>234</v>
      </c>
      <c r="AD39">
        <v>0</v>
      </c>
      <c r="AE39" t="s">
        <v>234</v>
      </c>
      <c r="AF39">
        <v>0</v>
      </c>
      <c r="AG39">
        <v>0</v>
      </c>
      <c r="AH39">
        <v>0</v>
      </c>
      <c r="AJ39">
        <v>0</v>
      </c>
      <c r="AK39">
        <v>0</v>
      </c>
      <c r="AL39">
        <v>0</v>
      </c>
      <c r="AN39">
        <v>0</v>
      </c>
      <c r="AO39" t="s">
        <v>235</v>
      </c>
      <c r="AP39" t="s">
        <v>174</v>
      </c>
      <c r="AR39">
        <v>2.7472527472527479E-3</v>
      </c>
      <c r="AS39">
        <v>2.7472527472527479E-3</v>
      </c>
      <c r="AW39" t="s">
        <v>233</v>
      </c>
      <c r="AX39">
        <v>2011</v>
      </c>
    </row>
    <row r="40" spans="1:50" x14ac:dyDescent="0.2">
      <c r="A40">
        <v>10</v>
      </c>
      <c r="B40" t="s">
        <v>39</v>
      </c>
      <c r="D40">
        <v>2280002100</v>
      </c>
      <c r="E40">
        <v>25.000000000000007</v>
      </c>
      <c r="F40">
        <v>25.000000000000007</v>
      </c>
      <c r="G40">
        <v>25.000000000000007</v>
      </c>
      <c r="H40">
        <v>25.000000000000007</v>
      </c>
      <c r="I40">
        <v>7</v>
      </c>
      <c r="J40">
        <v>52</v>
      </c>
      <c r="K40">
        <v>24</v>
      </c>
      <c r="L40">
        <v>8736</v>
      </c>
      <c r="M40">
        <v>4751008.8324999996</v>
      </c>
      <c r="N40" t="s">
        <v>174</v>
      </c>
      <c r="O40">
        <v>13052.222067307694</v>
      </c>
      <c r="P40" t="s">
        <v>174</v>
      </c>
      <c r="Q40">
        <v>13052.222067307694</v>
      </c>
      <c r="R40" t="s">
        <v>174</v>
      </c>
      <c r="U40" t="s">
        <v>243</v>
      </c>
      <c r="V40">
        <v>20110101</v>
      </c>
      <c r="W40">
        <v>20111231</v>
      </c>
      <c r="Z40">
        <v>3.0172965238884818E-2</v>
      </c>
      <c r="AA40" t="s">
        <v>234</v>
      </c>
      <c r="AB40">
        <v>8.2892761645287982E-5</v>
      </c>
      <c r="AC40" t="s">
        <v>234</v>
      </c>
      <c r="AD40">
        <v>8.2892761645287982E-5</v>
      </c>
      <c r="AE40" t="s">
        <v>234</v>
      </c>
      <c r="AF40">
        <v>3.0172965238884818E-2</v>
      </c>
      <c r="AG40">
        <v>8.2892761645287982E-5</v>
      </c>
      <c r="AH40">
        <v>8.2892761645287982E-5</v>
      </c>
      <c r="AJ40">
        <v>0</v>
      </c>
      <c r="AK40">
        <v>0</v>
      </c>
      <c r="AL40">
        <v>0</v>
      </c>
      <c r="AN40">
        <v>5.7614950907831867E-3</v>
      </c>
      <c r="AO40" t="s">
        <v>235</v>
      </c>
      <c r="AP40" t="s">
        <v>174</v>
      </c>
      <c r="AR40">
        <v>2.7472527472527479E-3</v>
      </c>
      <c r="AS40">
        <v>2.7472527472527479E-3</v>
      </c>
      <c r="AW40" t="s">
        <v>233</v>
      </c>
      <c r="AX40">
        <v>2011</v>
      </c>
    </row>
    <row r="41" spans="1:50" x14ac:dyDescent="0.2">
      <c r="A41">
        <v>10</v>
      </c>
      <c r="B41" t="s">
        <v>41</v>
      </c>
      <c r="D41">
        <v>2280002100</v>
      </c>
      <c r="E41">
        <v>25.000000000000007</v>
      </c>
      <c r="F41">
        <v>25.000000000000007</v>
      </c>
      <c r="G41">
        <v>25.000000000000007</v>
      </c>
      <c r="H41">
        <v>25.000000000000007</v>
      </c>
      <c r="I41">
        <v>7</v>
      </c>
      <c r="J41">
        <v>52</v>
      </c>
      <c r="K41">
        <v>24</v>
      </c>
      <c r="L41">
        <v>8736</v>
      </c>
      <c r="M41">
        <v>337779.36549999996</v>
      </c>
      <c r="N41" t="s">
        <v>174</v>
      </c>
      <c r="O41">
        <v>927.96528983516498</v>
      </c>
      <c r="P41" t="s">
        <v>174</v>
      </c>
      <c r="Q41">
        <v>927.96528983516498</v>
      </c>
      <c r="R41" t="s">
        <v>174</v>
      </c>
      <c r="U41" t="s">
        <v>243</v>
      </c>
      <c r="V41">
        <v>20110101</v>
      </c>
      <c r="W41">
        <v>20111231</v>
      </c>
      <c r="Z41">
        <v>2.1451875618343358E-3</v>
      </c>
      <c r="AA41" t="s">
        <v>234</v>
      </c>
      <c r="AB41">
        <v>5.893372422621803E-6</v>
      </c>
      <c r="AC41" t="s">
        <v>234</v>
      </c>
      <c r="AD41">
        <v>5.893372422621803E-6</v>
      </c>
      <c r="AE41" t="s">
        <v>234</v>
      </c>
      <c r="AF41">
        <v>2.1451875618343358E-3</v>
      </c>
      <c r="AG41">
        <v>5.893372422621803E-6</v>
      </c>
      <c r="AH41">
        <v>5.893372422621803E-6</v>
      </c>
      <c r="AJ41">
        <v>0</v>
      </c>
      <c r="AK41">
        <v>0</v>
      </c>
      <c r="AL41">
        <v>0</v>
      </c>
      <c r="AN41">
        <v>5.7614950907831867E-3</v>
      </c>
      <c r="AO41" t="s">
        <v>235</v>
      </c>
      <c r="AP41" t="s">
        <v>174</v>
      </c>
      <c r="AR41">
        <v>2.7472527472527479E-3</v>
      </c>
      <c r="AS41">
        <v>2.7472527472527479E-3</v>
      </c>
      <c r="AW41" t="s">
        <v>233</v>
      </c>
      <c r="AX41">
        <v>2011</v>
      </c>
    </row>
    <row r="42" spans="1:50" x14ac:dyDescent="0.2">
      <c r="A42">
        <v>10</v>
      </c>
      <c r="B42" t="s">
        <v>40</v>
      </c>
      <c r="D42">
        <v>2280002200</v>
      </c>
      <c r="E42">
        <v>25.000000000000007</v>
      </c>
      <c r="F42">
        <v>25.000000000000007</v>
      </c>
      <c r="G42">
        <v>25.000000000000007</v>
      </c>
      <c r="H42">
        <v>25.000000000000007</v>
      </c>
      <c r="I42">
        <v>7</v>
      </c>
      <c r="J42">
        <v>52</v>
      </c>
      <c r="K42">
        <v>24</v>
      </c>
      <c r="L42">
        <v>8736</v>
      </c>
      <c r="M42">
        <v>11137347.182507096</v>
      </c>
      <c r="N42" t="s">
        <v>174</v>
      </c>
      <c r="O42">
        <v>30597.107644250271</v>
      </c>
      <c r="P42" t="s">
        <v>174</v>
      </c>
      <c r="Q42">
        <v>30597.107644250271</v>
      </c>
      <c r="R42" t="s">
        <v>174</v>
      </c>
      <c r="U42" t="s">
        <v>243</v>
      </c>
      <c r="V42">
        <v>20110101</v>
      </c>
      <c r="W42">
        <v>20111231</v>
      </c>
      <c r="Z42">
        <v>7.0731670101810612E-2</v>
      </c>
      <c r="AA42" t="s">
        <v>234</v>
      </c>
      <c r="AB42">
        <v>1.9431777500497426E-4</v>
      </c>
      <c r="AC42" t="s">
        <v>234</v>
      </c>
      <c r="AD42">
        <v>1.9431777500497426E-4</v>
      </c>
      <c r="AE42" t="s">
        <v>234</v>
      </c>
      <c r="AF42">
        <v>7.0731670101810612E-2</v>
      </c>
      <c r="AG42">
        <v>1.9431777500497426E-4</v>
      </c>
      <c r="AH42">
        <v>1.9431777500497426E-4</v>
      </c>
      <c r="AJ42">
        <v>0</v>
      </c>
      <c r="AK42">
        <v>0</v>
      </c>
      <c r="AL42">
        <v>0</v>
      </c>
      <c r="AN42">
        <v>5.7614950907831867E-3</v>
      </c>
      <c r="AO42" t="s">
        <v>235</v>
      </c>
      <c r="AP42" t="s">
        <v>174</v>
      </c>
      <c r="AR42">
        <v>2.7472527472527479E-3</v>
      </c>
      <c r="AS42">
        <v>2.7472527472527479E-3</v>
      </c>
      <c r="AW42" t="s">
        <v>233</v>
      </c>
      <c r="AX42">
        <v>2011</v>
      </c>
    </row>
    <row r="43" spans="1:50" x14ac:dyDescent="0.2">
      <c r="A43">
        <v>10</v>
      </c>
      <c r="B43" t="s">
        <v>39</v>
      </c>
      <c r="D43">
        <v>2280002200</v>
      </c>
      <c r="E43">
        <v>25.000000000000007</v>
      </c>
      <c r="F43">
        <v>25.000000000000007</v>
      </c>
      <c r="G43">
        <v>25.000000000000007</v>
      </c>
      <c r="H43">
        <v>25.000000000000007</v>
      </c>
      <c r="I43">
        <v>7</v>
      </c>
      <c r="J43">
        <v>52</v>
      </c>
      <c r="K43">
        <v>24</v>
      </c>
      <c r="L43">
        <v>8736</v>
      </c>
      <c r="M43">
        <v>25134542.066848423</v>
      </c>
      <c r="N43" t="s">
        <v>174</v>
      </c>
      <c r="O43">
        <v>69050.93974408909</v>
      </c>
      <c r="P43" t="s">
        <v>174</v>
      </c>
      <c r="Q43">
        <v>69050.93974408909</v>
      </c>
      <c r="R43" t="s">
        <v>174</v>
      </c>
      <c r="U43" t="s">
        <v>243</v>
      </c>
      <c r="V43">
        <v>20110101</v>
      </c>
      <c r="W43">
        <v>20111231</v>
      </c>
      <c r="Z43">
        <v>0.15962581649827015</v>
      </c>
      <c r="AA43" t="s">
        <v>234</v>
      </c>
      <c r="AB43">
        <v>4.3853246290733567E-4</v>
      </c>
      <c r="AC43" t="s">
        <v>234</v>
      </c>
      <c r="AD43">
        <v>4.3853246290733567E-4</v>
      </c>
      <c r="AE43" t="s">
        <v>234</v>
      </c>
      <c r="AF43">
        <v>0.15962581649827015</v>
      </c>
      <c r="AG43">
        <v>4.3853246290733567E-4</v>
      </c>
      <c r="AH43">
        <v>4.3853246290733567E-4</v>
      </c>
      <c r="AJ43">
        <v>0</v>
      </c>
      <c r="AK43">
        <v>0</v>
      </c>
      <c r="AL43">
        <v>0</v>
      </c>
      <c r="AN43">
        <v>5.7614950907831867E-3</v>
      </c>
      <c r="AO43" t="s">
        <v>235</v>
      </c>
      <c r="AP43" t="s">
        <v>174</v>
      </c>
      <c r="AR43">
        <v>2.7472527472527479E-3</v>
      </c>
      <c r="AS43">
        <v>2.7472527472527479E-3</v>
      </c>
      <c r="AW43" t="s">
        <v>233</v>
      </c>
      <c r="AX43">
        <v>2011</v>
      </c>
    </row>
    <row r="44" spans="1:50" x14ac:dyDescent="0.2">
      <c r="A44">
        <v>10</v>
      </c>
      <c r="B44" t="s">
        <v>41</v>
      </c>
      <c r="D44">
        <v>2280002200</v>
      </c>
      <c r="E44">
        <v>25.000000000000007</v>
      </c>
      <c r="F44">
        <v>25.000000000000007</v>
      </c>
      <c r="G44">
        <v>25.000000000000007</v>
      </c>
      <c r="H44">
        <v>25.000000000000007</v>
      </c>
      <c r="I44">
        <v>7</v>
      </c>
      <c r="J44">
        <v>52</v>
      </c>
      <c r="K44">
        <v>24</v>
      </c>
      <c r="L44">
        <v>8736</v>
      </c>
      <c r="M44">
        <v>5666832.6259178398</v>
      </c>
      <c r="N44" t="s">
        <v>174</v>
      </c>
      <c r="O44">
        <v>15568.221499774289</v>
      </c>
      <c r="P44" t="s">
        <v>174</v>
      </c>
      <c r="Q44">
        <v>15568.221499774289</v>
      </c>
      <c r="R44" t="s">
        <v>174</v>
      </c>
      <c r="U44" t="s">
        <v>243</v>
      </c>
      <c r="V44">
        <v>20110101</v>
      </c>
      <c r="W44">
        <v>20111231</v>
      </c>
      <c r="Z44">
        <v>3.5989228785841737E-2</v>
      </c>
      <c r="AA44" t="s">
        <v>234</v>
      </c>
      <c r="AB44">
        <v>9.8871507653411383E-5</v>
      </c>
      <c r="AC44" t="s">
        <v>234</v>
      </c>
      <c r="AD44">
        <v>9.8871507653411383E-5</v>
      </c>
      <c r="AE44" t="s">
        <v>234</v>
      </c>
      <c r="AF44">
        <v>3.5989228785841737E-2</v>
      </c>
      <c r="AG44">
        <v>9.8871507653411383E-5</v>
      </c>
      <c r="AH44">
        <v>9.8871507653411383E-5</v>
      </c>
      <c r="AJ44">
        <v>0</v>
      </c>
      <c r="AK44">
        <v>0</v>
      </c>
      <c r="AL44">
        <v>0</v>
      </c>
      <c r="AN44">
        <v>5.7614950907831858E-3</v>
      </c>
      <c r="AO44" t="s">
        <v>235</v>
      </c>
      <c r="AP44" t="s">
        <v>174</v>
      </c>
      <c r="AR44">
        <v>2.7472527472527479E-3</v>
      </c>
      <c r="AS44">
        <v>2.7472527472527479E-3</v>
      </c>
      <c r="AW44" t="s">
        <v>233</v>
      </c>
      <c r="AX44">
        <v>2011</v>
      </c>
    </row>
    <row r="45" spans="1:50" x14ac:dyDescent="0.2">
      <c r="A45">
        <v>10</v>
      </c>
      <c r="B45" t="s">
        <v>40</v>
      </c>
      <c r="D45">
        <v>2280002100</v>
      </c>
      <c r="E45">
        <v>25.000000000000007</v>
      </c>
      <c r="F45">
        <v>25.000000000000007</v>
      </c>
      <c r="G45">
        <v>25.000000000000007</v>
      </c>
      <c r="H45">
        <v>25.000000000000007</v>
      </c>
      <c r="I45">
        <v>7</v>
      </c>
      <c r="J45">
        <v>52</v>
      </c>
      <c r="K45">
        <v>24</v>
      </c>
      <c r="L45">
        <v>8736</v>
      </c>
      <c r="M45">
        <v>0</v>
      </c>
      <c r="N45" t="s">
        <v>174</v>
      </c>
      <c r="O45">
        <v>0</v>
      </c>
      <c r="P45" t="s">
        <v>174</v>
      </c>
      <c r="Q45">
        <v>0</v>
      </c>
      <c r="R45" t="s">
        <v>174</v>
      </c>
      <c r="U45" t="s">
        <v>95</v>
      </c>
      <c r="V45">
        <v>20110101</v>
      </c>
      <c r="W45">
        <v>20111231</v>
      </c>
      <c r="Z45">
        <v>0</v>
      </c>
      <c r="AA45" t="s">
        <v>234</v>
      </c>
      <c r="AB45">
        <v>0</v>
      </c>
      <c r="AC45" t="s">
        <v>234</v>
      </c>
      <c r="AD45">
        <v>0</v>
      </c>
      <c r="AE45" t="s">
        <v>234</v>
      </c>
      <c r="AF45">
        <v>0</v>
      </c>
      <c r="AG45">
        <v>0</v>
      </c>
      <c r="AH45">
        <v>0</v>
      </c>
      <c r="AJ45">
        <v>0</v>
      </c>
      <c r="AK45">
        <v>0</v>
      </c>
      <c r="AL45">
        <v>0</v>
      </c>
      <c r="AN45">
        <v>0</v>
      </c>
      <c r="AO45" t="s">
        <v>235</v>
      </c>
      <c r="AP45" t="s">
        <v>174</v>
      </c>
      <c r="AR45">
        <v>2.7472527472527479E-3</v>
      </c>
      <c r="AS45">
        <v>2.7472527472527479E-3</v>
      </c>
      <c r="AW45" t="s">
        <v>242</v>
      </c>
      <c r="AX45">
        <v>2011</v>
      </c>
    </row>
    <row r="46" spans="1:50" x14ac:dyDescent="0.2">
      <c r="A46">
        <v>10</v>
      </c>
      <c r="B46" t="s">
        <v>39</v>
      </c>
      <c r="D46">
        <v>2280002100</v>
      </c>
      <c r="E46">
        <v>25.000000000000007</v>
      </c>
      <c r="F46">
        <v>25.000000000000007</v>
      </c>
      <c r="G46">
        <v>25.000000000000007</v>
      </c>
      <c r="H46">
        <v>25.000000000000007</v>
      </c>
      <c r="I46">
        <v>7</v>
      </c>
      <c r="J46">
        <v>52</v>
      </c>
      <c r="K46">
        <v>24</v>
      </c>
      <c r="L46">
        <v>8736</v>
      </c>
      <c r="M46">
        <v>4751008.8324999996</v>
      </c>
      <c r="N46" t="s">
        <v>174</v>
      </c>
      <c r="O46">
        <v>13052.222067307694</v>
      </c>
      <c r="P46" t="s">
        <v>174</v>
      </c>
      <c r="Q46">
        <v>13052.222067307694</v>
      </c>
      <c r="R46" t="s">
        <v>174</v>
      </c>
      <c r="U46" t="s">
        <v>95</v>
      </c>
      <c r="V46">
        <v>20110101</v>
      </c>
      <c r="W46">
        <v>20111231</v>
      </c>
      <c r="Z46">
        <v>3613.5927936449989</v>
      </c>
      <c r="AA46" t="s">
        <v>234</v>
      </c>
      <c r="AB46">
        <v>9.9274527297939557</v>
      </c>
      <c r="AC46" t="s">
        <v>234</v>
      </c>
      <c r="AD46">
        <v>9.9274527297939557</v>
      </c>
      <c r="AE46" t="s">
        <v>234</v>
      </c>
      <c r="AF46">
        <v>3613.5927936449989</v>
      </c>
      <c r="AG46">
        <v>9.9274527297939557</v>
      </c>
      <c r="AH46">
        <v>9.9274527297939557</v>
      </c>
      <c r="AJ46">
        <v>0</v>
      </c>
      <c r="AK46">
        <v>0</v>
      </c>
      <c r="AL46">
        <v>0</v>
      </c>
      <c r="AN46">
        <v>690.01163710102264</v>
      </c>
      <c r="AO46" t="s">
        <v>235</v>
      </c>
      <c r="AP46" t="s">
        <v>174</v>
      </c>
      <c r="AR46">
        <v>2.7472527472527479E-3</v>
      </c>
      <c r="AS46">
        <v>2.7472527472527479E-3</v>
      </c>
      <c r="AW46" t="s">
        <v>242</v>
      </c>
      <c r="AX46">
        <v>2011</v>
      </c>
    </row>
    <row r="47" spans="1:50" x14ac:dyDescent="0.2">
      <c r="A47">
        <v>10</v>
      </c>
      <c r="B47" t="s">
        <v>41</v>
      </c>
      <c r="D47">
        <v>2280002100</v>
      </c>
      <c r="E47">
        <v>25.000000000000007</v>
      </c>
      <c r="F47">
        <v>25.000000000000007</v>
      </c>
      <c r="G47">
        <v>25.000000000000007</v>
      </c>
      <c r="H47">
        <v>25.000000000000007</v>
      </c>
      <c r="I47">
        <v>7</v>
      </c>
      <c r="J47">
        <v>52</v>
      </c>
      <c r="K47">
        <v>24</v>
      </c>
      <c r="L47">
        <v>8736</v>
      </c>
      <c r="M47">
        <v>337779.36549999996</v>
      </c>
      <c r="N47" t="s">
        <v>174</v>
      </c>
      <c r="O47">
        <v>927.96528983516498</v>
      </c>
      <c r="P47" t="s">
        <v>174</v>
      </c>
      <c r="Q47">
        <v>927.96528983516498</v>
      </c>
      <c r="R47" t="s">
        <v>174</v>
      </c>
      <c r="U47" t="s">
        <v>95</v>
      </c>
      <c r="V47">
        <v>20110101</v>
      </c>
      <c r="W47">
        <v>20111231</v>
      </c>
      <c r="Z47">
        <v>256.91324180731885</v>
      </c>
      <c r="AA47" t="s">
        <v>234</v>
      </c>
      <c r="AB47">
        <v>0.70580560936076631</v>
      </c>
      <c r="AC47" t="s">
        <v>234</v>
      </c>
      <c r="AD47">
        <v>0.70580560936076631</v>
      </c>
      <c r="AE47" t="s">
        <v>234</v>
      </c>
      <c r="AF47">
        <v>256.91324180731885</v>
      </c>
      <c r="AG47">
        <v>0.70580560936076631</v>
      </c>
      <c r="AH47">
        <v>0.70580560936076631</v>
      </c>
      <c r="AJ47">
        <v>0</v>
      </c>
      <c r="AK47">
        <v>0</v>
      </c>
      <c r="AL47">
        <v>0</v>
      </c>
      <c r="AN47">
        <v>690.01163710102264</v>
      </c>
      <c r="AO47" t="s">
        <v>235</v>
      </c>
      <c r="AP47" t="s">
        <v>174</v>
      </c>
      <c r="AR47">
        <v>2.7472527472527479E-3</v>
      </c>
      <c r="AS47">
        <v>2.7472527472527479E-3</v>
      </c>
      <c r="AW47" t="s">
        <v>242</v>
      </c>
      <c r="AX47">
        <v>2011</v>
      </c>
    </row>
    <row r="48" spans="1:50" x14ac:dyDescent="0.2">
      <c r="A48">
        <v>10</v>
      </c>
      <c r="B48" t="s">
        <v>40</v>
      </c>
      <c r="D48">
        <v>2280002200</v>
      </c>
      <c r="E48">
        <v>25.000000000000007</v>
      </c>
      <c r="F48">
        <v>25.000000000000007</v>
      </c>
      <c r="G48">
        <v>25.000000000000007</v>
      </c>
      <c r="H48">
        <v>25.000000000000007</v>
      </c>
      <c r="I48">
        <v>7</v>
      </c>
      <c r="J48">
        <v>52</v>
      </c>
      <c r="K48">
        <v>24</v>
      </c>
      <c r="L48">
        <v>8736</v>
      </c>
      <c r="M48">
        <v>11137347.182507096</v>
      </c>
      <c r="N48" t="s">
        <v>174</v>
      </c>
      <c r="O48">
        <v>30597.107644250271</v>
      </c>
      <c r="P48" t="s">
        <v>174</v>
      </c>
      <c r="Q48">
        <v>30597.107644250271</v>
      </c>
      <c r="R48" t="s">
        <v>174</v>
      </c>
      <c r="U48" t="s">
        <v>95</v>
      </c>
      <c r="V48">
        <v>20110101</v>
      </c>
      <c r="W48">
        <v>20111231</v>
      </c>
      <c r="Z48">
        <v>8471.0087768564608</v>
      </c>
      <c r="AA48" t="s">
        <v>234</v>
      </c>
      <c r="AB48">
        <v>23.272002134221051</v>
      </c>
      <c r="AC48" t="s">
        <v>234</v>
      </c>
      <c r="AD48">
        <v>23.272002134221051</v>
      </c>
      <c r="AE48" t="s">
        <v>234</v>
      </c>
      <c r="AF48">
        <v>8471.0087768564608</v>
      </c>
      <c r="AG48">
        <v>23.272002134221051</v>
      </c>
      <c r="AH48">
        <v>23.272002134221051</v>
      </c>
      <c r="AJ48">
        <v>0</v>
      </c>
      <c r="AK48">
        <v>0</v>
      </c>
      <c r="AL48">
        <v>0</v>
      </c>
      <c r="AN48">
        <v>690.01163710102253</v>
      </c>
      <c r="AO48" t="s">
        <v>235</v>
      </c>
      <c r="AP48" t="s">
        <v>174</v>
      </c>
      <c r="AR48">
        <v>2.7472527472527479E-3</v>
      </c>
      <c r="AS48">
        <v>2.7472527472527479E-3</v>
      </c>
      <c r="AW48" t="s">
        <v>242</v>
      </c>
      <c r="AX48">
        <v>2011</v>
      </c>
    </row>
    <row r="49" spans="1:50" x14ac:dyDescent="0.2">
      <c r="A49">
        <v>10</v>
      </c>
      <c r="B49" t="s">
        <v>39</v>
      </c>
      <c r="D49">
        <v>2280002200</v>
      </c>
      <c r="E49">
        <v>25.000000000000007</v>
      </c>
      <c r="F49">
        <v>25.000000000000007</v>
      </c>
      <c r="G49">
        <v>25.000000000000007</v>
      </c>
      <c r="H49">
        <v>25.000000000000007</v>
      </c>
      <c r="I49">
        <v>7</v>
      </c>
      <c r="J49">
        <v>52</v>
      </c>
      <c r="K49">
        <v>24</v>
      </c>
      <c r="L49">
        <v>8736</v>
      </c>
      <c r="M49">
        <v>25134542.066848423</v>
      </c>
      <c r="N49" t="s">
        <v>174</v>
      </c>
      <c r="O49">
        <v>69050.93974408909</v>
      </c>
      <c r="P49" t="s">
        <v>174</v>
      </c>
      <c r="Q49">
        <v>69050.93974408909</v>
      </c>
      <c r="R49" t="s">
        <v>174</v>
      </c>
      <c r="U49" t="s">
        <v>95</v>
      </c>
      <c r="V49">
        <v>20110101</v>
      </c>
      <c r="W49">
        <v>20111231</v>
      </c>
      <c r="Z49">
        <v>19117.202953406748</v>
      </c>
      <c r="AA49" t="s">
        <v>234</v>
      </c>
      <c r="AB49">
        <v>52.519788333535033</v>
      </c>
      <c r="AC49" t="s">
        <v>234</v>
      </c>
      <c r="AD49">
        <v>52.519788333535033</v>
      </c>
      <c r="AE49" t="s">
        <v>234</v>
      </c>
      <c r="AF49">
        <v>19117.202953406748</v>
      </c>
      <c r="AG49">
        <v>52.519788333535033</v>
      </c>
      <c r="AH49">
        <v>52.519788333535033</v>
      </c>
      <c r="AJ49">
        <v>0</v>
      </c>
      <c r="AK49">
        <v>0</v>
      </c>
      <c r="AL49">
        <v>0</v>
      </c>
      <c r="AN49">
        <v>690.01163710102264</v>
      </c>
      <c r="AO49" t="s">
        <v>235</v>
      </c>
      <c r="AP49" t="s">
        <v>174</v>
      </c>
      <c r="AR49">
        <v>2.7472527472527479E-3</v>
      </c>
      <c r="AS49">
        <v>2.7472527472527479E-3</v>
      </c>
      <c r="AW49" t="s">
        <v>242</v>
      </c>
      <c r="AX49">
        <v>2011</v>
      </c>
    </row>
    <row r="50" spans="1:50" x14ac:dyDescent="0.2">
      <c r="A50">
        <v>10</v>
      </c>
      <c r="B50" t="s">
        <v>41</v>
      </c>
      <c r="D50">
        <v>2280002200</v>
      </c>
      <c r="E50">
        <v>25.000000000000007</v>
      </c>
      <c r="F50">
        <v>25.000000000000007</v>
      </c>
      <c r="G50">
        <v>25.000000000000007</v>
      </c>
      <c r="H50">
        <v>25.000000000000007</v>
      </c>
      <c r="I50">
        <v>7</v>
      </c>
      <c r="J50">
        <v>52</v>
      </c>
      <c r="K50">
        <v>24</v>
      </c>
      <c r="L50">
        <v>8736</v>
      </c>
      <c r="M50">
        <v>5666832.6259178398</v>
      </c>
      <c r="N50" t="s">
        <v>174</v>
      </c>
      <c r="O50">
        <v>15568.221499774289</v>
      </c>
      <c r="P50" t="s">
        <v>174</v>
      </c>
      <c r="Q50">
        <v>15568.221499774289</v>
      </c>
      <c r="R50" t="s">
        <v>174</v>
      </c>
      <c r="U50" t="s">
        <v>95</v>
      </c>
      <c r="V50">
        <v>20110101</v>
      </c>
      <c r="W50">
        <v>20111231</v>
      </c>
      <c r="Z50">
        <v>4310.1636435042492</v>
      </c>
      <c r="AA50" t="s">
        <v>234</v>
      </c>
      <c r="AB50">
        <v>11.841108910725962</v>
      </c>
      <c r="AC50" t="s">
        <v>234</v>
      </c>
      <c r="AD50">
        <v>11.841108910725962</v>
      </c>
      <c r="AE50" t="s">
        <v>234</v>
      </c>
      <c r="AF50">
        <v>4310.1636435042492</v>
      </c>
      <c r="AG50">
        <v>11.841108910725962</v>
      </c>
      <c r="AH50">
        <v>11.841108910725962</v>
      </c>
      <c r="AJ50">
        <v>0</v>
      </c>
      <c r="AK50">
        <v>0</v>
      </c>
      <c r="AL50">
        <v>0</v>
      </c>
      <c r="AN50">
        <v>690.01163710102253</v>
      </c>
      <c r="AO50" t="s">
        <v>235</v>
      </c>
      <c r="AP50" t="s">
        <v>174</v>
      </c>
      <c r="AR50">
        <v>2.7472527472527479E-3</v>
      </c>
      <c r="AS50">
        <v>2.7472527472527479E-3</v>
      </c>
      <c r="AW50" t="s">
        <v>242</v>
      </c>
      <c r="AX50">
        <v>2011</v>
      </c>
    </row>
    <row r="51" spans="1:50" x14ac:dyDescent="0.2">
      <c r="A51">
        <v>10</v>
      </c>
      <c r="B51" t="s">
        <v>40</v>
      </c>
      <c r="D51">
        <v>2280002100</v>
      </c>
      <c r="E51">
        <v>25.000000000000007</v>
      </c>
      <c r="F51">
        <v>25.000000000000007</v>
      </c>
      <c r="G51">
        <v>25.000000000000007</v>
      </c>
      <c r="H51">
        <v>25.000000000000007</v>
      </c>
      <c r="I51">
        <v>7</v>
      </c>
      <c r="J51">
        <v>52</v>
      </c>
      <c r="K51">
        <v>24</v>
      </c>
      <c r="L51">
        <v>8736</v>
      </c>
      <c r="M51">
        <v>0</v>
      </c>
      <c r="N51" t="s">
        <v>174</v>
      </c>
      <c r="O51">
        <v>0</v>
      </c>
      <c r="P51" t="s">
        <v>174</v>
      </c>
      <c r="Q51">
        <v>0</v>
      </c>
      <c r="R51" t="s">
        <v>174</v>
      </c>
      <c r="U51" t="s">
        <v>96</v>
      </c>
      <c r="V51">
        <v>20110101</v>
      </c>
      <c r="W51">
        <v>20111231</v>
      </c>
      <c r="Z51">
        <v>0</v>
      </c>
      <c r="AA51" t="s">
        <v>234</v>
      </c>
      <c r="AB51">
        <v>0</v>
      </c>
      <c r="AC51" t="s">
        <v>234</v>
      </c>
      <c r="AD51">
        <v>0</v>
      </c>
      <c r="AE51" t="s">
        <v>234</v>
      </c>
      <c r="AF51">
        <v>0</v>
      </c>
      <c r="AG51">
        <v>0</v>
      </c>
      <c r="AH51">
        <v>0</v>
      </c>
      <c r="AJ51">
        <v>0</v>
      </c>
      <c r="AK51">
        <v>0</v>
      </c>
      <c r="AL51">
        <v>0</v>
      </c>
      <c r="AN51">
        <v>0</v>
      </c>
      <c r="AO51" t="s">
        <v>235</v>
      </c>
      <c r="AP51" t="s">
        <v>174</v>
      </c>
      <c r="AR51">
        <v>2.7472527472527479E-3</v>
      </c>
      <c r="AS51">
        <v>2.7472527472527479E-3</v>
      </c>
      <c r="AW51" t="s">
        <v>242</v>
      </c>
      <c r="AX51">
        <v>2011</v>
      </c>
    </row>
    <row r="52" spans="1:50" x14ac:dyDescent="0.2">
      <c r="A52">
        <v>10</v>
      </c>
      <c r="B52" t="s">
        <v>39</v>
      </c>
      <c r="D52">
        <v>2280002100</v>
      </c>
      <c r="E52">
        <v>25.000000000000007</v>
      </c>
      <c r="F52">
        <v>25.000000000000007</v>
      </c>
      <c r="G52">
        <v>25.000000000000007</v>
      </c>
      <c r="H52">
        <v>25.000000000000007</v>
      </c>
      <c r="I52">
        <v>7</v>
      </c>
      <c r="J52">
        <v>52</v>
      </c>
      <c r="K52">
        <v>24</v>
      </c>
      <c r="L52">
        <v>8736</v>
      </c>
      <c r="M52">
        <v>4751008.8324999996</v>
      </c>
      <c r="N52" t="s">
        <v>174</v>
      </c>
      <c r="O52">
        <v>13052.222067307694</v>
      </c>
      <c r="P52" t="s">
        <v>174</v>
      </c>
      <c r="Q52">
        <v>13052.222067307694</v>
      </c>
      <c r="R52" t="s">
        <v>174</v>
      </c>
      <c r="U52" t="s">
        <v>96</v>
      </c>
      <c r="V52">
        <v>20110101</v>
      </c>
      <c r="W52">
        <v>20111231</v>
      </c>
      <c r="Z52">
        <v>0.47133819047543457</v>
      </c>
      <c r="AA52" t="s">
        <v>234</v>
      </c>
      <c r="AB52">
        <v>1.2948851386687765E-3</v>
      </c>
      <c r="AC52" t="s">
        <v>234</v>
      </c>
      <c r="AD52">
        <v>1.2948851386687765E-3</v>
      </c>
      <c r="AE52" t="s">
        <v>234</v>
      </c>
      <c r="AF52">
        <v>0.47133819047543457</v>
      </c>
      <c r="AG52">
        <v>1.2948851386687765E-3</v>
      </c>
      <c r="AH52">
        <v>1.2948851386687765E-3</v>
      </c>
      <c r="AJ52">
        <v>0</v>
      </c>
      <c r="AK52">
        <v>0</v>
      </c>
      <c r="AL52">
        <v>0</v>
      </c>
      <c r="AN52">
        <v>9.0001517882742077E-2</v>
      </c>
      <c r="AO52" t="s">
        <v>235</v>
      </c>
      <c r="AP52" t="s">
        <v>174</v>
      </c>
      <c r="AR52">
        <v>2.7472527472527479E-3</v>
      </c>
      <c r="AS52">
        <v>2.7472527472527479E-3</v>
      </c>
      <c r="AW52" t="s">
        <v>242</v>
      </c>
      <c r="AX52">
        <v>2011</v>
      </c>
    </row>
    <row r="53" spans="1:50" x14ac:dyDescent="0.2">
      <c r="A53">
        <v>10</v>
      </c>
      <c r="B53" t="s">
        <v>41</v>
      </c>
      <c r="D53">
        <v>2280002100</v>
      </c>
      <c r="E53">
        <v>25.000000000000007</v>
      </c>
      <c r="F53">
        <v>25.000000000000007</v>
      </c>
      <c r="G53">
        <v>25.000000000000007</v>
      </c>
      <c r="H53">
        <v>25.000000000000007</v>
      </c>
      <c r="I53">
        <v>7</v>
      </c>
      <c r="J53">
        <v>52</v>
      </c>
      <c r="K53">
        <v>24</v>
      </c>
      <c r="L53">
        <v>8736</v>
      </c>
      <c r="M53">
        <v>337779.36549999996</v>
      </c>
      <c r="N53" t="s">
        <v>174</v>
      </c>
      <c r="O53">
        <v>927.96528983516498</v>
      </c>
      <c r="P53" t="s">
        <v>174</v>
      </c>
      <c r="Q53">
        <v>927.96528983516498</v>
      </c>
      <c r="R53" t="s">
        <v>174</v>
      </c>
      <c r="U53" t="s">
        <v>96</v>
      </c>
      <c r="V53">
        <v>20110101</v>
      </c>
      <c r="W53">
        <v>20111231</v>
      </c>
      <c r="Z53">
        <v>3.351042284443289E-2</v>
      </c>
      <c r="AA53" t="s">
        <v>234</v>
      </c>
      <c r="AB53">
        <v>9.2061601220969506E-5</v>
      </c>
      <c r="AC53" t="s">
        <v>234</v>
      </c>
      <c r="AD53">
        <v>9.2061601220969506E-5</v>
      </c>
      <c r="AE53" t="s">
        <v>234</v>
      </c>
      <c r="AF53">
        <v>3.351042284443289E-2</v>
      </c>
      <c r="AG53">
        <v>9.2061601220969506E-5</v>
      </c>
      <c r="AH53">
        <v>9.2061601220969506E-5</v>
      </c>
      <c r="AJ53">
        <v>0</v>
      </c>
      <c r="AK53">
        <v>0</v>
      </c>
      <c r="AL53">
        <v>0</v>
      </c>
      <c r="AN53">
        <v>9.0001517882742077E-2</v>
      </c>
      <c r="AO53" t="s">
        <v>235</v>
      </c>
      <c r="AP53" t="s">
        <v>174</v>
      </c>
      <c r="AR53">
        <v>2.7472527472527479E-3</v>
      </c>
      <c r="AS53">
        <v>2.7472527472527479E-3</v>
      </c>
      <c r="AW53" t="s">
        <v>242</v>
      </c>
      <c r="AX53">
        <v>2011</v>
      </c>
    </row>
    <row r="54" spans="1:50" x14ac:dyDescent="0.2">
      <c r="A54">
        <v>10</v>
      </c>
      <c r="B54" t="s">
        <v>40</v>
      </c>
      <c r="D54">
        <v>2280002200</v>
      </c>
      <c r="E54">
        <v>25.000000000000007</v>
      </c>
      <c r="F54">
        <v>25.000000000000007</v>
      </c>
      <c r="G54">
        <v>25.000000000000007</v>
      </c>
      <c r="H54">
        <v>25.000000000000007</v>
      </c>
      <c r="I54">
        <v>7</v>
      </c>
      <c r="J54">
        <v>52</v>
      </c>
      <c r="K54">
        <v>24</v>
      </c>
      <c r="L54">
        <v>8736</v>
      </c>
      <c r="M54">
        <v>11137347.182507096</v>
      </c>
      <c r="N54" t="s">
        <v>174</v>
      </c>
      <c r="O54">
        <v>30597.107644250271</v>
      </c>
      <c r="P54" t="s">
        <v>174</v>
      </c>
      <c r="Q54">
        <v>30597.107644250271</v>
      </c>
      <c r="R54" t="s">
        <v>174</v>
      </c>
      <c r="U54" t="s">
        <v>96</v>
      </c>
      <c r="V54">
        <v>20110101</v>
      </c>
      <c r="W54">
        <v>20111231</v>
      </c>
      <c r="Z54">
        <v>1.1049141882856255</v>
      </c>
      <c r="AA54" t="s">
        <v>234</v>
      </c>
      <c r="AB54">
        <v>3.0354785392462244E-3</v>
      </c>
      <c r="AC54" t="s">
        <v>234</v>
      </c>
      <c r="AD54">
        <v>3.0354785392462244E-3</v>
      </c>
      <c r="AE54" t="s">
        <v>234</v>
      </c>
      <c r="AF54">
        <v>1.1049141882856255</v>
      </c>
      <c r="AG54">
        <v>3.0354785392462244E-3</v>
      </c>
      <c r="AH54">
        <v>3.0354785392462244E-3</v>
      </c>
      <c r="AJ54">
        <v>0</v>
      </c>
      <c r="AK54">
        <v>0</v>
      </c>
      <c r="AL54">
        <v>0</v>
      </c>
      <c r="AN54">
        <v>9.0001517882742077E-2</v>
      </c>
      <c r="AO54" t="s">
        <v>235</v>
      </c>
      <c r="AP54" t="s">
        <v>174</v>
      </c>
      <c r="AR54">
        <v>2.7472527472527479E-3</v>
      </c>
      <c r="AS54">
        <v>2.7472527472527479E-3</v>
      </c>
      <c r="AW54" t="s">
        <v>242</v>
      </c>
      <c r="AX54">
        <v>2011</v>
      </c>
    </row>
    <row r="55" spans="1:50" x14ac:dyDescent="0.2">
      <c r="A55">
        <v>10</v>
      </c>
      <c r="B55" t="s">
        <v>39</v>
      </c>
      <c r="D55">
        <v>2280002200</v>
      </c>
      <c r="E55">
        <v>25.000000000000007</v>
      </c>
      <c r="F55">
        <v>25.000000000000007</v>
      </c>
      <c r="G55">
        <v>25.000000000000007</v>
      </c>
      <c r="H55">
        <v>25.000000000000007</v>
      </c>
      <c r="I55">
        <v>7</v>
      </c>
      <c r="J55">
        <v>52</v>
      </c>
      <c r="K55">
        <v>24</v>
      </c>
      <c r="L55">
        <v>8736</v>
      </c>
      <c r="M55">
        <v>25134542.066848423</v>
      </c>
      <c r="N55" t="s">
        <v>174</v>
      </c>
      <c r="O55">
        <v>69050.93974408909</v>
      </c>
      <c r="P55" t="s">
        <v>174</v>
      </c>
      <c r="Q55">
        <v>69050.93974408909</v>
      </c>
      <c r="R55" t="s">
        <v>174</v>
      </c>
      <c r="U55" t="s">
        <v>96</v>
      </c>
      <c r="V55">
        <v>20110101</v>
      </c>
      <c r="W55">
        <v>20111231</v>
      </c>
      <c r="Z55">
        <v>2.4935482113139233</v>
      </c>
      <c r="AA55" t="s">
        <v>234</v>
      </c>
      <c r="AB55">
        <v>6.8504071739393518E-3</v>
      </c>
      <c r="AC55" t="s">
        <v>234</v>
      </c>
      <c r="AD55">
        <v>6.8504071739393518E-3</v>
      </c>
      <c r="AE55" t="s">
        <v>234</v>
      </c>
      <c r="AF55">
        <v>2.4935482113139233</v>
      </c>
      <c r="AG55">
        <v>6.8504071739393518E-3</v>
      </c>
      <c r="AH55">
        <v>6.8504071739393518E-3</v>
      </c>
      <c r="AJ55">
        <v>0</v>
      </c>
      <c r="AK55">
        <v>0</v>
      </c>
      <c r="AL55">
        <v>0</v>
      </c>
      <c r="AN55">
        <v>9.0001517882742063E-2</v>
      </c>
      <c r="AO55" t="s">
        <v>235</v>
      </c>
      <c r="AP55" t="s">
        <v>174</v>
      </c>
      <c r="AR55">
        <v>2.7472527472527479E-3</v>
      </c>
      <c r="AS55">
        <v>2.7472527472527479E-3</v>
      </c>
      <c r="AW55" t="s">
        <v>242</v>
      </c>
      <c r="AX55">
        <v>2011</v>
      </c>
    </row>
    <row r="56" spans="1:50" x14ac:dyDescent="0.2">
      <c r="A56">
        <v>10</v>
      </c>
      <c r="B56" t="s">
        <v>41</v>
      </c>
      <c r="D56">
        <v>2280002200</v>
      </c>
      <c r="E56">
        <v>25.000000000000007</v>
      </c>
      <c r="F56">
        <v>25.000000000000007</v>
      </c>
      <c r="G56">
        <v>25.000000000000007</v>
      </c>
      <c r="H56">
        <v>25.000000000000007</v>
      </c>
      <c r="I56">
        <v>7</v>
      </c>
      <c r="J56">
        <v>52</v>
      </c>
      <c r="K56">
        <v>24</v>
      </c>
      <c r="L56">
        <v>8736</v>
      </c>
      <c r="M56">
        <v>5666832.6259178398</v>
      </c>
      <c r="N56" t="s">
        <v>174</v>
      </c>
      <c r="O56">
        <v>15568.221499774289</v>
      </c>
      <c r="P56" t="s">
        <v>174</v>
      </c>
      <c r="Q56">
        <v>15568.221499774289</v>
      </c>
      <c r="R56" t="s">
        <v>174</v>
      </c>
      <c r="U56" t="s">
        <v>96</v>
      </c>
      <c r="V56">
        <v>20110101</v>
      </c>
      <c r="W56">
        <v>20111231</v>
      </c>
      <c r="Z56">
        <v>0.56219525784838031</v>
      </c>
      <c r="AA56" t="s">
        <v>234</v>
      </c>
      <c r="AB56">
        <v>1.5444924666164297E-3</v>
      </c>
      <c r="AC56" t="s">
        <v>234</v>
      </c>
      <c r="AD56">
        <v>1.5444924666164297E-3</v>
      </c>
      <c r="AE56" t="s">
        <v>234</v>
      </c>
      <c r="AF56">
        <v>0.56219525784838031</v>
      </c>
      <c r="AG56">
        <v>1.5444924666164297E-3</v>
      </c>
      <c r="AH56">
        <v>1.5444924666164297E-3</v>
      </c>
      <c r="AJ56">
        <v>0</v>
      </c>
      <c r="AK56">
        <v>0</v>
      </c>
      <c r="AL56">
        <v>0</v>
      </c>
      <c r="AN56">
        <v>9.0001517882742063E-2</v>
      </c>
      <c r="AO56" t="s">
        <v>235</v>
      </c>
      <c r="AP56" t="s">
        <v>174</v>
      </c>
      <c r="AR56">
        <v>2.7472527472527479E-3</v>
      </c>
      <c r="AS56">
        <v>2.7472527472527479E-3</v>
      </c>
      <c r="AW56" t="s">
        <v>242</v>
      </c>
      <c r="AX56">
        <v>2011</v>
      </c>
    </row>
    <row r="57" spans="1:50" x14ac:dyDescent="0.2">
      <c r="A57">
        <v>10</v>
      </c>
      <c r="B57" t="s">
        <v>40</v>
      </c>
      <c r="D57">
        <v>2280002100</v>
      </c>
      <c r="E57">
        <v>25.000000000000007</v>
      </c>
      <c r="F57">
        <v>25.000000000000007</v>
      </c>
      <c r="G57">
        <v>25.000000000000007</v>
      </c>
      <c r="H57">
        <v>25.000000000000007</v>
      </c>
      <c r="I57">
        <v>7</v>
      </c>
      <c r="J57">
        <v>52</v>
      </c>
      <c r="K57">
        <v>24</v>
      </c>
      <c r="L57">
        <v>8736</v>
      </c>
      <c r="M57">
        <v>0</v>
      </c>
      <c r="N57" t="s">
        <v>174</v>
      </c>
      <c r="O57">
        <v>0</v>
      </c>
      <c r="P57" t="s">
        <v>174</v>
      </c>
      <c r="Q57">
        <v>0</v>
      </c>
      <c r="R57" t="s">
        <v>174</v>
      </c>
      <c r="U57" t="s">
        <v>97</v>
      </c>
      <c r="V57">
        <v>20110101</v>
      </c>
      <c r="W57">
        <v>20111231</v>
      </c>
      <c r="Z57">
        <v>0</v>
      </c>
      <c r="AA57" t="s">
        <v>234</v>
      </c>
      <c r="AB57">
        <v>0</v>
      </c>
      <c r="AC57" t="s">
        <v>234</v>
      </c>
      <c r="AD57">
        <v>0</v>
      </c>
      <c r="AE57" t="s">
        <v>234</v>
      </c>
      <c r="AF57">
        <v>0</v>
      </c>
      <c r="AG57">
        <v>0</v>
      </c>
      <c r="AH57">
        <v>0</v>
      </c>
      <c r="AJ57">
        <v>0</v>
      </c>
      <c r="AK57">
        <v>0</v>
      </c>
      <c r="AL57">
        <v>0</v>
      </c>
      <c r="AN57">
        <v>0</v>
      </c>
      <c r="AO57" t="s">
        <v>235</v>
      </c>
      <c r="AP57" t="s">
        <v>174</v>
      </c>
      <c r="AR57">
        <v>2.7472527472527479E-3</v>
      </c>
      <c r="AS57">
        <v>2.7472527472527479E-3</v>
      </c>
      <c r="AW57" t="s">
        <v>242</v>
      </c>
      <c r="AX57">
        <v>2011</v>
      </c>
    </row>
    <row r="58" spans="1:50" x14ac:dyDescent="0.2">
      <c r="A58">
        <v>10</v>
      </c>
      <c r="B58" t="s">
        <v>39</v>
      </c>
      <c r="D58">
        <v>2280002100</v>
      </c>
      <c r="E58">
        <v>25.000000000000007</v>
      </c>
      <c r="F58">
        <v>25.000000000000007</v>
      </c>
      <c r="G58">
        <v>25.000000000000007</v>
      </c>
      <c r="H58">
        <v>25.000000000000007</v>
      </c>
      <c r="I58">
        <v>7</v>
      </c>
      <c r="J58">
        <v>52</v>
      </c>
      <c r="K58">
        <v>24</v>
      </c>
      <c r="L58">
        <v>8736</v>
      </c>
      <c r="M58">
        <v>4751008.8324999996</v>
      </c>
      <c r="N58" t="s">
        <v>174</v>
      </c>
      <c r="O58">
        <v>13052.222067307694</v>
      </c>
      <c r="P58" t="s">
        <v>174</v>
      </c>
      <c r="Q58">
        <v>13052.222067307694</v>
      </c>
      <c r="R58" t="s">
        <v>174</v>
      </c>
      <c r="U58" t="s">
        <v>97</v>
      </c>
      <c r="V58">
        <v>20110101</v>
      </c>
      <c r="W58">
        <v>20111231</v>
      </c>
      <c r="Z58">
        <v>0.10474182010565214</v>
      </c>
      <c r="AA58" t="s">
        <v>234</v>
      </c>
      <c r="AB58">
        <v>2.8775225303750594E-4</v>
      </c>
      <c r="AC58" t="s">
        <v>234</v>
      </c>
      <c r="AD58">
        <v>2.8775225303750594E-4</v>
      </c>
      <c r="AE58" t="s">
        <v>234</v>
      </c>
      <c r="AF58">
        <v>0.10474182010565214</v>
      </c>
      <c r="AG58">
        <v>2.8775225303750594E-4</v>
      </c>
      <c r="AH58">
        <v>2.8775225303750594E-4</v>
      </c>
      <c r="AJ58">
        <v>0</v>
      </c>
      <c r="AK58">
        <v>0</v>
      </c>
      <c r="AL58">
        <v>0</v>
      </c>
      <c r="AN58">
        <v>2.0000337307276017E-2</v>
      </c>
      <c r="AO58" t="s">
        <v>235</v>
      </c>
      <c r="AP58" t="s">
        <v>174</v>
      </c>
      <c r="AR58">
        <v>2.7472527472527479E-3</v>
      </c>
      <c r="AS58">
        <v>2.7472527472527479E-3</v>
      </c>
      <c r="AW58" t="s">
        <v>242</v>
      </c>
      <c r="AX58">
        <v>2011</v>
      </c>
    </row>
    <row r="59" spans="1:50" x14ac:dyDescent="0.2">
      <c r="A59">
        <v>10</v>
      </c>
      <c r="B59" t="s">
        <v>41</v>
      </c>
      <c r="D59">
        <v>2280002100</v>
      </c>
      <c r="E59">
        <v>25.000000000000007</v>
      </c>
      <c r="F59">
        <v>25.000000000000007</v>
      </c>
      <c r="G59">
        <v>25.000000000000007</v>
      </c>
      <c r="H59">
        <v>25.000000000000007</v>
      </c>
      <c r="I59">
        <v>7</v>
      </c>
      <c r="J59">
        <v>52</v>
      </c>
      <c r="K59">
        <v>24</v>
      </c>
      <c r="L59">
        <v>8736</v>
      </c>
      <c r="M59">
        <v>337779.36549999996</v>
      </c>
      <c r="N59" t="s">
        <v>174</v>
      </c>
      <c r="O59">
        <v>927.96528983516498</v>
      </c>
      <c r="P59" t="s">
        <v>174</v>
      </c>
      <c r="Q59">
        <v>927.96528983516498</v>
      </c>
      <c r="R59" t="s">
        <v>174</v>
      </c>
      <c r="U59" t="s">
        <v>97</v>
      </c>
      <c r="V59">
        <v>20110101</v>
      </c>
      <c r="W59">
        <v>20111231</v>
      </c>
      <c r="Z59">
        <v>7.4467606320961994E-3</v>
      </c>
      <c r="AA59" t="s">
        <v>234</v>
      </c>
      <c r="AB59">
        <v>2.0458133604659894E-5</v>
      </c>
      <c r="AC59" t="s">
        <v>234</v>
      </c>
      <c r="AD59">
        <v>2.0458133604659894E-5</v>
      </c>
      <c r="AE59" t="s">
        <v>234</v>
      </c>
      <c r="AF59">
        <v>7.4467606320961994E-3</v>
      </c>
      <c r="AG59">
        <v>2.0458133604659894E-5</v>
      </c>
      <c r="AH59">
        <v>2.0458133604659894E-5</v>
      </c>
      <c r="AJ59">
        <v>0</v>
      </c>
      <c r="AK59">
        <v>0</v>
      </c>
      <c r="AL59">
        <v>0</v>
      </c>
      <c r="AN59">
        <v>2.0000337307276021E-2</v>
      </c>
      <c r="AO59" t="s">
        <v>235</v>
      </c>
      <c r="AP59" t="s">
        <v>174</v>
      </c>
      <c r="AR59">
        <v>2.7472527472527479E-3</v>
      </c>
      <c r="AS59">
        <v>2.7472527472527479E-3</v>
      </c>
      <c r="AW59" t="s">
        <v>242</v>
      </c>
      <c r="AX59">
        <v>2011</v>
      </c>
    </row>
    <row r="60" spans="1:50" x14ac:dyDescent="0.2">
      <c r="A60">
        <v>10</v>
      </c>
      <c r="B60" t="s">
        <v>40</v>
      </c>
      <c r="D60">
        <v>2280002200</v>
      </c>
      <c r="E60">
        <v>25.000000000000007</v>
      </c>
      <c r="F60">
        <v>25.000000000000007</v>
      </c>
      <c r="G60">
        <v>25.000000000000007</v>
      </c>
      <c r="H60">
        <v>25.000000000000007</v>
      </c>
      <c r="I60">
        <v>7</v>
      </c>
      <c r="J60">
        <v>52</v>
      </c>
      <c r="K60">
        <v>24</v>
      </c>
      <c r="L60">
        <v>8736</v>
      </c>
      <c r="M60">
        <v>11137347.182507096</v>
      </c>
      <c r="N60" t="s">
        <v>174</v>
      </c>
      <c r="O60">
        <v>30597.107644250271</v>
      </c>
      <c r="P60" t="s">
        <v>174</v>
      </c>
      <c r="Q60">
        <v>30597.107644250271</v>
      </c>
      <c r="R60" t="s">
        <v>174</v>
      </c>
      <c r="U60" t="s">
        <v>97</v>
      </c>
      <c r="V60">
        <v>20110101</v>
      </c>
      <c r="W60">
        <v>20111231</v>
      </c>
      <c r="Z60">
        <v>0.24553648628569458</v>
      </c>
      <c r="AA60" t="s">
        <v>234</v>
      </c>
      <c r="AB60">
        <v>6.7455078649916104E-4</v>
      </c>
      <c r="AC60" t="s">
        <v>234</v>
      </c>
      <c r="AD60">
        <v>6.7455078649916104E-4</v>
      </c>
      <c r="AE60" t="s">
        <v>234</v>
      </c>
      <c r="AF60">
        <v>0.24553648628569458</v>
      </c>
      <c r="AG60">
        <v>6.7455078649916104E-4</v>
      </c>
      <c r="AH60">
        <v>6.7455078649916104E-4</v>
      </c>
      <c r="AJ60">
        <v>0</v>
      </c>
      <c r="AK60">
        <v>0</v>
      </c>
      <c r="AL60">
        <v>0</v>
      </c>
      <c r="AN60">
        <v>2.0000337307276017E-2</v>
      </c>
      <c r="AO60" t="s">
        <v>235</v>
      </c>
      <c r="AP60" t="s">
        <v>174</v>
      </c>
      <c r="AR60">
        <v>2.7472527472527479E-3</v>
      </c>
      <c r="AS60">
        <v>2.7472527472527479E-3</v>
      </c>
      <c r="AW60" t="s">
        <v>242</v>
      </c>
      <c r="AX60">
        <v>2011</v>
      </c>
    </row>
    <row r="61" spans="1:50" x14ac:dyDescent="0.2">
      <c r="A61">
        <v>10</v>
      </c>
      <c r="B61" t="s">
        <v>39</v>
      </c>
      <c r="D61">
        <v>2280002200</v>
      </c>
      <c r="E61">
        <v>25.000000000000007</v>
      </c>
      <c r="F61">
        <v>25.000000000000007</v>
      </c>
      <c r="G61">
        <v>25.000000000000007</v>
      </c>
      <c r="H61">
        <v>25.000000000000007</v>
      </c>
      <c r="I61">
        <v>7</v>
      </c>
      <c r="J61">
        <v>52</v>
      </c>
      <c r="K61">
        <v>24</v>
      </c>
      <c r="L61">
        <v>8736</v>
      </c>
      <c r="M61">
        <v>25134542.066848423</v>
      </c>
      <c r="N61" t="s">
        <v>174</v>
      </c>
      <c r="O61">
        <v>69050.93974408909</v>
      </c>
      <c r="P61" t="s">
        <v>174</v>
      </c>
      <c r="Q61">
        <v>69050.93974408909</v>
      </c>
      <c r="R61" t="s">
        <v>174</v>
      </c>
      <c r="U61" t="s">
        <v>97</v>
      </c>
      <c r="V61">
        <v>20110101</v>
      </c>
      <c r="W61">
        <v>20111231</v>
      </c>
      <c r="Z61">
        <v>0.55412182473642746</v>
      </c>
      <c r="AA61" t="s">
        <v>234</v>
      </c>
      <c r="AB61">
        <v>1.522312705319856E-3</v>
      </c>
      <c r="AC61" t="s">
        <v>234</v>
      </c>
      <c r="AD61">
        <v>1.522312705319856E-3</v>
      </c>
      <c r="AE61" t="s">
        <v>234</v>
      </c>
      <c r="AF61">
        <v>0.55412182473642746</v>
      </c>
      <c r="AG61">
        <v>1.522312705319856E-3</v>
      </c>
      <c r="AH61">
        <v>1.522312705319856E-3</v>
      </c>
      <c r="AJ61">
        <v>0</v>
      </c>
      <c r="AK61">
        <v>0</v>
      </c>
      <c r="AL61">
        <v>0</v>
      </c>
      <c r="AN61">
        <v>2.0000337307276017E-2</v>
      </c>
      <c r="AO61" t="s">
        <v>235</v>
      </c>
      <c r="AP61" t="s">
        <v>174</v>
      </c>
      <c r="AR61">
        <v>2.7472527472527479E-3</v>
      </c>
      <c r="AS61">
        <v>2.7472527472527479E-3</v>
      </c>
      <c r="AW61" t="s">
        <v>242</v>
      </c>
      <c r="AX61">
        <v>2011</v>
      </c>
    </row>
    <row r="62" spans="1:50" x14ac:dyDescent="0.2">
      <c r="A62">
        <v>10</v>
      </c>
      <c r="B62" t="s">
        <v>41</v>
      </c>
      <c r="D62">
        <v>2280002200</v>
      </c>
      <c r="E62">
        <v>25.000000000000007</v>
      </c>
      <c r="F62">
        <v>25.000000000000007</v>
      </c>
      <c r="G62">
        <v>25.000000000000007</v>
      </c>
      <c r="H62">
        <v>25.000000000000007</v>
      </c>
      <c r="I62">
        <v>7</v>
      </c>
      <c r="J62">
        <v>52</v>
      </c>
      <c r="K62">
        <v>24</v>
      </c>
      <c r="L62">
        <v>8736</v>
      </c>
      <c r="M62">
        <v>5666832.6259178398</v>
      </c>
      <c r="N62" t="s">
        <v>174</v>
      </c>
      <c r="O62">
        <v>15568.221499774289</v>
      </c>
      <c r="P62" t="s">
        <v>174</v>
      </c>
      <c r="Q62">
        <v>15568.221499774289</v>
      </c>
      <c r="R62" t="s">
        <v>174</v>
      </c>
      <c r="U62" t="s">
        <v>97</v>
      </c>
      <c r="V62">
        <v>20110101</v>
      </c>
      <c r="W62">
        <v>20111231</v>
      </c>
      <c r="Z62">
        <v>0.1249322795218623</v>
      </c>
      <c r="AA62" t="s">
        <v>234</v>
      </c>
      <c r="AB62">
        <v>3.4322054813698441E-4</v>
      </c>
      <c r="AC62" t="s">
        <v>234</v>
      </c>
      <c r="AD62">
        <v>3.4322054813698441E-4</v>
      </c>
      <c r="AE62" t="s">
        <v>234</v>
      </c>
      <c r="AF62">
        <v>0.1249322795218623</v>
      </c>
      <c r="AG62">
        <v>3.4322054813698441E-4</v>
      </c>
      <c r="AH62">
        <v>3.4322054813698441E-4</v>
      </c>
      <c r="AJ62">
        <v>0</v>
      </c>
      <c r="AK62">
        <v>0</v>
      </c>
      <c r="AL62">
        <v>0</v>
      </c>
      <c r="AN62">
        <v>2.0000337307276014E-2</v>
      </c>
      <c r="AO62" t="s">
        <v>235</v>
      </c>
      <c r="AP62" t="s">
        <v>174</v>
      </c>
      <c r="AR62">
        <v>2.7472527472527479E-3</v>
      </c>
      <c r="AS62">
        <v>2.7472527472527479E-3</v>
      </c>
      <c r="AW62" t="s">
        <v>242</v>
      </c>
      <c r="AX62">
        <v>2011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D13" sqref="D13"/>
    </sheetView>
  </sheetViews>
  <sheetFormatPr defaultRowHeight="12.75" x14ac:dyDescent="0.2"/>
  <cols>
    <col min="1" max="1" width="17.7109375" style="176" customWidth="1"/>
    <col min="2" max="2" width="13.42578125" style="176" customWidth="1"/>
    <col min="3" max="3" width="29.85546875" style="176" customWidth="1"/>
    <col min="4" max="4" width="17.5703125" style="176" customWidth="1"/>
    <col min="5" max="5" width="11.5703125" style="176" customWidth="1"/>
    <col min="6" max="16384" width="9.140625" style="176"/>
  </cols>
  <sheetData>
    <row r="1" spans="1:10" x14ac:dyDescent="0.2">
      <c r="A1" s="175" t="s">
        <v>236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x14ac:dyDescent="0.2">
      <c r="B2" s="177"/>
    </row>
    <row r="3" spans="1:10" x14ac:dyDescent="0.2">
      <c r="A3" s="178" t="s">
        <v>237</v>
      </c>
      <c r="B3" s="178" t="s">
        <v>238</v>
      </c>
      <c r="C3" s="178" t="s">
        <v>239</v>
      </c>
    </row>
    <row r="4" spans="1:10" x14ac:dyDescent="0.2">
      <c r="A4" s="179" t="s">
        <v>240</v>
      </c>
      <c r="B4" s="177">
        <v>41410</v>
      </c>
      <c r="C4" s="179" t="s">
        <v>251</v>
      </c>
    </row>
    <row r="5" spans="1:10" x14ac:dyDescent="0.2">
      <c r="A5" s="151" t="s">
        <v>240</v>
      </c>
      <c r="B5" s="182">
        <v>41417</v>
      </c>
      <c r="C5" s="151" t="s">
        <v>252</v>
      </c>
    </row>
    <row r="7" spans="1:10" x14ac:dyDescent="0.2">
      <c r="A7" t="s">
        <v>255</v>
      </c>
    </row>
    <row r="8" spans="1:10" x14ac:dyDescent="0.2">
      <c r="A8" t="s">
        <v>254</v>
      </c>
    </row>
    <row r="9" spans="1:10" x14ac:dyDescent="0.2">
      <c r="A9" s="176" t="s">
        <v>253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SNJ CTY EMISSIONS</vt:lpstr>
      <vt:lpstr>Activity Data</vt:lpstr>
      <vt:lpstr>Emission Factors</vt:lpstr>
      <vt:lpstr>Calculations</vt:lpstr>
      <vt:lpstr>NIF Translation</vt:lpstr>
      <vt:lpstr>NIF Values</vt:lpstr>
      <vt:lpstr>QA_QC</vt:lpstr>
    </vt:vector>
  </TitlesOfParts>
  <Company>ehpa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Hemmer</dc:creator>
  <cp:lastModifiedBy>Judy Rand</cp:lastModifiedBy>
  <cp:lastPrinted>2013-10-02T14:33:01Z</cp:lastPrinted>
  <dcterms:created xsi:type="dcterms:W3CDTF">2004-02-03T20:16:03Z</dcterms:created>
  <dcterms:modified xsi:type="dcterms:W3CDTF">2014-05-02T20:26:29Z</dcterms:modified>
</cp:coreProperties>
</file>