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hunter\Desktop\BEP PDFs for WP\8HrOzoneSIP2017\"/>
    </mc:Choice>
  </mc:AlternateContent>
  <xr:revisionPtr revIDLastSave="0" documentId="8_{46E52871-57C0-4CDC-9F95-CA6C097C1B98}" xr6:coauthVersionLast="45" xr6:coauthVersionMax="45" xr10:uidLastSave="{00000000-0000-0000-0000-000000000000}"/>
  <bookViews>
    <workbookView xWindow="-120" yWindow="-120" windowWidth="23280" windowHeight="12600" tabRatio="913"/>
  </bookViews>
  <sheets>
    <sheet name="TItle" sheetId="15" r:id="rId1"/>
    <sheet name="Sheet3" sheetId="3" state="hidden" r:id="rId2"/>
    <sheet name="TOT RAIL cty NAA" sheetId="91" r:id="rId3"/>
    <sheet name="TOT RAIL SCC cty North" sheetId="94" r:id="rId4"/>
    <sheet name="TOT RAIL cty" sheetId="90" r:id="rId5"/>
    <sheet name="TOT RAIL SCC cty 1 " sheetId="92" r:id="rId6"/>
    <sheet name="TOT RAIL SCC cty 2 " sheetId="81" r:id="rId7"/>
    <sheet name="RAIL EMIS FACTOR" sheetId="9" r:id="rId8"/>
    <sheet name="2017 YARD EMIS CTY COMPILE 2 " sheetId="77" r:id="rId9"/>
    <sheet name="2017 YARD EMIS COMPILE 1" sheetId="76" r:id="rId10"/>
    <sheet name="NJT COMMUTER EMIS CTY" sheetId="73" r:id="rId11"/>
    <sheet name="NJT COMMUTER-YARD EMIS CALC" sheetId="27" r:id="rId12"/>
    <sheet name="NJT FUEL USE SUMMARY" sheetId="31" r:id="rId13"/>
    <sheet name="NJTRANSIT FUEL USE TABLE" sheetId="18" r:id="rId14"/>
    <sheet name="LINE HAUL CLASS 23 TOTAL BY CTY" sheetId="87" r:id="rId15"/>
    <sheet name="x4-Class23 emissions" sheetId="4" r:id="rId16"/>
    <sheet name="xNYSQW" sheetId="34" r:id="rId17"/>
    <sheet name="SHORTLINE CLASS 3 CALC not use " sheetId="35" r:id="rId18"/>
    <sheet name="CONRAIL LINE FUEL USE COMPILE" sheetId="52" r:id="rId19"/>
    <sheet name="CONRAIL LINE-HAUL EMISS" sheetId="50" r:id="rId20"/>
    <sheet name="CONRAIL YARD EMISS" sheetId="60" r:id="rId21"/>
    <sheet name="conrail linehaul-yard fuel cal" sheetId="40" r:id="rId22"/>
    <sheet name="CLASS 1 LINE HAUL COMPILE EMISS" sheetId="66" r:id="rId23"/>
    <sheet name="CSX" sheetId="33" r:id="rId24"/>
    <sheet name="NSCOMPILE" sheetId="89" r:id="rId25"/>
    <sheet name="NS EMISSION CALC" sheetId="43" r:id="rId26"/>
    <sheet name="NS FUEL CALCULATION" sheetId="69" r:id="rId27"/>
    <sheet name="Class1 control &amp; gwrth" sheetId="70" r:id="rId28"/>
    <sheet name="Class2&amp;3 control &amp; gwrth" sheetId="84" r:id="rId29"/>
    <sheet name="yard control &amp; growth" sheetId="85" r:id="rId30"/>
    <sheet name="commuter control &amp; growth" sheetId="86" r:id="rId31"/>
  </sheets>
  <externalReferences>
    <externalReference r:id="rId32"/>
  </externalReferences>
  <definedNames>
    <definedName name="class23_stcntyfips" localSheetId="15">'x4-Class23 emissions'!$B$3:$H$50</definedName>
    <definedName name="_xlnm.Print_Area" localSheetId="15">'x4-Class23 emissions'!#REF!</definedName>
    <definedName name="_xlnm.Print_Titles" localSheetId="15">'x4-Class23 emissions'!$2:$2</definedName>
  </definedNames>
  <calcPr calcId="191029" fullCalcOnLoad="1"/>
  <pivotCaches>
    <pivotCache cacheId="0"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91" l="1"/>
  <c r="Q33" i="91" s="1"/>
  <c r="P20" i="91"/>
  <c r="P33" i="91" s="1"/>
  <c r="O20" i="91"/>
  <c r="O33" i="91" s="1"/>
  <c r="N20" i="91"/>
  <c r="N33" i="91" s="1"/>
  <c r="M20" i="91"/>
  <c r="M33" i="91" s="1"/>
  <c r="L20" i="91"/>
  <c r="L33" i="91" s="1"/>
  <c r="K20" i="91"/>
  <c r="K33" i="91" s="1"/>
  <c r="N54" i="94"/>
  <c r="V54" i="94"/>
  <c r="M54" i="94"/>
  <c r="U54" i="94"/>
  <c r="L54" i="94"/>
  <c r="T54" i="94"/>
  <c r="K54" i="94"/>
  <c r="S54" i="94" s="1"/>
  <c r="J54" i="94"/>
  <c r="R54" i="94"/>
  <c r="I54" i="94"/>
  <c r="Q54" i="94"/>
  <c r="H54" i="94"/>
  <c r="P54" i="94" s="1"/>
  <c r="G54" i="94"/>
  <c r="O54" i="94" s="1"/>
  <c r="F54" i="94"/>
  <c r="N53" i="94"/>
  <c r="V53" i="94" s="1"/>
  <c r="M53" i="94"/>
  <c r="U53" i="94" s="1"/>
  <c r="L53" i="94"/>
  <c r="T53" i="94" s="1"/>
  <c r="K53" i="94"/>
  <c r="S53" i="94" s="1"/>
  <c r="J53" i="94"/>
  <c r="R53" i="94" s="1"/>
  <c r="I53" i="94"/>
  <c r="Q53" i="94" s="1"/>
  <c r="H53" i="94"/>
  <c r="P53" i="94" s="1"/>
  <c r="G53" i="94"/>
  <c r="O53" i="94" s="1"/>
  <c r="F53" i="94"/>
  <c r="N52" i="94"/>
  <c r="V52" i="94"/>
  <c r="M52" i="94"/>
  <c r="U52" i="94" s="1"/>
  <c r="L52" i="94"/>
  <c r="T52" i="94" s="1"/>
  <c r="K52" i="94"/>
  <c r="S52" i="94" s="1"/>
  <c r="J52" i="94"/>
  <c r="R52" i="94"/>
  <c r="I52" i="94"/>
  <c r="Q52" i="94"/>
  <c r="H52" i="94"/>
  <c r="P52" i="94" s="1"/>
  <c r="G52" i="94"/>
  <c r="O52" i="94" s="1"/>
  <c r="F52" i="94"/>
  <c r="N51" i="94"/>
  <c r="V51" i="94" s="1"/>
  <c r="M51" i="94"/>
  <c r="U51" i="94" s="1"/>
  <c r="L51" i="94"/>
  <c r="T51" i="94" s="1"/>
  <c r="K51" i="94"/>
  <c r="S51" i="94" s="1"/>
  <c r="J51" i="94"/>
  <c r="R51" i="94" s="1"/>
  <c r="I51" i="94"/>
  <c r="Q51" i="94" s="1"/>
  <c r="H51" i="94"/>
  <c r="P51" i="94" s="1"/>
  <c r="G51" i="94"/>
  <c r="O51" i="94" s="1"/>
  <c r="F51" i="94"/>
  <c r="N50" i="94"/>
  <c r="V50" i="94"/>
  <c r="M50" i="94"/>
  <c r="U50" i="94" s="1"/>
  <c r="L50" i="94"/>
  <c r="T50" i="94" s="1"/>
  <c r="K50" i="94"/>
  <c r="S50" i="94"/>
  <c r="J50" i="94"/>
  <c r="R50" i="94"/>
  <c r="I50" i="94"/>
  <c r="Q50" i="94" s="1"/>
  <c r="H50" i="94"/>
  <c r="P50" i="94"/>
  <c r="G50" i="94"/>
  <c r="O50" i="94"/>
  <c r="F50" i="94"/>
  <c r="N49" i="94"/>
  <c r="V49" i="94" s="1"/>
  <c r="M49" i="94"/>
  <c r="U49" i="94" s="1"/>
  <c r="L49" i="94"/>
  <c r="T49" i="94" s="1"/>
  <c r="K49" i="94"/>
  <c r="S49" i="94" s="1"/>
  <c r="J49" i="94"/>
  <c r="R49" i="94" s="1"/>
  <c r="I49" i="94"/>
  <c r="Q49" i="94" s="1"/>
  <c r="H49" i="94"/>
  <c r="P49" i="94" s="1"/>
  <c r="G49" i="94"/>
  <c r="O49" i="94" s="1"/>
  <c r="F49" i="94"/>
  <c r="N48" i="94"/>
  <c r="V48" i="94" s="1"/>
  <c r="M48" i="94"/>
  <c r="U48" i="94"/>
  <c r="L48" i="94"/>
  <c r="T48" i="94" s="1"/>
  <c r="K48" i="94"/>
  <c r="S48" i="94" s="1"/>
  <c r="J48" i="94"/>
  <c r="R48" i="94" s="1"/>
  <c r="I48" i="94"/>
  <c r="Q48" i="94" s="1"/>
  <c r="H48" i="94"/>
  <c r="P48" i="94"/>
  <c r="G48" i="94"/>
  <c r="O48" i="94"/>
  <c r="F48" i="94"/>
  <c r="N47" i="94"/>
  <c r="V47" i="94" s="1"/>
  <c r="M47" i="94"/>
  <c r="U47" i="94" s="1"/>
  <c r="L47" i="94"/>
  <c r="T47" i="94" s="1"/>
  <c r="K47" i="94"/>
  <c r="S47" i="94" s="1"/>
  <c r="J47" i="94"/>
  <c r="R47" i="94" s="1"/>
  <c r="I47" i="94"/>
  <c r="Q47" i="94" s="1"/>
  <c r="H47" i="94"/>
  <c r="P47" i="94" s="1"/>
  <c r="G47" i="94"/>
  <c r="O47" i="94" s="1"/>
  <c r="F47" i="94"/>
  <c r="N46" i="94"/>
  <c r="V46" i="94"/>
  <c r="M46" i="94"/>
  <c r="U46" i="94"/>
  <c r="L46" i="94"/>
  <c r="T46" i="94"/>
  <c r="K46" i="94"/>
  <c r="S46" i="94" s="1"/>
  <c r="J46" i="94"/>
  <c r="R46" i="94"/>
  <c r="I46" i="94"/>
  <c r="Q46" i="94"/>
  <c r="H46" i="94"/>
  <c r="P46" i="94" s="1"/>
  <c r="G46" i="94"/>
  <c r="O46" i="94" s="1"/>
  <c r="F46" i="94"/>
  <c r="N45" i="94"/>
  <c r="V45" i="94" s="1"/>
  <c r="M45" i="94"/>
  <c r="U45" i="94" s="1"/>
  <c r="L45" i="94"/>
  <c r="T45" i="94" s="1"/>
  <c r="K45" i="94"/>
  <c r="S45" i="94" s="1"/>
  <c r="J45" i="94"/>
  <c r="R45" i="94" s="1"/>
  <c r="I45" i="94"/>
  <c r="Q45" i="94" s="1"/>
  <c r="H45" i="94"/>
  <c r="P45" i="94" s="1"/>
  <c r="G45" i="94"/>
  <c r="O45" i="94" s="1"/>
  <c r="F45" i="94"/>
  <c r="N44" i="94"/>
  <c r="V44" i="94" s="1"/>
  <c r="M44" i="94"/>
  <c r="U44" i="94"/>
  <c r="L44" i="94"/>
  <c r="T44" i="94" s="1"/>
  <c r="K44" i="94"/>
  <c r="S44" i="94"/>
  <c r="J44" i="94"/>
  <c r="R44" i="94" s="1"/>
  <c r="I44" i="94"/>
  <c r="Q44" i="94" s="1"/>
  <c r="H44" i="94"/>
  <c r="P44" i="94" s="1"/>
  <c r="G44" i="94"/>
  <c r="O44" i="94" s="1"/>
  <c r="F44" i="94"/>
  <c r="N43" i="94"/>
  <c r="V43" i="94" s="1"/>
  <c r="M43" i="94"/>
  <c r="U43" i="94" s="1"/>
  <c r="L43" i="94"/>
  <c r="T43" i="94" s="1"/>
  <c r="K43" i="94"/>
  <c r="S43" i="94" s="1"/>
  <c r="J43" i="94"/>
  <c r="R43" i="94" s="1"/>
  <c r="I43" i="94"/>
  <c r="Q43" i="94" s="1"/>
  <c r="H43" i="94"/>
  <c r="P43" i="94" s="1"/>
  <c r="G43" i="94"/>
  <c r="O43" i="94" s="1"/>
  <c r="F43" i="94"/>
  <c r="N42" i="94"/>
  <c r="V42" i="94"/>
  <c r="M42" i="94"/>
  <c r="U42" i="94" s="1"/>
  <c r="L42" i="94"/>
  <c r="T42" i="94" s="1"/>
  <c r="K42" i="94"/>
  <c r="S42" i="94"/>
  <c r="J42" i="94"/>
  <c r="R42" i="94"/>
  <c r="I42" i="94"/>
  <c r="Q42" i="94" s="1"/>
  <c r="H42" i="94"/>
  <c r="P42" i="94"/>
  <c r="G42" i="94"/>
  <c r="O42" i="94"/>
  <c r="F42" i="94"/>
  <c r="N41" i="94"/>
  <c r="V41" i="94" s="1"/>
  <c r="M41" i="94"/>
  <c r="U41" i="94" s="1"/>
  <c r="L41" i="94"/>
  <c r="T41" i="94" s="1"/>
  <c r="K41" i="94"/>
  <c r="S41" i="94" s="1"/>
  <c r="J41" i="94"/>
  <c r="R41" i="94" s="1"/>
  <c r="I41" i="94"/>
  <c r="Q41" i="94" s="1"/>
  <c r="H41" i="94"/>
  <c r="P41" i="94" s="1"/>
  <c r="G41" i="94"/>
  <c r="O41" i="94" s="1"/>
  <c r="F41" i="94"/>
  <c r="N40" i="94"/>
  <c r="V40" i="94" s="1"/>
  <c r="M40" i="94"/>
  <c r="U40" i="94" s="1"/>
  <c r="L40" i="94"/>
  <c r="T40" i="94" s="1"/>
  <c r="K40" i="94"/>
  <c r="J40" i="94"/>
  <c r="R40" i="94" s="1"/>
  <c r="I40" i="94"/>
  <c r="Q40" i="94" s="1"/>
  <c r="H40" i="94"/>
  <c r="P40" i="94" s="1"/>
  <c r="G40" i="94"/>
  <c r="O40" i="94"/>
  <c r="F40" i="94"/>
  <c r="N39" i="94"/>
  <c r="V39" i="94" s="1"/>
  <c r="M39" i="94"/>
  <c r="U39" i="94" s="1"/>
  <c r="L39" i="94"/>
  <c r="T39" i="94" s="1"/>
  <c r="K39" i="94"/>
  <c r="S39" i="94" s="1"/>
  <c r="J39" i="94"/>
  <c r="R39" i="94" s="1"/>
  <c r="I39" i="94"/>
  <c r="Q39" i="94" s="1"/>
  <c r="H39" i="94"/>
  <c r="P39" i="94" s="1"/>
  <c r="G39" i="94"/>
  <c r="O39" i="94" s="1"/>
  <c r="F39" i="94"/>
  <c r="N38" i="94"/>
  <c r="V38" i="94"/>
  <c r="M38" i="94"/>
  <c r="U38" i="94"/>
  <c r="L38" i="94"/>
  <c r="T38" i="94"/>
  <c r="K38" i="94"/>
  <c r="S38" i="94" s="1"/>
  <c r="J38" i="94"/>
  <c r="R38" i="94"/>
  <c r="I38" i="94"/>
  <c r="Q38" i="94"/>
  <c r="H38" i="94"/>
  <c r="G38" i="94"/>
  <c r="O38" i="94" s="1"/>
  <c r="F38" i="94"/>
  <c r="N37" i="94"/>
  <c r="V37" i="94" s="1"/>
  <c r="M37" i="94"/>
  <c r="U37" i="94"/>
  <c r="L37" i="94"/>
  <c r="T37" i="94"/>
  <c r="K37" i="94"/>
  <c r="S37" i="94" s="1"/>
  <c r="J37" i="94"/>
  <c r="R37" i="94"/>
  <c r="I37" i="94"/>
  <c r="Q37" i="94"/>
  <c r="H37" i="94"/>
  <c r="P37" i="94" s="1"/>
  <c r="G37" i="94"/>
  <c r="O37" i="94" s="1"/>
  <c r="F37" i="94"/>
  <c r="N36" i="94"/>
  <c r="V36" i="94" s="1"/>
  <c r="M36" i="94"/>
  <c r="U36" i="94" s="1"/>
  <c r="L36" i="94"/>
  <c r="T36" i="94" s="1"/>
  <c r="K36" i="94"/>
  <c r="S36" i="94" s="1"/>
  <c r="J36" i="94"/>
  <c r="R36" i="94" s="1"/>
  <c r="I36" i="94"/>
  <c r="Q36" i="94" s="1"/>
  <c r="H36" i="94"/>
  <c r="P36" i="94" s="1"/>
  <c r="G36" i="94"/>
  <c r="O36" i="94" s="1"/>
  <c r="F36" i="94"/>
  <c r="N35" i="94"/>
  <c r="V35" i="94"/>
  <c r="M35" i="94"/>
  <c r="U35" i="94"/>
  <c r="L35" i="94"/>
  <c r="T35" i="94" s="1"/>
  <c r="K35" i="94"/>
  <c r="S35" i="94" s="1"/>
  <c r="J35" i="94"/>
  <c r="R35" i="94" s="1"/>
  <c r="I35" i="94"/>
  <c r="Q35" i="94" s="1"/>
  <c r="H35" i="94"/>
  <c r="P35" i="94" s="1"/>
  <c r="G35" i="94"/>
  <c r="O35" i="94" s="1"/>
  <c r="F35" i="94"/>
  <c r="N34" i="94"/>
  <c r="V34" i="94" s="1"/>
  <c r="M34" i="94"/>
  <c r="U34" i="94" s="1"/>
  <c r="L34" i="94"/>
  <c r="T34" i="94" s="1"/>
  <c r="K34" i="94"/>
  <c r="S34" i="94" s="1"/>
  <c r="J34" i="94"/>
  <c r="R34" i="94" s="1"/>
  <c r="I34" i="94"/>
  <c r="Q34" i="94" s="1"/>
  <c r="H34" i="94"/>
  <c r="P34" i="94" s="1"/>
  <c r="G34" i="94"/>
  <c r="O34" i="94" s="1"/>
  <c r="F34" i="94"/>
  <c r="N33" i="94"/>
  <c r="V33" i="94"/>
  <c r="M33" i="94"/>
  <c r="U33" i="94" s="1"/>
  <c r="L33" i="94"/>
  <c r="T33" i="94" s="1"/>
  <c r="K33" i="94"/>
  <c r="S33" i="94"/>
  <c r="J33" i="94"/>
  <c r="R33" i="94"/>
  <c r="I33" i="94"/>
  <c r="Q33" i="94" s="1"/>
  <c r="H33" i="94"/>
  <c r="P33" i="94"/>
  <c r="G33" i="94"/>
  <c r="O33" i="94"/>
  <c r="F33" i="94"/>
  <c r="N32" i="94"/>
  <c r="V32" i="94" s="1"/>
  <c r="M32" i="94"/>
  <c r="U32" i="94" s="1"/>
  <c r="L32" i="94"/>
  <c r="T32" i="94" s="1"/>
  <c r="K32" i="94"/>
  <c r="S32" i="94" s="1"/>
  <c r="J32" i="94"/>
  <c r="R32" i="94" s="1"/>
  <c r="I32" i="94"/>
  <c r="Q32" i="94" s="1"/>
  <c r="H32" i="94"/>
  <c r="P32" i="94" s="1"/>
  <c r="G32" i="94"/>
  <c r="O32" i="94" s="1"/>
  <c r="F32" i="94"/>
  <c r="N31" i="94"/>
  <c r="V31" i="94" s="1"/>
  <c r="M31" i="94"/>
  <c r="U31" i="94" s="1"/>
  <c r="L31" i="94"/>
  <c r="T31" i="94"/>
  <c r="K31" i="94"/>
  <c r="S31" i="94"/>
  <c r="J31" i="94"/>
  <c r="R31" i="94" s="1"/>
  <c r="I31" i="94"/>
  <c r="Q31" i="94"/>
  <c r="H31" i="94"/>
  <c r="P31" i="94" s="1"/>
  <c r="G31" i="94"/>
  <c r="O31" i="94" s="1"/>
  <c r="F31" i="94"/>
  <c r="N30" i="94"/>
  <c r="V30" i="94" s="1"/>
  <c r="M30" i="94"/>
  <c r="U30" i="94" s="1"/>
  <c r="L30" i="94"/>
  <c r="T30" i="94" s="1"/>
  <c r="K30" i="94"/>
  <c r="S30" i="94" s="1"/>
  <c r="J30" i="94"/>
  <c r="R30" i="94" s="1"/>
  <c r="I30" i="94"/>
  <c r="Q30" i="94" s="1"/>
  <c r="H30" i="94"/>
  <c r="P30" i="94" s="1"/>
  <c r="G30" i="94"/>
  <c r="O30" i="94" s="1"/>
  <c r="F30" i="94"/>
  <c r="N29" i="94"/>
  <c r="V29" i="94" s="1"/>
  <c r="M29" i="94"/>
  <c r="U29" i="94"/>
  <c r="L29" i="94"/>
  <c r="T29" i="94"/>
  <c r="K29" i="94"/>
  <c r="S29" i="94" s="1"/>
  <c r="J29" i="94"/>
  <c r="R29" i="94"/>
  <c r="I29" i="94"/>
  <c r="Q29" i="94"/>
  <c r="H29" i="94"/>
  <c r="P29" i="94"/>
  <c r="G29" i="94"/>
  <c r="O29" i="94" s="1"/>
  <c r="F29" i="94"/>
  <c r="N28" i="94"/>
  <c r="V28" i="94" s="1"/>
  <c r="M28" i="94"/>
  <c r="U28" i="94" s="1"/>
  <c r="L28" i="94"/>
  <c r="T28" i="94" s="1"/>
  <c r="K28" i="94"/>
  <c r="S28" i="94" s="1"/>
  <c r="J28" i="94"/>
  <c r="R28" i="94" s="1"/>
  <c r="I28" i="94"/>
  <c r="Q28" i="94" s="1"/>
  <c r="H28" i="94"/>
  <c r="P28" i="94" s="1"/>
  <c r="G28" i="94"/>
  <c r="O28" i="94" s="1"/>
  <c r="F28" i="94"/>
  <c r="N27" i="94"/>
  <c r="V27" i="94"/>
  <c r="M27" i="94"/>
  <c r="U27" i="94"/>
  <c r="L27" i="94"/>
  <c r="T27" i="94" s="1"/>
  <c r="K27" i="94"/>
  <c r="S27" i="94" s="1"/>
  <c r="J27" i="94"/>
  <c r="R27" i="94"/>
  <c r="I27" i="94"/>
  <c r="Q27" i="94" s="1"/>
  <c r="H27" i="94"/>
  <c r="P27" i="94" s="1"/>
  <c r="G27" i="94"/>
  <c r="O27" i="94" s="1"/>
  <c r="F27" i="94"/>
  <c r="N26" i="94"/>
  <c r="V26" i="94" s="1"/>
  <c r="M26" i="94"/>
  <c r="U26" i="94" s="1"/>
  <c r="L26" i="94"/>
  <c r="T26" i="94" s="1"/>
  <c r="K26" i="94"/>
  <c r="S26" i="94" s="1"/>
  <c r="J26" i="94"/>
  <c r="R26" i="94" s="1"/>
  <c r="I26" i="94"/>
  <c r="Q26" i="94" s="1"/>
  <c r="H26" i="94"/>
  <c r="P26" i="94" s="1"/>
  <c r="G26" i="94"/>
  <c r="F26" i="94"/>
  <c r="N25" i="94"/>
  <c r="V25" i="94" s="1"/>
  <c r="M25" i="94"/>
  <c r="U25" i="94" s="1"/>
  <c r="L25" i="94"/>
  <c r="T25" i="94" s="1"/>
  <c r="K25" i="94"/>
  <c r="S25" i="94" s="1"/>
  <c r="J25" i="94"/>
  <c r="R25" i="94" s="1"/>
  <c r="I25" i="94"/>
  <c r="Q25" i="94" s="1"/>
  <c r="H25" i="94"/>
  <c r="P25" i="94" s="1"/>
  <c r="G25" i="94"/>
  <c r="O25" i="94" s="1"/>
  <c r="F25" i="94"/>
  <c r="N24" i="94"/>
  <c r="V24" i="94" s="1"/>
  <c r="M24" i="94"/>
  <c r="U24" i="94" s="1"/>
  <c r="L24" i="94"/>
  <c r="T24" i="94" s="1"/>
  <c r="K24" i="94"/>
  <c r="J24" i="94"/>
  <c r="R24" i="94" s="1"/>
  <c r="I24" i="94"/>
  <c r="Q24" i="94" s="1"/>
  <c r="H24" i="94"/>
  <c r="P24" i="94" s="1"/>
  <c r="G24" i="94"/>
  <c r="O24" i="94"/>
  <c r="F24" i="94"/>
  <c r="N23" i="94"/>
  <c r="V23" i="94" s="1"/>
  <c r="M23" i="94"/>
  <c r="U23" i="94" s="1"/>
  <c r="L23" i="94"/>
  <c r="T23" i="94" s="1"/>
  <c r="K23" i="94"/>
  <c r="S23" i="94" s="1"/>
  <c r="J23" i="94"/>
  <c r="R23" i="94" s="1"/>
  <c r="I23" i="94"/>
  <c r="Q23" i="94" s="1"/>
  <c r="H23" i="94"/>
  <c r="P23" i="94" s="1"/>
  <c r="G23" i="94"/>
  <c r="O23" i="94" s="1"/>
  <c r="F23" i="94"/>
  <c r="N22" i="94"/>
  <c r="V22" i="94" s="1"/>
  <c r="M22" i="94"/>
  <c r="U22" i="94"/>
  <c r="L22" i="94"/>
  <c r="T22" i="94"/>
  <c r="K22" i="94"/>
  <c r="S22" i="94"/>
  <c r="J22" i="94"/>
  <c r="R22" i="94" s="1"/>
  <c r="I22" i="94"/>
  <c r="Q22" i="94"/>
  <c r="H22" i="94"/>
  <c r="P22" i="94"/>
  <c r="G22" i="94"/>
  <c r="O22" i="94" s="1"/>
  <c r="F22" i="94"/>
  <c r="N21" i="94"/>
  <c r="V21" i="94" s="1"/>
  <c r="M21" i="94"/>
  <c r="U21" i="94" s="1"/>
  <c r="L21" i="94"/>
  <c r="T21" i="94" s="1"/>
  <c r="K21" i="94"/>
  <c r="S21" i="94" s="1"/>
  <c r="J21" i="94"/>
  <c r="R21" i="94" s="1"/>
  <c r="I21" i="94"/>
  <c r="Q21" i="94" s="1"/>
  <c r="H21" i="94"/>
  <c r="P21" i="94" s="1"/>
  <c r="G21" i="94"/>
  <c r="O21" i="94" s="1"/>
  <c r="F21" i="94"/>
  <c r="N20" i="94"/>
  <c r="V20" i="94" s="1"/>
  <c r="M20" i="94"/>
  <c r="U20" i="94" s="1"/>
  <c r="L20" i="94"/>
  <c r="T20" i="94" s="1"/>
  <c r="K20" i="94"/>
  <c r="S20" i="94" s="1"/>
  <c r="J20" i="94"/>
  <c r="R20" i="94"/>
  <c r="I20" i="94"/>
  <c r="Q20" i="94" s="1"/>
  <c r="H20" i="94"/>
  <c r="P20" i="94" s="1"/>
  <c r="G20" i="94"/>
  <c r="O20" i="94" s="1"/>
  <c r="F20" i="94"/>
  <c r="N19" i="94"/>
  <c r="V19" i="94" s="1"/>
  <c r="M19" i="94"/>
  <c r="U19" i="94" s="1"/>
  <c r="L19" i="94"/>
  <c r="T19" i="94" s="1"/>
  <c r="K19" i="94"/>
  <c r="S19" i="94" s="1"/>
  <c r="J19" i="94"/>
  <c r="R19" i="94" s="1"/>
  <c r="I19" i="94"/>
  <c r="Q19" i="94" s="1"/>
  <c r="H19" i="94"/>
  <c r="P19" i="94" s="1"/>
  <c r="G19" i="94"/>
  <c r="O19" i="94" s="1"/>
  <c r="F19" i="94"/>
  <c r="N18" i="94"/>
  <c r="V18" i="94"/>
  <c r="M18" i="94"/>
  <c r="U18" i="94"/>
  <c r="L18" i="94"/>
  <c r="T18" i="94" s="1"/>
  <c r="K18" i="94"/>
  <c r="S18" i="94"/>
  <c r="J18" i="94"/>
  <c r="R18" i="94" s="1"/>
  <c r="I18" i="94"/>
  <c r="Q18" i="94"/>
  <c r="H18" i="94"/>
  <c r="P18" i="94" s="1"/>
  <c r="G18" i="94"/>
  <c r="O18" i="94" s="1"/>
  <c r="F18" i="94"/>
  <c r="N17" i="94"/>
  <c r="V17" i="94" s="1"/>
  <c r="M17" i="94"/>
  <c r="U17" i="94" s="1"/>
  <c r="L17" i="94"/>
  <c r="T17" i="94" s="1"/>
  <c r="K17" i="94"/>
  <c r="S17" i="94" s="1"/>
  <c r="J17" i="94"/>
  <c r="R17" i="94" s="1"/>
  <c r="I17" i="94"/>
  <c r="Q17" i="94" s="1"/>
  <c r="H17" i="94"/>
  <c r="P17" i="94" s="1"/>
  <c r="G17" i="94"/>
  <c r="O17" i="94" s="1"/>
  <c r="F17" i="94"/>
  <c r="N16" i="94"/>
  <c r="V16" i="94" s="1"/>
  <c r="M16" i="94"/>
  <c r="U16" i="94" s="1"/>
  <c r="L16" i="94"/>
  <c r="T16" i="94" s="1"/>
  <c r="K16" i="94"/>
  <c r="S16" i="94" s="1"/>
  <c r="J16" i="94"/>
  <c r="R16" i="94"/>
  <c r="I16" i="94"/>
  <c r="Q16" i="94" s="1"/>
  <c r="H16" i="94"/>
  <c r="P16" i="94" s="1"/>
  <c r="G16" i="94"/>
  <c r="O16" i="94" s="1"/>
  <c r="F16" i="94"/>
  <c r="N15" i="94"/>
  <c r="V15" i="94" s="1"/>
  <c r="M15" i="94"/>
  <c r="U15" i="94" s="1"/>
  <c r="L15" i="94"/>
  <c r="T15" i="94" s="1"/>
  <c r="K15" i="94"/>
  <c r="S15" i="94" s="1"/>
  <c r="J15" i="94"/>
  <c r="R15" i="94" s="1"/>
  <c r="I15" i="94"/>
  <c r="Q15" i="94" s="1"/>
  <c r="H15" i="94"/>
  <c r="P15" i="94" s="1"/>
  <c r="G15" i="94"/>
  <c r="O15" i="94" s="1"/>
  <c r="F15" i="94"/>
  <c r="N14" i="94"/>
  <c r="V14" i="94" s="1"/>
  <c r="M14" i="94"/>
  <c r="U14" i="94"/>
  <c r="L14" i="94"/>
  <c r="T14" i="94"/>
  <c r="K14" i="94"/>
  <c r="S14" i="94"/>
  <c r="J14" i="94"/>
  <c r="R14" i="94" s="1"/>
  <c r="I14" i="94"/>
  <c r="Q14" i="94" s="1"/>
  <c r="H14" i="94"/>
  <c r="P14" i="94"/>
  <c r="G14" i="94"/>
  <c r="O14" i="94" s="1"/>
  <c r="F14" i="94"/>
  <c r="N13" i="94"/>
  <c r="V13" i="94" s="1"/>
  <c r="M13" i="94"/>
  <c r="U13" i="94" s="1"/>
  <c r="L13" i="94"/>
  <c r="T13" i="94" s="1"/>
  <c r="K13" i="94"/>
  <c r="S13" i="94" s="1"/>
  <c r="J13" i="94"/>
  <c r="R13" i="94" s="1"/>
  <c r="I13" i="94"/>
  <c r="Q13" i="94" s="1"/>
  <c r="H13" i="94"/>
  <c r="P13" i="94" s="1"/>
  <c r="G13" i="94"/>
  <c r="O13" i="94" s="1"/>
  <c r="F13" i="94"/>
  <c r="N12" i="94"/>
  <c r="V12" i="94" s="1"/>
  <c r="M12" i="94"/>
  <c r="U12" i="94" s="1"/>
  <c r="L12" i="94"/>
  <c r="T12" i="94" s="1"/>
  <c r="K12" i="94"/>
  <c r="S12" i="94" s="1"/>
  <c r="J12" i="94"/>
  <c r="R12" i="94" s="1"/>
  <c r="I12" i="94"/>
  <c r="Q12" i="94"/>
  <c r="H12" i="94"/>
  <c r="P12" i="94"/>
  <c r="G12" i="94"/>
  <c r="O12" i="94" s="1"/>
  <c r="F12" i="94"/>
  <c r="N11" i="94"/>
  <c r="V11" i="94" s="1"/>
  <c r="M11" i="94"/>
  <c r="U11" i="94" s="1"/>
  <c r="L11" i="94"/>
  <c r="T11" i="94" s="1"/>
  <c r="K11" i="94"/>
  <c r="S11" i="94" s="1"/>
  <c r="J11" i="94"/>
  <c r="R11" i="94" s="1"/>
  <c r="I11" i="94"/>
  <c r="Q11" i="94" s="1"/>
  <c r="H11" i="94"/>
  <c r="P11" i="94" s="1"/>
  <c r="G11" i="94"/>
  <c r="O11" i="94" s="1"/>
  <c r="F11" i="94"/>
  <c r="N10" i="94"/>
  <c r="V10" i="94"/>
  <c r="M10" i="94"/>
  <c r="L10" i="94"/>
  <c r="T10" i="94" s="1"/>
  <c r="K10" i="94"/>
  <c r="S10" i="94" s="1"/>
  <c r="J10" i="94"/>
  <c r="R10" i="94" s="1"/>
  <c r="I10" i="94"/>
  <c r="Q10" i="94" s="1"/>
  <c r="H10" i="94"/>
  <c r="P10" i="94" s="1"/>
  <c r="G10" i="94"/>
  <c r="O10" i="94" s="1"/>
  <c r="F10" i="94"/>
  <c r="N9" i="94"/>
  <c r="V9" i="94"/>
  <c r="M9" i="94"/>
  <c r="U9" i="94"/>
  <c r="L9" i="94"/>
  <c r="T9" i="94" s="1"/>
  <c r="K9" i="94"/>
  <c r="S9" i="94" s="1"/>
  <c r="J9" i="94"/>
  <c r="R9" i="94" s="1"/>
  <c r="I9" i="94"/>
  <c r="Q9" i="94"/>
  <c r="H9" i="94"/>
  <c r="P9" i="94" s="1"/>
  <c r="G9" i="94"/>
  <c r="O9" i="94" s="1"/>
  <c r="F9" i="94"/>
  <c r="N8" i="94"/>
  <c r="V8" i="94" s="1"/>
  <c r="M8" i="94"/>
  <c r="U8" i="94" s="1"/>
  <c r="L8" i="94"/>
  <c r="T8" i="94" s="1"/>
  <c r="K8" i="94"/>
  <c r="S8" i="94" s="1"/>
  <c r="J8" i="94"/>
  <c r="R8" i="94" s="1"/>
  <c r="I8" i="94"/>
  <c r="Q8" i="94" s="1"/>
  <c r="H8" i="94"/>
  <c r="P8" i="94" s="1"/>
  <c r="G8" i="94"/>
  <c r="O8" i="94" s="1"/>
  <c r="F8" i="94"/>
  <c r="N7" i="94"/>
  <c r="V7" i="94" s="1"/>
  <c r="M7" i="94"/>
  <c r="U7" i="94" s="1"/>
  <c r="L7" i="94"/>
  <c r="T7" i="94"/>
  <c r="K7" i="94"/>
  <c r="S7" i="94" s="1"/>
  <c r="J7" i="94"/>
  <c r="R7" i="94"/>
  <c r="I7" i="94"/>
  <c r="Q7" i="94" s="1"/>
  <c r="H7" i="94"/>
  <c r="P7" i="94" s="1"/>
  <c r="G7" i="94"/>
  <c r="O7" i="94"/>
  <c r="F7" i="94"/>
  <c r="M87" i="92"/>
  <c r="U87" i="92" s="1"/>
  <c r="L87" i="92"/>
  <c r="T87" i="92" s="1"/>
  <c r="K87" i="92"/>
  <c r="S87" i="92" s="1"/>
  <c r="J87" i="92"/>
  <c r="R87" i="92" s="1"/>
  <c r="I87" i="92"/>
  <c r="Q87" i="92" s="1"/>
  <c r="H87" i="92"/>
  <c r="P87" i="92" s="1"/>
  <c r="G87" i="92"/>
  <c r="O87" i="92" s="1"/>
  <c r="F87" i="92"/>
  <c r="N87" i="92" s="1"/>
  <c r="E87" i="92"/>
  <c r="M83" i="92"/>
  <c r="U83" i="92" s="1"/>
  <c r="L83" i="92"/>
  <c r="T83" i="92" s="1"/>
  <c r="K83" i="92"/>
  <c r="S83" i="92" s="1"/>
  <c r="J83" i="92"/>
  <c r="R83" i="92" s="1"/>
  <c r="I83" i="92"/>
  <c r="Q83" i="92" s="1"/>
  <c r="H83" i="92"/>
  <c r="P83" i="92"/>
  <c r="G83" i="92"/>
  <c r="O83" i="92" s="1"/>
  <c r="F83" i="92"/>
  <c r="N83" i="92" s="1"/>
  <c r="E83" i="92"/>
  <c r="M79" i="92"/>
  <c r="U79" i="92" s="1"/>
  <c r="L79" i="92"/>
  <c r="T79" i="92" s="1"/>
  <c r="K79" i="92"/>
  <c r="S79" i="92" s="1"/>
  <c r="J79" i="92"/>
  <c r="R79" i="92" s="1"/>
  <c r="I79" i="92"/>
  <c r="Q79" i="92" s="1"/>
  <c r="H79" i="92"/>
  <c r="P79" i="92" s="1"/>
  <c r="G79" i="92"/>
  <c r="O79" i="92" s="1"/>
  <c r="F79" i="92"/>
  <c r="N79" i="92"/>
  <c r="E79" i="92"/>
  <c r="M75" i="92"/>
  <c r="U75" i="92" s="1"/>
  <c r="L75" i="92"/>
  <c r="T75" i="92" s="1"/>
  <c r="K75" i="92"/>
  <c r="S75" i="92" s="1"/>
  <c r="J75" i="92"/>
  <c r="R75" i="92" s="1"/>
  <c r="I75" i="92"/>
  <c r="Q75" i="92"/>
  <c r="H75" i="92"/>
  <c r="P75" i="92"/>
  <c r="G75" i="92"/>
  <c r="O75" i="92" s="1"/>
  <c r="F75" i="92"/>
  <c r="N75" i="92" s="1"/>
  <c r="E75" i="92"/>
  <c r="M71" i="92"/>
  <c r="U71" i="92" s="1"/>
  <c r="L71" i="92"/>
  <c r="K71" i="92"/>
  <c r="S71" i="92"/>
  <c r="J71" i="92"/>
  <c r="R71" i="92" s="1"/>
  <c r="I71" i="92"/>
  <c r="Q71" i="92" s="1"/>
  <c r="H71" i="92"/>
  <c r="P71" i="92" s="1"/>
  <c r="G71" i="92"/>
  <c r="O71" i="92" s="1"/>
  <c r="F71" i="92"/>
  <c r="N71" i="92" s="1"/>
  <c r="E71" i="92"/>
  <c r="M67" i="92"/>
  <c r="U67" i="92" s="1"/>
  <c r="L67" i="92"/>
  <c r="T67" i="92" s="1"/>
  <c r="K67" i="92"/>
  <c r="S67" i="92" s="1"/>
  <c r="J67" i="92"/>
  <c r="R67" i="92" s="1"/>
  <c r="I67" i="92"/>
  <c r="Q67" i="92" s="1"/>
  <c r="H67" i="92"/>
  <c r="P67" i="92" s="1"/>
  <c r="G67" i="92"/>
  <c r="O67" i="92"/>
  <c r="F67" i="92"/>
  <c r="N67" i="92" s="1"/>
  <c r="E67" i="92"/>
  <c r="M63" i="92"/>
  <c r="U63" i="92" s="1"/>
  <c r="L63" i="92"/>
  <c r="T63" i="92" s="1"/>
  <c r="K63" i="92"/>
  <c r="S63" i="92" s="1"/>
  <c r="J63" i="92"/>
  <c r="R63" i="92" s="1"/>
  <c r="I63" i="92"/>
  <c r="Q63" i="92"/>
  <c r="H63" i="92"/>
  <c r="P63" i="92" s="1"/>
  <c r="G63" i="92"/>
  <c r="O63" i="92" s="1"/>
  <c r="F63" i="92"/>
  <c r="N63" i="92"/>
  <c r="E63" i="92"/>
  <c r="M59" i="92"/>
  <c r="U59" i="92" s="1"/>
  <c r="L59" i="92"/>
  <c r="T59" i="92" s="1"/>
  <c r="K59" i="92"/>
  <c r="S59" i="92" s="1"/>
  <c r="J59" i="92"/>
  <c r="R59" i="92" s="1"/>
  <c r="I59" i="92"/>
  <c r="Q59" i="92"/>
  <c r="H59" i="92"/>
  <c r="P59" i="92"/>
  <c r="G59" i="92"/>
  <c r="O59" i="92" s="1"/>
  <c r="F59" i="92"/>
  <c r="N59" i="92" s="1"/>
  <c r="E59" i="92"/>
  <c r="M55" i="92"/>
  <c r="U55" i="92" s="1"/>
  <c r="L55" i="92"/>
  <c r="T55" i="92" s="1"/>
  <c r="K55" i="92"/>
  <c r="S55" i="92"/>
  <c r="J55" i="92"/>
  <c r="R55" i="92" s="1"/>
  <c r="I55" i="92"/>
  <c r="Q55" i="92" s="1"/>
  <c r="H55" i="92"/>
  <c r="P55" i="92" s="1"/>
  <c r="G55" i="92"/>
  <c r="O55" i="92"/>
  <c r="F55" i="92"/>
  <c r="N55" i="92"/>
  <c r="E55" i="92"/>
  <c r="M51" i="92"/>
  <c r="U51" i="92" s="1"/>
  <c r="L51" i="92"/>
  <c r="T51" i="92" s="1"/>
  <c r="K51" i="92"/>
  <c r="S51" i="92" s="1"/>
  <c r="J51" i="92"/>
  <c r="R51" i="92" s="1"/>
  <c r="I51" i="92"/>
  <c r="Q51" i="92" s="1"/>
  <c r="H51" i="92"/>
  <c r="P51" i="92" s="1"/>
  <c r="G51" i="92"/>
  <c r="O51" i="92" s="1"/>
  <c r="F51" i="92"/>
  <c r="N51" i="92" s="1"/>
  <c r="E51" i="92"/>
  <c r="M47" i="92"/>
  <c r="U47" i="92" s="1"/>
  <c r="L47" i="92"/>
  <c r="T47" i="92" s="1"/>
  <c r="K47" i="92"/>
  <c r="S47" i="92"/>
  <c r="J47" i="92"/>
  <c r="R47" i="92"/>
  <c r="I47" i="92"/>
  <c r="Q47" i="92" s="1"/>
  <c r="H47" i="92"/>
  <c r="P47" i="92" s="1"/>
  <c r="G47" i="92"/>
  <c r="O47" i="92" s="1"/>
  <c r="F47" i="92"/>
  <c r="N47" i="92"/>
  <c r="E47" i="92"/>
  <c r="M43" i="92"/>
  <c r="U43" i="92" s="1"/>
  <c r="L43" i="92"/>
  <c r="T43" i="92" s="1"/>
  <c r="K43" i="92"/>
  <c r="S43" i="92" s="1"/>
  <c r="J43" i="92"/>
  <c r="R43" i="92" s="1"/>
  <c r="I43" i="92"/>
  <c r="Q43" i="92" s="1"/>
  <c r="H43" i="92"/>
  <c r="P43" i="92" s="1"/>
  <c r="G43" i="92"/>
  <c r="O43" i="92"/>
  <c r="F43" i="92"/>
  <c r="N43" i="92" s="1"/>
  <c r="E43" i="92"/>
  <c r="M39" i="92"/>
  <c r="U39" i="92" s="1"/>
  <c r="L39" i="92"/>
  <c r="T39" i="92" s="1"/>
  <c r="K39" i="92"/>
  <c r="S39" i="92"/>
  <c r="J39" i="92"/>
  <c r="R39" i="92" s="1"/>
  <c r="I39" i="92"/>
  <c r="Q39" i="92" s="1"/>
  <c r="H39" i="92"/>
  <c r="P39" i="92" s="1"/>
  <c r="G39" i="92"/>
  <c r="O39" i="92"/>
  <c r="F39" i="92"/>
  <c r="E39" i="92"/>
  <c r="M35" i="92"/>
  <c r="U35" i="92" s="1"/>
  <c r="L35" i="92"/>
  <c r="T35" i="92" s="1"/>
  <c r="K35" i="92"/>
  <c r="S35" i="92" s="1"/>
  <c r="J35" i="92"/>
  <c r="R35" i="92" s="1"/>
  <c r="I35" i="92"/>
  <c r="Q35" i="92"/>
  <c r="H35" i="92"/>
  <c r="P35" i="92" s="1"/>
  <c r="G35" i="92"/>
  <c r="O35" i="92"/>
  <c r="F35" i="92"/>
  <c r="N35" i="92" s="1"/>
  <c r="E35" i="92"/>
  <c r="M31" i="92"/>
  <c r="U31" i="92" s="1"/>
  <c r="L31" i="92"/>
  <c r="T31" i="92"/>
  <c r="K31" i="92"/>
  <c r="S31" i="92" s="1"/>
  <c r="J31" i="92"/>
  <c r="R31" i="92" s="1"/>
  <c r="I31" i="92"/>
  <c r="Q31" i="92" s="1"/>
  <c r="H31" i="92"/>
  <c r="P31" i="92" s="1"/>
  <c r="G31" i="92"/>
  <c r="O31" i="92" s="1"/>
  <c r="F31" i="92"/>
  <c r="N31" i="92" s="1"/>
  <c r="E31" i="92"/>
  <c r="M27" i="92"/>
  <c r="U27" i="92" s="1"/>
  <c r="L27" i="92"/>
  <c r="T27" i="92" s="1"/>
  <c r="K27" i="92"/>
  <c r="S27" i="92" s="1"/>
  <c r="J27" i="92"/>
  <c r="R27" i="92" s="1"/>
  <c r="I27" i="92"/>
  <c r="Q27" i="92" s="1"/>
  <c r="H27" i="92"/>
  <c r="P27" i="92"/>
  <c r="G27" i="92"/>
  <c r="O27" i="92" s="1"/>
  <c r="F27" i="92"/>
  <c r="N27" i="92"/>
  <c r="E27" i="92"/>
  <c r="M23" i="92"/>
  <c r="U23" i="92"/>
  <c r="L23" i="92"/>
  <c r="T23" i="92"/>
  <c r="K23" i="92"/>
  <c r="S23" i="92" s="1"/>
  <c r="J23" i="92"/>
  <c r="R23" i="92" s="1"/>
  <c r="I23" i="92"/>
  <c r="Q23" i="92" s="1"/>
  <c r="H23" i="92"/>
  <c r="P23" i="92" s="1"/>
  <c r="G23" i="92"/>
  <c r="O23" i="92" s="1"/>
  <c r="F23" i="92"/>
  <c r="N23" i="92" s="1"/>
  <c r="E23" i="92"/>
  <c r="M19" i="92"/>
  <c r="U19" i="92" s="1"/>
  <c r="L19" i="92"/>
  <c r="T19" i="92" s="1"/>
  <c r="K19" i="92"/>
  <c r="S19" i="92" s="1"/>
  <c r="J19" i="92"/>
  <c r="R19" i="92" s="1"/>
  <c r="I19" i="92"/>
  <c r="Q19" i="92" s="1"/>
  <c r="H19" i="92"/>
  <c r="P19" i="92" s="1"/>
  <c r="G19" i="92"/>
  <c r="O19" i="92" s="1"/>
  <c r="F19" i="92"/>
  <c r="N19" i="92" s="1"/>
  <c r="E19" i="92"/>
  <c r="M15" i="92"/>
  <c r="U15" i="92" s="1"/>
  <c r="L15" i="92"/>
  <c r="T15" i="92" s="1"/>
  <c r="K15" i="92"/>
  <c r="S15" i="92" s="1"/>
  <c r="J15" i="92"/>
  <c r="R15" i="92" s="1"/>
  <c r="I15" i="92"/>
  <c r="Q15" i="92" s="1"/>
  <c r="H15" i="92"/>
  <c r="P15" i="92" s="1"/>
  <c r="G15" i="92"/>
  <c r="O15" i="92" s="1"/>
  <c r="F15" i="92"/>
  <c r="N15" i="92" s="1"/>
  <c r="E15" i="92"/>
  <c r="M11" i="92"/>
  <c r="U11" i="92" s="1"/>
  <c r="L11" i="92"/>
  <c r="T11" i="92"/>
  <c r="K11" i="92"/>
  <c r="S11" i="92" s="1"/>
  <c r="J11" i="92"/>
  <c r="I11" i="92"/>
  <c r="Q11" i="92" s="1"/>
  <c r="H11" i="92"/>
  <c r="P11" i="92" s="1"/>
  <c r="G11" i="92"/>
  <c r="O11" i="92" s="1"/>
  <c r="F11" i="92"/>
  <c r="N11" i="92" s="1"/>
  <c r="E11" i="92"/>
  <c r="M7" i="92"/>
  <c r="U7" i="92" s="1"/>
  <c r="L7" i="92"/>
  <c r="T7" i="92"/>
  <c r="K7" i="92"/>
  <c r="S7" i="92" s="1"/>
  <c r="J7" i="92"/>
  <c r="R7" i="92" s="1"/>
  <c r="I7" i="92"/>
  <c r="Q7" i="92" s="1"/>
  <c r="H7" i="92"/>
  <c r="P7" i="92" s="1"/>
  <c r="G7" i="92"/>
  <c r="O7" i="92"/>
  <c r="F7" i="92"/>
  <c r="N7" i="92" s="1"/>
  <c r="E7" i="92"/>
  <c r="M88" i="92"/>
  <c r="U88" i="92" s="1"/>
  <c r="L88" i="92"/>
  <c r="T88" i="92" s="1"/>
  <c r="K88" i="92"/>
  <c r="S88" i="92" s="1"/>
  <c r="J88" i="92"/>
  <c r="R88" i="92" s="1"/>
  <c r="I88" i="92"/>
  <c r="Q88" i="92" s="1"/>
  <c r="H88" i="92"/>
  <c r="P88" i="92" s="1"/>
  <c r="G88" i="92"/>
  <c r="O88" i="92" s="1"/>
  <c r="F88" i="92"/>
  <c r="N88" i="92"/>
  <c r="E88" i="92"/>
  <c r="M84" i="92"/>
  <c r="U84" i="92" s="1"/>
  <c r="L84" i="92"/>
  <c r="T84" i="92" s="1"/>
  <c r="K84" i="92"/>
  <c r="S84" i="92" s="1"/>
  <c r="J84" i="92"/>
  <c r="R84" i="92" s="1"/>
  <c r="I84" i="92"/>
  <c r="Q84" i="92" s="1"/>
  <c r="H84" i="92"/>
  <c r="P84" i="92" s="1"/>
  <c r="G84" i="92"/>
  <c r="O84" i="92"/>
  <c r="F84" i="92"/>
  <c r="N84" i="92" s="1"/>
  <c r="E84" i="92"/>
  <c r="V90" i="92" s="1"/>
  <c r="M80" i="92"/>
  <c r="U80" i="92" s="1"/>
  <c r="L80" i="92"/>
  <c r="T80" i="92" s="1"/>
  <c r="K80" i="92"/>
  <c r="S80" i="92" s="1"/>
  <c r="J80" i="92"/>
  <c r="R80" i="92" s="1"/>
  <c r="I80" i="92"/>
  <c r="Q80" i="92" s="1"/>
  <c r="H80" i="92"/>
  <c r="P80" i="92" s="1"/>
  <c r="G80" i="92"/>
  <c r="O80" i="92" s="1"/>
  <c r="F80" i="92"/>
  <c r="N80" i="92" s="1"/>
  <c r="E80" i="92"/>
  <c r="M76" i="92"/>
  <c r="U76" i="92" s="1"/>
  <c r="L76" i="92"/>
  <c r="T76" i="92"/>
  <c r="K76" i="92"/>
  <c r="S76" i="92" s="1"/>
  <c r="J76" i="92"/>
  <c r="R76" i="92" s="1"/>
  <c r="I76" i="92"/>
  <c r="Q76" i="92"/>
  <c r="H76" i="92"/>
  <c r="P76" i="92"/>
  <c r="G76" i="92"/>
  <c r="O76" i="92" s="1"/>
  <c r="F76" i="92"/>
  <c r="N76" i="92"/>
  <c r="E76" i="92"/>
  <c r="M72" i="92"/>
  <c r="U72" i="92" s="1"/>
  <c r="L72" i="92"/>
  <c r="T72" i="92" s="1"/>
  <c r="K72" i="92"/>
  <c r="S72" i="92" s="1"/>
  <c r="J72" i="92"/>
  <c r="R72" i="92" s="1"/>
  <c r="I72" i="92"/>
  <c r="H72" i="92"/>
  <c r="P72" i="92" s="1"/>
  <c r="G72" i="92"/>
  <c r="O72" i="92" s="1"/>
  <c r="F72" i="92"/>
  <c r="E72" i="92"/>
  <c r="M68" i="92"/>
  <c r="U68" i="92"/>
  <c r="L68" i="92"/>
  <c r="T68" i="92"/>
  <c r="K68" i="92"/>
  <c r="S68" i="92" s="1"/>
  <c r="J68" i="92"/>
  <c r="R68" i="92" s="1"/>
  <c r="I68" i="92"/>
  <c r="Q68" i="92"/>
  <c r="H68" i="92"/>
  <c r="G68" i="92"/>
  <c r="O68" i="92" s="1"/>
  <c r="F68" i="92"/>
  <c r="N68" i="92" s="1"/>
  <c r="E68" i="92"/>
  <c r="M64" i="92"/>
  <c r="L64" i="92"/>
  <c r="T64" i="92"/>
  <c r="K64" i="92"/>
  <c r="S64" i="92" s="1"/>
  <c r="J64" i="92"/>
  <c r="R64" i="92" s="1"/>
  <c r="I64" i="92"/>
  <c r="Q64" i="92"/>
  <c r="H64" i="92"/>
  <c r="P64" i="92"/>
  <c r="G64" i="92"/>
  <c r="O64" i="92" s="1"/>
  <c r="F64" i="92"/>
  <c r="N64" i="92"/>
  <c r="E64" i="92"/>
  <c r="M60" i="92"/>
  <c r="U60" i="92"/>
  <c r="L60" i="92"/>
  <c r="T60" i="92" s="1"/>
  <c r="K60" i="92"/>
  <c r="S60" i="92" s="1"/>
  <c r="J60" i="92"/>
  <c r="R60" i="92" s="1"/>
  <c r="I60" i="92"/>
  <c r="Q60" i="92"/>
  <c r="H60" i="92"/>
  <c r="P60" i="92" s="1"/>
  <c r="G60" i="92"/>
  <c r="O60" i="92" s="1"/>
  <c r="F60" i="92"/>
  <c r="N60" i="92" s="1"/>
  <c r="E60" i="92"/>
  <c r="M56" i="92"/>
  <c r="U56" i="92"/>
  <c r="L56" i="92"/>
  <c r="T56" i="92"/>
  <c r="K56" i="92"/>
  <c r="S56" i="92" s="1"/>
  <c r="J56" i="92"/>
  <c r="R56" i="92" s="1"/>
  <c r="I56" i="92"/>
  <c r="Q56" i="92"/>
  <c r="H56" i="92"/>
  <c r="P56" i="92"/>
  <c r="G56" i="92"/>
  <c r="O56" i="92" s="1"/>
  <c r="F56" i="92"/>
  <c r="N56" i="92" s="1"/>
  <c r="E56" i="92"/>
  <c r="M52" i="92"/>
  <c r="U52" i="92" s="1"/>
  <c r="L52" i="92"/>
  <c r="T52" i="92" s="1"/>
  <c r="K52" i="92"/>
  <c r="S52" i="92" s="1"/>
  <c r="J52" i="92"/>
  <c r="R52" i="92" s="1"/>
  <c r="I52" i="92"/>
  <c r="Q52" i="92" s="1"/>
  <c r="H52" i="92"/>
  <c r="P52" i="92" s="1"/>
  <c r="G52" i="92"/>
  <c r="O52" i="92" s="1"/>
  <c r="F52" i="92"/>
  <c r="E52" i="92"/>
  <c r="M48" i="92"/>
  <c r="U48" i="92" s="1"/>
  <c r="L48" i="92"/>
  <c r="T48" i="92"/>
  <c r="K48" i="92"/>
  <c r="S48" i="92"/>
  <c r="J48" i="92"/>
  <c r="R48" i="92" s="1"/>
  <c r="I48" i="92"/>
  <c r="Q48" i="92" s="1"/>
  <c r="H48" i="92"/>
  <c r="P48" i="92" s="1"/>
  <c r="G48" i="92"/>
  <c r="O48" i="92" s="1"/>
  <c r="F48" i="92"/>
  <c r="N48" i="92"/>
  <c r="E48" i="92"/>
  <c r="M44" i="92"/>
  <c r="U44" i="92" s="1"/>
  <c r="L44" i="92"/>
  <c r="T44" i="92" s="1"/>
  <c r="K44" i="92"/>
  <c r="S44" i="92"/>
  <c r="J44" i="92"/>
  <c r="R44" i="92" s="1"/>
  <c r="I44" i="92"/>
  <c r="Q44" i="92" s="1"/>
  <c r="H44" i="92"/>
  <c r="P44" i="92" s="1"/>
  <c r="G44" i="92"/>
  <c r="O44" i="92"/>
  <c r="F44" i="92"/>
  <c r="N44" i="92" s="1"/>
  <c r="E44" i="92"/>
  <c r="M40" i="92"/>
  <c r="U40" i="92" s="1"/>
  <c r="L40" i="92"/>
  <c r="T40" i="92"/>
  <c r="K40" i="92"/>
  <c r="S40" i="92"/>
  <c r="J40" i="92"/>
  <c r="R40" i="92" s="1"/>
  <c r="I40" i="92"/>
  <c r="Q40" i="92" s="1"/>
  <c r="H40" i="92"/>
  <c r="P40" i="92"/>
  <c r="G40" i="92"/>
  <c r="O40" i="92"/>
  <c r="F40" i="92"/>
  <c r="N40" i="92" s="1"/>
  <c r="E40" i="92"/>
  <c r="M36" i="92"/>
  <c r="U36" i="92" s="1"/>
  <c r="L36" i="92"/>
  <c r="T36" i="92"/>
  <c r="K36" i="92"/>
  <c r="S36" i="92"/>
  <c r="J36" i="92"/>
  <c r="R36" i="92" s="1"/>
  <c r="I36" i="92"/>
  <c r="Q36" i="92" s="1"/>
  <c r="H36" i="92"/>
  <c r="P36" i="92" s="1"/>
  <c r="G36" i="92"/>
  <c r="O36" i="92" s="1"/>
  <c r="F36" i="92"/>
  <c r="N36" i="92" s="1"/>
  <c r="E36" i="92"/>
  <c r="M32" i="92"/>
  <c r="U32" i="92" s="1"/>
  <c r="L32" i="92"/>
  <c r="T32" i="92"/>
  <c r="K32" i="92"/>
  <c r="S32" i="92" s="1"/>
  <c r="J32" i="92"/>
  <c r="R32" i="92"/>
  <c r="I32" i="92"/>
  <c r="Q32" i="92"/>
  <c r="H32" i="92"/>
  <c r="G32" i="92"/>
  <c r="O32" i="92" s="1"/>
  <c r="F32" i="92"/>
  <c r="N32" i="92" s="1"/>
  <c r="E32" i="92"/>
  <c r="M28" i="92"/>
  <c r="U28" i="92"/>
  <c r="L28" i="92"/>
  <c r="T28" i="92" s="1"/>
  <c r="K28" i="92"/>
  <c r="S28" i="92" s="1"/>
  <c r="J28" i="92"/>
  <c r="R28" i="92" s="1"/>
  <c r="I28" i="92"/>
  <c r="Q28" i="92" s="1"/>
  <c r="H28" i="92"/>
  <c r="P28" i="92" s="1"/>
  <c r="G28" i="92"/>
  <c r="O28" i="92" s="1"/>
  <c r="F28" i="92"/>
  <c r="N28" i="92"/>
  <c r="E28" i="92"/>
  <c r="M24" i="92"/>
  <c r="U24" i="92"/>
  <c r="L24" i="92"/>
  <c r="T24" i="92"/>
  <c r="K24" i="92"/>
  <c r="S24" i="92" s="1"/>
  <c r="J24" i="92"/>
  <c r="R24" i="92" s="1"/>
  <c r="I24" i="92"/>
  <c r="Q24" i="92" s="1"/>
  <c r="H24" i="92"/>
  <c r="P24" i="92"/>
  <c r="G24" i="92"/>
  <c r="O24" i="92" s="1"/>
  <c r="F24" i="92"/>
  <c r="N24" i="92" s="1"/>
  <c r="E24" i="92"/>
  <c r="M20" i="92"/>
  <c r="U20" i="92" s="1"/>
  <c r="L20" i="92"/>
  <c r="T20" i="92" s="1"/>
  <c r="K20" i="92"/>
  <c r="S20" i="92" s="1"/>
  <c r="J20" i="92"/>
  <c r="R20" i="92" s="1"/>
  <c r="I20" i="92"/>
  <c r="Q20" i="92" s="1"/>
  <c r="H20" i="92"/>
  <c r="P20" i="92" s="1"/>
  <c r="G20" i="92"/>
  <c r="O20" i="92"/>
  <c r="F20" i="92"/>
  <c r="N20" i="92" s="1"/>
  <c r="E20" i="92"/>
  <c r="M16" i="92"/>
  <c r="U16" i="92"/>
  <c r="L16" i="92"/>
  <c r="T16" i="92" s="1"/>
  <c r="K16" i="92"/>
  <c r="S16" i="92" s="1"/>
  <c r="J16" i="92"/>
  <c r="R16" i="92" s="1"/>
  <c r="I16" i="92"/>
  <c r="Q16" i="92" s="1"/>
  <c r="H16" i="92"/>
  <c r="P16" i="92" s="1"/>
  <c r="G16" i="92"/>
  <c r="O16" i="92" s="1"/>
  <c r="F16" i="92"/>
  <c r="N16" i="92" s="1"/>
  <c r="E16" i="92"/>
  <c r="M12" i="92"/>
  <c r="U12" i="92" s="1"/>
  <c r="L12" i="92"/>
  <c r="T12" i="92" s="1"/>
  <c r="K12" i="92"/>
  <c r="S12" i="92"/>
  <c r="J12" i="92"/>
  <c r="R12" i="92"/>
  <c r="I12" i="92"/>
  <c r="Q12" i="92" s="1"/>
  <c r="H12" i="92"/>
  <c r="P12" i="92"/>
  <c r="G12" i="92"/>
  <c r="O12" i="92" s="1"/>
  <c r="F12" i="92"/>
  <c r="N12" i="92" s="1"/>
  <c r="E12" i="92"/>
  <c r="M8" i="92"/>
  <c r="U8" i="92" s="1"/>
  <c r="L8" i="92"/>
  <c r="T8" i="92" s="1"/>
  <c r="K8" i="92"/>
  <c r="S8" i="92" s="1"/>
  <c r="J8" i="92"/>
  <c r="R8" i="92" s="1"/>
  <c r="I8" i="92"/>
  <c r="Q8" i="92" s="1"/>
  <c r="H8" i="92"/>
  <c r="G8" i="92"/>
  <c r="O8" i="92"/>
  <c r="F8" i="92"/>
  <c r="E8" i="92"/>
  <c r="M89" i="92"/>
  <c r="U89" i="92" s="1"/>
  <c r="L89" i="92"/>
  <c r="T89" i="92" s="1"/>
  <c r="K89" i="92"/>
  <c r="S89" i="92" s="1"/>
  <c r="J89" i="92"/>
  <c r="R89" i="92" s="1"/>
  <c r="I89" i="92"/>
  <c r="Q89" i="92" s="1"/>
  <c r="H89" i="92"/>
  <c r="P89" i="92" s="1"/>
  <c r="G89" i="92"/>
  <c r="O89" i="92" s="1"/>
  <c r="F89" i="92"/>
  <c r="N89" i="92" s="1"/>
  <c r="E89" i="92"/>
  <c r="M85" i="92"/>
  <c r="U85" i="92"/>
  <c r="L85" i="92"/>
  <c r="T85" i="92" s="1"/>
  <c r="K85" i="92"/>
  <c r="S85" i="92" s="1"/>
  <c r="J85" i="92"/>
  <c r="R85" i="92" s="1"/>
  <c r="I85" i="92"/>
  <c r="Q85" i="92"/>
  <c r="H85" i="92"/>
  <c r="P85" i="92" s="1"/>
  <c r="G85" i="92"/>
  <c r="O85" i="92"/>
  <c r="F85" i="92"/>
  <c r="N85" i="92" s="1"/>
  <c r="E85" i="92"/>
  <c r="M81" i="92"/>
  <c r="U81" i="92" s="1"/>
  <c r="L81" i="92"/>
  <c r="T81" i="92" s="1"/>
  <c r="K81" i="92"/>
  <c r="S81" i="92" s="1"/>
  <c r="J81" i="92"/>
  <c r="R81" i="92" s="1"/>
  <c r="I81" i="92"/>
  <c r="Q81" i="92" s="1"/>
  <c r="H81" i="92"/>
  <c r="P81" i="92" s="1"/>
  <c r="G81" i="92"/>
  <c r="O81" i="92" s="1"/>
  <c r="F81" i="92"/>
  <c r="N81" i="92" s="1"/>
  <c r="E81" i="92"/>
  <c r="M77" i="92"/>
  <c r="U77" i="92"/>
  <c r="L77" i="92"/>
  <c r="T77" i="92" s="1"/>
  <c r="K77" i="92"/>
  <c r="S77" i="92" s="1"/>
  <c r="J77" i="92"/>
  <c r="R77" i="92" s="1"/>
  <c r="I77" i="92"/>
  <c r="Q77" i="92"/>
  <c r="H77" i="92"/>
  <c r="P77" i="92" s="1"/>
  <c r="G77" i="92"/>
  <c r="O77" i="92" s="1"/>
  <c r="F77" i="92"/>
  <c r="AB90" i="92" s="1"/>
  <c r="E77" i="92"/>
  <c r="M73" i="92"/>
  <c r="U73" i="92" s="1"/>
  <c r="L73" i="92"/>
  <c r="T73" i="92" s="1"/>
  <c r="K73" i="92"/>
  <c r="S73" i="92" s="1"/>
  <c r="J73" i="92"/>
  <c r="R73" i="92" s="1"/>
  <c r="I73" i="92"/>
  <c r="Q73" i="92" s="1"/>
  <c r="H73" i="92"/>
  <c r="P73" i="92" s="1"/>
  <c r="G73" i="92"/>
  <c r="O73" i="92" s="1"/>
  <c r="F73" i="92"/>
  <c r="N73" i="92" s="1"/>
  <c r="E73" i="92"/>
  <c r="M69" i="92"/>
  <c r="U69" i="92"/>
  <c r="L69" i="92"/>
  <c r="T69" i="92" s="1"/>
  <c r="K69" i="92"/>
  <c r="S69" i="92"/>
  <c r="J69" i="92"/>
  <c r="R69" i="92"/>
  <c r="I69" i="92"/>
  <c r="Q69" i="92"/>
  <c r="H69" i="92"/>
  <c r="P69" i="92" s="1"/>
  <c r="G69" i="92"/>
  <c r="O69" i="92" s="1"/>
  <c r="F69" i="92"/>
  <c r="N69" i="92" s="1"/>
  <c r="E69" i="92"/>
  <c r="M65" i="92"/>
  <c r="U65" i="92" s="1"/>
  <c r="L65" i="92"/>
  <c r="T65" i="92" s="1"/>
  <c r="K65" i="92"/>
  <c r="S65" i="92" s="1"/>
  <c r="J65" i="92"/>
  <c r="R65" i="92" s="1"/>
  <c r="I65" i="92"/>
  <c r="Q65" i="92" s="1"/>
  <c r="H65" i="92"/>
  <c r="P65" i="92" s="1"/>
  <c r="G65" i="92"/>
  <c r="O65" i="92" s="1"/>
  <c r="F65" i="92"/>
  <c r="N65" i="92" s="1"/>
  <c r="E65" i="92"/>
  <c r="M61" i="92"/>
  <c r="U61" i="92" s="1"/>
  <c r="L61" i="92"/>
  <c r="T61" i="92" s="1"/>
  <c r="K61" i="92"/>
  <c r="S61" i="92"/>
  <c r="J61" i="92"/>
  <c r="R61" i="92"/>
  <c r="I61" i="92"/>
  <c r="Q61" i="92" s="1"/>
  <c r="H61" i="92"/>
  <c r="P61" i="92"/>
  <c r="G61" i="92"/>
  <c r="O61" i="92" s="1"/>
  <c r="F61" i="92"/>
  <c r="N61" i="92" s="1"/>
  <c r="E61" i="92"/>
  <c r="M57" i="92"/>
  <c r="U57" i="92" s="1"/>
  <c r="L57" i="92"/>
  <c r="T57" i="92" s="1"/>
  <c r="K57" i="92"/>
  <c r="S57" i="92" s="1"/>
  <c r="J57" i="92"/>
  <c r="R57" i="92" s="1"/>
  <c r="I57" i="92"/>
  <c r="Q57" i="92" s="1"/>
  <c r="H57" i="92"/>
  <c r="P57" i="92" s="1"/>
  <c r="G57" i="92"/>
  <c r="O57" i="92" s="1"/>
  <c r="F57" i="92"/>
  <c r="N57" i="92" s="1"/>
  <c r="E57" i="92"/>
  <c r="M53" i="92"/>
  <c r="U53" i="92"/>
  <c r="L53" i="92"/>
  <c r="T53" i="92" s="1"/>
  <c r="K53" i="92"/>
  <c r="S53" i="92" s="1"/>
  <c r="J53" i="92"/>
  <c r="R53" i="92" s="1"/>
  <c r="I53" i="92"/>
  <c r="Q53" i="92"/>
  <c r="H53" i="92"/>
  <c r="P53" i="92" s="1"/>
  <c r="G53" i="92"/>
  <c r="O53" i="92"/>
  <c r="F53" i="92"/>
  <c r="N53" i="92" s="1"/>
  <c r="E53" i="92"/>
  <c r="M49" i="92"/>
  <c r="U49" i="92" s="1"/>
  <c r="L49" i="92"/>
  <c r="T49" i="92" s="1"/>
  <c r="K49" i="92"/>
  <c r="S49" i="92" s="1"/>
  <c r="J49" i="92"/>
  <c r="R49" i="92" s="1"/>
  <c r="I49" i="92"/>
  <c r="Q49" i="92" s="1"/>
  <c r="H49" i="92"/>
  <c r="P49" i="92" s="1"/>
  <c r="G49" i="92"/>
  <c r="O49" i="92" s="1"/>
  <c r="F49" i="92"/>
  <c r="N49" i="92" s="1"/>
  <c r="E49" i="92"/>
  <c r="M45" i="92"/>
  <c r="U45" i="92"/>
  <c r="L45" i="92"/>
  <c r="T45" i="92" s="1"/>
  <c r="K45" i="92"/>
  <c r="S45" i="92" s="1"/>
  <c r="J45" i="92"/>
  <c r="R45" i="92"/>
  <c r="I45" i="92"/>
  <c r="Q45" i="92"/>
  <c r="H45" i="92"/>
  <c r="P45" i="92" s="1"/>
  <c r="G45" i="92"/>
  <c r="O45" i="92" s="1"/>
  <c r="F45" i="92"/>
  <c r="N45" i="92" s="1"/>
  <c r="E45" i="92"/>
  <c r="M41" i="92"/>
  <c r="U41" i="92" s="1"/>
  <c r="L41" i="92"/>
  <c r="T41" i="92" s="1"/>
  <c r="K41" i="92"/>
  <c r="S41" i="92" s="1"/>
  <c r="J41" i="92"/>
  <c r="R41" i="92" s="1"/>
  <c r="I41" i="92"/>
  <c r="Q41" i="92" s="1"/>
  <c r="H41" i="92"/>
  <c r="P41" i="92" s="1"/>
  <c r="G41" i="92"/>
  <c r="O41" i="92" s="1"/>
  <c r="F41" i="92"/>
  <c r="N41" i="92" s="1"/>
  <c r="E41" i="92"/>
  <c r="M37" i="92"/>
  <c r="U37" i="92"/>
  <c r="L37" i="92"/>
  <c r="T37" i="92" s="1"/>
  <c r="K37" i="92"/>
  <c r="S37" i="92"/>
  <c r="J37" i="92"/>
  <c r="R37" i="92"/>
  <c r="I37" i="92"/>
  <c r="Q37" i="92"/>
  <c r="H37" i="92"/>
  <c r="P37" i="92" s="1"/>
  <c r="G37" i="92"/>
  <c r="O37" i="92" s="1"/>
  <c r="F37" i="92"/>
  <c r="N37" i="92" s="1"/>
  <c r="E37" i="92"/>
  <c r="M33" i="92"/>
  <c r="U33" i="92" s="1"/>
  <c r="L33" i="92"/>
  <c r="T33" i="92" s="1"/>
  <c r="K33" i="92"/>
  <c r="S33" i="92" s="1"/>
  <c r="J33" i="92"/>
  <c r="R33" i="92" s="1"/>
  <c r="I33" i="92"/>
  <c r="Q33" i="92" s="1"/>
  <c r="H33" i="92"/>
  <c r="P33" i="92" s="1"/>
  <c r="G33" i="92"/>
  <c r="O33" i="92" s="1"/>
  <c r="F33" i="92"/>
  <c r="N33" i="92" s="1"/>
  <c r="E33" i="92"/>
  <c r="M29" i="92"/>
  <c r="U29" i="92" s="1"/>
  <c r="L29" i="92"/>
  <c r="T29" i="92" s="1"/>
  <c r="K29" i="92"/>
  <c r="S29" i="92" s="1"/>
  <c r="J29" i="92"/>
  <c r="R29" i="92" s="1"/>
  <c r="I29" i="92"/>
  <c r="Q29" i="92" s="1"/>
  <c r="H29" i="92"/>
  <c r="P29" i="92" s="1"/>
  <c r="G29" i="92"/>
  <c r="O29" i="92" s="1"/>
  <c r="F29" i="92"/>
  <c r="N29" i="92" s="1"/>
  <c r="E29" i="92"/>
  <c r="M25" i="92"/>
  <c r="U25" i="92" s="1"/>
  <c r="L25" i="92"/>
  <c r="T25" i="92" s="1"/>
  <c r="K25" i="92"/>
  <c r="S25" i="92" s="1"/>
  <c r="J25" i="92"/>
  <c r="R25" i="92" s="1"/>
  <c r="I25" i="92"/>
  <c r="Q25" i="92" s="1"/>
  <c r="H25" i="92"/>
  <c r="P25" i="92" s="1"/>
  <c r="G25" i="92"/>
  <c r="O25" i="92"/>
  <c r="F25" i="92"/>
  <c r="N25" i="92"/>
  <c r="E25" i="92"/>
  <c r="M21" i="92"/>
  <c r="U21" i="92" s="1"/>
  <c r="L21" i="92"/>
  <c r="T21" i="92" s="1"/>
  <c r="K21" i="92"/>
  <c r="S21" i="92" s="1"/>
  <c r="J21" i="92"/>
  <c r="R21" i="92" s="1"/>
  <c r="I21" i="92"/>
  <c r="Q21" i="92" s="1"/>
  <c r="H21" i="92"/>
  <c r="P21" i="92" s="1"/>
  <c r="G21" i="92"/>
  <c r="O21" i="92" s="1"/>
  <c r="F21" i="92"/>
  <c r="N21" i="92" s="1"/>
  <c r="E21" i="92"/>
  <c r="M17" i="92"/>
  <c r="U17" i="92" s="1"/>
  <c r="L17" i="92"/>
  <c r="T17" i="92"/>
  <c r="K17" i="92"/>
  <c r="S17" i="92"/>
  <c r="J17" i="92"/>
  <c r="R17" i="92" s="1"/>
  <c r="I17" i="92"/>
  <c r="Q17" i="92"/>
  <c r="H17" i="92"/>
  <c r="P17" i="92" s="1"/>
  <c r="G17" i="92"/>
  <c r="O17" i="92" s="1"/>
  <c r="F17" i="92"/>
  <c r="N17" i="92" s="1"/>
  <c r="E17" i="92"/>
  <c r="M13" i="92"/>
  <c r="U13" i="92" s="1"/>
  <c r="L13" i="92"/>
  <c r="T13" i="92" s="1"/>
  <c r="K13" i="92"/>
  <c r="J13" i="92"/>
  <c r="R13" i="92" s="1"/>
  <c r="I13" i="92"/>
  <c r="Q13" i="92" s="1"/>
  <c r="H13" i="92"/>
  <c r="P13" i="92" s="1"/>
  <c r="G13" i="92"/>
  <c r="O13" i="92"/>
  <c r="F13" i="92"/>
  <c r="N13" i="92" s="1"/>
  <c r="E13" i="92"/>
  <c r="AG28" i="92"/>
  <c r="AF28" i="92"/>
  <c r="AE28" i="92"/>
  <c r="M9" i="92"/>
  <c r="U9" i="92"/>
  <c r="L9" i="92"/>
  <c r="T9" i="92" s="1"/>
  <c r="K9" i="92"/>
  <c r="S9" i="92" s="1"/>
  <c r="J9" i="92"/>
  <c r="R9" i="92" s="1"/>
  <c r="I9" i="92"/>
  <c r="Q9" i="92" s="1"/>
  <c r="H9" i="92"/>
  <c r="P9" i="92" s="1"/>
  <c r="G9" i="92"/>
  <c r="O9" i="92" s="1"/>
  <c r="F9" i="92"/>
  <c r="N9" i="92"/>
  <c r="E9" i="92"/>
  <c r="M90" i="92"/>
  <c r="U90" i="92" s="1"/>
  <c r="L90" i="92"/>
  <c r="T90" i="92" s="1"/>
  <c r="K90" i="92"/>
  <c r="S90" i="92" s="1"/>
  <c r="J90" i="92"/>
  <c r="R90" i="92" s="1"/>
  <c r="I90" i="92"/>
  <c r="Q90" i="92" s="1"/>
  <c r="H90" i="92"/>
  <c r="P90" i="92" s="1"/>
  <c r="G90" i="92"/>
  <c r="O90" i="92" s="1"/>
  <c r="F90" i="92"/>
  <c r="N90" i="92" s="1"/>
  <c r="E90" i="92"/>
  <c r="M86" i="92"/>
  <c r="U86" i="92" s="1"/>
  <c r="L86" i="92"/>
  <c r="T86" i="92"/>
  <c r="K86" i="92"/>
  <c r="S86" i="92" s="1"/>
  <c r="J86" i="92"/>
  <c r="R86" i="92"/>
  <c r="I86" i="92"/>
  <c r="Q86" i="92" s="1"/>
  <c r="H86" i="92"/>
  <c r="P86" i="92"/>
  <c r="G86" i="92"/>
  <c r="O86" i="92"/>
  <c r="F86" i="92"/>
  <c r="N86" i="92"/>
  <c r="E86" i="92"/>
  <c r="M82" i="92"/>
  <c r="U82" i="92" s="1"/>
  <c r="L82" i="92"/>
  <c r="T82" i="92" s="1"/>
  <c r="K82" i="92"/>
  <c r="S82" i="92" s="1"/>
  <c r="J82" i="92"/>
  <c r="R82" i="92" s="1"/>
  <c r="I82" i="92"/>
  <c r="Q82" i="92" s="1"/>
  <c r="H82" i="92"/>
  <c r="P82" i="92" s="1"/>
  <c r="G82" i="92"/>
  <c r="O82" i="92" s="1"/>
  <c r="F82" i="92"/>
  <c r="N82" i="92" s="1"/>
  <c r="E82" i="92"/>
  <c r="M78" i="92"/>
  <c r="U78" i="92"/>
  <c r="L78" i="92"/>
  <c r="T78" i="92"/>
  <c r="K78" i="92"/>
  <c r="S78" i="92"/>
  <c r="J78" i="92"/>
  <c r="R78" i="92" s="1"/>
  <c r="I78" i="92"/>
  <c r="Q78" i="92"/>
  <c r="H78" i="92"/>
  <c r="P78" i="92"/>
  <c r="G78" i="92"/>
  <c r="O78" i="92" s="1"/>
  <c r="F78" i="92"/>
  <c r="N78" i="92" s="1"/>
  <c r="E78" i="92"/>
  <c r="M74" i="92"/>
  <c r="U74" i="92" s="1"/>
  <c r="L74" i="92"/>
  <c r="T74" i="92" s="1"/>
  <c r="K74" i="92"/>
  <c r="S74" i="92" s="1"/>
  <c r="J74" i="92"/>
  <c r="R74" i="92" s="1"/>
  <c r="I74" i="92"/>
  <c r="Q74" i="92" s="1"/>
  <c r="H74" i="92"/>
  <c r="P74" i="92" s="1"/>
  <c r="G74" i="92"/>
  <c r="O74" i="92" s="1"/>
  <c r="F74" i="92"/>
  <c r="N74" i="92" s="1"/>
  <c r="E74" i="92"/>
  <c r="M70" i="92"/>
  <c r="U70" i="92"/>
  <c r="L70" i="92"/>
  <c r="T70" i="92"/>
  <c r="K70" i="92"/>
  <c r="J70" i="92"/>
  <c r="R70" i="92" s="1"/>
  <c r="I70" i="92"/>
  <c r="Q70" i="92" s="1"/>
  <c r="H70" i="92"/>
  <c r="P70" i="92" s="1"/>
  <c r="G70" i="92"/>
  <c r="O70" i="92" s="1"/>
  <c r="F70" i="92"/>
  <c r="N70" i="92" s="1"/>
  <c r="E70" i="92"/>
  <c r="M66" i="92"/>
  <c r="U66" i="92" s="1"/>
  <c r="L66" i="92"/>
  <c r="T66" i="92"/>
  <c r="K66" i="92"/>
  <c r="S66" i="92" s="1"/>
  <c r="J66" i="92"/>
  <c r="R66" i="92"/>
  <c r="I66" i="92"/>
  <c r="Q66" i="92"/>
  <c r="H66" i="92"/>
  <c r="P66" i="92"/>
  <c r="G66" i="92"/>
  <c r="O66" i="92" s="1"/>
  <c r="F66" i="92"/>
  <c r="N66" i="92"/>
  <c r="E66" i="92"/>
  <c r="M62" i="92"/>
  <c r="U62" i="92" s="1"/>
  <c r="L62" i="92"/>
  <c r="T62" i="92" s="1"/>
  <c r="K62" i="92"/>
  <c r="S62" i="92" s="1"/>
  <c r="J62" i="92"/>
  <c r="R62" i="92" s="1"/>
  <c r="I62" i="92"/>
  <c r="Q62" i="92" s="1"/>
  <c r="H62" i="92"/>
  <c r="P62" i="92" s="1"/>
  <c r="G62" i="92"/>
  <c r="O62" i="92" s="1"/>
  <c r="F62" i="92"/>
  <c r="N62" i="92" s="1"/>
  <c r="E62" i="92"/>
  <c r="M58" i="92"/>
  <c r="U58" i="92" s="1"/>
  <c r="L58" i="92"/>
  <c r="T58" i="92" s="1"/>
  <c r="K58" i="92"/>
  <c r="S58" i="92" s="1"/>
  <c r="J58" i="92"/>
  <c r="R58" i="92"/>
  <c r="I58" i="92"/>
  <c r="Q58" i="92"/>
  <c r="H58" i="92"/>
  <c r="P58" i="92" s="1"/>
  <c r="G58" i="92"/>
  <c r="O58" i="92"/>
  <c r="F58" i="92"/>
  <c r="N58" i="92"/>
  <c r="E58" i="92"/>
  <c r="M54" i="92"/>
  <c r="U54" i="92" s="1"/>
  <c r="L54" i="92"/>
  <c r="T54" i="92" s="1"/>
  <c r="K54" i="92"/>
  <c r="S54" i="92" s="1"/>
  <c r="J54" i="92"/>
  <c r="R54" i="92" s="1"/>
  <c r="I54" i="92"/>
  <c r="Q54" i="92" s="1"/>
  <c r="H54" i="92"/>
  <c r="P54" i="92" s="1"/>
  <c r="G54" i="92"/>
  <c r="O54" i="92" s="1"/>
  <c r="F54" i="92"/>
  <c r="N54" i="92" s="1"/>
  <c r="E54" i="92"/>
  <c r="AA17" i="92"/>
  <c r="AA18" i="92" s="1"/>
  <c r="Z17" i="92"/>
  <c r="M50" i="92"/>
  <c r="U50" i="92" s="1"/>
  <c r="L50" i="92"/>
  <c r="K50" i="92"/>
  <c r="S50" i="92"/>
  <c r="J50" i="92"/>
  <c r="R50" i="92" s="1"/>
  <c r="I50" i="92"/>
  <c r="Q50" i="92"/>
  <c r="H50" i="92"/>
  <c r="P50" i="92"/>
  <c r="G50" i="92"/>
  <c r="O50" i="92" s="1"/>
  <c r="F50" i="92"/>
  <c r="N50" i="92" s="1"/>
  <c r="E50" i="92"/>
  <c r="Z16" i="92"/>
  <c r="M46" i="92"/>
  <c r="U46" i="92" s="1"/>
  <c r="L46" i="92"/>
  <c r="T46" i="92"/>
  <c r="K46" i="92"/>
  <c r="S46" i="92" s="1"/>
  <c r="J46" i="92"/>
  <c r="R46" i="92"/>
  <c r="I46" i="92"/>
  <c r="Q46" i="92"/>
  <c r="H46" i="92"/>
  <c r="P46" i="92"/>
  <c r="G46" i="92"/>
  <c r="O46" i="92" s="1"/>
  <c r="F46" i="92"/>
  <c r="N46" i="92"/>
  <c r="E46" i="92"/>
  <c r="M42" i="92"/>
  <c r="U42" i="92" s="1"/>
  <c r="L42" i="92"/>
  <c r="T42" i="92" s="1"/>
  <c r="K42" i="92"/>
  <c r="S42" i="92" s="1"/>
  <c r="J42" i="92"/>
  <c r="R42" i="92" s="1"/>
  <c r="I42" i="92"/>
  <c r="Q42" i="92" s="1"/>
  <c r="H42" i="92"/>
  <c r="P42" i="92" s="1"/>
  <c r="G42" i="92"/>
  <c r="O42" i="92" s="1"/>
  <c r="F42" i="92"/>
  <c r="N42" i="92" s="1"/>
  <c r="E42" i="92"/>
  <c r="M38" i="92"/>
  <c r="U38" i="92" s="1"/>
  <c r="L38" i="92"/>
  <c r="T38" i="92" s="1"/>
  <c r="K38" i="92"/>
  <c r="S38" i="92" s="1"/>
  <c r="J38" i="92"/>
  <c r="R38" i="92"/>
  <c r="I38" i="92"/>
  <c r="Q38" i="92"/>
  <c r="H38" i="92"/>
  <c r="P38" i="92" s="1"/>
  <c r="G38" i="92"/>
  <c r="O38" i="92"/>
  <c r="F38" i="92"/>
  <c r="N38" i="92"/>
  <c r="E38" i="92"/>
  <c r="M34" i="92"/>
  <c r="U34" i="92" s="1"/>
  <c r="L34" i="92"/>
  <c r="T34" i="92" s="1"/>
  <c r="K34" i="92"/>
  <c r="S34" i="92" s="1"/>
  <c r="J34" i="92"/>
  <c r="R34" i="92" s="1"/>
  <c r="I34" i="92"/>
  <c r="Q34" i="92" s="1"/>
  <c r="H34" i="92"/>
  <c r="P34" i="92" s="1"/>
  <c r="G34" i="92"/>
  <c r="O34" i="92" s="1"/>
  <c r="F34" i="92"/>
  <c r="N34" i="92" s="1"/>
  <c r="E34" i="92"/>
  <c r="M30" i="92"/>
  <c r="U30" i="92" s="1"/>
  <c r="L30" i="92"/>
  <c r="T30" i="92"/>
  <c r="K30" i="92"/>
  <c r="J30" i="92"/>
  <c r="I30" i="92"/>
  <c r="Q30" i="92"/>
  <c r="H30" i="92"/>
  <c r="P30" i="92" s="1"/>
  <c r="G30" i="92"/>
  <c r="O30" i="92" s="1"/>
  <c r="F30" i="92"/>
  <c r="N30" i="92" s="1"/>
  <c r="E30" i="92"/>
  <c r="M26" i="92"/>
  <c r="U26" i="92" s="1"/>
  <c r="L26" i="92"/>
  <c r="T26" i="92" s="1"/>
  <c r="K26" i="92"/>
  <c r="S26" i="92"/>
  <c r="J26" i="92"/>
  <c r="R26" i="92" s="1"/>
  <c r="I26" i="92"/>
  <c r="Q26" i="92"/>
  <c r="H26" i="92"/>
  <c r="P26" i="92" s="1"/>
  <c r="G26" i="92"/>
  <c r="O26" i="92" s="1"/>
  <c r="F26" i="92"/>
  <c r="E26" i="92"/>
  <c r="M22" i="92"/>
  <c r="U22" i="92"/>
  <c r="L22" i="92"/>
  <c r="T22" i="92" s="1"/>
  <c r="K22" i="92"/>
  <c r="S22" i="92"/>
  <c r="J22" i="92"/>
  <c r="R22" i="92" s="1"/>
  <c r="I22" i="92"/>
  <c r="Q22" i="92" s="1"/>
  <c r="H22" i="92"/>
  <c r="P22" i="92" s="1"/>
  <c r="G22" i="92"/>
  <c r="O22" i="92" s="1"/>
  <c r="F22" i="92"/>
  <c r="N22" i="92"/>
  <c r="E22" i="92"/>
  <c r="M18" i="92"/>
  <c r="U18" i="92" s="1"/>
  <c r="L18" i="92"/>
  <c r="T18" i="92" s="1"/>
  <c r="K18" i="92"/>
  <c r="S18" i="92" s="1"/>
  <c r="J18" i="92"/>
  <c r="R18" i="92" s="1"/>
  <c r="I18" i="92"/>
  <c r="Q18" i="92" s="1"/>
  <c r="H18" i="92"/>
  <c r="P18" i="92" s="1"/>
  <c r="G18" i="92"/>
  <c r="O18" i="92" s="1"/>
  <c r="F18" i="92"/>
  <c r="N18" i="92" s="1"/>
  <c r="E18" i="92"/>
  <c r="M14" i="92"/>
  <c r="U14" i="92" s="1"/>
  <c r="L14" i="92"/>
  <c r="T14" i="92"/>
  <c r="K14" i="92"/>
  <c r="S14" i="92"/>
  <c r="J14" i="92"/>
  <c r="R14" i="92"/>
  <c r="I14" i="92"/>
  <c r="Q14" i="92" s="1"/>
  <c r="H14" i="92"/>
  <c r="P14" i="92"/>
  <c r="G14" i="92"/>
  <c r="O14" i="92" s="1"/>
  <c r="F14" i="92"/>
  <c r="E14" i="92"/>
  <c r="M10" i="92"/>
  <c r="L10" i="92"/>
  <c r="T10" i="92" s="1"/>
  <c r="K10" i="92"/>
  <c r="J10" i="92"/>
  <c r="I10" i="92"/>
  <c r="Q10" i="92" s="1"/>
  <c r="H10" i="92"/>
  <c r="P10" i="92" s="1"/>
  <c r="G10" i="92"/>
  <c r="O10" i="92" s="1"/>
  <c r="F10" i="92"/>
  <c r="E10" i="92"/>
  <c r="M32" i="90"/>
  <c r="J20" i="91"/>
  <c r="J33" i="91" s="1"/>
  <c r="I20" i="91"/>
  <c r="I33" i="91" s="1"/>
  <c r="H20" i="91"/>
  <c r="H33" i="91" s="1"/>
  <c r="G20" i="91"/>
  <c r="G33" i="91"/>
  <c r="F20" i="91"/>
  <c r="F33" i="91"/>
  <c r="E20" i="91"/>
  <c r="M33" i="90" s="1"/>
  <c r="D20" i="91"/>
  <c r="D33" i="91"/>
  <c r="K29" i="90"/>
  <c r="J29" i="90"/>
  <c r="I29" i="90"/>
  <c r="H29" i="90"/>
  <c r="G29" i="90"/>
  <c r="F29" i="90"/>
  <c r="E29" i="90"/>
  <c r="D29" i="90"/>
  <c r="C29" i="90"/>
  <c r="S28" i="90"/>
  <c r="R28" i="90"/>
  <c r="Q28" i="90"/>
  <c r="P28" i="90"/>
  <c r="O28" i="90"/>
  <c r="N28" i="90"/>
  <c r="M28" i="90"/>
  <c r="L28" i="90"/>
  <c r="S27" i="90"/>
  <c r="R27" i="90"/>
  <c r="Q27" i="90"/>
  <c r="P27" i="90"/>
  <c r="O27" i="90"/>
  <c r="N27" i="90"/>
  <c r="M27" i="90"/>
  <c r="L27" i="90"/>
  <c r="S26" i="90"/>
  <c r="R26" i="90"/>
  <c r="Q26" i="90"/>
  <c r="P26" i="90"/>
  <c r="O26" i="90"/>
  <c r="N26" i="90"/>
  <c r="M26" i="90"/>
  <c r="L26" i="90"/>
  <c r="S25" i="90"/>
  <c r="R25" i="90"/>
  <c r="Q25" i="90"/>
  <c r="P25" i="90"/>
  <c r="O25" i="90"/>
  <c r="N25" i="90"/>
  <c r="M25" i="90"/>
  <c r="L25" i="90"/>
  <c r="S24" i="90"/>
  <c r="R24" i="90"/>
  <c r="Q24" i="90"/>
  <c r="P24" i="90"/>
  <c r="O24" i="90"/>
  <c r="N24" i="90"/>
  <c r="M24" i="90"/>
  <c r="L24" i="90"/>
  <c r="S23" i="90"/>
  <c r="R23" i="90"/>
  <c r="Q23" i="90"/>
  <c r="P23" i="90"/>
  <c r="O23" i="90"/>
  <c r="N23" i="90"/>
  <c r="M23" i="90"/>
  <c r="L23" i="90"/>
  <c r="S22" i="90"/>
  <c r="R22" i="90"/>
  <c r="Q22" i="90"/>
  <c r="P22" i="90"/>
  <c r="O22" i="90"/>
  <c r="N22" i="90"/>
  <c r="M22" i="90"/>
  <c r="L22" i="90"/>
  <c r="S21" i="90"/>
  <c r="R21" i="90"/>
  <c r="Q21" i="90"/>
  <c r="P21" i="90"/>
  <c r="O21" i="90"/>
  <c r="N21" i="90"/>
  <c r="M21" i="90"/>
  <c r="L21" i="90"/>
  <c r="S20" i="90"/>
  <c r="R20" i="90"/>
  <c r="Q20" i="90"/>
  <c r="P20" i="90"/>
  <c r="O20" i="90"/>
  <c r="N20" i="90"/>
  <c r="M20" i="90"/>
  <c r="L20" i="90"/>
  <c r="S19" i="90"/>
  <c r="R19" i="90"/>
  <c r="Q19" i="90"/>
  <c r="P19" i="90"/>
  <c r="O19" i="90"/>
  <c r="N19" i="90"/>
  <c r="M19" i="90"/>
  <c r="L19" i="90"/>
  <c r="S18" i="90"/>
  <c r="R18" i="90"/>
  <c r="Q18" i="90"/>
  <c r="P18" i="90"/>
  <c r="O18" i="90"/>
  <c r="N18" i="90"/>
  <c r="M18" i="90"/>
  <c r="L18" i="90"/>
  <c r="S17" i="90"/>
  <c r="R17" i="90"/>
  <c r="Q17" i="90"/>
  <c r="P17" i="90"/>
  <c r="O17" i="90"/>
  <c r="N17" i="90"/>
  <c r="M17" i="90"/>
  <c r="L17" i="90"/>
  <c r="S16" i="90"/>
  <c r="R16" i="90"/>
  <c r="Q16" i="90"/>
  <c r="P16" i="90"/>
  <c r="O16" i="90"/>
  <c r="N16" i="90"/>
  <c r="M16" i="90"/>
  <c r="L16" i="90"/>
  <c r="S15" i="90"/>
  <c r="R15" i="90"/>
  <c r="Q15" i="90"/>
  <c r="P15" i="90"/>
  <c r="O15" i="90"/>
  <c r="N15" i="90"/>
  <c r="M15" i="90"/>
  <c r="L15" i="90"/>
  <c r="S14" i="90"/>
  <c r="R14" i="90"/>
  <c r="Q14" i="90"/>
  <c r="P14" i="90"/>
  <c r="O14" i="90"/>
  <c r="N14" i="90"/>
  <c r="M14" i="90"/>
  <c r="L14" i="90"/>
  <c r="S13" i="90"/>
  <c r="R13" i="90"/>
  <c r="Q13" i="90"/>
  <c r="P13" i="90"/>
  <c r="O13" i="90"/>
  <c r="N13" i="90"/>
  <c r="M13" i="90"/>
  <c r="L13" i="90"/>
  <c r="S12" i="90"/>
  <c r="R12" i="90"/>
  <c r="Q12" i="90"/>
  <c r="P12" i="90"/>
  <c r="O12" i="90"/>
  <c r="N12" i="90"/>
  <c r="M12" i="90"/>
  <c r="L12" i="90"/>
  <c r="S11" i="90"/>
  <c r="R11" i="90"/>
  <c r="Q11" i="90"/>
  <c r="P11" i="90"/>
  <c r="O11" i="90"/>
  <c r="N11" i="90"/>
  <c r="M11" i="90"/>
  <c r="L11" i="90"/>
  <c r="S10" i="90"/>
  <c r="R10" i="90"/>
  <c r="Q10" i="90"/>
  <c r="P10" i="90"/>
  <c r="O10" i="90"/>
  <c r="N10" i="90"/>
  <c r="M10" i="90"/>
  <c r="L10" i="90"/>
  <c r="S9" i="90"/>
  <c r="R9" i="90"/>
  <c r="Q9" i="90"/>
  <c r="P9" i="90"/>
  <c r="O9" i="90"/>
  <c r="N9" i="90"/>
  <c r="M9" i="90"/>
  <c r="M30" i="90" s="1"/>
  <c r="L9" i="90"/>
  <c r="S8" i="90"/>
  <c r="R8" i="90"/>
  <c r="Q8" i="90"/>
  <c r="Q29" i="90" s="1"/>
  <c r="P8" i="90"/>
  <c r="O8" i="90"/>
  <c r="N8" i="90"/>
  <c r="N29" i="90"/>
  <c r="M8" i="90"/>
  <c r="L8" i="90"/>
  <c r="H8" i="9"/>
  <c r="G8" i="9"/>
  <c r="F8" i="9"/>
  <c r="E8" i="9"/>
  <c r="D8" i="9"/>
  <c r="H7" i="9"/>
  <c r="G7" i="9"/>
  <c r="E7" i="9"/>
  <c r="D7" i="9"/>
  <c r="M22" i="4" s="1"/>
  <c r="H6" i="9"/>
  <c r="G6" i="9"/>
  <c r="E6" i="9"/>
  <c r="F6" i="9"/>
  <c r="K17" i="33" s="1"/>
  <c r="D6" i="9"/>
  <c r="H5" i="9"/>
  <c r="G5" i="9"/>
  <c r="L20" i="33" s="1"/>
  <c r="E5" i="9"/>
  <c r="D5" i="9"/>
  <c r="J4" i="9"/>
  <c r="I4" i="9"/>
  <c r="H4" i="9"/>
  <c r="G4" i="9"/>
  <c r="F4" i="9"/>
  <c r="E4" i="9"/>
  <c r="D4" i="9"/>
  <c r="C8" i="9"/>
  <c r="C7" i="9"/>
  <c r="L44" i="4" s="1"/>
  <c r="C6" i="9"/>
  <c r="C5" i="9"/>
  <c r="C4" i="9"/>
  <c r="F82" i="69"/>
  <c r="H67" i="69"/>
  <c r="H66" i="69"/>
  <c r="H65" i="69"/>
  <c r="H63" i="69"/>
  <c r="H81" i="69"/>
  <c r="H80" i="69"/>
  <c r="H79" i="69"/>
  <c r="H78" i="69"/>
  <c r="H77" i="69"/>
  <c r="H76" i="69"/>
  <c r="H75" i="69"/>
  <c r="H74" i="69"/>
  <c r="H73" i="69"/>
  <c r="H72" i="69"/>
  <c r="H71" i="69"/>
  <c r="H69" i="69"/>
  <c r="H68" i="69"/>
  <c r="AA17" i="81"/>
  <c r="AA18" i="81" s="1"/>
  <c r="Z17" i="81"/>
  <c r="Z16" i="81"/>
  <c r="Q49" i="4"/>
  <c r="O68" i="50"/>
  <c r="M48" i="4"/>
  <c r="N50" i="4"/>
  <c r="B45" i="86"/>
  <c r="C45" i="86"/>
  <c r="C46" i="86"/>
  <c r="C47" i="86" s="1"/>
  <c r="D45" i="86"/>
  <c r="D83" i="86"/>
  <c r="E45" i="86"/>
  <c r="E46" i="86"/>
  <c r="F45" i="86"/>
  <c r="F83" i="86" s="1"/>
  <c r="G45" i="86"/>
  <c r="G46" i="86" s="1"/>
  <c r="H45" i="86"/>
  <c r="B46" i="86"/>
  <c r="D46" i="86"/>
  <c r="D47" i="86" s="1"/>
  <c r="F46" i="86"/>
  <c r="B47" i="86"/>
  <c r="B82" i="86"/>
  <c r="C82" i="86"/>
  <c r="D82" i="86"/>
  <c r="E82" i="86"/>
  <c r="F82" i="86"/>
  <c r="G82" i="86"/>
  <c r="H82" i="86"/>
  <c r="B83" i="86"/>
  <c r="C83" i="86"/>
  <c r="E83" i="86"/>
  <c r="G83" i="86"/>
  <c r="B84" i="86"/>
  <c r="B45" i="85"/>
  <c r="B46" i="85" s="1"/>
  <c r="C45" i="85"/>
  <c r="D45" i="85"/>
  <c r="D46" i="85" s="1"/>
  <c r="E45" i="85"/>
  <c r="E46" i="85" s="1"/>
  <c r="F45" i="85"/>
  <c r="F46" i="85" s="1"/>
  <c r="G45" i="85"/>
  <c r="H45" i="85"/>
  <c r="H83" i="85" s="1"/>
  <c r="H46" i="85"/>
  <c r="B82" i="85"/>
  <c r="C82" i="85"/>
  <c r="D82" i="85"/>
  <c r="E82" i="85"/>
  <c r="F82" i="85"/>
  <c r="G82" i="85"/>
  <c r="H82" i="85"/>
  <c r="D83" i="85"/>
  <c r="E83" i="85"/>
  <c r="B45" i="84"/>
  <c r="B46" i="84" s="1"/>
  <c r="C45" i="84"/>
  <c r="D45" i="84"/>
  <c r="D46" i="84" s="1"/>
  <c r="D47" i="84" s="1"/>
  <c r="E45" i="84"/>
  <c r="E83" i="84" s="1"/>
  <c r="F45" i="84"/>
  <c r="F46" i="84"/>
  <c r="G45" i="84"/>
  <c r="H45" i="84"/>
  <c r="H46" i="84" s="1"/>
  <c r="C46" i="84"/>
  <c r="E46" i="84"/>
  <c r="E84" i="84" s="1"/>
  <c r="G46" i="84"/>
  <c r="C47" i="84"/>
  <c r="G47" i="84"/>
  <c r="B82" i="84"/>
  <c r="C82" i="84"/>
  <c r="D82" i="84"/>
  <c r="E82" i="84"/>
  <c r="F82" i="84"/>
  <c r="G82" i="84"/>
  <c r="H82" i="84"/>
  <c r="C83" i="84"/>
  <c r="D83" i="84"/>
  <c r="G83" i="84"/>
  <c r="C84" i="84"/>
  <c r="G84" i="84"/>
  <c r="B45" i="70"/>
  <c r="C45" i="70"/>
  <c r="C46" i="70" s="1"/>
  <c r="D45" i="70"/>
  <c r="D46" i="70"/>
  <c r="D47" i="70" s="1"/>
  <c r="E45" i="70"/>
  <c r="E83" i="70"/>
  <c r="F45" i="70"/>
  <c r="F83" i="70" s="1"/>
  <c r="G45" i="70"/>
  <c r="H45" i="70"/>
  <c r="H46" i="70"/>
  <c r="H47" i="70" s="1"/>
  <c r="B46" i="70"/>
  <c r="E46" i="70"/>
  <c r="E47" i="70"/>
  <c r="F46" i="70"/>
  <c r="F47" i="70" s="1"/>
  <c r="G46" i="70"/>
  <c r="B82" i="70"/>
  <c r="C82" i="70"/>
  <c r="D82" i="70"/>
  <c r="E82" i="70"/>
  <c r="F82" i="70"/>
  <c r="G82" i="70"/>
  <c r="H82" i="70"/>
  <c r="B83" i="70"/>
  <c r="D83" i="70"/>
  <c r="G83" i="70"/>
  <c r="H83" i="70"/>
  <c r="D84" i="70"/>
  <c r="E84" i="70"/>
  <c r="B20" i="69"/>
  <c r="B26" i="69"/>
  <c r="B35" i="69" s="1"/>
  <c r="C26" i="69"/>
  <c r="B27" i="69"/>
  <c r="B31" i="69"/>
  <c r="B32" i="69"/>
  <c r="B34" i="69" s="1"/>
  <c r="D39" i="69"/>
  <c r="E39" i="69" s="1"/>
  <c r="D45" i="69"/>
  <c r="D52" i="69"/>
  <c r="E52" i="69"/>
  <c r="D53" i="69"/>
  <c r="E53" i="69"/>
  <c r="D55" i="69"/>
  <c r="E55" i="69"/>
  <c r="D64" i="69"/>
  <c r="H64" i="69"/>
  <c r="D70" i="69"/>
  <c r="L3" i="43"/>
  <c r="L4" i="43"/>
  <c r="L5" i="43"/>
  <c r="L6" i="43"/>
  <c r="L7" i="43"/>
  <c r="L8" i="43"/>
  <c r="L9" i="43"/>
  <c r="L10" i="43"/>
  <c r="L11" i="43"/>
  <c r="L12" i="43"/>
  <c r="L13" i="43"/>
  <c r="L14" i="43"/>
  <c r="L15" i="43"/>
  <c r="L16" i="43"/>
  <c r="L17" i="43"/>
  <c r="L18" i="43"/>
  <c r="L19" i="43"/>
  <c r="L20" i="43"/>
  <c r="L21" i="43"/>
  <c r="L22" i="43"/>
  <c r="L23" i="43"/>
  <c r="L24" i="43"/>
  <c r="H25" i="43"/>
  <c r="J25" i="43"/>
  <c r="L25" i="43" s="1"/>
  <c r="H26" i="43"/>
  <c r="J26" i="43" s="1"/>
  <c r="L26" i="43" s="1"/>
  <c r="H27" i="43"/>
  <c r="J27" i="43"/>
  <c r="L27" i="43" s="1"/>
  <c r="H28" i="43"/>
  <c r="J28" i="43" s="1"/>
  <c r="L28" i="43" s="1"/>
  <c r="H29" i="43"/>
  <c r="J29" i="43" s="1"/>
  <c r="L29" i="43" s="1"/>
  <c r="H30" i="43"/>
  <c r="J30" i="43" s="1"/>
  <c r="L30" i="43" s="1"/>
  <c r="H31" i="43"/>
  <c r="J31" i="43"/>
  <c r="L31" i="43" s="1"/>
  <c r="J32" i="43"/>
  <c r="L32" i="43" s="1"/>
  <c r="M32" i="43" s="1"/>
  <c r="P32" i="43" s="1"/>
  <c r="J33" i="43"/>
  <c r="L33" i="43" s="1"/>
  <c r="J34" i="43"/>
  <c r="L34" i="43" s="1"/>
  <c r="J35" i="43"/>
  <c r="L35" i="43" s="1"/>
  <c r="J36" i="43"/>
  <c r="L36" i="43" s="1"/>
  <c r="J37" i="43"/>
  <c r="L37" i="43" s="1"/>
  <c r="J38" i="43"/>
  <c r="L38" i="43" s="1"/>
  <c r="J39" i="43"/>
  <c r="L39" i="43" s="1"/>
  <c r="J40" i="43"/>
  <c r="L40" i="43" s="1"/>
  <c r="M40" i="43" s="1"/>
  <c r="P40" i="43" s="1"/>
  <c r="J41" i="43"/>
  <c r="L41" i="43" s="1"/>
  <c r="J42" i="43"/>
  <c r="L42" i="43" s="1"/>
  <c r="J43" i="43"/>
  <c r="L43" i="43" s="1"/>
  <c r="J44" i="43"/>
  <c r="L44" i="43" s="1"/>
  <c r="J45" i="43"/>
  <c r="L45" i="43" s="1"/>
  <c r="L46" i="43"/>
  <c r="L47" i="43"/>
  <c r="L48" i="43"/>
  <c r="L49" i="43"/>
  <c r="L50" i="43"/>
  <c r="L51" i="43"/>
  <c r="L52" i="43"/>
  <c r="L53" i="43"/>
  <c r="L54" i="43"/>
  <c r="L55" i="43"/>
  <c r="L56" i="43"/>
  <c r="J57" i="43"/>
  <c r="L57" i="43" s="1"/>
  <c r="L58" i="43"/>
  <c r="J59" i="43"/>
  <c r="L59" i="43"/>
  <c r="L60" i="43"/>
  <c r="L61" i="43"/>
  <c r="L62" i="43"/>
  <c r="L63" i="43"/>
  <c r="L64" i="43"/>
  <c r="L65" i="43"/>
  <c r="L66" i="43"/>
  <c r="L67" i="43"/>
  <c r="L68" i="43"/>
  <c r="L69" i="43"/>
  <c r="L70" i="43"/>
  <c r="L71" i="43"/>
  <c r="L72" i="43"/>
  <c r="T73" i="43"/>
  <c r="U73" i="43"/>
  <c r="V73" i="43"/>
  <c r="Q74" i="43"/>
  <c r="T74" i="43"/>
  <c r="U74" i="43"/>
  <c r="U75" i="43"/>
  <c r="V75" i="43"/>
  <c r="L78" i="43"/>
  <c r="L79" i="43"/>
  <c r="M79" i="43" s="1"/>
  <c r="P79" i="43" s="1"/>
  <c r="L80" i="43"/>
  <c r="K81" i="43"/>
  <c r="L81" i="43" s="1"/>
  <c r="K82" i="43"/>
  <c r="L82" i="43"/>
  <c r="K83" i="43"/>
  <c r="L83" i="43"/>
  <c r="K84" i="43"/>
  <c r="L84" i="43"/>
  <c r="K85" i="43"/>
  <c r="L85" i="43" s="1"/>
  <c r="K86" i="43"/>
  <c r="L86" i="43"/>
  <c r="K87" i="43"/>
  <c r="L87" i="43"/>
  <c r="C25" i="89"/>
  <c r="D25" i="89"/>
  <c r="E25" i="89"/>
  <c r="F25" i="89"/>
  <c r="G25" i="89"/>
  <c r="H25" i="89"/>
  <c r="I25" i="89"/>
  <c r="J25" i="89"/>
  <c r="K25" i="89"/>
  <c r="J4" i="33"/>
  <c r="E5" i="33"/>
  <c r="H5" i="33" s="1"/>
  <c r="E6" i="33"/>
  <c r="G6" i="33" s="1"/>
  <c r="E7" i="33"/>
  <c r="F8" i="33"/>
  <c r="H8" i="33"/>
  <c r="J8" i="33"/>
  <c r="K8" i="33"/>
  <c r="J17" i="33"/>
  <c r="L17" i="33"/>
  <c r="M17" i="33"/>
  <c r="H18" i="33"/>
  <c r="J18" i="33"/>
  <c r="K18" i="33"/>
  <c r="L18" i="33"/>
  <c r="M18" i="33"/>
  <c r="G19" i="33"/>
  <c r="I20" i="33"/>
  <c r="M20" i="33"/>
  <c r="E3" i="66"/>
  <c r="F3" i="66"/>
  <c r="G3" i="66"/>
  <c r="H3" i="66"/>
  <c r="I3" i="66"/>
  <c r="J3" i="66"/>
  <c r="K3" i="66"/>
  <c r="L3" i="66"/>
  <c r="M3" i="66"/>
  <c r="E25" i="66"/>
  <c r="W55" i="94" s="1"/>
  <c r="F25" i="66"/>
  <c r="W91" i="92" s="1"/>
  <c r="G25" i="66"/>
  <c r="X91" i="81" s="1"/>
  <c r="H25" i="66"/>
  <c r="Z55" i="94" s="1"/>
  <c r="I25" i="66"/>
  <c r="AA55" i="94" s="1"/>
  <c r="J25" i="66"/>
  <c r="AA91" i="92" s="1"/>
  <c r="K25" i="66"/>
  <c r="AC55" i="94" s="1"/>
  <c r="L25" i="66"/>
  <c r="AD55" i="94" s="1"/>
  <c r="M25" i="66"/>
  <c r="AD91" i="92" s="1"/>
  <c r="F26" i="66"/>
  <c r="C4" i="40"/>
  <c r="L4" i="40"/>
  <c r="M4" i="40" s="1"/>
  <c r="C5" i="40"/>
  <c r="L5" i="40"/>
  <c r="M5" i="40" s="1"/>
  <c r="N5" i="40" s="1"/>
  <c r="C6" i="40"/>
  <c r="E6" i="40"/>
  <c r="E30" i="40"/>
  <c r="H6" i="40"/>
  <c r="L6" i="40"/>
  <c r="M6" i="40" s="1"/>
  <c r="N6" i="40" s="1"/>
  <c r="C7" i="40"/>
  <c r="C8" i="40"/>
  <c r="C9" i="40"/>
  <c r="O9" i="40"/>
  <c r="N9" i="40"/>
  <c r="C10" i="40"/>
  <c r="L10" i="40"/>
  <c r="M10" i="40" s="1"/>
  <c r="C11" i="40"/>
  <c r="L11" i="40"/>
  <c r="M11" i="40" s="1"/>
  <c r="N11" i="40" s="1"/>
  <c r="O11" i="40" s="1"/>
  <c r="C12" i="40"/>
  <c r="L12" i="40"/>
  <c r="M12" i="40" s="1"/>
  <c r="N12" i="40" s="1"/>
  <c r="O12" i="40" s="1"/>
  <c r="C13" i="40"/>
  <c r="L13" i="40"/>
  <c r="M13" i="40" s="1"/>
  <c r="N13" i="40" s="1"/>
  <c r="O13" i="40" s="1"/>
  <c r="C14" i="40"/>
  <c r="L14" i="40"/>
  <c r="M14" i="40"/>
  <c r="C15" i="40"/>
  <c r="L15" i="40"/>
  <c r="M15" i="40" s="1"/>
  <c r="N15" i="40" s="1"/>
  <c r="O15" i="40" s="1"/>
  <c r="C16" i="40"/>
  <c r="L16" i="40"/>
  <c r="M16" i="40"/>
  <c r="C17" i="40"/>
  <c r="L17" i="40"/>
  <c r="M17" i="40" s="1"/>
  <c r="N17" i="40" s="1"/>
  <c r="O17" i="40" s="1"/>
  <c r="C18" i="40"/>
  <c r="L18" i="40"/>
  <c r="M18" i="40" s="1"/>
  <c r="N18" i="40" s="1"/>
  <c r="C19" i="40"/>
  <c r="L19" i="40"/>
  <c r="M19" i="40" s="1"/>
  <c r="N19" i="40" s="1"/>
  <c r="C20" i="40"/>
  <c r="L20" i="40"/>
  <c r="M20" i="40" s="1"/>
  <c r="N20" i="40" s="1"/>
  <c r="L21" i="40"/>
  <c r="M21" i="40"/>
  <c r="N21" i="40" s="1"/>
  <c r="O21" i="40" s="1"/>
  <c r="C22" i="40"/>
  <c r="L22" i="40"/>
  <c r="M22" i="40"/>
  <c r="N22" i="40" s="1"/>
  <c r="C23" i="40"/>
  <c r="L23" i="40"/>
  <c r="M23" i="40"/>
  <c r="N23" i="40"/>
  <c r="C24" i="40"/>
  <c r="L24" i="40"/>
  <c r="M24" i="40" s="1"/>
  <c r="N24" i="40" s="1"/>
  <c r="C25" i="40"/>
  <c r="O25" i="40" s="1"/>
  <c r="L25" i="40"/>
  <c r="M25" i="40"/>
  <c r="N25" i="40"/>
  <c r="I26" i="40"/>
  <c r="J27" i="40" s="1"/>
  <c r="J26" i="40"/>
  <c r="H29" i="40"/>
  <c r="D30" i="40"/>
  <c r="F30" i="40"/>
  <c r="C4" i="60"/>
  <c r="L4" i="60"/>
  <c r="M4" i="60"/>
  <c r="N4" i="60" s="1"/>
  <c r="C5" i="60"/>
  <c r="L5" i="60"/>
  <c r="M5" i="60" s="1"/>
  <c r="N5" i="60" s="1"/>
  <c r="O5" i="60" s="1"/>
  <c r="R5" i="60" s="1"/>
  <c r="C6" i="60"/>
  <c r="L6" i="60"/>
  <c r="M6" i="60" s="1"/>
  <c r="C7" i="60"/>
  <c r="L7" i="60"/>
  <c r="M7" i="60" s="1"/>
  <c r="N7" i="60" s="1"/>
  <c r="C8" i="60"/>
  <c r="L8" i="60"/>
  <c r="M8" i="60" s="1"/>
  <c r="N8" i="60"/>
  <c r="C9" i="60"/>
  <c r="L9" i="60"/>
  <c r="M9" i="60"/>
  <c r="C10" i="60"/>
  <c r="L10" i="60"/>
  <c r="M10" i="60" s="1"/>
  <c r="C11" i="60"/>
  <c r="L11" i="60"/>
  <c r="M11" i="60" s="1"/>
  <c r="N11" i="60" s="1"/>
  <c r="O11" i="60"/>
  <c r="R11" i="60" s="1"/>
  <c r="C12" i="60"/>
  <c r="L12" i="60"/>
  <c r="M12" i="60"/>
  <c r="N12" i="60"/>
  <c r="C13" i="60"/>
  <c r="L13" i="60"/>
  <c r="M13" i="60"/>
  <c r="N13" i="60" s="1"/>
  <c r="O13" i="60" s="1"/>
  <c r="L14" i="60"/>
  <c r="M14" i="60"/>
  <c r="N14" i="60"/>
  <c r="O14" i="60" s="1"/>
  <c r="C15" i="60"/>
  <c r="L15" i="60"/>
  <c r="M15" i="60" s="1"/>
  <c r="C16" i="60"/>
  <c r="O16" i="60" s="1"/>
  <c r="P16" i="60" s="1"/>
  <c r="L16" i="60"/>
  <c r="M16" i="60"/>
  <c r="N16" i="60"/>
  <c r="C17" i="60"/>
  <c r="L17" i="60"/>
  <c r="M17" i="60"/>
  <c r="N17" i="60" s="1"/>
  <c r="C18" i="60"/>
  <c r="L18" i="60"/>
  <c r="M18" i="60" s="1"/>
  <c r="N18" i="60" s="1"/>
  <c r="O18" i="60"/>
  <c r="R18" i="60" s="1"/>
  <c r="I19" i="60"/>
  <c r="J19" i="60"/>
  <c r="H22" i="60"/>
  <c r="D23" i="60"/>
  <c r="E23" i="60"/>
  <c r="F23" i="60"/>
  <c r="O3" i="50"/>
  <c r="O4" i="50"/>
  <c r="O5" i="50"/>
  <c r="R5" i="50" s="1"/>
  <c r="V5" i="50"/>
  <c r="O6" i="50"/>
  <c r="R6" i="50" s="1"/>
  <c r="S6" i="50"/>
  <c r="Q7" i="50"/>
  <c r="R7" i="50"/>
  <c r="S7" i="50"/>
  <c r="Q8" i="50"/>
  <c r="R8" i="50"/>
  <c r="S8" i="50"/>
  <c r="Q9" i="50"/>
  <c r="R9" i="50"/>
  <c r="S9" i="50"/>
  <c r="AA9" i="50"/>
  <c r="Q10" i="50"/>
  <c r="R10" i="50"/>
  <c r="S10" i="50"/>
  <c r="Q11" i="50"/>
  <c r="S11" i="50"/>
  <c r="Q12" i="50"/>
  <c r="R12" i="50"/>
  <c r="S12" i="50"/>
  <c r="U12" i="50"/>
  <c r="Q13" i="50"/>
  <c r="S13" i="50"/>
  <c r="Q14" i="50"/>
  <c r="R14" i="50"/>
  <c r="S14" i="50"/>
  <c r="AA14" i="50"/>
  <c r="R15" i="50"/>
  <c r="S15" i="50"/>
  <c r="V15" i="50"/>
  <c r="Q16" i="50"/>
  <c r="R16" i="50"/>
  <c r="S16" i="50"/>
  <c r="R17" i="50"/>
  <c r="S17" i="50"/>
  <c r="Q18" i="50"/>
  <c r="R18" i="50"/>
  <c r="S18" i="50"/>
  <c r="R19" i="50"/>
  <c r="S19" i="50"/>
  <c r="Q20" i="50"/>
  <c r="R20" i="50"/>
  <c r="S20" i="50"/>
  <c r="R21" i="50"/>
  <c r="S21" i="50"/>
  <c r="Q22" i="50"/>
  <c r="R22" i="50"/>
  <c r="S22" i="50"/>
  <c r="V22" i="50"/>
  <c r="R23" i="50"/>
  <c r="S23" i="50"/>
  <c r="Q24" i="50"/>
  <c r="R24" i="50"/>
  <c r="S24" i="50"/>
  <c r="R25" i="50"/>
  <c r="S25" i="50"/>
  <c r="Q26" i="50"/>
  <c r="R26" i="50"/>
  <c r="S26" i="50"/>
  <c r="AA26" i="50"/>
  <c r="Q27" i="50"/>
  <c r="R27" i="50"/>
  <c r="S27" i="50"/>
  <c r="Q28" i="50"/>
  <c r="S28" i="50"/>
  <c r="Q29" i="50"/>
  <c r="R29" i="50"/>
  <c r="S29" i="50"/>
  <c r="U29" i="50"/>
  <c r="Q30" i="50"/>
  <c r="S30" i="50"/>
  <c r="Q31" i="50"/>
  <c r="R31" i="50"/>
  <c r="S31" i="50"/>
  <c r="AA31" i="50"/>
  <c r="O32" i="50"/>
  <c r="O33" i="50"/>
  <c r="O34" i="50"/>
  <c r="R34" i="50"/>
  <c r="Q34" i="50"/>
  <c r="S34" i="50"/>
  <c r="O35" i="50"/>
  <c r="R35" i="50" s="1"/>
  <c r="S35" i="50"/>
  <c r="Q36" i="50"/>
  <c r="S36" i="50"/>
  <c r="Q37" i="50"/>
  <c r="R37" i="50"/>
  <c r="S37" i="50"/>
  <c r="Q38" i="50"/>
  <c r="S38" i="50"/>
  <c r="Q39" i="50"/>
  <c r="R39" i="50"/>
  <c r="S39" i="50"/>
  <c r="Q40" i="50"/>
  <c r="S40" i="50"/>
  <c r="Q41" i="50"/>
  <c r="R41" i="50"/>
  <c r="S41" i="50"/>
  <c r="Q42" i="50"/>
  <c r="S42" i="50"/>
  <c r="Q43" i="50"/>
  <c r="R43" i="50"/>
  <c r="S43" i="50"/>
  <c r="Q44" i="50"/>
  <c r="S44" i="50"/>
  <c r="Q45" i="50"/>
  <c r="R45" i="50"/>
  <c r="S45" i="50"/>
  <c r="Q46" i="50"/>
  <c r="S46" i="50"/>
  <c r="Q47" i="50"/>
  <c r="R47" i="50"/>
  <c r="S47" i="50"/>
  <c r="Q48" i="50"/>
  <c r="S48" i="50"/>
  <c r="Q49" i="50"/>
  <c r="R49" i="50"/>
  <c r="S49" i="50"/>
  <c r="V49" i="50"/>
  <c r="AA49" i="50"/>
  <c r="R50" i="50"/>
  <c r="S50" i="50"/>
  <c r="Q51" i="50"/>
  <c r="R51" i="50"/>
  <c r="S51" i="50"/>
  <c r="R52" i="50"/>
  <c r="S52" i="50"/>
  <c r="Q53" i="50"/>
  <c r="R53" i="50"/>
  <c r="S53" i="50"/>
  <c r="R54" i="50"/>
  <c r="S54" i="50"/>
  <c r="Q55" i="50"/>
  <c r="R55" i="50"/>
  <c r="S55" i="50"/>
  <c r="R56" i="50"/>
  <c r="S56" i="50"/>
  <c r="Q57" i="50"/>
  <c r="R57" i="50"/>
  <c r="S57" i="50"/>
  <c r="R58" i="50"/>
  <c r="S58" i="50"/>
  <c r="AA58" i="50"/>
  <c r="Q59" i="50"/>
  <c r="S59" i="50"/>
  <c r="U59" i="50"/>
  <c r="V59" i="50"/>
  <c r="Q60" i="50"/>
  <c r="R60" i="50"/>
  <c r="S60" i="50"/>
  <c r="Q61" i="50"/>
  <c r="S61" i="50"/>
  <c r="Q62" i="50"/>
  <c r="R62" i="50"/>
  <c r="S62" i="50"/>
  <c r="Q63" i="50"/>
  <c r="S63" i="50"/>
  <c r="U63" i="50"/>
  <c r="Q64" i="50"/>
  <c r="R64" i="50"/>
  <c r="S64" i="50"/>
  <c r="AA64" i="50"/>
  <c r="E65" i="50"/>
  <c r="Q65" i="50"/>
  <c r="R65" i="50"/>
  <c r="S65" i="50"/>
  <c r="Q66" i="50"/>
  <c r="S66" i="50"/>
  <c r="U66" i="50"/>
  <c r="V66" i="50"/>
  <c r="G6" i="35"/>
  <c r="I6" i="35"/>
  <c r="L6" i="35" s="1"/>
  <c r="J6" i="35"/>
  <c r="K6" i="35"/>
  <c r="G7" i="35"/>
  <c r="I7" i="35"/>
  <c r="J7" i="35"/>
  <c r="K7" i="35"/>
  <c r="L7" i="35"/>
  <c r="G8" i="35"/>
  <c r="I8" i="35"/>
  <c r="J8" i="35"/>
  <c r="K8" i="35"/>
  <c r="L8" i="35"/>
  <c r="G9" i="35"/>
  <c r="I9" i="35"/>
  <c r="J9" i="35"/>
  <c r="L9" i="35" s="1"/>
  <c r="K9" i="35"/>
  <c r="I10" i="35"/>
  <c r="J10" i="35"/>
  <c r="K10" i="35"/>
  <c r="G13" i="35"/>
  <c r="I13" i="35"/>
  <c r="J13" i="35"/>
  <c r="L13" i="35" s="1"/>
  <c r="K13" i="35"/>
  <c r="G14" i="35"/>
  <c r="I14" i="35" s="1"/>
  <c r="L14" i="35" s="1"/>
  <c r="J14" i="35"/>
  <c r="K14" i="35"/>
  <c r="G15" i="35"/>
  <c r="I15" i="35" s="1"/>
  <c r="L15" i="35" s="1"/>
  <c r="J15" i="35"/>
  <c r="K15" i="35"/>
  <c r="G16" i="35"/>
  <c r="I16" i="35" s="1"/>
  <c r="J16" i="35"/>
  <c r="K16" i="35"/>
  <c r="I17" i="35"/>
  <c r="L17" i="35"/>
  <c r="J17" i="35"/>
  <c r="K17" i="35"/>
  <c r="I20" i="35"/>
  <c r="J20" i="35"/>
  <c r="I21" i="35"/>
  <c r="J21" i="35"/>
  <c r="I22" i="35"/>
  <c r="L22" i="35" s="1"/>
  <c r="J22" i="35"/>
  <c r="I23" i="35"/>
  <c r="J23" i="35"/>
  <c r="G24" i="35"/>
  <c r="I24" i="35"/>
  <c r="L24" i="35" s="1"/>
  <c r="J24" i="35"/>
  <c r="I25" i="35"/>
  <c r="L25" i="35" s="1"/>
  <c r="J25" i="35"/>
  <c r="I28" i="35"/>
  <c r="L28" i="35" s="1"/>
  <c r="J28" i="35"/>
  <c r="I29" i="35"/>
  <c r="L29" i="35" s="1"/>
  <c r="J29" i="35"/>
  <c r="I30" i="35"/>
  <c r="L30" i="35" s="1"/>
  <c r="J30" i="35"/>
  <c r="I31" i="35"/>
  <c r="L31" i="35" s="1"/>
  <c r="J31" i="35"/>
  <c r="G32" i="35"/>
  <c r="I32" i="35"/>
  <c r="L32" i="35"/>
  <c r="J32" i="35"/>
  <c r="I33" i="35"/>
  <c r="L33" i="35" s="1"/>
  <c r="J33" i="35"/>
  <c r="I36" i="35"/>
  <c r="L36" i="35" s="1"/>
  <c r="I37" i="35"/>
  <c r="L37" i="35"/>
  <c r="I42" i="35"/>
  <c r="L42" i="35" s="1"/>
  <c r="I43" i="35"/>
  <c r="L43" i="35" s="1"/>
  <c r="H48" i="35"/>
  <c r="I50" i="35"/>
  <c r="J50" i="35"/>
  <c r="K50" i="35"/>
  <c r="N50" i="35"/>
  <c r="I51" i="35"/>
  <c r="L51" i="35"/>
  <c r="J51" i="35"/>
  <c r="K51" i="35"/>
  <c r="N51" i="35"/>
  <c r="E52" i="35"/>
  <c r="I57" i="35"/>
  <c r="J57" i="35"/>
  <c r="K57" i="35"/>
  <c r="N57" i="35"/>
  <c r="I58" i="35"/>
  <c r="J58" i="35"/>
  <c r="K58" i="35"/>
  <c r="L58" i="35"/>
  <c r="N58" i="35"/>
  <c r="E59" i="35"/>
  <c r="E60" i="35"/>
  <c r="F58" i="35" s="1"/>
  <c r="I81" i="35"/>
  <c r="L81" i="35" s="1"/>
  <c r="J81" i="35"/>
  <c r="K81" i="35"/>
  <c r="I84" i="35"/>
  <c r="J84" i="35"/>
  <c r="K84" i="35"/>
  <c r="I89" i="35"/>
  <c r="J89" i="35"/>
  <c r="L89" i="35" s="1"/>
  <c r="K89" i="35"/>
  <c r="I90" i="35"/>
  <c r="J90" i="35"/>
  <c r="K90" i="35"/>
  <c r="I94" i="35"/>
  <c r="I96" i="35" s="1"/>
  <c r="J94" i="35"/>
  <c r="K94" i="35"/>
  <c r="I95" i="35"/>
  <c r="J95" i="35"/>
  <c r="L95" i="35"/>
  <c r="K95" i="35"/>
  <c r="I102" i="35"/>
  <c r="L102" i="35" s="1"/>
  <c r="I103" i="35"/>
  <c r="L103" i="35" s="1"/>
  <c r="I104" i="35"/>
  <c r="L104" i="35"/>
  <c r="I105" i="35"/>
  <c r="L105" i="35"/>
  <c r="I106" i="35"/>
  <c r="J106" i="35"/>
  <c r="K106" i="35"/>
  <c r="I107" i="35"/>
  <c r="J107" i="35"/>
  <c r="K107" i="35"/>
  <c r="I108" i="35"/>
  <c r="L108" i="35" s="1"/>
  <c r="J108" i="35"/>
  <c r="K108" i="35"/>
  <c r="I109" i="35"/>
  <c r="L109" i="35" s="1"/>
  <c r="J109" i="35"/>
  <c r="K109" i="35"/>
  <c r="I110" i="35"/>
  <c r="L110" i="35" s="1"/>
  <c r="J110" i="35"/>
  <c r="K110" i="35"/>
  <c r="I111" i="35"/>
  <c r="J111" i="35"/>
  <c r="K111" i="35"/>
  <c r="I112" i="35"/>
  <c r="J112" i="35"/>
  <c r="L112" i="35"/>
  <c r="K112" i="35"/>
  <c r="I119" i="35"/>
  <c r="L119" i="35" s="1"/>
  <c r="I120" i="35"/>
  <c r="L120" i="35" s="1"/>
  <c r="I121" i="35"/>
  <c r="L121" i="35"/>
  <c r="I122" i="35"/>
  <c r="L122" i="35"/>
  <c r="I123" i="35"/>
  <c r="L123" i="35" s="1"/>
  <c r="J123" i="35"/>
  <c r="K123" i="35"/>
  <c r="I124" i="35"/>
  <c r="L124" i="35"/>
  <c r="J124" i="35"/>
  <c r="K124" i="35"/>
  <c r="I125" i="35"/>
  <c r="J125" i="35"/>
  <c r="L125" i="35" s="1"/>
  <c r="K125" i="35"/>
  <c r="I126" i="35"/>
  <c r="L126" i="35"/>
  <c r="J126" i="35"/>
  <c r="K126" i="35"/>
  <c r="I127" i="35"/>
  <c r="L127" i="35" s="1"/>
  <c r="J127" i="35"/>
  <c r="K127" i="35"/>
  <c r="I128" i="35"/>
  <c r="L128" i="35"/>
  <c r="J128" i="35"/>
  <c r="K128" i="35"/>
  <c r="I129" i="35"/>
  <c r="L129" i="35" s="1"/>
  <c r="J129" i="35"/>
  <c r="K129" i="35"/>
  <c r="I130" i="35"/>
  <c r="I135" i="35"/>
  <c r="L135" i="35" s="1"/>
  <c r="K135" i="35"/>
  <c r="I136" i="35"/>
  <c r="K136" i="35"/>
  <c r="I137" i="35"/>
  <c r="L137" i="35" s="1"/>
  <c r="K137" i="35"/>
  <c r="I138" i="35"/>
  <c r="K138" i="35"/>
  <c r="I139" i="35"/>
  <c r="L139" i="35" s="1"/>
  <c r="K139" i="35"/>
  <c r="I140" i="35"/>
  <c r="K140" i="35"/>
  <c r="I141" i="35"/>
  <c r="L141" i="35"/>
  <c r="K141" i="35"/>
  <c r="I142" i="35"/>
  <c r="K142" i="35"/>
  <c r="I143" i="35"/>
  <c r="L143" i="35"/>
  <c r="K143" i="35"/>
  <c r="I144" i="35"/>
  <c r="J144" i="35"/>
  <c r="L144" i="35" s="1"/>
  <c r="K144" i="35"/>
  <c r="I145" i="35"/>
  <c r="L145" i="35" s="1"/>
  <c r="J145" i="35"/>
  <c r="K145" i="35"/>
  <c r="I146" i="35"/>
  <c r="J146" i="35"/>
  <c r="L146" i="35" s="1"/>
  <c r="K146" i="35"/>
  <c r="I147" i="35"/>
  <c r="L147" i="35" s="1"/>
  <c r="J147" i="35"/>
  <c r="K147" i="35"/>
  <c r="I148" i="35"/>
  <c r="J148" i="35"/>
  <c r="L148" i="35" s="1"/>
  <c r="K148" i="35"/>
  <c r="G149" i="35"/>
  <c r="I154" i="35"/>
  <c r="K154" i="35"/>
  <c r="L154" i="35" s="1"/>
  <c r="I155" i="35"/>
  <c r="L155" i="35"/>
  <c r="K155" i="35"/>
  <c r="I156" i="35"/>
  <c r="L156" i="35" s="1"/>
  <c r="K156" i="35"/>
  <c r="I157" i="35"/>
  <c r="L157" i="35" s="1"/>
  <c r="K157" i="35"/>
  <c r="I158" i="35"/>
  <c r="L158" i="35" s="1"/>
  <c r="K158" i="35"/>
  <c r="I159" i="35"/>
  <c r="L159" i="35" s="1"/>
  <c r="K159" i="35"/>
  <c r="I160" i="35"/>
  <c r="K160" i="35"/>
  <c r="L160" i="35"/>
  <c r="I161" i="35"/>
  <c r="L161" i="35" s="1"/>
  <c r="K161" i="35"/>
  <c r="I162" i="35"/>
  <c r="L162" i="35"/>
  <c r="K162" i="35"/>
  <c r="I163" i="35"/>
  <c r="L163" i="35"/>
  <c r="J163" i="35"/>
  <c r="K163" i="35"/>
  <c r="I164" i="35"/>
  <c r="J164" i="35"/>
  <c r="L164" i="35"/>
  <c r="K164" i="35"/>
  <c r="I165" i="35"/>
  <c r="I168" i="35" s="1"/>
  <c r="L165" i="35"/>
  <c r="J165" i="35"/>
  <c r="K165" i="35"/>
  <c r="I166" i="35"/>
  <c r="J166" i="35"/>
  <c r="L166" i="35"/>
  <c r="K166" i="35"/>
  <c r="I167" i="35"/>
  <c r="L167" i="35"/>
  <c r="J167" i="35"/>
  <c r="K167" i="35"/>
  <c r="G168" i="35"/>
  <c r="I176" i="35"/>
  <c r="L176" i="35" s="1"/>
  <c r="K176" i="35"/>
  <c r="I177" i="35"/>
  <c r="L177" i="35" s="1"/>
  <c r="I178" i="35"/>
  <c r="L178" i="35" s="1"/>
  <c r="I179" i="35"/>
  <c r="L179" i="35"/>
  <c r="I180" i="35"/>
  <c r="L180" i="35" s="1"/>
  <c r="I181" i="35"/>
  <c r="L181" i="35" s="1"/>
  <c r="I185" i="35"/>
  <c r="L185" i="35" s="1"/>
  <c r="I186" i="35"/>
  <c r="L186" i="35"/>
  <c r="I187" i="35"/>
  <c r="L187" i="35" s="1"/>
  <c r="I188" i="35"/>
  <c r="L188" i="35" s="1"/>
  <c r="I192" i="35"/>
  <c r="I195" i="35" s="1"/>
  <c r="K192" i="35"/>
  <c r="I193" i="35"/>
  <c r="L193" i="35"/>
  <c r="K193" i="35"/>
  <c r="I194" i="35"/>
  <c r="K194" i="35"/>
  <c r="I197" i="35"/>
  <c r="L197" i="35" s="1"/>
  <c r="K197" i="35"/>
  <c r="I198" i="35"/>
  <c r="L198" i="35" s="1"/>
  <c r="K198" i="35"/>
  <c r="I199" i="35"/>
  <c r="L199" i="35" s="1"/>
  <c r="K199" i="35"/>
  <c r="I202" i="35"/>
  <c r="J202" i="35"/>
  <c r="L202" i="35" s="1"/>
  <c r="K202" i="35"/>
  <c r="I203" i="35"/>
  <c r="L203" i="35" s="1"/>
  <c r="J203" i="35"/>
  <c r="K203" i="35"/>
  <c r="I204" i="35"/>
  <c r="J204" i="35"/>
  <c r="L204" i="35" s="1"/>
  <c r="K204" i="35"/>
  <c r="I205" i="35"/>
  <c r="L205" i="35" s="1"/>
  <c r="J205" i="35"/>
  <c r="K205" i="35"/>
  <c r="I206" i="35"/>
  <c r="J206" i="35"/>
  <c r="L206" i="35" s="1"/>
  <c r="K206" i="35"/>
  <c r="I210" i="35"/>
  <c r="L210" i="35" s="1"/>
  <c r="J210" i="35"/>
  <c r="K210" i="35"/>
  <c r="I211" i="35"/>
  <c r="J211" i="35"/>
  <c r="K211" i="35"/>
  <c r="I212" i="35"/>
  <c r="L212" i="35" s="1"/>
  <c r="J212" i="35"/>
  <c r="K212" i="35"/>
  <c r="I213" i="35"/>
  <c r="L213" i="35"/>
  <c r="J213" i="35"/>
  <c r="K213" i="35"/>
  <c r="I214" i="35"/>
  <c r="L214" i="35" s="1"/>
  <c r="J214" i="35"/>
  <c r="K214" i="35"/>
  <c r="I218" i="35"/>
  <c r="J218" i="35"/>
  <c r="L218" i="35" s="1"/>
  <c r="I219" i="35"/>
  <c r="J219" i="35"/>
  <c r="I220" i="35"/>
  <c r="L220" i="35" s="1"/>
  <c r="J220" i="35"/>
  <c r="I221" i="35"/>
  <c r="L221" i="35" s="1"/>
  <c r="J221" i="35"/>
  <c r="I222" i="35"/>
  <c r="I225" i="35"/>
  <c r="L225" i="35"/>
  <c r="J225" i="35"/>
  <c r="I226" i="35"/>
  <c r="J226" i="35"/>
  <c r="L226" i="35" s="1"/>
  <c r="I227" i="35"/>
  <c r="J227" i="35"/>
  <c r="L227" i="35" s="1"/>
  <c r="I228" i="35"/>
  <c r="L228" i="35" s="1"/>
  <c r="J228" i="35"/>
  <c r="I229" i="35"/>
  <c r="M238" i="35"/>
  <c r="N250" i="35"/>
  <c r="M270" i="35"/>
  <c r="G271" i="35"/>
  <c r="K301" i="35"/>
  <c r="L301" i="35"/>
  <c r="N302" i="35"/>
  <c r="O302" i="35"/>
  <c r="P302" i="35"/>
  <c r="Q302" i="35"/>
  <c r="R302" i="35"/>
  <c r="S302" i="35"/>
  <c r="M304" i="35"/>
  <c r="M305" i="35" s="1"/>
  <c r="E4" i="34"/>
  <c r="G4" i="34"/>
  <c r="I4" i="34"/>
  <c r="E5" i="34"/>
  <c r="G5" i="34"/>
  <c r="I5" i="34"/>
  <c r="J5" i="34"/>
  <c r="E6" i="34"/>
  <c r="G6" i="34"/>
  <c r="H6" i="34"/>
  <c r="I6" i="34"/>
  <c r="E7" i="34"/>
  <c r="G7" i="34"/>
  <c r="I7" i="34"/>
  <c r="J7" i="34"/>
  <c r="E8" i="34"/>
  <c r="G8" i="34"/>
  <c r="I8" i="34"/>
  <c r="E13" i="34"/>
  <c r="F13" i="34"/>
  <c r="G13" i="34"/>
  <c r="I13" i="34"/>
  <c r="D14" i="34"/>
  <c r="F14" i="34" s="1"/>
  <c r="E15" i="34"/>
  <c r="F15" i="34"/>
  <c r="G15" i="34"/>
  <c r="F16" i="34"/>
  <c r="G16" i="34"/>
  <c r="E17" i="34"/>
  <c r="F17" i="34"/>
  <c r="G17" i="34"/>
  <c r="D22" i="34"/>
  <c r="F22" i="34" s="1"/>
  <c r="I3" i="4"/>
  <c r="K3" i="4"/>
  <c r="I4" i="4"/>
  <c r="K4" i="4"/>
  <c r="I5" i="4"/>
  <c r="K5" i="4"/>
  <c r="M5" i="4" s="1"/>
  <c r="I6" i="4"/>
  <c r="K6" i="4"/>
  <c r="M6" i="4"/>
  <c r="I7" i="4"/>
  <c r="K7" i="4"/>
  <c r="I8" i="4"/>
  <c r="K8" i="4"/>
  <c r="N8" i="4" s="1"/>
  <c r="U8" i="4"/>
  <c r="J9" i="4"/>
  <c r="K9" i="4"/>
  <c r="K10" i="4"/>
  <c r="I11" i="4"/>
  <c r="K11" i="4"/>
  <c r="D3" i="87" s="1"/>
  <c r="I12" i="4"/>
  <c r="K12" i="4"/>
  <c r="M12" i="4" s="1"/>
  <c r="K13" i="4"/>
  <c r="I14" i="4"/>
  <c r="K14" i="4"/>
  <c r="N14" i="4"/>
  <c r="I15" i="4"/>
  <c r="K15" i="4"/>
  <c r="I16" i="4"/>
  <c r="K16" i="4"/>
  <c r="I17" i="4"/>
  <c r="K17" i="4"/>
  <c r="I18" i="4"/>
  <c r="K18" i="4"/>
  <c r="M18" i="4" s="1"/>
  <c r="J19" i="4"/>
  <c r="K19" i="4"/>
  <c r="I20" i="4"/>
  <c r="K20" i="4"/>
  <c r="N20" i="4" s="1"/>
  <c r="I21" i="4"/>
  <c r="K21" i="4"/>
  <c r="I22" i="4"/>
  <c r="I23" i="4"/>
  <c r="K23" i="4"/>
  <c r="I25" i="4"/>
  <c r="K25" i="4"/>
  <c r="I26" i="4"/>
  <c r="K26" i="4"/>
  <c r="I27" i="4"/>
  <c r="K27" i="4"/>
  <c r="L27" i="4" s="1"/>
  <c r="M27" i="4"/>
  <c r="I28" i="4"/>
  <c r="K28" i="4"/>
  <c r="M28" i="4"/>
  <c r="I29" i="4"/>
  <c r="K31" i="4"/>
  <c r="N31" i="4"/>
  <c r="K32" i="4"/>
  <c r="M32" i="4" s="1"/>
  <c r="I33" i="4"/>
  <c r="K33" i="4"/>
  <c r="N33" i="4" s="1"/>
  <c r="M33" i="4"/>
  <c r="K34" i="4"/>
  <c r="K35" i="4"/>
  <c r="I36" i="4"/>
  <c r="P36" i="4"/>
  <c r="I37" i="4"/>
  <c r="K37" i="4"/>
  <c r="K38" i="4"/>
  <c r="P38" i="4"/>
  <c r="I39" i="4"/>
  <c r="I40" i="4"/>
  <c r="K40" i="4"/>
  <c r="K41" i="4"/>
  <c r="P41" i="4" s="1"/>
  <c r="Q41" i="4"/>
  <c r="K42" i="4"/>
  <c r="I43" i="4"/>
  <c r="K43" i="4"/>
  <c r="I44" i="4"/>
  <c r="I45" i="4"/>
  <c r="K45" i="4"/>
  <c r="I46" i="4"/>
  <c r="K46" i="4"/>
  <c r="K47" i="4"/>
  <c r="N47" i="4"/>
  <c r="P47" i="4"/>
  <c r="I48" i="4"/>
  <c r="I50" i="4"/>
  <c r="I63" i="4"/>
  <c r="K63" i="4"/>
  <c r="N63" i="4"/>
  <c r="D25" i="87"/>
  <c r="E25" i="87"/>
  <c r="W70" i="92" s="1"/>
  <c r="F25" i="87"/>
  <c r="X70" i="92" s="1"/>
  <c r="G25" i="87"/>
  <c r="H25" i="87"/>
  <c r="I25" i="87"/>
  <c r="AB38" i="94" s="1"/>
  <c r="J25" i="87"/>
  <c r="AC38" i="94" s="1"/>
  <c r="K25" i="87"/>
  <c r="L25" i="87"/>
  <c r="AE38" i="94" s="1"/>
  <c r="E1464" i="18"/>
  <c r="B4" i="31" s="1"/>
  <c r="E1465" i="18"/>
  <c r="B5" i="31" s="1"/>
  <c r="E148" i="27" s="1"/>
  <c r="J148" i="27"/>
  <c r="N148" i="27" s="1"/>
  <c r="O1591" i="18"/>
  <c r="D4" i="31" s="1"/>
  <c r="O1592" i="18"/>
  <c r="T1830" i="18"/>
  <c r="E4" i="31" s="1"/>
  <c r="T1831" i="18"/>
  <c r="E5" i="31"/>
  <c r="E142" i="27" s="1"/>
  <c r="J142" i="27" s="1"/>
  <c r="Y3999" i="18"/>
  <c r="F4" i="31" s="1"/>
  <c r="J9259" i="18"/>
  <c r="C4" i="31" s="1"/>
  <c r="J9260" i="18"/>
  <c r="C5" i="31" s="1"/>
  <c r="E143" i="27" s="1"/>
  <c r="J143" i="27" s="1"/>
  <c r="Q143" i="27" s="1"/>
  <c r="D5" i="31"/>
  <c r="F5" i="31"/>
  <c r="F6" i="27"/>
  <c r="F7" i="27"/>
  <c r="F8" i="27"/>
  <c r="F12" i="27"/>
  <c r="F15" i="27"/>
  <c r="F13" i="27"/>
  <c r="F20" i="27"/>
  <c r="F21" i="27"/>
  <c r="F22" i="27"/>
  <c r="F23" i="27"/>
  <c r="F27" i="27"/>
  <c r="F28" i="27"/>
  <c r="F29" i="27"/>
  <c r="E34" i="27"/>
  <c r="F34" i="27" s="1"/>
  <c r="E35" i="27"/>
  <c r="F35" i="27" s="1"/>
  <c r="E36" i="27"/>
  <c r="F36" i="27"/>
  <c r="E37" i="27"/>
  <c r="F37" i="27" s="1"/>
  <c r="E38" i="27"/>
  <c r="F38" i="27" s="1"/>
  <c r="F39" i="27"/>
  <c r="E40" i="27"/>
  <c r="F40" i="27" s="1"/>
  <c r="E41" i="27"/>
  <c r="F41" i="27" s="1"/>
  <c r="E42" i="27"/>
  <c r="F42" i="27"/>
  <c r="F43" i="27"/>
  <c r="F44" i="27"/>
  <c r="F45" i="27"/>
  <c r="F46" i="27"/>
  <c r="F47" i="27"/>
  <c r="F48" i="27"/>
  <c r="F49" i="27"/>
  <c r="F54" i="27"/>
  <c r="E55" i="27"/>
  <c r="F55" i="27"/>
  <c r="D60" i="27"/>
  <c r="F60" i="27" s="1"/>
  <c r="D61" i="27"/>
  <c r="F61" i="27"/>
  <c r="F62" i="27"/>
  <c r="E66" i="27"/>
  <c r="F66" i="27" s="1"/>
  <c r="E67" i="27"/>
  <c r="F67" i="27"/>
  <c r="E68" i="27"/>
  <c r="F68" i="27" s="1"/>
  <c r="F69" i="27"/>
  <c r="D74" i="27"/>
  <c r="F74" i="27"/>
  <c r="D75" i="27"/>
  <c r="F75" i="27" s="1"/>
  <c r="F81" i="27"/>
  <c r="E85" i="27"/>
  <c r="F85" i="27" s="1"/>
  <c r="F91" i="27"/>
  <c r="E92" i="27"/>
  <c r="F92" i="27"/>
  <c r="F93" i="27"/>
  <c r="E98" i="27"/>
  <c r="F98" i="27"/>
  <c r="E99" i="27"/>
  <c r="F99" i="27" s="1"/>
  <c r="D100" i="27"/>
  <c r="E101" i="27"/>
  <c r="F101" i="27"/>
  <c r="F108" i="27"/>
  <c r="F109" i="27"/>
  <c r="F110" i="27"/>
  <c r="E111" i="27"/>
  <c r="F111" i="27" s="1"/>
  <c r="E112" i="27"/>
  <c r="F112" i="27" s="1"/>
  <c r="E117" i="27"/>
  <c r="F117" i="27" s="1"/>
  <c r="F118" i="27"/>
  <c r="E119" i="27"/>
  <c r="F119" i="27" s="1"/>
  <c r="F122" i="27" s="1"/>
  <c r="E120" i="27"/>
  <c r="F120" i="27"/>
  <c r="F121" i="27"/>
  <c r="E126" i="27"/>
  <c r="F126" i="27" s="1"/>
  <c r="E127" i="27"/>
  <c r="F127" i="27"/>
  <c r="E128" i="27"/>
  <c r="F128" i="27" s="1"/>
  <c r="E129" i="27"/>
  <c r="F129" i="27" s="1"/>
  <c r="F130" i="27"/>
  <c r="D131" i="27"/>
  <c r="E134" i="27"/>
  <c r="F134" i="27"/>
  <c r="E135" i="27"/>
  <c r="F135" i="27" s="1"/>
  <c r="H136" i="27"/>
  <c r="J138" i="27"/>
  <c r="E144" i="27"/>
  <c r="J144" i="27" s="1"/>
  <c r="E145" i="27"/>
  <c r="J145" i="27"/>
  <c r="E146" i="27"/>
  <c r="J146" i="27" s="1"/>
  <c r="E147" i="27"/>
  <c r="J147" i="27" s="1"/>
  <c r="E25" i="73"/>
  <c r="V49" i="92" s="1"/>
  <c r="F25" i="73"/>
  <c r="W49" i="81" s="1"/>
  <c r="G25" i="73"/>
  <c r="X49" i="92" s="1"/>
  <c r="H25" i="73"/>
  <c r="Y49" i="92" s="1"/>
  <c r="I25" i="73"/>
  <c r="Z49" i="81"/>
  <c r="Z49" i="92"/>
  <c r="J25" i="73"/>
  <c r="K25" i="73"/>
  <c r="AB49" i="92" s="1"/>
  <c r="L25" i="73"/>
  <c r="AC49" i="92" s="1"/>
  <c r="M25" i="73"/>
  <c r="AD49" i="81"/>
  <c r="AD49" i="92"/>
  <c r="M26" i="73"/>
  <c r="D3" i="76"/>
  <c r="F3" i="76"/>
  <c r="I3" i="76"/>
  <c r="D4" i="76"/>
  <c r="E4" i="76"/>
  <c r="F4" i="76"/>
  <c r="D5" i="76"/>
  <c r="F5" i="76"/>
  <c r="D6" i="76"/>
  <c r="E6" i="76"/>
  <c r="F6" i="76"/>
  <c r="D7" i="76"/>
  <c r="F7" i="76"/>
  <c r="I7" i="76"/>
  <c r="D8" i="76"/>
  <c r="E8" i="76"/>
  <c r="F8" i="76"/>
  <c r="D9" i="76"/>
  <c r="F9" i="76"/>
  <c r="D10" i="76"/>
  <c r="E10" i="76"/>
  <c r="F10" i="76"/>
  <c r="D11" i="76"/>
  <c r="L11" i="76" s="1"/>
  <c r="E11" i="76"/>
  <c r="F11" i="76"/>
  <c r="D12" i="76"/>
  <c r="E12" i="76"/>
  <c r="F12" i="76"/>
  <c r="E13" i="76"/>
  <c r="F13" i="76"/>
  <c r="D14" i="76"/>
  <c r="E14" i="76"/>
  <c r="F14" i="76"/>
  <c r="E15" i="76"/>
  <c r="F15" i="76"/>
  <c r="D16" i="76"/>
  <c r="E16" i="76"/>
  <c r="F16" i="76"/>
  <c r="E17" i="76"/>
  <c r="F17" i="76"/>
  <c r="D18" i="76"/>
  <c r="E18" i="76"/>
  <c r="F18" i="76"/>
  <c r="F19" i="76"/>
  <c r="G19" i="76"/>
  <c r="H19" i="76"/>
  <c r="I19" i="76"/>
  <c r="D20" i="76"/>
  <c r="F20" i="76"/>
  <c r="G20" i="76"/>
  <c r="H20" i="76"/>
  <c r="I20" i="76"/>
  <c r="C21" i="76"/>
  <c r="D22" i="76"/>
  <c r="L22" i="76" s="1"/>
  <c r="E22" i="76"/>
  <c r="I22" i="76"/>
  <c r="D23" i="76"/>
  <c r="F23" i="76"/>
  <c r="H23" i="76"/>
  <c r="I23" i="76"/>
  <c r="K23" i="76"/>
  <c r="D24" i="76"/>
  <c r="E24" i="76"/>
  <c r="F24" i="76"/>
  <c r="H24" i="76"/>
  <c r="I24" i="76"/>
  <c r="J24" i="76"/>
  <c r="D25" i="76"/>
  <c r="F25" i="76"/>
  <c r="H25" i="76"/>
  <c r="I25" i="76"/>
  <c r="D26" i="76"/>
  <c r="E26" i="76"/>
  <c r="F26" i="76"/>
  <c r="H26" i="76"/>
  <c r="I26" i="76"/>
  <c r="D27" i="76"/>
  <c r="E3" i="77" s="1"/>
  <c r="E27" i="76"/>
  <c r="F3" i="77" s="1"/>
  <c r="F27" i="76"/>
  <c r="G3" i="77"/>
  <c r="H27" i="76"/>
  <c r="I3" i="77" s="1"/>
  <c r="I27" i="76"/>
  <c r="J3" i="77" s="1"/>
  <c r="K27" i="76"/>
  <c r="L3" i="77" s="1"/>
  <c r="L36" i="76"/>
  <c r="T36" i="76"/>
  <c r="R36" i="76"/>
  <c r="S36" i="76"/>
  <c r="U36" i="76"/>
  <c r="V36" i="76"/>
  <c r="W36" i="76"/>
  <c r="X36" i="76"/>
  <c r="Y36" i="76"/>
  <c r="I37" i="76"/>
  <c r="R37" i="76"/>
  <c r="AE37" i="76" s="1"/>
  <c r="AM37" i="76" s="1"/>
  <c r="L37" i="76"/>
  <c r="T37" i="76" s="1"/>
  <c r="V37" i="76"/>
  <c r="AI37" i="76" s="1"/>
  <c r="AQ37" i="76" s="1"/>
  <c r="W37" i="76"/>
  <c r="AC37" i="76"/>
  <c r="L38" i="76"/>
  <c r="T38" i="76" s="1"/>
  <c r="R38" i="76"/>
  <c r="AE38" i="76"/>
  <c r="AD38" i="76" s="1"/>
  <c r="S38" i="76"/>
  <c r="AF38" i="76" s="1"/>
  <c r="U38" i="76"/>
  <c r="AH38" i="76"/>
  <c r="AP38" i="76"/>
  <c r="V38" i="76"/>
  <c r="AI38" i="76"/>
  <c r="AQ38" i="76" s="1"/>
  <c r="W38" i="76"/>
  <c r="X38" i="76"/>
  <c r="Y38" i="76"/>
  <c r="AC38" i="76"/>
  <c r="I39" i="76"/>
  <c r="R39" i="76" s="1"/>
  <c r="X39" i="76"/>
  <c r="L39" i="76"/>
  <c r="I40" i="76"/>
  <c r="S40" i="76" s="1"/>
  <c r="AF40" i="76" s="1"/>
  <c r="L40" i="76"/>
  <c r="T40" i="76" s="1"/>
  <c r="X40" i="76"/>
  <c r="AC40" i="76"/>
  <c r="B41" i="76"/>
  <c r="C41" i="76"/>
  <c r="G41" i="76"/>
  <c r="I41" i="76"/>
  <c r="D58" i="76"/>
  <c r="H58" i="76" s="1"/>
  <c r="L59" i="76"/>
  <c r="L63" i="76" s="1"/>
  <c r="E62" i="76"/>
  <c r="H62" i="76"/>
  <c r="D64" i="76"/>
  <c r="E64" i="76" s="1"/>
  <c r="H64" i="76" s="1"/>
  <c r="E67" i="76"/>
  <c r="H67" i="76" s="1"/>
  <c r="E74" i="76"/>
  <c r="H74" i="76" s="1"/>
  <c r="E46" i="76"/>
  <c r="M46" i="76" s="1"/>
  <c r="F46" i="76"/>
  <c r="N46" i="76"/>
  <c r="G46" i="76"/>
  <c r="H46" i="76"/>
  <c r="P46" i="76" s="1"/>
  <c r="P51" i="76" s="1"/>
  <c r="I46" i="76"/>
  <c r="Q46" i="76"/>
  <c r="J46" i="76"/>
  <c r="R46" i="76" s="1"/>
  <c r="L46" i="76"/>
  <c r="T46" i="76" s="1"/>
  <c r="S46" i="76"/>
  <c r="S51" i="76" s="1"/>
  <c r="C47" i="76"/>
  <c r="D47" i="76"/>
  <c r="E47" i="76"/>
  <c r="F47" i="76"/>
  <c r="G47" i="76"/>
  <c r="H47" i="76"/>
  <c r="P47" i="76" s="1"/>
  <c r="I47" i="76"/>
  <c r="J47" i="76"/>
  <c r="R47" i="76" s="1"/>
  <c r="L47" i="76"/>
  <c r="E48" i="76"/>
  <c r="M48" i="76"/>
  <c r="U48" i="76" s="1"/>
  <c r="Y48" i="76" s="1"/>
  <c r="F48" i="76"/>
  <c r="N48" i="76" s="1"/>
  <c r="V48" i="76" s="1"/>
  <c r="G48" i="76"/>
  <c r="H48" i="76" s="1"/>
  <c r="P48" i="76" s="1"/>
  <c r="I48" i="76"/>
  <c r="J48" i="76"/>
  <c r="R48" i="76"/>
  <c r="Z48" i="76" s="1"/>
  <c r="L48" i="76"/>
  <c r="T48" i="76" s="1"/>
  <c r="Q48" i="76"/>
  <c r="S48" i="76"/>
  <c r="E49" i="76"/>
  <c r="M49" i="76" s="1"/>
  <c r="F49" i="76"/>
  <c r="N49" i="76" s="1"/>
  <c r="N51" i="76" s="1"/>
  <c r="G49" i="76"/>
  <c r="O49" i="76" s="1"/>
  <c r="H49" i="76"/>
  <c r="P49" i="76" s="1"/>
  <c r="I49" i="76"/>
  <c r="Q49" i="76" s="1"/>
  <c r="J49" i="76"/>
  <c r="R49" i="76" s="1"/>
  <c r="L49" i="76"/>
  <c r="T49" i="76" s="1"/>
  <c r="S49" i="76"/>
  <c r="E50" i="76"/>
  <c r="M50" i="76" s="1"/>
  <c r="F50" i="76"/>
  <c r="N50" i="76" s="1"/>
  <c r="V50" i="76"/>
  <c r="G50" i="76"/>
  <c r="H50" i="76" s="1"/>
  <c r="P50" i="76" s="1"/>
  <c r="I50" i="76"/>
  <c r="Q50" i="76" s="1"/>
  <c r="J50" i="76"/>
  <c r="R50" i="76" s="1"/>
  <c r="Z50" i="76" s="1"/>
  <c r="L50" i="76"/>
  <c r="T50" i="76" s="1"/>
  <c r="S50" i="76"/>
  <c r="C51" i="76"/>
  <c r="D51" i="76"/>
  <c r="E51" i="76"/>
  <c r="F51" i="76"/>
  <c r="G51" i="76"/>
  <c r="H51" i="76" s="1"/>
  <c r="I51" i="76"/>
  <c r="J51" i="76"/>
  <c r="L51" i="76"/>
  <c r="D3" i="77"/>
  <c r="D25" i="77"/>
  <c r="E25" i="77"/>
  <c r="W28" i="92" s="1"/>
  <c r="F25" i="77"/>
  <c r="G25" i="77"/>
  <c r="H25" i="77"/>
  <c r="Z28" i="92" s="1"/>
  <c r="I25" i="77"/>
  <c r="AA28" i="81" s="1"/>
  <c r="J25" i="77"/>
  <c r="K25" i="77"/>
  <c r="L25" i="77"/>
  <c r="AD28" i="92" s="1"/>
  <c r="E7" i="81"/>
  <c r="G7" i="81"/>
  <c r="H7" i="81"/>
  <c r="P7" i="81" s="1"/>
  <c r="I7" i="81"/>
  <c r="Q7" i="81" s="1"/>
  <c r="J7" i="81"/>
  <c r="K7" i="81"/>
  <c r="F7" i="81"/>
  <c r="L7" i="81"/>
  <c r="M7" i="81"/>
  <c r="U7" i="81" s="1"/>
  <c r="E8" i="81"/>
  <c r="G8" i="81"/>
  <c r="O8" i="81" s="1"/>
  <c r="H8" i="81"/>
  <c r="P8" i="81" s="1"/>
  <c r="I8" i="81"/>
  <c r="Q8" i="81" s="1"/>
  <c r="J8" i="81"/>
  <c r="R8" i="81" s="1"/>
  <c r="K8" i="81"/>
  <c r="S8" i="81" s="1"/>
  <c r="F8" i="81"/>
  <c r="N8" i="81"/>
  <c r="L8" i="81"/>
  <c r="T8" i="81" s="1"/>
  <c r="M8" i="81"/>
  <c r="E9" i="81"/>
  <c r="G9" i="81"/>
  <c r="O9" i="81" s="1"/>
  <c r="H9" i="81"/>
  <c r="P9" i="81"/>
  <c r="I9" i="81"/>
  <c r="Q9" i="81" s="1"/>
  <c r="J9" i="81"/>
  <c r="R9" i="81" s="1"/>
  <c r="K9" i="81"/>
  <c r="S9" i="81" s="1"/>
  <c r="F9" i="81"/>
  <c r="N9" i="81" s="1"/>
  <c r="L9" i="81"/>
  <c r="T9" i="81"/>
  <c r="M9" i="81"/>
  <c r="U9" i="81" s="1"/>
  <c r="E10" i="81"/>
  <c r="G10" i="81"/>
  <c r="O10" i="81" s="1"/>
  <c r="H10" i="81"/>
  <c r="P10" i="81" s="1"/>
  <c r="I10" i="81"/>
  <c r="J10" i="81"/>
  <c r="R10" i="81"/>
  <c r="K10" i="81"/>
  <c r="S10" i="81" s="1"/>
  <c r="F10" i="81"/>
  <c r="N10" i="81" s="1"/>
  <c r="L10" i="81"/>
  <c r="T10" i="81"/>
  <c r="M10" i="81"/>
  <c r="U10" i="81"/>
  <c r="E11" i="81"/>
  <c r="G11" i="81"/>
  <c r="O11" i="81"/>
  <c r="H11" i="81"/>
  <c r="P11" i="81" s="1"/>
  <c r="I11" i="81"/>
  <c r="Q11" i="81" s="1"/>
  <c r="J11" i="81"/>
  <c r="R11" i="81" s="1"/>
  <c r="K11" i="81"/>
  <c r="S11" i="81"/>
  <c r="F11" i="81"/>
  <c r="N11" i="81"/>
  <c r="L11" i="81"/>
  <c r="T11" i="81" s="1"/>
  <c r="M11" i="81"/>
  <c r="U11" i="81" s="1"/>
  <c r="E12" i="81"/>
  <c r="G12" i="81"/>
  <c r="O12" i="81" s="1"/>
  <c r="H12" i="81"/>
  <c r="P12" i="81" s="1"/>
  <c r="I12" i="81"/>
  <c r="Q12" i="81"/>
  <c r="J12" i="81"/>
  <c r="R12" i="81" s="1"/>
  <c r="K12" i="81"/>
  <c r="S12" i="81" s="1"/>
  <c r="F12" i="81"/>
  <c r="N12" i="81" s="1"/>
  <c r="L12" i="81"/>
  <c r="T12" i="81"/>
  <c r="M12" i="81"/>
  <c r="U12" i="81" s="1"/>
  <c r="E13" i="81"/>
  <c r="G13" i="81"/>
  <c r="O13" i="81" s="1"/>
  <c r="H13" i="81"/>
  <c r="P13" i="81" s="1"/>
  <c r="I13" i="81"/>
  <c r="Q13" i="81" s="1"/>
  <c r="J13" i="81"/>
  <c r="R13" i="81" s="1"/>
  <c r="K13" i="81"/>
  <c r="S13" i="81" s="1"/>
  <c r="F13" i="81"/>
  <c r="N13" i="81" s="1"/>
  <c r="L13" i="81"/>
  <c r="T13" i="81" s="1"/>
  <c r="M13" i="81"/>
  <c r="U13" i="81" s="1"/>
  <c r="E14" i="81"/>
  <c r="G14" i="81"/>
  <c r="O14" i="81" s="1"/>
  <c r="H14" i="81"/>
  <c r="P14" i="81"/>
  <c r="I14" i="81"/>
  <c r="J14" i="81"/>
  <c r="R14" i="81"/>
  <c r="K14" i="81"/>
  <c r="S14" i="81" s="1"/>
  <c r="F14" i="81"/>
  <c r="N14" i="81" s="1"/>
  <c r="L14" i="81"/>
  <c r="T14" i="81" s="1"/>
  <c r="M14" i="81"/>
  <c r="U14" i="81" s="1"/>
  <c r="E15" i="81"/>
  <c r="G15" i="81"/>
  <c r="O15" i="81" s="1"/>
  <c r="H15" i="81"/>
  <c r="P15" i="81"/>
  <c r="I15" i="81"/>
  <c r="Q15" i="81" s="1"/>
  <c r="J15" i="81"/>
  <c r="K15" i="81"/>
  <c r="S15" i="81" s="1"/>
  <c r="F15" i="81"/>
  <c r="N15" i="81"/>
  <c r="L15" i="81"/>
  <c r="T15" i="81" s="1"/>
  <c r="M15" i="81"/>
  <c r="U15" i="81"/>
  <c r="E16" i="81"/>
  <c r="G16" i="81"/>
  <c r="H16" i="81"/>
  <c r="P16" i="81" s="1"/>
  <c r="I16" i="81"/>
  <c r="Q16" i="81"/>
  <c r="J16" i="81"/>
  <c r="R16" i="81" s="1"/>
  <c r="K16" i="81"/>
  <c r="S16" i="81" s="1"/>
  <c r="F16" i="81"/>
  <c r="N16" i="81" s="1"/>
  <c r="L16" i="81"/>
  <c r="T16" i="81"/>
  <c r="M16" i="81"/>
  <c r="U16" i="81"/>
  <c r="E17" i="81"/>
  <c r="G17" i="81"/>
  <c r="O17" i="81"/>
  <c r="H17" i="81"/>
  <c r="P17" i="81" s="1"/>
  <c r="I17" i="81"/>
  <c r="Q17" i="81" s="1"/>
  <c r="J17" i="81"/>
  <c r="R17" i="81" s="1"/>
  <c r="K17" i="81"/>
  <c r="S17" i="81"/>
  <c r="F17" i="81"/>
  <c r="N17" i="81" s="1"/>
  <c r="L17" i="81"/>
  <c r="T17" i="81"/>
  <c r="M17" i="81"/>
  <c r="U17" i="81" s="1"/>
  <c r="E18" i="81"/>
  <c r="G18" i="81"/>
  <c r="O18" i="81" s="1"/>
  <c r="H18" i="81"/>
  <c r="P18" i="81"/>
  <c r="I18" i="81"/>
  <c r="Q18" i="81"/>
  <c r="J18" i="81"/>
  <c r="R18" i="81" s="1"/>
  <c r="K18" i="81"/>
  <c r="F18" i="81"/>
  <c r="N18" i="81" s="1"/>
  <c r="L18" i="81"/>
  <c r="T18" i="81"/>
  <c r="M18" i="81"/>
  <c r="U18" i="81" s="1"/>
  <c r="E19" i="81"/>
  <c r="G19" i="81"/>
  <c r="O19" i="81" s="1"/>
  <c r="H19" i="81"/>
  <c r="I19" i="81"/>
  <c r="Q19" i="81" s="1"/>
  <c r="J19" i="81"/>
  <c r="R19" i="81"/>
  <c r="K19" i="81"/>
  <c r="S19" i="81" s="1"/>
  <c r="F19" i="81"/>
  <c r="N19" i="81" s="1"/>
  <c r="L19" i="81"/>
  <c r="M19" i="81"/>
  <c r="U19" i="81"/>
  <c r="E20" i="81"/>
  <c r="G20" i="81"/>
  <c r="O20" i="81"/>
  <c r="H20" i="81"/>
  <c r="P20" i="81" s="1"/>
  <c r="I20" i="81"/>
  <c r="Q20" i="81" s="1"/>
  <c r="J20" i="81"/>
  <c r="R20" i="81" s="1"/>
  <c r="K20" i="81"/>
  <c r="S20" i="81"/>
  <c r="F20" i="81"/>
  <c r="N20" i="81" s="1"/>
  <c r="L20" i="81"/>
  <c r="T20" i="81" s="1"/>
  <c r="M20" i="81"/>
  <c r="U20" i="81" s="1"/>
  <c r="E21" i="81"/>
  <c r="G21" i="81"/>
  <c r="O21" i="81"/>
  <c r="H21" i="81"/>
  <c r="P21" i="81"/>
  <c r="I21" i="81"/>
  <c r="Q21" i="81"/>
  <c r="J21" i="81"/>
  <c r="R21" i="81" s="1"/>
  <c r="K21" i="81"/>
  <c r="S21" i="81" s="1"/>
  <c r="F21" i="81"/>
  <c r="L21" i="81"/>
  <c r="T21" i="81" s="1"/>
  <c r="M21" i="81"/>
  <c r="U21" i="81" s="1"/>
  <c r="E22" i="81"/>
  <c r="G22" i="81"/>
  <c r="O22" i="81" s="1"/>
  <c r="H22" i="81"/>
  <c r="P22" i="81" s="1"/>
  <c r="I22" i="81"/>
  <c r="Q22" i="81" s="1"/>
  <c r="J22" i="81"/>
  <c r="R22" i="81"/>
  <c r="K22" i="81"/>
  <c r="S22" i="81" s="1"/>
  <c r="F22" i="81"/>
  <c r="N22" i="81" s="1"/>
  <c r="L22" i="81"/>
  <c r="T22" i="81" s="1"/>
  <c r="M22" i="81"/>
  <c r="U22" i="81"/>
  <c r="E23" i="81"/>
  <c r="G23" i="81"/>
  <c r="O23" i="81"/>
  <c r="H23" i="81"/>
  <c r="P23" i="81"/>
  <c r="I23" i="81"/>
  <c r="Q23" i="81" s="1"/>
  <c r="J23" i="81"/>
  <c r="R23" i="81" s="1"/>
  <c r="K23" i="81"/>
  <c r="S23" i="81" s="1"/>
  <c r="F23" i="81"/>
  <c r="N23" i="81" s="1"/>
  <c r="L23" i="81"/>
  <c r="T23" i="81" s="1"/>
  <c r="M23" i="81"/>
  <c r="U23" i="81"/>
  <c r="E24" i="81"/>
  <c r="G24" i="81"/>
  <c r="O24" i="81" s="1"/>
  <c r="H24" i="81"/>
  <c r="P24" i="81" s="1"/>
  <c r="I24" i="81"/>
  <c r="Q24" i="81" s="1"/>
  <c r="J24" i="81"/>
  <c r="R24" i="81" s="1"/>
  <c r="K24" i="81"/>
  <c r="S24" i="81" s="1"/>
  <c r="F24" i="81"/>
  <c r="N24" i="81" s="1"/>
  <c r="L24" i="81"/>
  <c r="T24" i="81"/>
  <c r="M24" i="81"/>
  <c r="U24" i="81" s="1"/>
  <c r="E25" i="81"/>
  <c r="G25" i="81"/>
  <c r="O25" i="81" s="1"/>
  <c r="H25" i="81"/>
  <c r="P25" i="81" s="1"/>
  <c r="I25" i="81"/>
  <c r="Q25" i="81" s="1"/>
  <c r="J25" i="81"/>
  <c r="R25" i="81" s="1"/>
  <c r="K25" i="81"/>
  <c r="S25" i="81" s="1"/>
  <c r="F25" i="81"/>
  <c r="N25" i="81" s="1"/>
  <c r="L25" i="81"/>
  <c r="T25" i="81" s="1"/>
  <c r="M25" i="81"/>
  <c r="U25" i="81" s="1"/>
  <c r="E26" i="81"/>
  <c r="G26" i="81"/>
  <c r="O26" i="81" s="1"/>
  <c r="H26" i="81"/>
  <c r="P26" i="81" s="1"/>
  <c r="I26" i="81"/>
  <c r="Q26" i="81"/>
  <c r="J26" i="81"/>
  <c r="R26" i="81" s="1"/>
  <c r="K26" i="81"/>
  <c r="S26" i="81" s="1"/>
  <c r="F26" i="81"/>
  <c r="N26" i="81"/>
  <c r="L26" i="81"/>
  <c r="T26" i="81" s="1"/>
  <c r="M26" i="81"/>
  <c r="U26" i="81" s="1"/>
  <c r="E27" i="81"/>
  <c r="G27" i="81"/>
  <c r="O27" i="81" s="1"/>
  <c r="H27" i="81"/>
  <c r="P27" i="81" s="1"/>
  <c r="I27" i="81"/>
  <c r="Q27" i="81" s="1"/>
  <c r="J27" i="81"/>
  <c r="R27" i="81" s="1"/>
  <c r="K27" i="81"/>
  <c r="S27" i="81" s="1"/>
  <c r="F27" i="81"/>
  <c r="N27" i="81"/>
  <c r="L27" i="81"/>
  <c r="T27" i="81" s="1"/>
  <c r="M27" i="81"/>
  <c r="U27" i="81"/>
  <c r="E28" i="81"/>
  <c r="G28" i="81"/>
  <c r="O28" i="81" s="1"/>
  <c r="H28" i="81"/>
  <c r="P28" i="81"/>
  <c r="I28" i="81"/>
  <c r="Q28" i="81" s="1"/>
  <c r="J28" i="81"/>
  <c r="R28" i="81" s="1"/>
  <c r="K28" i="81"/>
  <c r="S28" i="81"/>
  <c r="F28" i="81"/>
  <c r="N28" i="81" s="1"/>
  <c r="L28" i="81"/>
  <c r="T28" i="81" s="1"/>
  <c r="M28" i="81"/>
  <c r="U28" i="81" s="1"/>
  <c r="AE28" i="81"/>
  <c r="AF28" i="81"/>
  <c r="AG28" i="81"/>
  <c r="E29" i="81"/>
  <c r="G29" i="81"/>
  <c r="O29" i="81" s="1"/>
  <c r="H29" i="81"/>
  <c r="P29" i="81" s="1"/>
  <c r="I29" i="81"/>
  <c r="Q29" i="81" s="1"/>
  <c r="J29" i="81"/>
  <c r="R29" i="81" s="1"/>
  <c r="K29" i="81"/>
  <c r="S29" i="81" s="1"/>
  <c r="F29" i="81"/>
  <c r="N29" i="81" s="1"/>
  <c r="L29" i="81"/>
  <c r="T29" i="81"/>
  <c r="M29" i="81"/>
  <c r="U29" i="81" s="1"/>
  <c r="E30" i="81"/>
  <c r="G30" i="81"/>
  <c r="O30" i="81"/>
  <c r="H30" i="81"/>
  <c r="I30" i="81"/>
  <c r="Q30" i="81" s="1"/>
  <c r="J30" i="81"/>
  <c r="K30" i="81"/>
  <c r="S30" i="81" s="1"/>
  <c r="F30" i="81"/>
  <c r="L30" i="81"/>
  <c r="T30" i="81" s="1"/>
  <c r="M30" i="81"/>
  <c r="U30" i="81" s="1"/>
  <c r="E31" i="81"/>
  <c r="G31" i="81"/>
  <c r="O31" i="81"/>
  <c r="H31" i="81"/>
  <c r="P31" i="81" s="1"/>
  <c r="I31" i="81"/>
  <c r="Q31" i="81" s="1"/>
  <c r="J31" i="81"/>
  <c r="R31" i="81" s="1"/>
  <c r="K31" i="81"/>
  <c r="S31" i="81" s="1"/>
  <c r="F31" i="81"/>
  <c r="N31" i="81" s="1"/>
  <c r="L31" i="81"/>
  <c r="M31" i="81"/>
  <c r="U31" i="81" s="1"/>
  <c r="E32" i="81"/>
  <c r="G32" i="81"/>
  <c r="O32" i="81" s="1"/>
  <c r="H32" i="81"/>
  <c r="P32" i="81" s="1"/>
  <c r="I32" i="81"/>
  <c r="Q32" i="81" s="1"/>
  <c r="J32" i="81"/>
  <c r="R32" i="81" s="1"/>
  <c r="K32" i="81"/>
  <c r="S32" i="81" s="1"/>
  <c r="F32" i="81"/>
  <c r="N32" i="81" s="1"/>
  <c r="L32" i="81"/>
  <c r="T32" i="81"/>
  <c r="M32" i="81"/>
  <c r="E33" i="81"/>
  <c r="G33" i="81"/>
  <c r="O33" i="81"/>
  <c r="H33" i="81"/>
  <c r="P33" i="81" s="1"/>
  <c r="I33" i="81"/>
  <c r="J33" i="81"/>
  <c r="R33" i="81"/>
  <c r="K33" i="81"/>
  <c r="S33" i="81" s="1"/>
  <c r="F33" i="81"/>
  <c r="N33" i="81" s="1"/>
  <c r="L33" i="81"/>
  <c r="T33" i="81"/>
  <c r="M33" i="81"/>
  <c r="U33" i="81" s="1"/>
  <c r="E34" i="81"/>
  <c r="G34" i="81"/>
  <c r="O34" i="81" s="1"/>
  <c r="H34" i="81"/>
  <c r="P34" i="81" s="1"/>
  <c r="I34" i="81"/>
  <c r="Q34" i="81"/>
  <c r="J34" i="81"/>
  <c r="R34" i="81" s="1"/>
  <c r="K34" i="81"/>
  <c r="S34" i="81"/>
  <c r="F34" i="81"/>
  <c r="N34" i="81" s="1"/>
  <c r="L34" i="81"/>
  <c r="T34" i="81" s="1"/>
  <c r="M34" i="81"/>
  <c r="U34" i="81" s="1"/>
  <c r="E35" i="81"/>
  <c r="G35" i="81"/>
  <c r="O35" i="81" s="1"/>
  <c r="H35" i="81"/>
  <c r="P35" i="81" s="1"/>
  <c r="I35" i="81"/>
  <c r="Q35" i="81" s="1"/>
  <c r="J35" i="81"/>
  <c r="R35" i="81" s="1"/>
  <c r="K35" i="81"/>
  <c r="S35" i="81" s="1"/>
  <c r="F35" i="81"/>
  <c r="N35" i="81"/>
  <c r="L35" i="81"/>
  <c r="T35" i="81" s="1"/>
  <c r="M35" i="81"/>
  <c r="U35" i="81" s="1"/>
  <c r="E36" i="81"/>
  <c r="G36" i="81"/>
  <c r="O36" i="81" s="1"/>
  <c r="H36" i="81"/>
  <c r="P36" i="81"/>
  <c r="I36" i="81"/>
  <c r="Q36" i="81"/>
  <c r="J36" i="81"/>
  <c r="R36" i="81" s="1"/>
  <c r="K36" i="81"/>
  <c r="S36" i="81" s="1"/>
  <c r="F36" i="81"/>
  <c r="N36" i="81" s="1"/>
  <c r="L36" i="81"/>
  <c r="T36" i="81" s="1"/>
  <c r="M36" i="81"/>
  <c r="U36" i="81" s="1"/>
  <c r="E37" i="81"/>
  <c r="G37" i="81"/>
  <c r="O37" i="81" s="1"/>
  <c r="H37" i="81"/>
  <c r="P37" i="81"/>
  <c r="I37" i="81"/>
  <c r="Q37" i="81" s="1"/>
  <c r="J37" i="81"/>
  <c r="R37" i="81" s="1"/>
  <c r="K37" i="81"/>
  <c r="S37" i="81"/>
  <c r="F37" i="81"/>
  <c r="N37" i="81" s="1"/>
  <c r="L37" i="81"/>
  <c r="T37" i="81" s="1"/>
  <c r="M37" i="81"/>
  <c r="U37" i="81" s="1"/>
  <c r="E38" i="81"/>
  <c r="G38" i="81"/>
  <c r="O38" i="81" s="1"/>
  <c r="H38" i="81"/>
  <c r="P38" i="81" s="1"/>
  <c r="I38" i="81"/>
  <c r="Q38" i="81" s="1"/>
  <c r="J38" i="81"/>
  <c r="R38" i="81" s="1"/>
  <c r="K38" i="81"/>
  <c r="S38" i="81" s="1"/>
  <c r="F38" i="81"/>
  <c r="N38" i="81" s="1"/>
  <c r="L38" i="81"/>
  <c r="T38" i="81"/>
  <c r="M38" i="81"/>
  <c r="U38" i="81" s="1"/>
  <c r="E39" i="81"/>
  <c r="G39" i="81"/>
  <c r="O39" i="81"/>
  <c r="H39" i="81"/>
  <c r="P39" i="81" s="1"/>
  <c r="I39" i="81"/>
  <c r="Q39" i="81" s="1"/>
  <c r="J39" i="81"/>
  <c r="R39" i="81"/>
  <c r="K39" i="81"/>
  <c r="S39" i="81" s="1"/>
  <c r="F39" i="81"/>
  <c r="N39" i="81" s="1"/>
  <c r="L39" i="81"/>
  <c r="T39" i="81" s="1"/>
  <c r="M39" i="81"/>
  <c r="U39" i="81"/>
  <c r="E40" i="81"/>
  <c r="G40" i="81"/>
  <c r="O40" i="81" s="1"/>
  <c r="H40" i="81"/>
  <c r="P40" i="81" s="1"/>
  <c r="I40" i="81"/>
  <c r="Q40" i="81" s="1"/>
  <c r="J40" i="81"/>
  <c r="R40" i="81" s="1"/>
  <c r="K40" i="81"/>
  <c r="S40" i="81"/>
  <c r="F40" i="81"/>
  <c r="N40" i="81"/>
  <c r="L40" i="81"/>
  <c r="T40" i="81" s="1"/>
  <c r="M40" i="81"/>
  <c r="U40" i="81"/>
  <c r="E41" i="81"/>
  <c r="G41" i="81"/>
  <c r="O41" i="81" s="1"/>
  <c r="H41" i="81"/>
  <c r="P41" i="81" s="1"/>
  <c r="I41" i="81"/>
  <c r="Q41" i="81"/>
  <c r="J41" i="81"/>
  <c r="R41" i="81" s="1"/>
  <c r="K41" i="81"/>
  <c r="S41" i="81" s="1"/>
  <c r="F41" i="81"/>
  <c r="N41" i="81" s="1"/>
  <c r="L41" i="81"/>
  <c r="T41" i="81" s="1"/>
  <c r="M41" i="81"/>
  <c r="U41" i="81"/>
  <c r="E42" i="81"/>
  <c r="G42" i="81"/>
  <c r="O42" i="81"/>
  <c r="H42" i="81"/>
  <c r="P42" i="81" s="1"/>
  <c r="I42" i="81"/>
  <c r="Q42" i="81"/>
  <c r="J42" i="81"/>
  <c r="R42" i="81"/>
  <c r="K42" i="81"/>
  <c r="S42" i="81" s="1"/>
  <c r="F42" i="81"/>
  <c r="N42" i="81" s="1"/>
  <c r="L42" i="81"/>
  <c r="T42" i="81" s="1"/>
  <c r="M42" i="81"/>
  <c r="U42" i="81" s="1"/>
  <c r="E43" i="81"/>
  <c r="G43" i="81"/>
  <c r="O43" i="81" s="1"/>
  <c r="H43" i="81"/>
  <c r="P43" i="81"/>
  <c r="I43" i="81"/>
  <c r="Q43" i="81" s="1"/>
  <c r="J43" i="81"/>
  <c r="K43" i="81"/>
  <c r="S43" i="81" s="1"/>
  <c r="F43" i="81"/>
  <c r="N43" i="81"/>
  <c r="L43" i="81"/>
  <c r="T43" i="81"/>
  <c r="M43" i="81"/>
  <c r="U43" i="81" s="1"/>
  <c r="E44" i="81"/>
  <c r="G44" i="81"/>
  <c r="O44" i="81" s="1"/>
  <c r="H44" i="81"/>
  <c r="P44" i="81" s="1"/>
  <c r="I44" i="81"/>
  <c r="Q44" i="81" s="1"/>
  <c r="J44" i="81"/>
  <c r="R44" i="81"/>
  <c r="K44" i="81"/>
  <c r="S44" i="81" s="1"/>
  <c r="F44" i="81"/>
  <c r="N44" i="81" s="1"/>
  <c r="L44" i="81"/>
  <c r="T44" i="81" s="1"/>
  <c r="M44" i="81"/>
  <c r="U44" i="81"/>
  <c r="E45" i="81"/>
  <c r="G45" i="81"/>
  <c r="O45" i="81"/>
  <c r="H45" i="81"/>
  <c r="P45" i="81"/>
  <c r="I45" i="81"/>
  <c r="Q45" i="81" s="1"/>
  <c r="J45" i="81"/>
  <c r="R45" i="81" s="1"/>
  <c r="K45" i="81"/>
  <c r="S45" i="81" s="1"/>
  <c r="F45" i="81"/>
  <c r="N45" i="81"/>
  <c r="L45" i="81"/>
  <c r="T45" i="81"/>
  <c r="M45" i="81"/>
  <c r="U45" i="81" s="1"/>
  <c r="E46" i="81"/>
  <c r="G46" i="81"/>
  <c r="O46" i="81" s="1"/>
  <c r="H46" i="81"/>
  <c r="P46" i="81"/>
  <c r="I46" i="81"/>
  <c r="Q46" i="81" s="1"/>
  <c r="J46" i="81"/>
  <c r="R46" i="81" s="1"/>
  <c r="K46" i="81"/>
  <c r="S46" i="81" s="1"/>
  <c r="F46" i="81"/>
  <c r="N46" i="81" s="1"/>
  <c r="L46" i="81"/>
  <c r="T46" i="81" s="1"/>
  <c r="M46" i="81"/>
  <c r="U46" i="81" s="1"/>
  <c r="E47" i="81"/>
  <c r="G47" i="81"/>
  <c r="O47" i="81"/>
  <c r="H47" i="81"/>
  <c r="P47" i="81" s="1"/>
  <c r="I47" i="81"/>
  <c r="Q47" i="81" s="1"/>
  <c r="J47" i="81"/>
  <c r="R47" i="81" s="1"/>
  <c r="K47" i="81"/>
  <c r="S47" i="81" s="1"/>
  <c r="F47" i="81"/>
  <c r="N47" i="81" s="1"/>
  <c r="L47" i="81"/>
  <c r="M47" i="81"/>
  <c r="U47" i="81"/>
  <c r="E48" i="81"/>
  <c r="G48" i="81"/>
  <c r="O48" i="81" s="1"/>
  <c r="H48" i="81"/>
  <c r="P48" i="81"/>
  <c r="I48" i="81"/>
  <c r="Q48" i="81" s="1"/>
  <c r="J48" i="81"/>
  <c r="R48" i="81" s="1"/>
  <c r="K48" i="81"/>
  <c r="S48" i="81"/>
  <c r="F48" i="81"/>
  <c r="N48" i="81" s="1"/>
  <c r="L48" i="81"/>
  <c r="T48" i="81" s="1"/>
  <c r="M48" i="81"/>
  <c r="U48" i="81"/>
  <c r="E49" i="81"/>
  <c r="G49" i="81"/>
  <c r="H49" i="81"/>
  <c r="P49" i="81" s="1"/>
  <c r="I49" i="81"/>
  <c r="Q49" i="81" s="1"/>
  <c r="J49" i="81"/>
  <c r="K49" i="81"/>
  <c r="S49" i="81"/>
  <c r="F49" i="81"/>
  <c r="L49" i="81"/>
  <c r="T49" i="81" s="1"/>
  <c r="M49" i="81"/>
  <c r="E50" i="81"/>
  <c r="G50" i="81"/>
  <c r="H50" i="81"/>
  <c r="P50" i="81"/>
  <c r="I50" i="81"/>
  <c r="Q50" i="81" s="1"/>
  <c r="J50" i="81"/>
  <c r="R50" i="81" s="1"/>
  <c r="K50" i="81"/>
  <c r="S50" i="81" s="1"/>
  <c r="F50" i="81"/>
  <c r="N50" i="81" s="1"/>
  <c r="L50" i="81"/>
  <c r="T50" i="81" s="1"/>
  <c r="M50" i="81"/>
  <c r="U50" i="81"/>
  <c r="E51" i="81"/>
  <c r="G51" i="81"/>
  <c r="O51" i="81" s="1"/>
  <c r="H51" i="81"/>
  <c r="P51" i="81" s="1"/>
  <c r="I51" i="81"/>
  <c r="Q51" i="81" s="1"/>
  <c r="J51" i="81"/>
  <c r="R51" i="81" s="1"/>
  <c r="K51" i="81"/>
  <c r="S51" i="81" s="1"/>
  <c r="F51" i="81"/>
  <c r="N51" i="81" s="1"/>
  <c r="L51" i="81"/>
  <c r="T51" i="81" s="1"/>
  <c r="M51" i="81"/>
  <c r="U51" i="81"/>
  <c r="E52" i="81"/>
  <c r="G52" i="81"/>
  <c r="O52" i="81" s="1"/>
  <c r="H52" i="81"/>
  <c r="I52" i="81"/>
  <c r="Q52" i="81" s="1"/>
  <c r="J52" i="81"/>
  <c r="R52" i="81" s="1"/>
  <c r="K52" i="81"/>
  <c r="S52" i="81" s="1"/>
  <c r="F52" i="81"/>
  <c r="N52" i="81" s="1"/>
  <c r="L52" i="81"/>
  <c r="T52" i="81" s="1"/>
  <c r="M52" i="81"/>
  <c r="U52" i="81" s="1"/>
  <c r="E53" i="81"/>
  <c r="G53" i="81"/>
  <c r="O53" i="81"/>
  <c r="H53" i="81"/>
  <c r="P53" i="81" s="1"/>
  <c r="I53" i="81"/>
  <c r="Q53" i="81" s="1"/>
  <c r="J53" i="81"/>
  <c r="K53" i="81"/>
  <c r="S53" i="81" s="1"/>
  <c r="F53" i="81"/>
  <c r="N53" i="81" s="1"/>
  <c r="L53" i="81"/>
  <c r="T53" i="81" s="1"/>
  <c r="M53" i="81"/>
  <c r="U53" i="81"/>
  <c r="E54" i="81"/>
  <c r="G54" i="81"/>
  <c r="O54" i="81" s="1"/>
  <c r="H54" i="81"/>
  <c r="P54" i="81" s="1"/>
  <c r="I54" i="81"/>
  <c r="Q54" i="81" s="1"/>
  <c r="J54" i="81"/>
  <c r="R54" i="81" s="1"/>
  <c r="K54" i="81"/>
  <c r="S54" i="81" s="1"/>
  <c r="F54" i="81"/>
  <c r="N54" i="81" s="1"/>
  <c r="L54" i="81"/>
  <c r="T54" i="81" s="1"/>
  <c r="M54" i="81"/>
  <c r="U54" i="81" s="1"/>
  <c r="E55" i="81"/>
  <c r="G55" i="81"/>
  <c r="O55" i="81" s="1"/>
  <c r="H55" i="81"/>
  <c r="P55" i="81" s="1"/>
  <c r="I55" i="81"/>
  <c r="Q55" i="81" s="1"/>
  <c r="J55" i="81"/>
  <c r="R55" i="81" s="1"/>
  <c r="K55" i="81"/>
  <c r="S55" i="81" s="1"/>
  <c r="F55" i="81"/>
  <c r="N55" i="81" s="1"/>
  <c r="L55" i="81"/>
  <c r="T55" i="81"/>
  <c r="M55" i="81"/>
  <c r="U55" i="81"/>
  <c r="E56" i="81"/>
  <c r="G56" i="81"/>
  <c r="O56" i="81" s="1"/>
  <c r="H56" i="81"/>
  <c r="P56" i="81" s="1"/>
  <c r="I56" i="81"/>
  <c r="Q56" i="81" s="1"/>
  <c r="J56" i="81"/>
  <c r="R56" i="81" s="1"/>
  <c r="K56" i="81"/>
  <c r="S56" i="81" s="1"/>
  <c r="F56" i="81"/>
  <c r="N56" i="81" s="1"/>
  <c r="L56" i="81"/>
  <c r="T56" i="81" s="1"/>
  <c r="M56" i="81"/>
  <c r="U56" i="81" s="1"/>
  <c r="E57" i="81"/>
  <c r="G57" i="81"/>
  <c r="O57" i="81" s="1"/>
  <c r="H57" i="81"/>
  <c r="P57" i="81"/>
  <c r="I57" i="81"/>
  <c r="Q57" i="81"/>
  <c r="J57" i="81"/>
  <c r="R57" i="81"/>
  <c r="K57" i="81"/>
  <c r="S57" i="81" s="1"/>
  <c r="F57" i="81"/>
  <c r="N57" i="81" s="1"/>
  <c r="L57" i="81"/>
  <c r="T57" i="81" s="1"/>
  <c r="M57" i="81"/>
  <c r="U57" i="81" s="1"/>
  <c r="E58" i="81"/>
  <c r="G58" i="81"/>
  <c r="O58" i="81" s="1"/>
  <c r="H58" i="81"/>
  <c r="P58" i="81" s="1"/>
  <c r="I58" i="81"/>
  <c r="Q58" i="81" s="1"/>
  <c r="J58" i="81"/>
  <c r="R58" i="81" s="1"/>
  <c r="K58" i="81"/>
  <c r="S58" i="81" s="1"/>
  <c r="F58" i="81"/>
  <c r="N58" i="81" s="1"/>
  <c r="L58" i="81"/>
  <c r="T58" i="81" s="1"/>
  <c r="M58" i="81"/>
  <c r="U58" i="81" s="1"/>
  <c r="E59" i="81"/>
  <c r="G59" i="81"/>
  <c r="O59" i="81"/>
  <c r="H59" i="81"/>
  <c r="P59" i="81"/>
  <c r="I59" i="81"/>
  <c r="Q59" i="81"/>
  <c r="J59" i="81"/>
  <c r="R59" i="81" s="1"/>
  <c r="K59" i="81"/>
  <c r="S59" i="81" s="1"/>
  <c r="F59" i="81"/>
  <c r="N59" i="81" s="1"/>
  <c r="L59" i="81"/>
  <c r="T59" i="81" s="1"/>
  <c r="M59" i="81"/>
  <c r="U59" i="81" s="1"/>
  <c r="E60" i="81"/>
  <c r="G60" i="81"/>
  <c r="O60" i="81" s="1"/>
  <c r="H60" i="81"/>
  <c r="P60" i="81" s="1"/>
  <c r="I60" i="81"/>
  <c r="Q60" i="81" s="1"/>
  <c r="J60" i="81"/>
  <c r="R60" i="81" s="1"/>
  <c r="K60" i="81"/>
  <c r="S60" i="81" s="1"/>
  <c r="F60" i="81"/>
  <c r="N60" i="81" s="1"/>
  <c r="L60" i="81"/>
  <c r="T60" i="81" s="1"/>
  <c r="M60" i="81"/>
  <c r="U60" i="81" s="1"/>
  <c r="E61" i="81"/>
  <c r="G61" i="81"/>
  <c r="O61" i="81"/>
  <c r="H61" i="81"/>
  <c r="P61" i="81"/>
  <c r="I61" i="81"/>
  <c r="Q61" i="81" s="1"/>
  <c r="J61" i="81"/>
  <c r="R61" i="81"/>
  <c r="K61" i="81"/>
  <c r="S61" i="81" s="1"/>
  <c r="F61" i="81"/>
  <c r="N61" i="81" s="1"/>
  <c r="L61" i="81"/>
  <c r="T61" i="81" s="1"/>
  <c r="M61" i="81"/>
  <c r="U61" i="81" s="1"/>
  <c r="E62" i="81"/>
  <c r="G62" i="81"/>
  <c r="O62" i="81" s="1"/>
  <c r="H62" i="81"/>
  <c r="P62" i="81" s="1"/>
  <c r="I62" i="81"/>
  <c r="Q62" i="81" s="1"/>
  <c r="J62" i="81"/>
  <c r="R62" i="81" s="1"/>
  <c r="K62" i="81"/>
  <c r="S62" i="81" s="1"/>
  <c r="F62" i="81"/>
  <c r="N62" i="81" s="1"/>
  <c r="L62" i="81"/>
  <c r="T62" i="81" s="1"/>
  <c r="M62" i="81"/>
  <c r="U62" i="81" s="1"/>
  <c r="E63" i="81"/>
  <c r="G63" i="81"/>
  <c r="O63" i="81"/>
  <c r="H63" i="81"/>
  <c r="P63" i="81" s="1"/>
  <c r="I63" i="81"/>
  <c r="Q63" i="81" s="1"/>
  <c r="J63" i="81"/>
  <c r="R63" i="81"/>
  <c r="K63" i="81"/>
  <c r="S63" i="81" s="1"/>
  <c r="F63" i="81"/>
  <c r="N63" i="81" s="1"/>
  <c r="L63" i="81"/>
  <c r="T63" i="81"/>
  <c r="M63" i="81"/>
  <c r="U63" i="81" s="1"/>
  <c r="E64" i="81"/>
  <c r="G64" i="81"/>
  <c r="O64" i="81" s="1"/>
  <c r="H64" i="81"/>
  <c r="P64" i="81" s="1"/>
  <c r="I64" i="81"/>
  <c r="Q64" i="81" s="1"/>
  <c r="J64" i="81"/>
  <c r="R64" i="81" s="1"/>
  <c r="K64" i="81"/>
  <c r="S64" i="81" s="1"/>
  <c r="F64" i="81"/>
  <c r="N64" i="81" s="1"/>
  <c r="L64" i="81"/>
  <c r="T64" i="81" s="1"/>
  <c r="M64" i="81"/>
  <c r="U64" i="81" s="1"/>
  <c r="E65" i="81"/>
  <c r="G65" i="81"/>
  <c r="O65" i="81" s="1"/>
  <c r="H65" i="81"/>
  <c r="P65" i="81"/>
  <c r="I65" i="81"/>
  <c r="Q65" i="81" s="1"/>
  <c r="J65" i="81"/>
  <c r="R65" i="81"/>
  <c r="K65" i="81"/>
  <c r="S65" i="81" s="1"/>
  <c r="F65" i="81"/>
  <c r="N65" i="81" s="1"/>
  <c r="L65" i="81"/>
  <c r="T65" i="81" s="1"/>
  <c r="M65" i="81"/>
  <c r="U65" i="81" s="1"/>
  <c r="E66" i="81"/>
  <c r="G66" i="81"/>
  <c r="O66" i="81" s="1"/>
  <c r="H66" i="81"/>
  <c r="P66" i="81" s="1"/>
  <c r="I66" i="81"/>
  <c r="Q66" i="81" s="1"/>
  <c r="J66" i="81"/>
  <c r="R66" i="81" s="1"/>
  <c r="K66" i="81"/>
  <c r="S66" i="81" s="1"/>
  <c r="F66" i="81"/>
  <c r="N66" i="81" s="1"/>
  <c r="L66" i="81"/>
  <c r="T66" i="81" s="1"/>
  <c r="M66" i="81"/>
  <c r="U66" i="81" s="1"/>
  <c r="E67" i="81"/>
  <c r="G67" i="81"/>
  <c r="O67" i="81"/>
  <c r="H67" i="81"/>
  <c r="P67" i="81" s="1"/>
  <c r="I67" i="81"/>
  <c r="Q67" i="81"/>
  <c r="J67" i="81"/>
  <c r="R67" i="81" s="1"/>
  <c r="K67" i="81"/>
  <c r="S67" i="81" s="1"/>
  <c r="F67" i="81"/>
  <c r="N67" i="81" s="1"/>
  <c r="L67" i="81"/>
  <c r="T67" i="81" s="1"/>
  <c r="M67" i="81"/>
  <c r="U67" i="81" s="1"/>
  <c r="E68" i="81"/>
  <c r="G68" i="81"/>
  <c r="O68" i="81" s="1"/>
  <c r="H68" i="81"/>
  <c r="P68" i="81" s="1"/>
  <c r="I68" i="81"/>
  <c r="Q68" i="81" s="1"/>
  <c r="J68" i="81"/>
  <c r="R68" i="81" s="1"/>
  <c r="K68" i="81"/>
  <c r="S68" i="81" s="1"/>
  <c r="F68" i="81"/>
  <c r="N68" i="81" s="1"/>
  <c r="L68" i="81"/>
  <c r="T68" i="81"/>
  <c r="M68" i="81"/>
  <c r="U68" i="81" s="1"/>
  <c r="E69" i="81"/>
  <c r="G69" i="81"/>
  <c r="O69" i="81" s="1"/>
  <c r="H69" i="81"/>
  <c r="P69" i="81"/>
  <c r="I69" i="81"/>
  <c r="Q69" i="81" s="1"/>
  <c r="J69" i="81"/>
  <c r="R69" i="81" s="1"/>
  <c r="K69" i="81"/>
  <c r="S69" i="81" s="1"/>
  <c r="F69" i="81"/>
  <c r="N69" i="81" s="1"/>
  <c r="L69" i="81"/>
  <c r="T69" i="81" s="1"/>
  <c r="M69" i="81"/>
  <c r="U69" i="81"/>
  <c r="E70" i="81"/>
  <c r="G70" i="81"/>
  <c r="O70" i="81" s="1"/>
  <c r="H70" i="81"/>
  <c r="I70" i="81"/>
  <c r="Q70" i="81" s="1"/>
  <c r="J70" i="81"/>
  <c r="R70" i="81" s="1"/>
  <c r="K70" i="81"/>
  <c r="S70" i="81" s="1"/>
  <c r="F70" i="81"/>
  <c r="N70" i="81" s="1"/>
  <c r="L70" i="81"/>
  <c r="T70" i="81" s="1"/>
  <c r="M70" i="81"/>
  <c r="E71" i="81"/>
  <c r="G71" i="81"/>
  <c r="H71" i="81"/>
  <c r="P71" i="81" s="1"/>
  <c r="I71" i="81"/>
  <c r="Q71" i="81" s="1"/>
  <c r="J71" i="81"/>
  <c r="R71" i="81" s="1"/>
  <c r="K71" i="81"/>
  <c r="S71" i="81" s="1"/>
  <c r="F71" i="81"/>
  <c r="N71" i="81" s="1"/>
  <c r="L71" i="81"/>
  <c r="T71" i="81" s="1"/>
  <c r="M71" i="81"/>
  <c r="U71" i="81" s="1"/>
  <c r="E72" i="81"/>
  <c r="G72" i="81"/>
  <c r="O72" i="81" s="1"/>
  <c r="H72" i="81"/>
  <c r="P72" i="81" s="1"/>
  <c r="I72" i="81"/>
  <c r="Q72" i="81" s="1"/>
  <c r="J72" i="81"/>
  <c r="R72" i="81" s="1"/>
  <c r="K72" i="81"/>
  <c r="F72" i="81"/>
  <c r="N72" i="81" s="1"/>
  <c r="L72" i="81"/>
  <c r="T72" i="81" s="1"/>
  <c r="M72" i="81"/>
  <c r="E73" i="81"/>
  <c r="G73" i="81"/>
  <c r="O73" i="81" s="1"/>
  <c r="H73" i="81"/>
  <c r="P73" i="81" s="1"/>
  <c r="I73" i="81"/>
  <c r="Q73" i="81"/>
  <c r="J73" i="81"/>
  <c r="R73" i="81" s="1"/>
  <c r="K73" i="81"/>
  <c r="S73" i="81" s="1"/>
  <c r="F73" i="81"/>
  <c r="N73" i="81" s="1"/>
  <c r="L73" i="81"/>
  <c r="T73" i="81"/>
  <c r="M73" i="81"/>
  <c r="U73" i="81" s="1"/>
  <c r="E74" i="81"/>
  <c r="G74" i="81"/>
  <c r="O74" i="81" s="1"/>
  <c r="H74" i="81"/>
  <c r="I74" i="81"/>
  <c r="J74" i="81"/>
  <c r="R74" i="81" s="1"/>
  <c r="K74" i="81"/>
  <c r="S74" i="81"/>
  <c r="F74" i="81"/>
  <c r="L74" i="81"/>
  <c r="T74" i="81"/>
  <c r="M74" i="81"/>
  <c r="U74" i="81" s="1"/>
  <c r="E75" i="81"/>
  <c r="G75" i="81"/>
  <c r="O75" i="81" s="1"/>
  <c r="H75" i="81"/>
  <c r="P75" i="81" s="1"/>
  <c r="I75" i="81"/>
  <c r="Q75" i="81" s="1"/>
  <c r="J75" i="81"/>
  <c r="K75" i="81"/>
  <c r="S75" i="81"/>
  <c r="F75" i="81"/>
  <c r="N75" i="81" s="1"/>
  <c r="L75" i="81"/>
  <c r="T75" i="81" s="1"/>
  <c r="M75" i="81"/>
  <c r="U75" i="81" s="1"/>
  <c r="E76" i="81"/>
  <c r="G76" i="81"/>
  <c r="O76" i="81" s="1"/>
  <c r="H76" i="81"/>
  <c r="P76" i="81" s="1"/>
  <c r="I76" i="81"/>
  <c r="Q76" i="81"/>
  <c r="J76" i="81"/>
  <c r="R76" i="81" s="1"/>
  <c r="K76" i="81"/>
  <c r="S76" i="81" s="1"/>
  <c r="F76" i="81"/>
  <c r="N76" i="81" s="1"/>
  <c r="L76" i="81"/>
  <c r="T76" i="81" s="1"/>
  <c r="M76" i="81"/>
  <c r="U76" i="81" s="1"/>
  <c r="E77" i="81"/>
  <c r="G77" i="81"/>
  <c r="O77" i="81" s="1"/>
  <c r="H77" i="81"/>
  <c r="P77" i="81" s="1"/>
  <c r="I77" i="81"/>
  <c r="Q77" i="81" s="1"/>
  <c r="J77" i="81"/>
  <c r="R77" i="81" s="1"/>
  <c r="K77" i="81"/>
  <c r="S77" i="81" s="1"/>
  <c r="F77" i="81"/>
  <c r="N77" i="81" s="1"/>
  <c r="L77" i="81"/>
  <c r="T77" i="81" s="1"/>
  <c r="M77" i="81"/>
  <c r="U77" i="81"/>
  <c r="E78" i="81"/>
  <c r="G78" i="81"/>
  <c r="O78" i="81" s="1"/>
  <c r="H78" i="81"/>
  <c r="P78" i="81" s="1"/>
  <c r="I78" i="81"/>
  <c r="Q78" i="81" s="1"/>
  <c r="J78" i="81"/>
  <c r="K78" i="81"/>
  <c r="S78" i="81" s="1"/>
  <c r="F78" i="81"/>
  <c r="N78" i="81"/>
  <c r="L78" i="81"/>
  <c r="T78" i="81" s="1"/>
  <c r="M78" i="81"/>
  <c r="U78" i="81" s="1"/>
  <c r="E79" i="81"/>
  <c r="G79" i="81"/>
  <c r="O79" i="81" s="1"/>
  <c r="H79" i="81"/>
  <c r="P79" i="81" s="1"/>
  <c r="I79" i="81"/>
  <c r="Q79" i="81"/>
  <c r="J79" i="81"/>
  <c r="R79" i="81" s="1"/>
  <c r="K79" i="81"/>
  <c r="S79" i="81"/>
  <c r="F79" i="81"/>
  <c r="N79" i="81" s="1"/>
  <c r="L79" i="81"/>
  <c r="T79" i="81" s="1"/>
  <c r="M79" i="81"/>
  <c r="U79" i="81" s="1"/>
  <c r="E80" i="81"/>
  <c r="G80" i="81"/>
  <c r="O80" i="81" s="1"/>
  <c r="H80" i="81"/>
  <c r="P80" i="81" s="1"/>
  <c r="I80" i="81"/>
  <c r="Q80" i="81"/>
  <c r="J80" i="81"/>
  <c r="R80" i="81" s="1"/>
  <c r="K80" i="81"/>
  <c r="S80" i="81" s="1"/>
  <c r="F80" i="81"/>
  <c r="N80" i="81" s="1"/>
  <c r="L80" i="81"/>
  <c r="T80" i="81" s="1"/>
  <c r="M80" i="81"/>
  <c r="U80" i="81" s="1"/>
  <c r="E81" i="81"/>
  <c r="G81" i="81"/>
  <c r="O81" i="81" s="1"/>
  <c r="H81" i="81"/>
  <c r="P81" i="81" s="1"/>
  <c r="I81" i="81"/>
  <c r="Q81" i="81" s="1"/>
  <c r="J81" i="81"/>
  <c r="R81" i="81" s="1"/>
  <c r="K81" i="81"/>
  <c r="S81" i="81" s="1"/>
  <c r="F81" i="81"/>
  <c r="N81" i="81"/>
  <c r="L81" i="81"/>
  <c r="T81" i="81" s="1"/>
  <c r="M81" i="81"/>
  <c r="U81" i="81"/>
  <c r="E82" i="81"/>
  <c r="G82" i="81"/>
  <c r="O82" i="81" s="1"/>
  <c r="H82" i="81"/>
  <c r="P82" i="81" s="1"/>
  <c r="I82" i="81"/>
  <c r="Q82" i="81" s="1"/>
  <c r="J82" i="81"/>
  <c r="R82" i="81" s="1"/>
  <c r="K82" i="81"/>
  <c r="S82" i="81" s="1"/>
  <c r="F82" i="81"/>
  <c r="N82" i="81" s="1"/>
  <c r="L82" i="81"/>
  <c r="T82" i="81" s="1"/>
  <c r="M82" i="81"/>
  <c r="U82" i="81" s="1"/>
  <c r="E83" i="81"/>
  <c r="G83" i="81"/>
  <c r="O83" i="81"/>
  <c r="H83" i="81"/>
  <c r="P83" i="81" s="1"/>
  <c r="I83" i="81"/>
  <c r="Q83" i="81" s="1"/>
  <c r="J83" i="81"/>
  <c r="R83" i="81" s="1"/>
  <c r="K83" i="81"/>
  <c r="S83" i="81" s="1"/>
  <c r="F83" i="81"/>
  <c r="N83" i="81" s="1"/>
  <c r="L83" i="81"/>
  <c r="T83" i="81" s="1"/>
  <c r="M83" i="81"/>
  <c r="U83" i="81" s="1"/>
  <c r="E84" i="81"/>
  <c r="G84" i="81"/>
  <c r="O84" i="81" s="1"/>
  <c r="H84" i="81"/>
  <c r="P84" i="81" s="1"/>
  <c r="I84" i="81"/>
  <c r="Q84" i="81"/>
  <c r="J84" i="81"/>
  <c r="R84" i="81" s="1"/>
  <c r="K84" i="81"/>
  <c r="S84" i="81" s="1"/>
  <c r="F84" i="81"/>
  <c r="N84" i="81" s="1"/>
  <c r="L84" i="81"/>
  <c r="T84" i="81"/>
  <c r="M84" i="81"/>
  <c r="U84" i="81" s="1"/>
  <c r="E85" i="81"/>
  <c r="G85" i="81"/>
  <c r="O85" i="81" s="1"/>
  <c r="H85" i="81"/>
  <c r="P85" i="81"/>
  <c r="I85" i="81"/>
  <c r="Q85" i="81" s="1"/>
  <c r="J85" i="81"/>
  <c r="R85" i="81"/>
  <c r="K85" i="81"/>
  <c r="S85" i="81" s="1"/>
  <c r="F85" i="81"/>
  <c r="N85" i="81" s="1"/>
  <c r="L85" i="81"/>
  <c r="T85" i="81"/>
  <c r="M85" i="81"/>
  <c r="U85" i="81" s="1"/>
  <c r="E86" i="81"/>
  <c r="G86" i="81"/>
  <c r="O86" i="81" s="1"/>
  <c r="H86" i="81"/>
  <c r="P86" i="81" s="1"/>
  <c r="I86" i="81"/>
  <c r="Q86" i="81" s="1"/>
  <c r="J86" i="81"/>
  <c r="R86" i="81" s="1"/>
  <c r="K86" i="81"/>
  <c r="S86" i="81" s="1"/>
  <c r="F86" i="81"/>
  <c r="N86" i="81" s="1"/>
  <c r="L86" i="81"/>
  <c r="T86" i="81" s="1"/>
  <c r="M86" i="81"/>
  <c r="U86" i="81" s="1"/>
  <c r="E87" i="81"/>
  <c r="G87" i="81"/>
  <c r="O87" i="81" s="1"/>
  <c r="H87" i="81"/>
  <c r="P87" i="81" s="1"/>
  <c r="I87" i="81"/>
  <c r="Q87" i="81" s="1"/>
  <c r="J87" i="81"/>
  <c r="R87" i="81" s="1"/>
  <c r="K87" i="81"/>
  <c r="S87" i="81" s="1"/>
  <c r="F87" i="81"/>
  <c r="N87" i="81" s="1"/>
  <c r="L87" i="81"/>
  <c r="T87" i="81" s="1"/>
  <c r="M87" i="81"/>
  <c r="U87" i="81" s="1"/>
  <c r="E88" i="81"/>
  <c r="G88" i="81"/>
  <c r="O88" i="81" s="1"/>
  <c r="H88" i="81"/>
  <c r="P88" i="81" s="1"/>
  <c r="I88" i="81"/>
  <c r="Q88" i="81" s="1"/>
  <c r="J88" i="81"/>
  <c r="R88" i="81" s="1"/>
  <c r="K88" i="81"/>
  <c r="S88" i="81" s="1"/>
  <c r="F88" i="81"/>
  <c r="N88" i="81" s="1"/>
  <c r="L88" i="81"/>
  <c r="T88" i="81" s="1"/>
  <c r="M88" i="81"/>
  <c r="U88" i="81" s="1"/>
  <c r="E89" i="81"/>
  <c r="G89" i="81"/>
  <c r="O89" i="81" s="1"/>
  <c r="H89" i="81"/>
  <c r="P89" i="81" s="1"/>
  <c r="I89" i="81"/>
  <c r="Q89" i="81" s="1"/>
  <c r="J89" i="81"/>
  <c r="R89" i="81" s="1"/>
  <c r="K89" i="81"/>
  <c r="S89" i="81" s="1"/>
  <c r="F89" i="81"/>
  <c r="N89" i="81"/>
  <c r="Q30" i="90"/>
  <c r="L89" i="81"/>
  <c r="T89" i="81" s="1"/>
  <c r="M89" i="81"/>
  <c r="U89" i="81" s="1"/>
  <c r="E90" i="81"/>
  <c r="G90" i="81"/>
  <c r="O90" i="81" s="1"/>
  <c r="H90" i="81"/>
  <c r="P90" i="81"/>
  <c r="I90" i="81"/>
  <c r="Q90" i="81"/>
  <c r="J90" i="81"/>
  <c r="R90" i="81" s="1"/>
  <c r="K90" i="81"/>
  <c r="S90" i="81"/>
  <c r="F90" i="81"/>
  <c r="N90" i="81" s="1"/>
  <c r="L90" i="81"/>
  <c r="T90" i="81" s="1"/>
  <c r="M90" i="81"/>
  <c r="U90" i="81" s="1"/>
  <c r="V40" i="76"/>
  <c r="AI40" i="76"/>
  <c r="AQ40" i="76"/>
  <c r="R40" i="76"/>
  <c r="AE40" i="76" s="1"/>
  <c r="AM40" i="76" s="1"/>
  <c r="U40" i="76"/>
  <c r="AH40" i="76"/>
  <c r="AP40" i="76" s="1"/>
  <c r="W40" i="76"/>
  <c r="M63" i="4"/>
  <c r="Q47" i="4"/>
  <c r="F56" i="27"/>
  <c r="F9" i="27"/>
  <c r="G7" i="27" s="1"/>
  <c r="J7" i="27" s="1"/>
  <c r="L7" i="27" s="1"/>
  <c r="G21" i="27"/>
  <c r="J21" i="27" s="1"/>
  <c r="M21" i="27" s="1"/>
  <c r="F24" i="27"/>
  <c r="G23" i="27" s="1"/>
  <c r="J23" i="27" s="1"/>
  <c r="O50" i="76"/>
  <c r="W50" i="76" s="1"/>
  <c r="X50" i="76" s="1"/>
  <c r="Y40" i="76"/>
  <c r="D82" i="69"/>
  <c r="I82" i="69" s="1"/>
  <c r="H70" i="69"/>
  <c r="H82" i="69" s="1"/>
  <c r="M85" i="43"/>
  <c r="P85" i="43" s="1"/>
  <c r="U85" i="43" s="1"/>
  <c r="M86" i="43"/>
  <c r="P86" i="43"/>
  <c r="M84" i="43"/>
  <c r="P84" i="43" s="1"/>
  <c r="M82" i="43"/>
  <c r="P82" i="43"/>
  <c r="Q82" i="43" s="1"/>
  <c r="M83" i="43"/>
  <c r="P83" i="43" s="1"/>
  <c r="M81" i="43"/>
  <c r="P81" i="43"/>
  <c r="R81" i="43" s="1"/>
  <c r="Q79" i="43"/>
  <c r="J19" i="33"/>
  <c r="J7" i="33"/>
  <c r="F7" i="33"/>
  <c r="K5" i="33"/>
  <c r="E3" i="33"/>
  <c r="K3" i="33" s="1"/>
  <c r="K9" i="33" s="1"/>
  <c r="M19" i="33"/>
  <c r="I19" i="33"/>
  <c r="J5" i="33"/>
  <c r="G21" i="33"/>
  <c r="I5" i="33"/>
  <c r="O6" i="40"/>
  <c r="P11" i="60"/>
  <c r="Q11" i="60"/>
  <c r="P18" i="60"/>
  <c r="T18" i="60"/>
  <c r="Q18" i="60"/>
  <c r="Q16" i="60"/>
  <c r="R16" i="60"/>
  <c r="P5" i="60"/>
  <c r="Q5" i="60"/>
  <c r="R14" i="60"/>
  <c r="P14" i="60"/>
  <c r="Q14" i="60"/>
  <c r="O143" i="27"/>
  <c r="N142" i="27"/>
  <c r="P142" i="27"/>
  <c r="F6" i="31"/>
  <c r="J150" i="27"/>
  <c r="L144" i="27"/>
  <c r="P144" i="27"/>
  <c r="M144" i="27"/>
  <c r="V82" i="43"/>
  <c r="Q81" i="43"/>
  <c r="T81" i="43"/>
  <c r="J3" i="33"/>
  <c r="M47" i="76"/>
  <c r="U47" i="76"/>
  <c r="O47" i="76"/>
  <c r="W47" i="76"/>
  <c r="X47" i="76" s="1"/>
  <c r="N47" i="76"/>
  <c r="V47" i="76" s="1"/>
  <c r="Y37" i="76"/>
  <c r="S37" i="76"/>
  <c r="AF37" i="76" s="1"/>
  <c r="AN37" i="76"/>
  <c r="AO37" i="76" s="1"/>
  <c r="O46" i="76"/>
  <c r="E21" i="76"/>
  <c r="D26" i="77"/>
  <c r="D21" i="76"/>
  <c r="AN40" i="76"/>
  <c r="AO40" i="76"/>
  <c r="AG40" i="76"/>
  <c r="O48" i="76"/>
  <c r="W48" i="76" s="1"/>
  <c r="X48" i="76" s="1"/>
  <c r="T47" i="76"/>
  <c r="C31" i="76"/>
  <c r="M53" i="76"/>
  <c r="Q52" i="76"/>
  <c r="Q53" i="76"/>
  <c r="V39" i="76"/>
  <c r="U39" i="76"/>
  <c r="S39" i="76"/>
  <c r="I21" i="76"/>
  <c r="I43" i="76"/>
  <c r="T39" i="76"/>
  <c r="H21" i="76"/>
  <c r="S47" i="76"/>
  <c r="Q47" i="76"/>
  <c r="Y47" i="76" s="1"/>
  <c r="W39" i="76"/>
  <c r="D76" i="76"/>
  <c r="Y39" i="76"/>
  <c r="N10" i="92"/>
  <c r="N26" i="92"/>
  <c r="S10" i="92"/>
  <c r="U10" i="92"/>
  <c r="L29" i="90"/>
  <c r="AB70" i="92"/>
  <c r="AD70" i="92"/>
  <c r="S29" i="90"/>
  <c r="AC91" i="81"/>
  <c r="X55" i="94"/>
  <c r="O29" i="90"/>
  <c r="R29" i="90"/>
  <c r="W49" i="92"/>
  <c r="AB49" i="81"/>
  <c r="T31" i="81"/>
  <c r="V70" i="81"/>
  <c r="Y38" i="94"/>
  <c r="X70" i="81"/>
  <c r="Q14" i="81"/>
  <c r="AD28" i="81"/>
  <c r="Z28" i="81"/>
  <c r="U11" i="50"/>
  <c r="U13" i="50"/>
  <c r="U15" i="50"/>
  <c r="U17" i="50"/>
  <c r="U19" i="50"/>
  <c r="U21" i="50"/>
  <c r="U23" i="50"/>
  <c r="U25" i="50"/>
  <c r="U50" i="50"/>
  <c r="U52" i="50"/>
  <c r="U54" i="50"/>
  <c r="U56" i="50"/>
  <c r="U58" i="50"/>
  <c r="I14" i="34"/>
  <c r="I16" i="34"/>
  <c r="P16" i="4"/>
  <c r="U8" i="50"/>
  <c r="U35" i="50"/>
  <c r="P17" i="4"/>
  <c r="P20" i="4"/>
  <c r="U5" i="50"/>
  <c r="H12" i="76"/>
  <c r="H14" i="76"/>
  <c r="H16" i="76"/>
  <c r="H18" i="76"/>
  <c r="P10" i="4"/>
  <c r="I3" i="87" s="1"/>
  <c r="P49" i="4"/>
  <c r="U16" i="50"/>
  <c r="U28" i="50"/>
  <c r="U37" i="50"/>
  <c r="P7" i="4"/>
  <c r="P30" i="4"/>
  <c r="P63" i="4"/>
  <c r="H17" i="76"/>
  <c r="P27" i="4"/>
  <c r="U4" i="50"/>
  <c r="U26" i="50"/>
  <c r="U42" i="50"/>
  <c r="U47" i="50"/>
  <c r="P44" i="4"/>
  <c r="H5" i="76"/>
  <c r="P19" i="4"/>
  <c r="U14" i="50"/>
  <c r="U61" i="50"/>
  <c r="H10" i="76"/>
  <c r="U31" i="50"/>
  <c r="P11" i="4"/>
  <c r="P14" i="4"/>
  <c r="P48" i="4"/>
  <c r="H15" i="76"/>
  <c r="P28" i="4"/>
  <c r="P8" i="4"/>
  <c r="U9" i="50"/>
  <c r="U24" i="50"/>
  <c r="U33" i="50"/>
  <c r="U40" i="50"/>
  <c r="U45" i="50"/>
  <c r="I22" i="34"/>
  <c r="P24" i="4"/>
  <c r="H3" i="76"/>
  <c r="P26" i="4"/>
  <c r="P6" i="4"/>
  <c r="U7" i="50"/>
  <c r="U22" i="50"/>
  <c r="U38" i="50"/>
  <c r="U43" i="50"/>
  <c r="U57" i="50"/>
  <c r="P33" i="4"/>
  <c r="U18" i="50"/>
  <c r="U30" i="50"/>
  <c r="U39" i="50"/>
  <c r="U51" i="50"/>
  <c r="U44" i="50"/>
  <c r="U49" i="50"/>
  <c r="I15" i="34"/>
  <c r="H7" i="76"/>
  <c r="P31" i="4"/>
  <c r="P12" i="4"/>
  <c r="P3" i="4"/>
  <c r="V7" i="50"/>
  <c r="V9" i="50"/>
  <c r="V11" i="50"/>
  <c r="V13" i="50"/>
  <c r="V36" i="50"/>
  <c r="V38" i="50"/>
  <c r="V40" i="50"/>
  <c r="V42" i="50"/>
  <c r="V44" i="50"/>
  <c r="V46" i="50"/>
  <c r="V48" i="50"/>
  <c r="Q31" i="4"/>
  <c r="Q34" i="4"/>
  <c r="V6" i="50"/>
  <c r="Q29" i="4"/>
  <c r="Q32" i="4"/>
  <c r="Q35" i="4"/>
  <c r="V65" i="50"/>
  <c r="Q24" i="4"/>
  <c r="Q27" i="4"/>
  <c r="Q36" i="4"/>
  <c r="I4" i="76"/>
  <c r="I6" i="76"/>
  <c r="I31" i="76" s="1"/>
  <c r="I8" i="76"/>
  <c r="I10" i="76"/>
  <c r="Q19" i="4"/>
  <c r="Q12" i="4"/>
  <c r="V21" i="50"/>
  <c r="V56" i="50"/>
  <c r="V63" i="50"/>
  <c r="J13" i="34"/>
  <c r="I12" i="76"/>
  <c r="V16" i="50"/>
  <c r="V28" i="50"/>
  <c r="V37" i="50"/>
  <c r="Q7" i="4"/>
  <c r="Q20" i="4"/>
  <c r="Q30" i="4"/>
  <c r="Q37" i="4"/>
  <c r="I17" i="76"/>
  <c r="U16" i="60"/>
  <c r="U5" i="60"/>
  <c r="V4" i="50"/>
  <c r="V26" i="50"/>
  <c r="V47" i="50"/>
  <c r="V54" i="50"/>
  <c r="Q44" i="4"/>
  <c r="I5" i="76"/>
  <c r="Q63" i="4"/>
  <c r="V14" i="50"/>
  <c r="V19" i="50"/>
  <c r="V35" i="50"/>
  <c r="V61" i="50"/>
  <c r="V31" i="50"/>
  <c r="V52" i="50"/>
  <c r="Q11" i="4"/>
  <c r="Q17" i="4"/>
  <c r="Q48" i="4"/>
  <c r="I15" i="76"/>
  <c r="Q21" i="4"/>
  <c r="V12" i="50"/>
  <c r="V29" i="50"/>
  <c r="J14" i="34"/>
  <c r="Q5" i="4"/>
  <c r="I13" i="76"/>
  <c r="I18" i="76"/>
  <c r="Q14" i="4"/>
  <c r="U11" i="60"/>
  <c r="V8" i="50"/>
  <c r="V23" i="50"/>
  <c r="J17" i="34"/>
  <c r="I14" i="76"/>
  <c r="Q8" i="4"/>
  <c r="Q33" i="4"/>
  <c r="U18" i="60"/>
  <c r="U14" i="60"/>
  <c r="V18" i="50"/>
  <c r="V30" i="50"/>
  <c r="V39" i="50"/>
  <c r="V51" i="50"/>
  <c r="V58" i="50"/>
  <c r="Q6" i="4"/>
  <c r="P4" i="4"/>
  <c r="P45" i="4"/>
  <c r="I11" i="76"/>
  <c r="P32" i="4"/>
  <c r="U60" i="50"/>
  <c r="V53" i="50"/>
  <c r="V50" i="50"/>
  <c r="V43" i="50"/>
  <c r="Q4" i="4"/>
  <c r="H11" i="76"/>
  <c r="I17" i="34"/>
  <c r="U53" i="50"/>
  <c r="T16" i="60"/>
  <c r="Q46" i="4"/>
  <c r="U46" i="50"/>
  <c r="T5" i="60"/>
  <c r="Q16" i="4"/>
  <c r="H13" i="76"/>
  <c r="P35" i="4"/>
  <c r="P29" i="4"/>
  <c r="Q15" i="4"/>
  <c r="J16" i="34"/>
  <c r="U65" i="50"/>
  <c r="V45" i="50"/>
  <c r="V41" i="50"/>
  <c r="G4" i="33"/>
  <c r="M41" i="4"/>
  <c r="R73" i="43"/>
  <c r="R75" i="43"/>
  <c r="M47" i="4"/>
  <c r="G7" i="33"/>
  <c r="F4" i="34"/>
  <c r="F6" i="34"/>
  <c r="F8" i="34"/>
  <c r="F7" i="34"/>
  <c r="G8" i="33"/>
  <c r="G5" i="33"/>
  <c r="F5" i="34"/>
  <c r="R74" i="43"/>
  <c r="K25" i="76"/>
  <c r="H6" i="76"/>
  <c r="P15" i="4"/>
  <c r="V62" i="50"/>
  <c r="V55" i="50"/>
  <c r="U41" i="50"/>
  <c r="V34" i="50"/>
  <c r="J5" i="9"/>
  <c r="K21" i="76" s="1"/>
  <c r="P34" i="4"/>
  <c r="H9" i="76"/>
  <c r="Q50" i="4"/>
  <c r="P39" i="4"/>
  <c r="J15" i="34"/>
  <c r="V10" i="50"/>
  <c r="R142" i="27"/>
  <c r="P37" i="4"/>
  <c r="Q10" i="4"/>
  <c r="J3" i="87"/>
  <c r="P50" i="4"/>
  <c r="Q18" i="4"/>
  <c r="J22" i="34"/>
  <c r="H8" i="34"/>
  <c r="U48" i="50"/>
  <c r="U10" i="50"/>
  <c r="V3" i="50"/>
  <c r="M13" i="4"/>
  <c r="J20" i="33"/>
  <c r="F21" i="76"/>
  <c r="F5" i="9"/>
  <c r="F22" i="76"/>
  <c r="T11" i="60"/>
  <c r="P40" i="4"/>
  <c r="P18" i="4"/>
  <c r="U3" i="50"/>
  <c r="R79" i="43"/>
  <c r="Q26" i="4"/>
  <c r="V24" i="50"/>
  <c r="V17" i="50"/>
  <c r="I16" i="76"/>
  <c r="I9" i="76"/>
  <c r="Q39" i="4"/>
  <c r="U62" i="50"/>
  <c r="U55" i="50"/>
  <c r="U34" i="50"/>
  <c r="V25" i="50"/>
  <c r="R147" i="27"/>
  <c r="K26" i="76"/>
  <c r="R144" i="27"/>
  <c r="I6" i="33"/>
  <c r="I4" i="33"/>
  <c r="H5" i="34"/>
  <c r="H7" i="34"/>
  <c r="O38" i="4"/>
  <c r="T75" i="43"/>
  <c r="I7" i="33"/>
  <c r="O41" i="4"/>
  <c r="I8" i="33"/>
  <c r="T86" i="43"/>
  <c r="H4" i="34"/>
  <c r="O47" i="4"/>
  <c r="Q45" i="4"/>
  <c r="Q28" i="4"/>
  <c r="K24" i="76"/>
  <c r="Q22" i="4"/>
  <c r="V64" i="50"/>
  <c r="V57" i="50"/>
  <c r="U36" i="50"/>
  <c r="V27" i="50"/>
  <c r="V20" i="50"/>
  <c r="U6" i="50"/>
  <c r="T14" i="60"/>
  <c r="Q42" i="4"/>
  <c r="H8" i="76"/>
  <c r="H4" i="76"/>
  <c r="P22" i="4"/>
  <c r="P5" i="4"/>
  <c r="U64" i="50"/>
  <c r="V60" i="50"/>
  <c r="V33" i="50"/>
  <c r="U27" i="50"/>
  <c r="U20" i="50"/>
  <c r="M38" i="4"/>
  <c r="H22" i="76"/>
  <c r="G24" i="76"/>
  <c r="G26" i="76"/>
  <c r="L39" i="4"/>
  <c r="M3" i="4"/>
  <c r="M24" i="4"/>
  <c r="M19" i="4"/>
  <c r="M35" i="4"/>
  <c r="R4" i="50"/>
  <c r="R66" i="50"/>
  <c r="E3" i="76"/>
  <c r="E5" i="76"/>
  <c r="E7" i="76"/>
  <c r="E9" i="76"/>
  <c r="M9" i="4"/>
  <c r="M14" i="4"/>
  <c r="M30" i="4"/>
  <c r="M46" i="4"/>
  <c r="M4" i="4"/>
  <c r="M20" i="4"/>
  <c r="M36" i="4"/>
  <c r="M10" i="4"/>
  <c r="M15" i="4"/>
  <c r="M31" i="4"/>
  <c r="M21" i="4"/>
  <c r="M37" i="4"/>
  <c r="R28" i="50"/>
  <c r="R30" i="50"/>
  <c r="R59" i="50"/>
  <c r="R61" i="50"/>
  <c r="R63" i="50"/>
  <c r="M39" i="4"/>
  <c r="R11" i="50"/>
  <c r="R13" i="50"/>
  <c r="R36" i="50"/>
  <c r="R38" i="50"/>
  <c r="R40" i="50"/>
  <c r="R42" i="50"/>
  <c r="R44" i="50"/>
  <c r="R46" i="50"/>
  <c r="R48" i="50"/>
  <c r="S79" i="43"/>
  <c r="H4" i="33"/>
  <c r="N41" i="4"/>
  <c r="H7" i="33"/>
  <c r="S73" i="43"/>
  <c r="S75" i="43"/>
  <c r="S74" i="43"/>
  <c r="G23" i="76"/>
  <c r="H19" i="33"/>
  <c r="H20" i="33"/>
  <c r="V74" i="43"/>
  <c r="K6" i="33"/>
  <c r="J4" i="34"/>
  <c r="J6" i="34"/>
  <c r="J8" i="34"/>
  <c r="K4" i="33"/>
  <c r="K7" i="33"/>
  <c r="N144" i="27"/>
  <c r="H17" i="33"/>
  <c r="D19" i="76"/>
  <c r="D31" i="76"/>
  <c r="G27" i="76"/>
  <c r="H3" i="77"/>
  <c r="G25" i="76"/>
  <c r="L19" i="4"/>
  <c r="L35" i="4"/>
  <c r="Q4" i="50"/>
  <c r="L9" i="4"/>
  <c r="L14" i="4"/>
  <c r="L30" i="4"/>
  <c r="L46" i="4"/>
  <c r="Q33" i="50"/>
  <c r="D13" i="76"/>
  <c r="D15" i="76"/>
  <c r="D17" i="76"/>
  <c r="L4" i="4"/>
  <c r="Q6" i="50"/>
  <c r="L20" i="4"/>
  <c r="L36" i="4"/>
  <c r="L10" i="4"/>
  <c r="L15" i="4"/>
  <c r="L31" i="4"/>
  <c r="L5" i="4"/>
  <c r="L26" i="4"/>
  <c r="L16" i="4"/>
  <c r="L32" i="4"/>
  <c r="L48" i="4"/>
  <c r="Q3" i="50"/>
  <c r="L49" i="4"/>
  <c r="L18" i="4"/>
  <c r="L34" i="4"/>
  <c r="Q15" i="50"/>
  <c r="Q17" i="50"/>
  <c r="Q19" i="50"/>
  <c r="Q21" i="50"/>
  <c r="Q23" i="50"/>
  <c r="Q25" i="50"/>
  <c r="Q50" i="50"/>
  <c r="Q52" i="50"/>
  <c r="Q54" i="50"/>
  <c r="Q56" i="50"/>
  <c r="Q58" i="50"/>
  <c r="E14" i="34"/>
  <c r="E16" i="34"/>
  <c r="L63" i="4"/>
  <c r="M50" i="4"/>
  <c r="L33" i="4"/>
  <c r="L17" i="4"/>
  <c r="M8" i="4"/>
  <c r="F4" i="33"/>
  <c r="L41" i="4"/>
  <c r="Q73" i="43"/>
  <c r="Q75" i="43"/>
  <c r="L47" i="4"/>
  <c r="F6" i="33"/>
  <c r="E23" i="76"/>
  <c r="E25" i="76"/>
  <c r="P29" i="90"/>
  <c r="O71" i="81"/>
  <c r="T7" i="81"/>
  <c r="S70" i="92"/>
  <c r="U64" i="92"/>
  <c r="N39" i="92"/>
  <c r="T71" i="92"/>
  <c r="N72" i="92"/>
  <c r="P8" i="92"/>
  <c r="J6" i="9"/>
  <c r="O17" i="33" s="1"/>
  <c r="K22" i="76"/>
  <c r="O20" i="33"/>
  <c r="G22" i="76"/>
  <c r="K20" i="33"/>
  <c r="O18" i="33"/>
  <c r="K19" i="76"/>
  <c r="Y91" i="92"/>
  <c r="Y91" i="81"/>
  <c r="V48" i="81"/>
  <c r="AA38" i="94"/>
  <c r="Z70" i="92"/>
  <c r="V70" i="92"/>
  <c r="W38" i="94"/>
  <c r="P32" i="92"/>
  <c r="AA70" i="92"/>
  <c r="Z70" i="81"/>
  <c r="AA70" i="81"/>
  <c r="Q72" i="92"/>
  <c r="AA91" i="81"/>
  <c r="Z91" i="92"/>
  <c r="H7" i="91"/>
  <c r="R11" i="92"/>
  <c r="AB55" i="94"/>
  <c r="Z91" i="81"/>
  <c r="I7" i="90"/>
  <c r="V48" i="92"/>
  <c r="R10" i="92"/>
  <c r="R30" i="92"/>
  <c r="Y28" i="92"/>
  <c r="Y28" i="81"/>
  <c r="V28" i="92"/>
  <c r="V28" i="81"/>
  <c r="N14" i="92"/>
  <c r="D7" i="91"/>
  <c r="S30" i="92"/>
  <c r="D22" i="91"/>
  <c r="O26" i="94"/>
  <c r="T50" i="92"/>
  <c r="AC27" i="81"/>
  <c r="U10" i="94"/>
  <c r="S7" i="81"/>
  <c r="O7" i="81"/>
  <c r="AB28" i="92"/>
  <c r="AB28" i="81"/>
  <c r="H22" i="91"/>
  <c r="G111" i="27"/>
  <c r="J111" i="27" s="1"/>
  <c r="R84" i="43"/>
  <c r="N23" i="27"/>
  <c r="L23" i="27"/>
  <c r="P74" i="81"/>
  <c r="U72" i="81"/>
  <c r="U49" i="81"/>
  <c r="R49" i="81"/>
  <c r="N30" i="81"/>
  <c r="P30" i="81"/>
  <c r="U8" i="81"/>
  <c r="N7" i="81"/>
  <c r="AC28" i="92"/>
  <c r="AC28" i="81"/>
  <c r="U50" i="76"/>
  <c r="Y50" i="76" s="1"/>
  <c r="M51" i="76"/>
  <c r="AN38" i="76"/>
  <c r="AO38" i="76" s="1"/>
  <c r="AG38" i="76"/>
  <c r="K147" i="27"/>
  <c r="L147" i="27"/>
  <c r="N147" i="27"/>
  <c r="O147" i="27"/>
  <c r="M147" i="27"/>
  <c r="G134" i="27"/>
  <c r="F136" i="27"/>
  <c r="G135" i="27"/>
  <c r="J135" i="27"/>
  <c r="G117" i="27"/>
  <c r="F113" i="27"/>
  <c r="G109" i="27"/>
  <c r="J109" i="27" s="1"/>
  <c r="F94" i="27"/>
  <c r="G14" i="27"/>
  <c r="J14" i="27"/>
  <c r="G12" i="27"/>
  <c r="Q148" i="27"/>
  <c r="O148" i="27"/>
  <c r="R148" i="27"/>
  <c r="K148" i="27"/>
  <c r="AD38" i="94"/>
  <c r="AC70" i="81"/>
  <c r="AC70" i="92"/>
  <c r="Z38" i="94"/>
  <c r="Y70" i="92"/>
  <c r="Y70" i="81"/>
  <c r="N42" i="4"/>
  <c r="L42" i="4"/>
  <c r="P42" i="4"/>
  <c r="L40" i="4"/>
  <c r="M40" i="4"/>
  <c r="N23" i="4"/>
  <c r="P23" i="4"/>
  <c r="Q23" i="4"/>
  <c r="M23" i="4"/>
  <c r="Q32" i="50"/>
  <c r="S32" i="50"/>
  <c r="AA35" i="50"/>
  <c r="R32" i="50"/>
  <c r="O4" i="60"/>
  <c r="E26" i="77"/>
  <c r="U32" i="50"/>
  <c r="AM38" i="76"/>
  <c r="O51" i="76"/>
  <c r="J9" i="33"/>
  <c r="M148" i="27"/>
  <c r="P147" i="27"/>
  <c r="S86" i="43"/>
  <c r="U86" i="43"/>
  <c r="R86" i="43"/>
  <c r="V86" i="43"/>
  <c r="K23" i="27"/>
  <c r="G108" i="27"/>
  <c r="K52" i="4"/>
  <c r="D26" i="87"/>
  <c r="R75" i="81"/>
  <c r="O50" i="81"/>
  <c r="Q51" i="76"/>
  <c r="AD37" i="76"/>
  <c r="AK37" i="76" s="1"/>
  <c r="G54" i="27"/>
  <c r="G13" i="27"/>
  <c r="J13" i="27" s="1"/>
  <c r="P9" i="4"/>
  <c r="Q9" i="4"/>
  <c r="I215" i="35"/>
  <c r="U79" i="43"/>
  <c r="T79" i="43"/>
  <c r="V79" i="43"/>
  <c r="P148" i="27"/>
  <c r="Q147" i="27"/>
  <c r="S82" i="43"/>
  <c r="T82" i="43"/>
  <c r="R82" i="43"/>
  <c r="U82" i="43"/>
  <c r="Q7" i="27"/>
  <c r="N7" i="27"/>
  <c r="N21" i="27"/>
  <c r="P21" i="27"/>
  <c r="O21" i="27"/>
  <c r="L21" i="27"/>
  <c r="R21" i="27"/>
  <c r="G6" i="27"/>
  <c r="G9" i="27" s="1"/>
  <c r="G8" i="27"/>
  <c r="J8" i="27" s="1"/>
  <c r="F131" i="27"/>
  <c r="G130" i="27"/>
  <c r="J130" i="27" s="1"/>
  <c r="Q33" i="81"/>
  <c r="R30" i="81"/>
  <c r="C7" i="90"/>
  <c r="G26" i="77"/>
  <c r="AA49" i="92"/>
  <c r="AA49" i="81"/>
  <c r="G112" i="27"/>
  <c r="J112" i="27"/>
  <c r="G110" i="27"/>
  <c r="J110" i="27"/>
  <c r="R143" i="27"/>
  <c r="M143" i="27"/>
  <c r="H4" i="31"/>
  <c r="M43" i="4"/>
  <c r="L43" i="4"/>
  <c r="P43" i="4"/>
  <c r="Q43" i="4"/>
  <c r="Q25" i="4"/>
  <c r="M25" i="4"/>
  <c r="L25" i="4"/>
  <c r="I189" i="35"/>
  <c r="F50" i="35"/>
  <c r="F51" i="35"/>
  <c r="O17" i="60"/>
  <c r="U17" i="60" s="1"/>
  <c r="O8" i="60"/>
  <c r="O18" i="40"/>
  <c r="G48" i="84"/>
  <c r="G85" i="84"/>
  <c r="I5" i="9"/>
  <c r="J26" i="76"/>
  <c r="J23" i="76"/>
  <c r="J25" i="76"/>
  <c r="J27" i="76"/>
  <c r="K3" i="77"/>
  <c r="Q144" i="27"/>
  <c r="M42" i="4"/>
  <c r="L23" i="4"/>
  <c r="G21" i="76"/>
  <c r="K19" i="33"/>
  <c r="Q40" i="4"/>
  <c r="V32" i="50"/>
  <c r="P25" i="4"/>
  <c r="AG37" i="76"/>
  <c r="W28" i="81"/>
  <c r="Q86" i="43"/>
  <c r="L148" i="27"/>
  <c r="L143" i="27"/>
  <c r="H3" i="33"/>
  <c r="G3" i="33"/>
  <c r="G9" i="33"/>
  <c r="F3" i="33"/>
  <c r="S81" i="43"/>
  <c r="V81" i="43"/>
  <c r="U81" i="43"/>
  <c r="Q21" i="27"/>
  <c r="N74" i="81"/>
  <c r="S72" i="81"/>
  <c r="G55" i="27"/>
  <c r="J55" i="27" s="1"/>
  <c r="G39" i="27"/>
  <c r="J39" i="27" s="1"/>
  <c r="K39" i="27" s="1"/>
  <c r="F50" i="27"/>
  <c r="G48" i="27" s="1"/>
  <c r="J48" i="27" s="1"/>
  <c r="M142" i="27"/>
  <c r="K142" i="27"/>
  <c r="Q142" i="27"/>
  <c r="O142" i="27"/>
  <c r="L142" i="27"/>
  <c r="L13" i="4"/>
  <c r="P13" i="4"/>
  <c r="Q13" i="4"/>
  <c r="O13" i="4"/>
  <c r="N13" i="4"/>
  <c r="L211" i="35"/>
  <c r="L111" i="35"/>
  <c r="L107" i="35"/>
  <c r="F57" i="35"/>
  <c r="I38" i="35"/>
  <c r="O12" i="60"/>
  <c r="N14" i="40"/>
  <c r="O14" i="40" s="1"/>
  <c r="N10" i="40"/>
  <c r="O10" i="40" s="1"/>
  <c r="O5" i="40"/>
  <c r="M80" i="43"/>
  <c r="P80" i="43"/>
  <c r="M78" i="43"/>
  <c r="P78" i="43" s="1"/>
  <c r="M76" i="43"/>
  <c r="P76" i="43"/>
  <c r="M77" i="43"/>
  <c r="P77" i="43"/>
  <c r="E45" i="69"/>
  <c r="D56" i="69"/>
  <c r="C48" i="84"/>
  <c r="C85" i="84"/>
  <c r="F47" i="84"/>
  <c r="F84" i="84"/>
  <c r="I17" i="33"/>
  <c r="E20" i="76"/>
  <c r="E19" i="76"/>
  <c r="F26" i="77"/>
  <c r="Y49" i="81"/>
  <c r="O144" i="27"/>
  <c r="K144" i="27"/>
  <c r="G22" i="27"/>
  <c r="N21" i="4"/>
  <c r="P21" i="4"/>
  <c r="N19" i="4"/>
  <c r="M17" i="4"/>
  <c r="N17" i="4"/>
  <c r="I9" i="4"/>
  <c r="J52" i="4"/>
  <c r="M7" i="4"/>
  <c r="N7" i="4"/>
  <c r="G22" i="34"/>
  <c r="E22" i="34"/>
  <c r="L192" i="35"/>
  <c r="I149" i="35"/>
  <c r="L140" i="35"/>
  <c r="L136" i="35"/>
  <c r="L21" i="35"/>
  <c r="I18" i="33"/>
  <c r="G47" i="70"/>
  <c r="G84" i="70"/>
  <c r="B47" i="70"/>
  <c r="B48" i="70" s="1"/>
  <c r="B49" i="70" s="1"/>
  <c r="B84" i="70"/>
  <c r="H47" i="85"/>
  <c r="H84" i="85"/>
  <c r="F100" i="27"/>
  <c r="F102" i="27"/>
  <c r="G99" i="27" s="1"/>
  <c r="J99" i="27" s="1"/>
  <c r="G74" i="27"/>
  <c r="J74" i="27" s="1"/>
  <c r="F76" i="27"/>
  <c r="G75" i="27"/>
  <c r="J75" i="27" s="1"/>
  <c r="P75" i="27" s="1"/>
  <c r="G38" i="27"/>
  <c r="J38" i="27"/>
  <c r="N37" i="4"/>
  <c r="L37" i="4"/>
  <c r="M16" i="4"/>
  <c r="N16" i="4"/>
  <c r="L194" i="35"/>
  <c r="I182" i="35"/>
  <c r="L142" i="35"/>
  <c r="L138" i="35"/>
  <c r="L94" i="35"/>
  <c r="I91" i="35"/>
  <c r="L90" i="35"/>
  <c r="L84" i="35"/>
  <c r="L50" i="35"/>
  <c r="I44" i="35"/>
  <c r="L23" i="35"/>
  <c r="L16" i="35"/>
  <c r="R33" i="50"/>
  <c r="S33" i="50"/>
  <c r="S4" i="50"/>
  <c r="O67" i="50"/>
  <c r="O24" i="40"/>
  <c r="N8" i="40"/>
  <c r="O8" i="40" s="1"/>
  <c r="V91" i="92"/>
  <c r="V91" i="81"/>
  <c r="E48" i="70"/>
  <c r="E85" i="70"/>
  <c r="D47" i="85"/>
  <c r="D84" i="85"/>
  <c r="L38" i="4"/>
  <c r="N38" i="4"/>
  <c r="N26" i="4"/>
  <c r="M26" i="4"/>
  <c r="L10" i="35"/>
  <c r="I11" i="35"/>
  <c r="N15" i="60"/>
  <c r="O15" i="60"/>
  <c r="Q13" i="60" s="1"/>
  <c r="N10" i="60"/>
  <c r="O10" i="60" s="1"/>
  <c r="C23" i="60"/>
  <c r="N16" i="40"/>
  <c r="O16" i="40"/>
  <c r="N4" i="40"/>
  <c r="M87" i="43"/>
  <c r="P87" i="43" s="1"/>
  <c r="M45" i="4"/>
  <c r="N45" i="4"/>
  <c r="Q38" i="4"/>
  <c r="M34" i="4"/>
  <c r="N34" i="4"/>
  <c r="S5" i="50"/>
  <c r="Q5" i="50"/>
  <c r="O23" i="40"/>
  <c r="C30" i="40"/>
  <c r="H6" i="33"/>
  <c r="J6" i="33"/>
  <c r="B47" i="84"/>
  <c r="B84" i="84"/>
  <c r="F47" i="86"/>
  <c r="F84" i="86"/>
  <c r="S13" i="92"/>
  <c r="I7" i="91"/>
  <c r="E22" i="91"/>
  <c r="N19" i="33"/>
  <c r="L19" i="33"/>
  <c r="D84" i="84"/>
  <c r="F83" i="84"/>
  <c r="B83" i="84"/>
  <c r="E84" i="86"/>
  <c r="E47" i="86"/>
  <c r="L28" i="4"/>
  <c r="E7" i="91"/>
  <c r="I22" i="91"/>
  <c r="G46" i="85"/>
  <c r="G83" i="85"/>
  <c r="C46" i="85"/>
  <c r="C83" i="85"/>
  <c r="B48" i="86"/>
  <c r="B49" i="86" s="1"/>
  <c r="B50" i="86" s="1"/>
  <c r="B85" i="86"/>
  <c r="H46" i="86"/>
  <c r="H47" i="86" s="1"/>
  <c r="H83" i="86"/>
  <c r="L50" i="4"/>
  <c r="D48" i="86"/>
  <c r="D86" i="86" s="1"/>
  <c r="D85" i="86"/>
  <c r="L7" i="4"/>
  <c r="L3" i="4"/>
  <c r="L21" i="4"/>
  <c r="L45" i="4"/>
  <c r="L6" i="4"/>
  <c r="L8" i="4"/>
  <c r="L11" i="4"/>
  <c r="E3" i="87" s="1"/>
  <c r="L12" i="4"/>
  <c r="L22" i="4"/>
  <c r="N48" i="4"/>
  <c r="N39" i="4"/>
  <c r="N36" i="4"/>
  <c r="N32" i="4"/>
  <c r="N27" i="4"/>
  <c r="N24" i="4"/>
  <c r="N18" i="4"/>
  <c r="N15" i="4"/>
  <c r="N10" i="4"/>
  <c r="N6" i="4"/>
  <c r="N4" i="4"/>
  <c r="N5" i="4"/>
  <c r="N9" i="4"/>
  <c r="N12" i="4"/>
  <c r="N22" i="4"/>
  <c r="N25" i="4"/>
  <c r="N28" i="4"/>
  <c r="N30" i="4"/>
  <c r="N35" i="4"/>
  <c r="N40" i="4"/>
  <c r="N43" i="4"/>
  <c r="C47" i="85"/>
  <c r="C84" i="85"/>
  <c r="E48" i="86"/>
  <c r="E86" i="86" s="1"/>
  <c r="E85" i="86"/>
  <c r="R87" i="43"/>
  <c r="S87" i="43"/>
  <c r="U87" i="43"/>
  <c r="Q10" i="60"/>
  <c r="T10" i="60"/>
  <c r="U10" i="60"/>
  <c r="K99" i="27"/>
  <c r="R99" i="27"/>
  <c r="L99" i="27"/>
  <c r="O99" i="27"/>
  <c r="F48" i="84"/>
  <c r="F85" i="84"/>
  <c r="U76" i="43"/>
  <c r="Q76" i="43"/>
  <c r="T76" i="43"/>
  <c r="V76" i="43"/>
  <c r="P39" i="27"/>
  <c r="M39" i="27"/>
  <c r="J6" i="27"/>
  <c r="R6" i="27" s="1"/>
  <c r="J54" i="27"/>
  <c r="P54" i="27" s="1"/>
  <c r="G56" i="27"/>
  <c r="J117" i="27"/>
  <c r="J134" i="27"/>
  <c r="G136" i="27"/>
  <c r="Q111" i="27"/>
  <c r="M111" i="27"/>
  <c r="R111" i="27"/>
  <c r="N111" i="27"/>
  <c r="K111" i="27"/>
  <c r="P111" i="27"/>
  <c r="L111" i="27"/>
  <c r="O111" i="27"/>
  <c r="O4" i="40"/>
  <c r="T15" i="60"/>
  <c r="U13" i="60"/>
  <c r="Q15" i="60"/>
  <c r="T13" i="60"/>
  <c r="R13" i="60"/>
  <c r="P13" i="60"/>
  <c r="D48" i="85"/>
  <c r="D85" i="85"/>
  <c r="E86" i="70"/>
  <c r="E49" i="70"/>
  <c r="E87" i="70" s="1"/>
  <c r="N75" i="27"/>
  <c r="R75" i="27"/>
  <c r="R78" i="43"/>
  <c r="S78" i="43"/>
  <c r="V78" i="43"/>
  <c r="K48" i="27"/>
  <c r="M48" i="27"/>
  <c r="O48" i="27"/>
  <c r="L48" i="27"/>
  <c r="H9" i="33"/>
  <c r="K110" i="27"/>
  <c r="L110" i="27"/>
  <c r="P110" i="27"/>
  <c r="R110" i="27"/>
  <c r="M110" i="27"/>
  <c r="Q110" i="27"/>
  <c r="N110" i="27"/>
  <c r="O110" i="27"/>
  <c r="G118" i="27"/>
  <c r="G120" i="27"/>
  <c r="J120" i="27" s="1"/>
  <c r="M120" i="27" s="1"/>
  <c r="G121" i="27"/>
  <c r="J121" i="27"/>
  <c r="G119" i="27"/>
  <c r="J119" i="27" s="1"/>
  <c r="O119" i="27" s="1"/>
  <c r="D49" i="86"/>
  <c r="H84" i="86"/>
  <c r="G84" i="85"/>
  <c r="G47" i="85"/>
  <c r="B85" i="84"/>
  <c r="B48" i="84"/>
  <c r="M74" i="27"/>
  <c r="H48" i="85"/>
  <c r="H85" i="85"/>
  <c r="G85" i="70"/>
  <c r="G48" i="70"/>
  <c r="J22" i="27"/>
  <c r="Q80" i="43"/>
  <c r="V80" i="43"/>
  <c r="R80" i="43"/>
  <c r="S80" i="43"/>
  <c r="T80" i="43"/>
  <c r="U80" i="43"/>
  <c r="Q12" i="60"/>
  <c r="T12" i="60"/>
  <c r="R12" i="60"/>
  <c r="P12" i="60"/>
  <c r="U12" i="60"/>
  <c r="K55" i="27"/>
  <c r="Q55" i="27"/>
  <c r="O55" i="27"/>
  <c r="M55" i="27"/>
  <c r="R55" i="27"/>
  <c r="I6" i="9"/>
  <c r="N20" i="33"/>
  <c r="J21" i="76"/>
  <c r="J22" i="76"/>
  <c r="U8" i="60"/>
  <c r="P8" i="60"/>
  <c r="T8" i="60"/>
  <c r="R8" i="60"/>
  <c r="Q8" i="60"/>
  <c r="F59" i="35"/>
  <c r="K112" i="27"/>
  <c r="L112" i="27"/>
  <c r="O112" i="27"/>
  <c r="M112" i="27"/>
  <c r="P112" i="27"/>
  <c r="N112" i="27"/>
  <c r="Q112" i="27"/>
  <c r="R112" i="27"/>
  <c r="K130" i="27"/>
  <c r="Q130" i="27"/>
  <c r="O130" i="27"/>
  <c r="N130" i="27"/>
  <c r="P130" i="27"/>
  <c r="E31" i="76"/>
  <c r="L13" i="27"/>
  <c r="K13" i="27"/>
  <c r="Q13" i="27"/>
  <c r="R13" i="27"/>
  <c r="P13" i="27"/>
  <c r="N13" i="27"/>
  <c r="O13" i="27"/>
  <c r="M13" i="27"/>
  <c r="AS37" i="76"/>
  <c r="Q4" i="60"/>
  <c r="R4" i="60"/>
  <c r="P4" i="60"/>
  <c r="T4" i="60"/>
  <c r="U4" i="60"/>
  <c r="G127" i="27"/>
  <c r="G129" i="27"/>
  <c r="J129" i="27" s="1"/>
  <c r="M129" i="27" s="1"/>
  <c r="G126" i="27"/>
  <c r="O38" i="27"/>
  <c r="M38" i="27"/>
  <c r="K38" i="27"/>
  <c r="Q38" i="27"/>
  <c r="P38" i="27"/>
  <c r="R38" i="27"/>
  <c r="L38" i="27"/>
  <c r="N38" i="27"/>
  <c r="G98" i="27"/>
  <c r="J98" i="27"/>
  <c r="P98" i="27" s="1"/>
  <c r="V77" i="43"/>
  <c r="R77" i="43"/>
  <c r="Q77" i="43"/>
  <c r="T77" i="43"/>
  <c r="S77" i="43"/>
  <c r="U77" i="43"/>
  <c r="G34" i="27"/>
  <c r="J34" i="27" s="1"/>
  <c r="G45" i="27"/>
  <c r="J45" i="27"/>
  <c r="M45" i="27" s="1"/>
  <c r="G49" i="27"/>
  <c r="J49" i="27"/>
  <c r="R49" i="27" s="1"/>
  <c r="G47" i="27"/>
  <c r="J47" i="27" s="1"/>
  <c r="G43" i="27"/>
  <c r="J43" i="27" s="1"/>
  <c r="O43" i="27" s="1"/>
  <c r="G41" i="27"/>
  <c r="J41" i="27"/>
  <c r="N41" i="27" s="1"/>
  <c r="G40" i="27"/>
  <c r="J40" i="27"/>
  <c r="Q40" i="27" s="1"/>
  <c r="G44" i="27"/>
  <c r="J44" i="27"/>
  <c r="O44" i="27" s="1"/>
  <c r="G35" i="27"/>
  <c r="J35" i="27" s="1"/>
  <c r="O35" i="27" s="1"/>
  <c r="G36" i="27"/>
  <c r="J36" i="27"/>
  <c r="M36" i="27" s="1"/>
  <c r="Q17" i="60"/>
  <c r="R17" i="60"/>
  <c r="P17" i="60"/>
  <c r="T17" i="60"/>
  <c r="G128" i="27"/>
  <c r="J128" i="27"/>
  <c r="M128" i="27" s="1"/>
  <c r="G46" i="27"/>
  <c r="J46" i="27"/>
  <c r="R46" i="27" s="1"/>
  <c r="J108" i="27"/>
  <c r="G113" i="27"/>
  <c r="J12" i="27"/>
  <c r="G15" i="27"/>
  <c r="R109" i="27"/>
  <c r="O109" i="27"/>
  <c r="M109" i="27"/>
  <c r="P109" i="27"/>
  <c r="N109" i="27"/>
  <c r="K109" i="27"/>
  <c r="Q109" i="27"/>
  <c r="L109" i="27"/>
  <c r="L135" i="27"/>
  <c r="N135" i="27"/>
  <c r="K135" i="27"/>
  <c r="Q135" i="27"/>
  <c r="R135" i="27"/>
  <c r="P135" i="27"/>
  <c r="O135" i="27"/>
  <c r="M135" i="27"/>
  <c r="Q35" i="27"/>
  <c r="N35" i="27"/>
  <c r="K35" i="27"/>
  <c r="H49" i="85"/>
  <c r="H86" i="85"/>
  <c r="Q54" i="27"/>
  <c r="O54" i="27"/>
  <c r="R54" i="27"/>
  <c r="N54" i="27"/>
  <c r="M54" i="27"/>
  <c r="L54" i="27"/>
  <c r="K54" i="27"/>
  <c r="O129" i="27"/>
  <c r="K129" i="27"/>
  <c r="N129" i="27"/>
  <c r="P129" i="27"/>
  <c r="R129" i="27"/>
  <c r="Q129" i="27"/>
  <c r="L129" i="27"/>
  <c r="B87" i="86"/>
  <c r="I49" i="86"/>
  <c r="K128" i="27"/>
  <c r="L128" i="27"/>
  <c r="N128" i="27"/>
  <c r="R128" i="27"/>
  <c r="Q128" i="27"/>
  <c r="O128" i="27"/>
  <c r="P128" i="27"/>
  <c r="M40" i="27"/>
  <c r="L40" i="27"/>
  <c r="O40" i="27"/>
  <c r="R40" i="27"/>
  <c r="N40" i="27"/>
  <c r="P40" i="27"/>
  <c r="K40" i="27"/>
  <c r="K49" i="27"/>
  <c r="M49" i="27"/>
  <c r="L49" i="27"/>
  <c r="P49" i="27"/>
  <c r="Q49" i="27"/>
  <c r="O49" i="27"/>
  <c r="N49" i="27"/>
  <c r="Q98" i="27"/>
  <c r="K98" i="27"/>
  <c r="N98" i="27"/>
  <c r="L98" i="27"/>
  <c r="M98" i="27"/>
  <c r="R98" i="27"/>
  <c r="O98" i="27"/>
  <c r="H85" i="86"/>
  <c r="H48" i="86"/>
  <c r="H86" i="86" s="1"/>
  <c r="Q119" i="27"/>
  <c r="N119" i="27"/>
  <c r="L119" i="27"/>
  <c r="K119" i="27"/>
  <c r="R119" i="27"/>
  <c r="P119" i="27"/>
  <c r="M119" i="27"/>
  <c r="L120" i="27"/>
  <c r="P120" i="27"/>
  <c r="K120" i="27"/>
  <c r="Q120" i="27"/>
  <c r="N120" i="27"/>
  <c r="R120" i="27"/>
  <c r="Q6" i="27"/>
  <c r="M6" i="27"/>
  <c r="L6" i="27"/>
  <c r="N6" i="27"/>
  <c r="P6" i="27"/>
  <c r="B86" i="70"/>
  <c r="M108" i="27"/>
  <c r="Q108" i="27"/>
  <c r="B49" i="84"/>
  <c r="I49" i="84" s="1"/>
  <c r="B86" i="84"/>
  <c r="G48" i="85"/>
  <c r="G86" i="85" s="1"/>
  <c r="G85" i="85"/>
  <c r="D50" i="86"/>
  <c r="D51" i="86" s="1"/>
  <c r="K49" i="86"/>
  <c r="D87" i="86"/>
  <c r="L49" i="70"/>
  <c r="L12" i="27"/>
  <c r="N12" i="27"/>
  <c r="M12" i="27"/>
  <c r="P12" i="27"/>
  <c r="K12" i="27"/>
  <c r="R44" i="27"/>
  <c r="Q117" i="27"/>
  <c r="O117" i="27"/>
  <c r="L117" i="27"/>
  <c r="K117" i="27"/>
  <c r="N117" i="27"/>
  <c r="M117" i="27"/>
  <c r="R117" i="27"/>
  <c r="P117" i="27"/>
  <c r="E49" i="86"/>
  <c r="O46" i="27"/>
  <c r="M46" i="27"/>
  <c r="N46" i="27"/>
  <c r="K46" i="27"/>
  <c r="Q46" i="27"/>
  <c r="L46" i="27"/>
  <c r="O36" i="27"/>
  <c r="P36" i="27"/>
  <c r="R36" i="27"/>
  <c r="K36" i="27"/>
  <c r="N36" i="27"/>
  <c r="L36" i="27"/>
  <c r="Q36" i="27"/>
  <c r="M41" i="27"/>
  <c r="Q41" i="27"/>
  <c r="L41" i="27"/>
  <c r="O41" i="27"/>
  <c r="R41" i="27"/>
  <c r="P41" i="27"/>
  <c r="K41" i="27"/>
  <c r="O45" i="27"/>
  <c r="Q45" i="27"/>
  <c r="R45" i="27"/>
  <c r="L45" i="27"/>
  <c r="K45" i="27"/>
  <c r="N45" i="27"/>
  <c r="P45" i="27"/>
  <c r="J126" i="27"/>
  <c r="J20" i="76"/>
  <c r="N17" i="33"/>
  <c r="I7" i="9"/>
  <c r="W33" i="50" s="1"/>
  <c r="J19" i="76"/>
  <c r="N18" i="33"/>
  <c r="K22" i="27"/>
  <c r="R22" i="27"/>
  <c r="M22" i="27"/>
  <c r="L22" i="27"/>
  <c r="Q22" i="27"/>
  <c r="O22" i="27"/>
  <c r="N22" i="27"/>
  <c r="P22" i="27"/>
  <c r="R121" i="27"/>
  <c r="P121" i="27"/>
  <c r="L121" i="27"/>
  <c r="K121" i="27"/>
  <c r="Q121" i="27"/>
  <c r="M121" i="27"/>
  <c r="N121" i="27"/>
  <c r="O121" i="27"/>
  <c r="D49" i="85"/>
  <c r="D87" i="85" s="1"/>
  <c r="D86" i="85"/>
  <c r="P134" i="27"/>
  <c r="K134" i="27"/>
  <c r="Q134" i="27"/>
  <c r="N134" i="27"/>
  <c r="F49" i="84"/>
  <c r="F86" i="84"/>
  <c r="C48" i="85"/>
  <c r="C85" i="85"/>
  <c r="N126" i="27"/>
  <c r="P126" i="27"/>
  <c r="O126" i="27"/>
  <c r="L126" i="27"/>
  <c r="G49" i="85"/>
  <c r="G87" i="85" s="1"/>
  <c r="W9" i="50"/>
  <c r="J13" i="76"/>
  <c r="R30" i="4"/>
  <c r="W65" i="50"/>
  <c r="W11" i="50"/>
  <c r="K13" i="34"/>
  <c r="W42" i="50"/>
  <c r="R45" i="4"/>
  <c r="J10" i="76"/>
  <c r="V16" i="60"/>
  <c r="W35" i="50"/>
  <c r="W17" i="50"/>
  <c r="W66" i="50"/>
  <c r="W34" i="50"/>
  <c r="W8" i="50"/>
  <c r="R43" i="4"/>
  <c r="W43" i="50"/>
  <c r="R63" i="4"/>
  <c r="W10" i="50"/>
  <c r="V11" i="60"/>
  <c r="W24" i="50"/>
  <c r="W48" i="50"/>
  <c r="W25" i="50"/>
  <c r="W18" i="50"/>
  <c r="J6" i="76"/>
  <c r="W12" i="50"/>
  <c r="W39" i="50"/>
  <c r="W38" i="50"/>
  <c r="R31" i="4"/>
  <c r="R48" i="4"/>
  <c r="R50" i="4"/>
  <c r="J17" i="76"/>
  <c r="W6" i="50"/>
  <c r="J7" i="76"/>
  <c r="J12" i="76"/>
  <c r="W28" i="50"/>
  <c r="R34" i="4"/>
  <c r="W4" i="50"/>
  <c r="R44" i="4"/>
  <c r="W14" i="50"/>
  <c r="R14" i="4"/>
  <c r="R35" i="4"/>
  <c r="V14" i="60"/>
  <c r="W60" i="50"/>
  <c r="J9" i="76"/>
  <c r="R8" i="4"/>
  <c r="R32" i="4"/>
  <c r="J4" i="76"/>
  <c r="W20" i="50"/>
  <c r="W57" i="50"/>
  <c r="W44" i="50"/>
  <c r="K22" i="34"/>
  <c r="J16" i="76"/>
  <c r="W55" i="50"/>
  <c r="W46" i="50"/>
  <c r="R19" i="4"/>
  <c r="R11" i="4"/>
  <c r="R16" i="4"/>
  <c r="R46" i="4"/>
  <c r="R33" i="4"/>
  <c r="W21" i="50"/>
  <c r="W16" i="50"/>
  <c r="R23" i="4"/>
  <c r="W61" i="50"/>
  <c r="R21" i="4"/>
  <c r="W53" i="50"/>
  <c r="J14" i="76"/>
  <c r="R5" i="4"/>
  <c r="W15" i="50"/>
  <c r="R39" i="4"/>
  <c r="R10" i="4"/>
  <c r="K3" i="87"/>
  <c r="R17" i="4"/>
  <c r="R25" i="4"/>
  <c r="W7" i="50"/>
  <c r="J11" i="76"/>
  <c r="W63" i="50"/>
  <c r="W37" i="50"/>
  <c r="W26" i="50"/>
  <c r="R27" i="4"/>
  <c r="R3" i="4"/>
  <c r="W30" i="50"/>
  <c r="W27" i="50"/>
  <c r="R24" i="4"/>
  <c r="R12" i="4"/>
  <c r="W5" i="50"/>
  <c r="W45" i="50"/>
  <c r="W29" i="50"/>
  <c r="R49" i="4"/>
  <c r="R37" i="4"/>
  <c r="J5" i="76"/>
  <c r="W64" i="50"/>
  <c r="R9" i="4"/>
  <c r="J18" i="76"/>
  <c r="R42" i="4"/>
  <c r="W62" i="50"/>
  <c r="R7" i="4"/>
  <c r="J15" i="76"/>
  <c r="K15" i="34"/>
  <c r="R40" i="4"/>
  <c r="R20" i="4"/>
  <c r="W54" i="50"/>
  <c r="V5" i="60"/>
  <c r="V18" i="60"/>
  <c r="R29" i="4"/>
  <c r="W23" i="50"/>
  <c r="K14" i="34"/>
  <c r="W58" i="50"/>
  <c r="W40" i="50"/>
  <c r="W51" i="50"/>
  <c r="R36" i="4"/>
  <c r="R15" i="4"/>
  <c r="J3" i="76"/>
  <c r="W3" i="50"/>
  <c r="R26" i="4"/>
  <c r="W19" i="50"/>
  <c r="W13" i="50"/>
  <c r="R28" i="4"/>
  <c r="R18" i="4"/>
  <c r="W32" i="50"/>
  <c r="V17" i="60"/>
  <c r="V4" i="60"/>
  <c r="V13" i="60"/>
  <c r="V15" i="60"/>
  <c r="V8" i="60"/>
  <c r="V10" i="60"/>
  <c r="H50" i="85"/>
  <c r="H51" i="85" s="1"/>
  <c r="H87" i="85"/>
  <c r="O49" i="85"/>
  <c r="C86" i="85"/>
  <c r="C49" i="85"/>
  <c r="D88" i="86"/>
  <c r="B50" i="84"/>
  <c r="B51" i="84" s="1"/>
  <c r="B87" i="84"/>
  <c r="H49" i="86"/>
  <c r="D50" i="85"/>
  <c r="D51" i="85" s="1"/>
  <c r="K49" i="85"/>
  <c r="E87" i="86"/>
  <c r="I49" i="70"/>
  <c r="B87" i="70"/>
  <c r="B50" i="70"/>
  <c r="O34" i="27"/>
  <c r="M34" i="27"/>
  <c r="P34" i="27"/>
  <c r="K34" i="27"/>
  <c r="Q34" i="27"/>
  <c r="R34" i="27"/>
  <c r="L34" i="27"/>
  <c r="N34" i="27"/>
  <c r="H50" i="86"/>
  <c r="H51" i="86" s="1"/>
  <c r="D88" i="85"/>
  <c r="B51" i="70"/>
  <c r="B88" i="70"/>
  <c r="B88" i="84"/>
  <c r="J49" i="85"/>
  <c r="C87" i="85"/>
  <c r="C50" i="85"/>
  <c r="C51" i="85" s="1"/>
  <c r="C52" i="85" s="1"/>
  <c r="C90" i="85" s="1"/>
  <c r="C88" i="85"/>
  <c r="O51" i="85"/>
  <c r="B89" i="70"/>
  <c r="D52" i="85"/>
  <c r="D90" i="85" s="1"/>
  <c r="O51" i="86"/>
  <c r="D53" i="85"/>
  <c r="D54" i="85" s="1"/>
  <c r="J51" i="85"/>
  <c r="C89" i="85"/>
  <c r="C53" i="85"/>
  <c r="C54" i="85" s="1"/>
  <c r="C55" i="85" s="1"/>
  <c r="C93" i="85" s="1"/>
  <c r="C92" i="85"/>
  <c r="J55" i="85"/>
  <c r="E33" i="91" l="1"/>
  <c r="M29" i="90"/>
  <c r="P7" i="91"/>
  <c r="P22" i="91"/>
  <c r="AB91" i="81"/>
  <c r="AC91" i="92"/>
  <c r="Z69" i="92"/>
  <c r="AB91" i="92"/>
  <c r="AB69" i="92"/>
  <c r="AA37" i="94"/>
  <c r="AD54" i="94"/>
  <c r="W37" i="94"/>
  <c r="X69" i="92"/>
  <c r="AB48" i="92"/>
  <c r="W48" i="81"/>
  <c r="W27" i="92"/>
  <c r="X49" i="81"/>
  <c r="N77" i="92"/>
  <c r="F91" i="92"/>
  <c r="X48" i="81"/>
  <c r="Y48" i="81"/>
  <c r="AC49" i="81"/>
  <c r="AA54" i="94"/>
  <c r="AB48" i="81"/>
  <c r="V69" i="92"/>
  <c r="W54" i="94"/>
  <c r="Q22" i="91"/>
  <c r="Q7" i="91"/>
  <c r="X38" i="94"/>
  <c r="Z54" i="94"/>
  <c r="AD70" i="81"/>
  <c r="N8" i="92"/>
  <c r="N52" i="92"/>
  <c r="P68" i="92"/>
  <c r="V55" i="94"/>
  <c r="S24" i="94"/>
  <c r="S40" i="94"/>
  <c r="W70" i="81"/>
  <c r="AC37" i="94"/>
  <c r="M55" i="94"/>
  <c r="Y69" i="81"/>
  <c r="AF27" i="92"/>
  <c r="V69" i="81"/>
  <c r="E91" i="92"/>
  <c r="AD27" i="92"/>
  <c r="Z90" i="92"/>
  <c r="W69" i="92"/>
  <c r="AC69" i="81"/>
  <c r="AD69" i="81"/>
  <c r="J22" i="91"/>
  <c r="X90" i="92"/>
  <c r="AE37" i="94"/>
  <c r="AC90" i="92"/>
  <c r="J7" i="91"/>
  <c r="Z37" i="94"/>
  <c r="AA27" i="92"/>
  <c r="AB37" i="94"/>
  <c r="T91" i="92"/>
  <c r="S55" i="94"/>
  <c r="AA90" i="81"/>
  <c r="F55" i="94"/>
  <c r="X27" i="92"/>
  <c r="AD91" i="81"/>
  <c r="Y37" i="94"/>
  <c r="AC54" i="94"/>
  <c r="V90" i="81"/>
  <c r="R55" i="94"/>
  <c r="Y54" i="94"/>
  <c r="F22" i="91"/>
  <c r="I55" i="94"/>
  <c r="AE55" i="94"/>
  <c r="P91" i="92"/>
  <c r="AE54" i="94"/>
  <c r="Q55" i="94"/>
  <c r="Y48" i="92"/>
  <c r="Y55" i="94"/>
  <c r="AD37" i="94"/>
  <c r="N55" i="94"/>
  <c r="X48" i="92"/>
  <c r="X54" i="94"/>
  <c r="M7" i="91"/>
  <c r="AB90" i="81"/>
  <c r="Z48" i="92"/>
  <c r="AA69" i="92"/>
  <c r="J55" i="94"/>
  <c r="X91" i="92"/>
  <c r="AC90" i="81"/>
  <c r="F7" i="91"/>
  <c r="AB27" i="92"/>
  <c r="AA48" i="92"/>
  <c r="H91" i="92"/>
  <c r="M22" i="91"/>
  <c r="AD90" i="92"/>
  <c r="Y69" i="92"/>
  <c r="J7" i="90"/>
  <c r="K91" i="92"/>
  <c r="L22" i="91"/>
  <c r="L7" i="91"/>
  <c r="T55" i="94"/>
  <c r="U91" i="92"/>
  <c r="S91" i="92"/>
  <c r="AD27" i="81"/>
  <c r="AC48" i="92"/>
  <c r="AC69" i="92"/>
  <c r="L91" i="92"/>
  <c r="Z27" i="92"/>
  <c r="Y27" i="92"/>
  <c r="H55" i="94"/>
  <c r="V27" i="92"/>
  <c r="F91" i="81"/>
  <c r="X27" i="81"/>
  <c r="AA90" i="92"/>
  <c r="G55" i="94"/>
  <c r="W90" i="92"/>
  <c r="AB54" i="94"/>
  <c r="X37" i="94"/>
  <c r="G7" i="90"/>
  <c r="M91" i="92"/>
  <c r="I91" i="92"/>
  <c r="W48" i="92"/>
  <c r="AC27" i="92"/>
  <c r="G91" i="92"/>
  <c r="AD48" i="92"/>
  <c r="AD69" i="92"/>
  <c r="O55" i="94"/>
  <c r="L55" i="94"/>
  <c r="Y90" i="92"/>
  <c r="P38" i="94"/>
  <c r="P55" i="94" s="1"/>
  <c r="V27" i="81"/>
  <c r="K55" i="94"/>
  <c r="G7" i="91"/>
  <c r="AA28" i="92"/>
  <c r="J91" i="92"/>
  <c r="G22" i="91"/>
  <c r="U55" i="94"/>
  <c r="B89" i="84"/>
  <c r="I51" i="84"/>
  <c r="B52" i="84"/>
  <c r="D92" i="85"/>
  <c r="D55" i="85"/>
  <c r="P70" i="81"/>
  <c r="X90" i="81"/>
  <c r="F7" i="90"/>
  <c r="U32" i="81"/>
  <c r="M91" i="81"/>
  <c r="AD48" i="81"/>
  <c r="O16" i="81"/>
  <c r="W27" i="81"/>
  <c r="G91" i="81"/>
  <c r="Q10" i="81"/>
  <c r="Y27" i="81"/>
  <c r="I91" i="81"/>
  <c r="M52" i="43"/>
  <c r="P52" i="43" s="1"/>
  <c r="M27" i="43"/>
  <c r="P27" i="43" s="1"/>
  <c r="M60" i="43"/>
  <c r="P60" i="43" s="1"/>
  <c r="M29" i="43"/>
  <c r="P29" i="43" s="1"/>
  <c r="M17" i="43"/>
  <c r="P17" i="43" s="1"/>
  <c r="M53" i="43"/>
  <c r="P53" i="43" s="1"/>
  <c r="M37" i="43"/>
  <c r="P37" i="43" s="1"/>
  <c r="M66" i="43"/>
  <c r="P66" i="43" s="1"/>
  <c r="M72" i="43"/>
  <c r="P72" i="43" s="1"/>
  <c r="M24" i="43"/>
  <c r="P24" i="43" s="1"/>
  <c r="M6" i="43"/>
  <c r="P6" i="43" s="1"/>
  <c r="M5" i="43"/>
  <c r="P5" i="43" s="1"/>
  <c r="M59" i="43"/>
  <c r="P59" i="43" s="1"/>
  <c r="M54" i="43"/>
  <c r="P54" i="43" s="1"/>
  <c r="M16" i="43"/>
  <c r="P16" i="43" s="1"/>
  <c r="M43" i="43"/>
  <c r="P43" i="43" s="1"/>
  <c r="M4" i="43"/>
  <c r="P4" i="43" s="1"/>
  <c r="M51" i="43"/>
  <c r="P51" i="43" s="1"/>
  <c r="M34" i="43"/>
  <c r="P34" i="43" s="1"/>
  <c r="M26" i="43"/>
  <c r="P26" i="43" s="1"/>
  <c r="M18" i="43"/>
  <c r="P18" i="43" s="1"/>
  <c r="M50" i="43"/>
  <c r="P50" i="43" s="1"/>
  <c r="M62" i="43"/>
  <c r="P62" i="43" s="1"/>
  <c r="M58" i="43"/>
  <c r="P58" i="43" s="1"/>
  <c r="M15" i="43"/>
  <c r="P15" i="43" s="1"/>
  <c r="M22" i="43"/>
  <c r="P22" i="43" s="1"/>
  <c r="M45" i="43"/>
  <c r="P45" i="43" s="1"/>
  <c r="M56" i="43"/>
  <c r="P56" i="43" s="1"/>
  <c r="M46" i="43"/>
  <c r="P46" i="43" s="1"/>
  <c r="M20" i="43"/>
  <c r="P20" i="43" s="1"/>
  <c r="M21" i="43"/>
  <c r="P21" i="43" s="1"/>
  <c r="M63" i="43"/>
  <c r="P63" i="43" s="1"/>
  <c r="M10" i="43"/>
  <c r="P10" i="43" s="1"/>
  <c r="M35" i="43"/>
  <c r="P35" i="43" s="1"/>
  <c r="M30" i="43"/>
  <c r="P30" i="43" s="1"/>
  <c r="M19" i="43"/>
  <c r="P19" i="43" s="1"/>
  <c r="M41" i="43"/>
  <c r="P41" i="43" s="1"/>
  <c r="M14" i="43"/>
  <c r="P14" i="43" s="1"/>
  <c r="M28" i="43"/>
  <c r="P28" i="43" s="1"/>
  <c r="M25" i="43"/>
  <c r="P25" i="43" s="1"/>
  <c r="M3" i="43"/>
  <c r="P3" i="43" s="1"/>
  <c r="M57" i="43"/>
  <c r="P57" i="43" s="1"/>
  <c r="M71" i="43"/>
  <c r="P71" i="43" s="1"/>
  <c r="M31" i="43"/>
  <c r="P31" i="43" s="1"/>
  <c r="M68" i="43"/>
  <c r="P68" i="43" s="1"/>
  <c r="M8" i="43"/>
  <c r="P8" i="43" s="1"/>
  <c r="M61" i="43"/>
  <c r="P61" i="43" s="1"/>
  <c r="M47" i="43"/>
  <c r="P47" i="43" s="1"/>
  <c r="M64" i="43"/>
  <c r="P64" i="43" s="1"/>
  <c r="M42" i="43"/>
  <c r="P42" i="43" s="1"/>
  <c r="M49" i="43"/>
  <c r="P49" i="43" s="1"/>
  <c r="M9" i="43"/>
  <c r="P9" i="43" s="1"/>
  <c r="M13" i="43"/>
  <c r="P13" i="43" s="1"/>
  <c r="M69" i="43"/>
  <c r="P69" i="43" s="1"/>
  <c r="M38" i="43"/>
  <c r="P38" i="43" s="1"/>
  <c r="M7" i="43"/>
  <c r="P7" i="43" s="1"/>
  <c r="M70" i="43"/>
  <c r="P70" i="43" s="1"/>
  <c r="M48" i="43"/>
  <c r="P48" i="43" s="1"/>
  <c r="M11" i="43"/>
  <c r="P11" i="43" s="1"/>
  <c r="M23" i="43"/>
  <c r="P23" i="43" s="1"/>
  <c r="M67" i="43"/>
  <c r="P67" i="43" s="1"/>
  <c r="M12" i="43"/>
  <c r="P12" i="43" s="1"/>
  <c r="C91" i="85"/>
  <c r="C86" i="84"/>
  <c r="C49" i="84"/>
  <c r="R15" i="81"/>
  <c r="Z27" i="81"/>
  <c r="G7" i="31"/>
  <c r="G4" i="31"/>
  <c r="Q40" i="43"/>
  <c r="V40" i="43"/>
  <c r="S40" i="43"/>
  <c r="U40" i="43"/>
  <c r="T40" i="43"/>
  <c r="R40" i="43"/>
  <c r="N22" i="91"/>
  <c r="Q91" i="92"/>
  <c r="N7" i="91"/>
  <c r="I51" i="70"/>
  <c r="B52" i="70"/>
  <c r="L49" i="86"/>
  <c r="E50" i="86"/>
  <c r="J118" i="27"/>
  <c r="G122" i="27"/>
  <c r="R53" i="81"/>
  <c r="Z69" i="81"/>
  <c r="V32" i="43"/>
  <c r="R32" i="43"/>
  <c r="T32" i="43"/>
  <c r="S32" i="43"/>
  <c r="U32" i="43"/>
  <c r="Q32" i="43"/>
  <c r="F85" i="70"/>
  <c r="F48" i="70"/>
  <c r="K22" i="91"/>
  <c r="K7" i="91"/>
  <c r="AE27" i="92"/>
  <c r="O91" i="92"/>
  <c r="D91" i="85"/>
  <c r="H88" i="85"/>
  <c r="H89" i="86"/>
  <c r="H52" i="86"/>
  <c r="H89" i="85"/>
  <c r="H52" i="85"/>
  <c r="F87" i="84"/>
  <c r="F50" i="84"/>
  <c r="M49" i="84"/>
  <c r="C56" i="85"/>
  <c r="J56" i="85"/>
  <c r="P43" i="27"/>
  <c r="K43" i="27"/>
  <c r="Q43" i="27"/>
  <c r="N43" i="27"/>
  <c r="M43" i="27"/>
  <c r="L43" i="27"/>
  <c r="R43" i="27"/>
  <c r="H88" i="86"/>
  <c r="W32" i="43"/>
  <c r="Q47" i="27"/>
  <c r="P47" i="27"/>
  <c r="O47" i="27"/>
  <c r="M47" i="27"/>
  <c r="R47" i="27"/>
  <c r="N47" i="27"/>
  <c r="L47" i="27"/>
  <c r="K47" i="27"/>
  <c r="G50" i="85"/>
  <c r="J31" i="76"/>
  <c r="D89" i="86"/>
  <c r="D52" i="86"/>
  <c r="K51" i="86"/>
  <c r="N49" i="85"/>
  <c r="D89" i="85"/>
  <c r="K51" i="85"/>
  <c r="Q44" i="27"/>
  <c r="B51" i="86"/>
  <c r="B88" i="86"/>
  <c r="H87" i="86"/>
  <c r="O49" i="86"/>
  <c r="O108" i="27"/>
  <c r="R108" i="27"/>
  <c r="K108" i="27"/>
  <c r="L108" i="27"/>
  <c r="P108" i="27"/>
  <c r="R74" i="27"/>
  <c r="O74" i="27"/>
  <c r="K74" i="27"/>
  <c r="L74" i="27"/>
  <c r="P74" i="27"/>
  <c r="N74" i="27"/>
  <c r="Q74" i="27"/>
  <c r="L44" i="27"/>
  <c r="P44" i="27"/>
  <c r="K44" i="27"/>
  <c r="M44" i="27"/>
  <c r="N44" i="27"/>
  <c r="Q126" i="27"/>
  <c r="R126" i="27"/>
  <c r="K126" i="27"/>
  <c r="M126" i="27"/>
  <c r="N108" i="27"/>
  <c r="G49" i="70"/>
  <c r="G86" i="70"/>
  <c r="M134" i="27"/>
  <c r="R134" i="27"/>
  <c r="O134" i="27"/>
  <c r="E50" i="70"/>
  <c r="J127" i="27"/>
  <c r="G131" i="27"/>
  <c r="L35" i="27"/>
  <c r="P35" i="27"/>
  <c r="R35" i="27"/>
  <c r="M35" i="27"/>
  <c r="G92" i="27"/>
  <c r="J92" i="27" s="1"/>
  <c r="G85" i="27"/>
  <c r="J85" i="27" s="1"/>
  <c r="G81" i="27"/>
  <c r="G91" i="27"/>
  <c r="J91" i="27" s="1"/>
  <c r="G93" i="27"/>
  <c r="J93" i="27" s="1"/>
  <c r="L134" i="27"/>
  <c r="O12" i="27"/>
  <c r="Q12" i="27"/>
  <c r="R12" i="27"/>
  <c r="K6" i="27"/>
  <c r="M99" i="27"/>
  <c r="P99" i="27"/>
  <c r="N99" i="27"/>
  <c r="Q99" i="27"/>
  <c r="R130" i="27"/>
  <c r="M130" i="27"/>
  <c r="L130" i="27"/>
  <c r="O22" i="91"/>
  <c r="R91" i="92"/>
  <c r="V87" i="43"/>
  <c r="T87" i="43"/>
  <c r="Q87" i="43"/>
  <c r="G49" i="84"/>
  <c r="G86" i="84"/>
  <c r="V12" i="60"/>
  <c r="K17" i="34"/>
  <c r="W52" i="50"/>
  <c r="W50" i="50"/>
  <c r="W22" i="50"/>
  <c r="R4" i="4"/>
  <c r="J8" i="76"/>
  <c r="K26" i="77" s="1"/>
  <c r="W49" i="50"/>
  <c r="W31" i="50"/>
  <c r="I8" i="9"/>
  <c r="W41" i="50"/>
  <c r="R6" i="4"/>
  <c r="W59" i="50"/>
  <c r="W56" i="50"/>
  <c r="K16" i="34"/>
  <c r="W36" i="50"/>
  <c r="R22" i="4"/>
  <c r="W47" i="50"/>
  <c r="P46" i="27"/>
  <c r="O6" i="27"/>
  <c r="O120" i="27"/>
  <c r="B85" i="70"/>
  <c r="O7" i="91"/>
  <c r="S76" i="43"/>
  <c r="R76" i="43"/>
  <c r="P48" i="27"/>
  <c r="N48" i="27"/>
  <c r="R48" i="27"/>
  <c r="Q48" i="27"/>
  <c r="M75" i="27"/>
  <c r="K75" i="27"/>
  <c r="L75" i="27"/>
  <c r="Q75" i="27"/>
  <c r="N39" i="27"/>
  <c r="R39" i="27"/>
  <c r="O39" i="27"/>
  <c r="Q39" i="27"/>
  <c r="O75" i="27"/>
  <c r="L39" i="27"/>
  <c r="F85" i="86"/>
  <c r="F48" i="86"/>
  <c r="R10" i="60"/>
  <c r="P10" i="60"/>
  <c r="T78" i="43"/>
  <c r="Q78" i="43"/>
  <c r="U78" i="43"/>
  <c r="P55" i="27"/>
  <c r="L55" i="27"/>
  <c r="N55" i="27"/>
  <c r="AJ37" i="76"/>
  <c r="AR37" i="76" s="1"/>
  <c r="P15" i="60"/>
  <c r="R15" i="60"/>
  <c r="B86" i="86"/>
  <c r="I26" i="77"/>
  <c r="H31" i="76"/>
  <c r="M23" i="27"/>
  <c r="Q23" i="27"/>
  <c r="O23" i="27"/>
  <c r="P23" i="27"/>
  <c r="R23" i="27"/>
  <c r="P19" i="81"/>
  <c r="H91" i="81"/>
  <c r="S18" i="81"/>
  <c r="S91" i="81" s="1"/>
  <c r="K91" i="81"/>
  <c r="AJ38" i="76"/>
  <c r="AR38" i="76" s="1"/>
  <c r="AK38" i="76"/>
  <c r="AS38" i="76" s="1"/>
  <c r="F63" i="27"/>
  <c r="G60" i="27" s="1"/>
  <c r="U15" i="60"/>
  <c r="M7" i="27"/>
  <c r="V85" i="43"/>
  <c r="R85" i="43"/>
  <c r="S85" i="43"/>
  <c r="T85" i="43"/>
  <c r="Q85" i="43"/>
  <c r="U70" i="81"/>
  <c r="U91" i="81" s="1"/>
  <c r="AD90" i="81"/>
  <c r="K7" i="90"/>
  <c r="R43" i="81"/>
  <c r="Z48" i="81"/>
  <c r="T19" i="81"/>
  <c r="T91" i="81" s="1"/>
  <c r="L91" i="81"/>
  <c r="F70" i="27"/>
  <c r="G68" i="27" s="1"/>
  <c r="J68" i="27" s="1"/>
  <c r="J26" i="77"/>
  <c r="P7" i="27"/>
  <c r="K7" i="27"/>
  <c r="R7" i="27"/>
  <c r="O7" i="27"/>
  <c r="O49" i="81"/>
  <c r="E7" i="90"/>
  <c r="W69" i="81"/>
  <c r="T47" i="81"/>
  <c r="AC48" i="81"/>
  <c r="N21" i="81"/>
  <c r="N91" i="81" s="1"/>
  <c r="AB27" i="81"/>
  <c r="Z47" i="76"/>
  <c r="R51" i="76"/>
  <c r="V83" i="43"/>
  <c r="T83" i="43"/>
  <c r="Q83" i="43"/>
  <c r="U83" i="43"/>
  <c r="R83" i="43"/>
  <c r="S83" i="43"/>
  <c r="N49" i="81"/>
  <c r="D7" i="90"/>
  <c r="AB69" i="81"/>
  <c r="W90" i="81"/>
  <c r="E91" i="81"/>
  <c r="R78" i="81"/>
  <c r="Z90" i="81"/>
  <c r="Q74" i="81"/>
  <c r="Y90" i="81"/>
  <c r="P52" i="81"/>
  <c r="X69" i="81"/>
  <c r="P143" i="27"/>
  <c r="N143" i="27"/>
  <c r="J149" i="27"/>
  <c r="K143" i="27"/>
  <c r="V84" i="43"/>
  <c r="U84" i="43"/>
  <c r="T84" i="43"/>
  <c r="Q84" i="43"/>
  <c r="S84" i="43"/>
  <c r="R7" i="81"/>
  <c r="H7" i="90"/>
  <c r="J91" i="81"/>
  <c r="G37" i="27"/>
  <c r="O19" i="33"/>
  <c r="J7" i="9"/>
  <c r="K20" i="76"/>
  <c r="I3" i="33"/>
  <c r="I9" i="33" s="1"/>
  <c r="AD40" i="76"/>
  <c r="N3" i="4"/>
  <c r="Q3" i="4"/>
  <c r="Q52" i="4" s="1"/>
  <c r="J26" i="87" s="1"/>
  <c r="G42" i="27"/>
  <c r="J42" i="27" s="1"/>
  <c r="E9" i="33"/>
  <c r="AA69" i="81"/>
  <c r="G20" i="27"/>
  <c r="K21" i="27"/>
  <c r="F31" i="76"/>
  <c r="Y29" i="81" s="1"/>
  <c r="AA48" i="81"/>
  <c r="T51" i="76"/>
  <c r="G28" i="27"/>
  <c r="J28" i="27" s="1"/>
  <c r="F30" i="27"/>
  <c r="AA27" i="81"/>
  <c r="X28" i="81"/>
  <c r="X28" i="92"/>
  <c r="R3" i="50"/>
  <c r="S3" i="50"/>
  <c r="AA6" i="50"/>
  <c r="N46" i="4"/>
  <c r="P46" i="4"/>
  <c r="P52" i="4" s="1"/>
  <c r="I26" i="87" s="1"/>
  <c r="I207" i="35"/>
  <c r="L57" i="35"/>
  <c r="I26" i="35"/>
  <c r="L106" i="35"/>
  <c r="L168" i="35" s="1"/>
  <c r="I113" i="35"/>
  <c r="X37" i="76"/>
  <c r="U37" i="76"/>
  <c r="AH37" i="76" s="1"/>
  <c r="AP37" i="76" s="1"/>
  <c r="L219" i="35"/>
  <c r="V49" i="81"/>
  <c r="AB70" i="81"/>
  <c r="N9" i="60"/>
  <c r="O9" i="60" s="1"/>
  <c r="O7" i="60"/>
  <c r="O19" i="40"/>
  <c r="M39" i="43"/>
  <c r="P39" i="43" s="1"/>
  <c r="M55" i="43"/>
  <c r="P55" i="43" s="1"/>
  <c r="G47" i="86"/>
  <c r="G84" i="86"/>
  <c r="N11" i="4"/>
  <c r="G3" i="87" s="1"/>
  <c r="M11" i="4"/>
  <c r="L20" i="35"/>
  <c r="N6" i="60"/>
  <c r="O22" i="40"/>
  <c r="D48" i="70"/>
  <c r="D85" i="70"/>
  <c r="O6" i="60"/>
  <c r="O7" i="40"/>
  <c r="O26" i="40" s="1"/>
  <c r="F84" i="85"/>
  <c r="F47" i="85"/>
  <c r="G14" i="34"/>
  <c r="Q35" i="50"/>
  <c r="Q67" i="50" s="1"/>
  <c r="M44" i="43"/>
  <c r="P44" i="43" s="1"/>
  <c r="M36" i="43"/>
  <c r="P36" i="43" s="1"/>
  <c r="H85" i="70"/>
  <c r="H48" i="70"/>
  <c r="C84" i="70"/>
  <c r="C47" i="70"/>
  <c r="D48" i="84"/>
  <c r="D85" i="84"/>
  <c r="E47" i="85"/>
  <c r="E84" i="85"/>
  <c r="I200" i="35"/>
  <c r="M65" i="43"/>
  <c r="P65" i="43" s="1"/>
  <c r="O20" i="40"/>
  <c r="M33" i="43"/>
  <c r="P33" i="43" s="1"/>
  <c r="C32" i="69"/>
  <c r="D57" i="69" s="1"/>
  <c r="D58" i="69" s="1"/>
  <c r="D59" i="69" s="1"/>
  <c r="H47" i="84"/>
  <c r="H84" i="84"/>
  <c r="B47" i="85"/>
  <c r="B84" i="85"/>
  <c r="C85" i="86"/>
  <c r="C48" i="86"/>
  <c r="N7" i="40"/>
  <c r="N26" i="40" s="1"/>
  <c r="W91" i="81"/>
  <c r="F5" i="33"/>
  <c r="F9" i="33" s="1"/>
  <c r="H84" i="70"/>
  <c r="C83" i="70"/>
  <c r="H83" i="84"/>
  <c r="D84" i="86"/>
  <c r="N29" i="4"/>
  <c r="M49" i="4"/>
  <c r="F7" i="9"/>
  <c r="S10" i="60" s="1"/>
  <c r="F84" i="70"/>
  <c r="E47" i="84"/>
  <c r="F83" i="85"/>
  <c r="C84" i="86"/>
  <c r="M29" i="4"/>
  <c r="N49" i="4"/>
  <c r="L29" i="4"/>
  <c r="B83" i="85"/>
  <c r="N44" i="4"/>
  <c r="L24" i="4"/>
  <c r="L52" i="4" s="1"/>
  <c r="E26" i="87" s="1"/>
  <c r="M44" i="4"/>
  <c r="N91" i="92" l="1"/>
  <c r="P91" i="81"/>
  <c r="AF27" i="81"/>
  <c r="P9" i="60"/>
  <c r="Q9" i="60"/>
  <c r="R9" i="60"/>
  <c r="S9" i="60"/>
  <c r="U9" i="60"/>
  <c r="W9" i="60"/>
  <c r="T9" i="60"/>
  <c r="V9" i="60"/>
  <c r="N168" i="35"/>
  <c r="M168" i="35"/>
  <c r="L170" i="35"/>
  <c r="L172" i="35" s="1"/>
  <c r="J60" i="27"/>
  <c r="P68" i="27"/>
  <c r="L68" i="27"/>
  <c r="R68" i="27"/>
  <c r="K68" i="27"/>
  <c r="N68" i="27"/>
  <c r="O68" i="27"/>
  <c r="Q68" i="27"/>
  <c r="M68" i="27"/>
  <c r="H48" i="84"/>
  <c r="H85" i="84"/>
  <c r="V55" i="43"/>
  <c r="S55" i="43"/>
  <c r="U55" i="43"/>
  <c r="Q55" i="43"/>
  <c r="R55" i="43"/>
  <c r="T55" i="43"/>
  <c r="W55" i="43"/>
  <c r="N42" i="27"/>
  <c r="O42" i="27"/>
  <c r="K42" i="27"/>
  <c r="P42" i="27"/>
  <c r="L42" i="27"/>
  <c r="M42" i="27"/>
  <c r="R42" i="27"/>
  <c r="Q42" i="27"/>
  <c r="E46" i="69"/>
  <c r="E42" i="69"/>
  <c r="E50" i="69"/>
  <c r="E44" i="69"/>
  <c r="E54" i="69"/>
  <c r="E47" i="69"/>
  <c r="E51" i="69"/>
  <c r="E41" i="69"/>
  <c r="E48" i="69"/>
  <c r="E49" i="69"/>
  <c r="E40" i="69"/>
  <c r="E43" i="69"/>
  <c r="Q39" i="43"/>
  <c r="V39" i="43"/>
  <c r="T39" i="43"/>
  <c r="R39" i="43"/>
  <c r="U39" i="43"/>
  <c r="S39" i="43"/>
  <c r="W39" i="43"/>
  <c r="S13" i="60"/>
  <c r="G87" i="84"/>
  <c r="G50" i="84"/>
  <c r="N49" i="84"/>
  <c r="B90" i="70"/>
  <c r="B53" i="70"/>
  <c r="T23" i="43"/>
  <c r="S23" i="43"/>
  <c r="U23" i="43"/>
  <c r="Q23" i="43"/>
  <c r="V23" i="43"/>
  <c r="R23" i="43"/>
  <c r="W23" i="43"/>
  <c r="T9" i="43"/>
  <c r="Q9" i="43"/>
  <c r="R9" i="43"/>
  <c r="S9" i="43"/>
  <c r="V9" i="43"/>
  <c r="W9" i="43"/>
  <c r="U9" i="43"/>
  <c r="U31" i="43"/>
  <c r="S31" i="43"/>
  <c r="R31" i="43"/>
  <c r="Q31" i="43"/>
  <c r="V31" i="43"/>
  <c r="T31" i="43"/>
  <c r="W31" i="43"/>
  <c r="U19" i="43"/>
  <c r="S19" i="43"/>
  <c r="R19" i="43"/>
  <c r="V19" i="43"/>
  <c r="W19" i="43"/>
  <c r="Q19" i="43"/>
  <c r="T19" i="43"/>
  <c r="V56" i="43"/>
  <c r="Q56" i="43"/>
  <c r="U56" i="43"/>
  <c r="R56" i="43"/>
  <c r="T56" i="43"/>
  <c r="S56" i="43"/>
  <c r="W56" i="43"/>
  <c r="V26" i="43"/>
  <c r="S26" i="43"/>
  <c r="Q26" i="43"/>
  <c r="R26" i="43"/>
  <c r="U26" i="43"/>
  <c r="T26" i="43"/>
  <c r="W26" i="43"/>
  <c r="S5" i="43"/>
  <c r="R5" i="43"/>
  <c r="U5" i="43"/>
  <c r="T5" i="43"/>
  <c r="Q5" i="43"/>
  <c r="W5" i="43"/>
  <c r="V5" i="43"/>
  <c r="Q29" i="43"/>
  <c r="S29" i="43"/>
  <c r="T29" i="43"/>
  <c r="V29" i="43"/>
  <c r="R29" i="43"/>
  <c r="U29" i="43"/>
  <c r="W29" i="43"/>
  <c r="H86" i="70"/>
  <c r="H49" i="70"/>
  <c r="D86" i="70"/>
  <c r="D49" i="70"/>
  <c r="P28" i="27"/>
  <c r="M28" i="27"/>
  <c r="Q28" i="27"/>
  <c r="R28" i="27"/>
  <c r="O28" i="27"/>
  <c r="N28" i="27"/>
  <c r="L28" i="27"/>
  <c r="K28" i="27"/>
  <c r="J37" i="27"/>
  <c r="G50" i="27"/>
  <c r="T46" i="50"/>
  <c r="T56" i="50"/>
  <c r="T19" i="50"/>
  <c r="T62" i="50"/>
  <c r="T41" i="50"/>
  <c r="O21" i="4"/>
  <c r="O44" i="4"/>
  <c r="G10" i="76"/>
  <c r="T33" i="50"/>
  <c r="T66" i="50"/>
  <c r="T21" i="50"/>
  <c r="H22" i="34"/>
  <c r="T47" i="50"/>
  <c r="T26" i="50"/>
  <c r="O4" i="4"/>
  <c r="T9" i="50"/>
  <c r="T59" i="50"/>
  <c r="O50" i="4"/>
  <c r="T65" i="50"/>
  <c r="O36" i="4"/>
  <c r="T38" i="50"/>
  <c r="H14" i="34"/>
  <c r="S14" i="60"/>
  <c r="O3" i="4"/>
  <c r="S11" i="60"/>
  <c r="O6" i="4"/>
  <c r="T7" i="50"/>
  <c r="T23" i="50"/>
  <c r="T10" i="50"/>
  <c r="T49" i="50"/>
  <c r="T42" i="50"/>
  <c r="O23" i="4"/>
  <c r="T24" i="50"/>
  <c r="H16" i="34"/>
  <c r="G6" i="76"/>
  <c r="O10" i="4"/>
  <c r="O8" i="4"/>
  <c r="G18" i="76"/>
  <c r="T13" i="50"/>
  <c r="T25" i="50"/>
  <c r="T12" i="50"/>
  <c r="H13" i="34"/>
  <c r="O20" i="4"/>
  <c r="O34" i="4"/>
  <c r="T40" i="50"/>
  <c r="O31" i="4"/>
  <c r="T44" i="50"/>
  <c r="T8" i="50"/>
  <c r="O32" i="4"/>
  <c r="G14" i="76"/>
  <c r="G13" i="76"/>
  <c r="G12" i="76"/>
  <c r="O15" i="4"/>
  <c r="T27" i="50"/>
  <c r="T14" i="50"/>
  <c r="T34" i="50"/>
  <c r="O37" i="4"/>
  <c r="T35" i="50"/>
  <c r="T52" i="50"/>
  <c r="G8" i="76"/>
  <c r="T58" i="50"/>
  <c r="O16" i="4"/>
  <c r="T5" i="50"/>
  <c r="O26" i="4"/>
  <c r="G11" i="76"/>
  <c r="O45" i="4"/>
  <c r="T18" i="50"/>
  <c r="T55" i="50"/>
  <c r="G9" i="76"/>
  <c r="T51" i="50"/>
  <c r="T57" i="50"/>
  <c r="T29" i="50"/>
  <c r="T37" i="50"/>
  <c r="O18" i="4"/>
  <c r="G5" i="76"/>
  <c r="O11" i="4"/>
  <c r="O17" i="4"/>
  <c r="H15" i="34"/>
  <c r="O33" i="4"/>
  <c r="O40" i="4"/>
  <c r="G4" i="76"/>
  <c r="O35" i="4"/>
  <c r="T36" i="50"/>
  <c r="O9" i="4"/>
  <c r="T31" i="50"/>
  <c r="T39" i="50"/>
  <c r="O39" i="4"/>
  <c r="O49" i="4"/>
  <c r="O14" i="4"/>
  <c r="O24" i="4"/>
  <c r="S16" i="60"/>
  <c r="G7" i="76"/>
  <c r="G17" i="76"/>
  <c r="O12" i="4"/>
  <c r="T30" i="50"/>
  <c r="H17" i="34"/>
  <c r="T22" i="50"/>
  <c r="O29" i="4"/>
  <c r="O43" i="4"/>
  <c r="T3" i="50"/>
  <c r="T15" i="50"/>
  <c r="T60" i="50"/>
  <c r="T43" i="50"/>
  <c r="T4" i="50"/>
  <c r="T54" i="50"/>
  <c r="O48" i="4"/>
  <c r="O27" i="4"/>
  <c r="S5" i="60"/>
  <c r="T6" i="50"/>
  <c r="O63" i="4"/>
  <c r="O30" i="4"/>
  <c r="O22" i="4"/>
  <c r="T20" i="50"/>
  <c r="T50" i="50"/>
  <c r="T53" i="50"/>
  <c r="G16" i="76"/>
  <c r="O28" i="4"/>
  <c r="T28" i="50"/>
  <c r="O42" i="4"/>
  <c r="T61" i="50"/>
  <c r="O7" i="4"/>
  <c r="S8" i="60"/>
  <c r="G15" i="76"/>
  <c r="T16" i="50"/>
  <c r="O25" i="4"/>
  <c r="G3" i="76"/>
  <c r="T32" i="50"/>
  <c r="T48" i="50"/>
  <c r="S18" i="60"/>
  <c r="T17" i="50"/>
  <c r="T63" i="50"/>
  <c r="O5" i="4"/>
  <c r="T64" i="50"/>
  <c r="O46" i="4"/>
  <c r="T45" i="50"/>
  <c r="O19" i="4"/>
  <c r="S4" i="60"/>
  <c r="T11" i="50"/>
  <c r="S12" i="60"/>
  <c r="S17" i="60"/>
  <c r="S15" i="60"/>
  <c r="D49" i="84"/>
  <c r="D86" i="84"/>
  <c r="R92" i="27"/>
  <c r="N92" i="27"/>
  <c r="M92" i="27"/>
  <c r="Q92" i="27"/>
  <c r="O92" i="27"/>
  <c r="K92" i="27"/>
  <c r="P92" i="27"/>
  <c r="L92" i="27"/>
  <c r="E51" i="70"/>
  <c r="E88" i="70"/>
  <c r="H90" i="86"/>
  <c r="H53" i="86"/>
  <c r="F86" i="70"/>
  <c r="F49" i="70"/>
  <c r="U67" i="43"/>
  <c r="S67" i="43"/>
  <c r="R67" i="43"/>
  <c r="T67" i="43"/>
  <c r="V67" i="43"/>
  <c r="Q67" i="43"/>
  <c r="W67" i="43"/>
  <c r="T13" i="43"/>
  <c r="R13" i="43"/>
  <c r="V13" i="43"/>
  <c r="S13" i="43"/>
  <c r="W13" i="43"/>
  <c r="Q13" i="43"/>
  <c r="U13" i="43"/>
  <c r="S68" i="43"/>
  <c r="Q68" i="43"/>
  <c r="U68" i="43"/>
  <c r="R68" i="43"/>
  <c r="T68" i="43"/>
  <c r="W68" i="43"/>
  <c r="V68" i="43"/>
  <c r="Q41" i="43"/>
  <c r="S41" i="43"/>
  <c r="V41" i="43"/>
  <c r="R41" i="43"/>
  <c r="U41" i="43"/>
  <c r="T41" i="43"/>
  <c r="W41" i="43"/>
  <c r="T46" i="43"/>
  <c r="Q46" i="43"/>
  <c r="R46" i="43"/>
  <c r="S46" i="43"/>
  <c r="V46" i="43"/>
  <c r="U46" i="43"/>
  <c r="W46" i="43"/>
  <c r="T18" i="43"/>
  <c r="Q18" i="43"/>
  <c r="V18" i="43"/>
  <c r="S18" i="43"/>
  <c r="R18" i="43"/>
  <c r="U18" i="43"/>
  <c r="W18" i="43"/>
  <c r="Q59" i="43"/>
  <c r="S59" i="43"/>
  <c r="U59" i="43"/>
  <c r="R59" i="43"/>
  <c r="T59" i="43"/>
  <c r="V59" i="43"/>
  <c r="W59" i="43"/>
  <c r="S17" i="43"/>
  <c r="R17" i="43"/>
  <c r="U17" i="43"/>
  <c r="Q17" i="43"/>
  <c r="V17" i="43"/>
  <c r="T17" i="43"/>
  <c r="W17" i="43"/>
  <c r="N27" i="40"/>
  <c r="V33" i="43"/>
  <c r="S33" i="43"/>
  <c r="Q33" i="43"/>
  <c r="U33" i="43"/>
  <c r="T33" i="43"/>
  <c r="R33" i="43"/>
  <c r="W33" i="43"/>
  <c r="C48" i="70"/>
  <c r="C85" i="70"/>
  <c r="F48" i="85"/>
  <c r="F85" i="85"/>
  <c r="N19" i="60"/>
  <c r="N20" i="60" s="1"/>
  <c r="N52" i="4"/>
  <c r="G26" i="87" s="1"/>
  <c r="C86" i="86"/>
  <c r="C49" i="86"/>
  <c r="L44" i="35"/>
  <c r="T7" i="60"/>
  <c r="U7" i="60"/>
  <c r="P7" i="60"/>
  <c r="Q7" i="60"/>
  <c r="R7" i="60"/>
  <c r="S7" i="60"/>
  <c r="W7" i="60"/>
  <c r="V7" i="60"/>
  <c r="M106" i="35"/>
  <c r="AK40" i="76"/>
  <c r="AS40" i="76" s="1"/>
  <c r="AJ40" i="76"/>
  <c r="AR40" i="76" s="1"/>
  <c r="R91" i="81"/>
  <c r="F49" i="86"/>
  <c r="F86" i="86"/>
  <c r="B52" i="86"/>
  <c r="B89" i="86"/>
  <c r="I51" i="86"/>
  <c r="D90" i="86"/>
  <c r="D53" i="86"/>
  <c r="C57" i="85"/>
  <c r="C94" i="85"/>
  <c r="U11" i="43"/>
  <c r="T11" i="43"/>
  <c r="V11" i="43"/>
  <c r="Q11" i="43"/>
  <c r="W11" i="43"/>
  <c r="R11" i="43"/>
  <c r="S11" i="43"/>
  <c r="T49" i="43"/>
  <c r="U49" i="43"/>
  <c r="V49" i="43"/>
  <c r="R49" i="43"/>
  <c r="Q49" i="43"/>
  <c r="W49" i="43"/>
  <c r="S49" i="43"/>
  <c r="T71" i="43"/>
  <c r="X71" i="43"/>
  <c r="S71" i="43"/>
  <c r="Q71" i="43"/>
  <c r="V71" i="43"/>
  <c r="R71" i="43"/>
  <c r="U71" i="43"/>
  <c r="W71" i="43"/>
  <c r="V30" i="43"/>
  <c r="X30" i="43"/>
  <c r="Q30" i="43"/>
  <c r="R30" i="43"/>
  <c r="U30" i="43"/>
  <c r="S30" i="43"/>
  <c r="T30" i="43"/>
  <c r="W30" i="43"/>
  <c r="V45" i="43"/>
  <c r="T45" i="43"/>
  <c r="R45" i="43"/>
  <c r="U45" i="43"/>
  <c r="Q45" i="43"/>
  <c r="S45" i="43"/>
  <c r="W45" i="43"/>
  <c r="S34" i="43"/>
  <c r="V34" i="43"/>
  <c r="Q34" i="43"/>
  <c r="U34" i="43"/>
  <c r="T34" i="43"/>
  <c r="X34" i="43"/>
  <c r="R34" i="43"/>
  <c r="W34" i="43"/>
  <c r="U6" i="43"/>
  <c r="S6" i="43"/>
  <c r="Q6" i="43"/>
  <c r="V6" i="43"/>
  <c r="T6" i="43"/>
  <c r="W6" i="43"/>
  <c r="R6" i="43"/>
  <c r="U60" i="43"/>
  <c r="S60" i="43"/>
  <c r="R60" i="43"/>
  <c r="Q60" i="43"/>
  <c r="V60" i="43"/>
  <c r="T60" i="43"/>
  <c r="W60" i="43"/>
  <c r="K56" i="85"/>
  <c r="D56" i="85"/>
  <c r="D93" i="85"/>
  <c r="K55" i="85"/>
  <c r="U48" i="43"/>
  <c r="T48" i="43"/>
  <c r="S48" i="43"/>
  <c r="Q48" i="43"/>
  <c r="V48" i="43"/>
  <c r="R48" i="43"/>
  <c r="W48" i="43"/>
  <c r="V42" i="43"/>
  <c r="U42" i="43"/>
  <c r="R42" i="43"/>
  <c r="Q42" i="43"/>
  <c r="T42" i="43"/>
  <c r="W42" i="43"/>
  <c r="S42" i="43"/>
  <c r="Q57" i="43"/>
  <c r="U57" i="43"/>
  <c r="T57" i="43"/>
  <c r="V57" i="43"/>
  <c r="S57" i="43"/>
  <c r="R57" i="43"/>
  <c r="W57" i="43"/>
  <c r="Q35" i="43"/>
  <c r="S35" i="43"/>
  <c r="T35" i="43"/>
  <c r="R35" i="43"/>
  <c r="U35" i="43"/>
  <c r="V35" i="43"/>
  <c r="W35" i="43"/>
  <c r="Q22" i="43"/>
  <c r="T22" i="43"/>
  <c r="V22" i="43"/>
  <c r="U22" i="43"/>
  <c r="S22" i="43"/>
  <c r="R22" i="43"/>
  <c r="W22" i="43"/>
  <c r="R51" i="43"/>
  <c r="U51" i="43"/>
  <c r="S51" i="43"/>
  <c r="Q51" i="43"/>
  <c r="W51" i="43"/>
  <c r="T51" i="43"/>
  <c r="V51" i="43"/>
  <c r="R24" i="43"/>
  <c r="U24" i="43"/>
  <c r="Q24" i="43"/>
  <c r="W24" i="43"/>
  <c r="V24" i="43"/>
  <c r="S24" i="43"/>
  <c r="T24" i="43"/>
  <c r="X24" i="43"/>
  <c r="T27" i="43"/>
  <c r="U27" i="43"/>
  <c r="S27" i="43"/>
  <c r="V27" i="43"/>
  <c r="R27" i="43"/>
  <c r="Q27" i="43"/>
  <c r="W27" i="43"/>
  <c r="AE27" i="81"/>
  <c r="O91" i="81"/>
  <c r="T65" i="43"/>
  <c r="U65" i="43"/>
  <c r="Q65" i="43"/>
  <c r="S65" i="43"/>
  <c r="R65" i="43"/>
  <c r="V65" i="43"/>
  <c r="W65" i="43"/>
  <c r="F3" i="87"/>
  <c r="M52" i="4"/>
  <c r="F26" i="87" s="1"/>
  <c r="L59" i="35"/>
  <c r="M57" i="35"/>
  <c r="O57" i="35" s="1"/>
  <c r="J20" i="27"/>
  <c r="G24" i="27"/>
  <c r="F51" i="84"/>
  <c r="F88" i="84"/>
  <c r="J49" i="84"/>
  <c r="C50" i="84"/>
  <c r="C87" i="84"/>
  <c r="U70" i="43"/>
  <c r="H3" i="89" s="1"/>
  <c r="R70" i="43"/>
  <c r="E3" i="89" s="1"/>
  <c r="V70" i="43"/>
  <c r="I3" i="89" s="1"/>
  <c r="X70" i="43"/>
  <c r="K3" i="89" s="1"/>
  <c r="Q70" i="43"/>
  <c r="D3" i="89" s="1"/>
  <c r="C3" i="89"/>
  <c r="W70" i="43"/>
  <c r="J3" i="89" s="1"/>
  <c r="T70" i="43"/>
  <c r="G3" i="89" s="1"/>
  <c r="S70" i="43"/>
  <c r="F3" i="89" s="1"/>
  <c r="V3" i="43"/>
  <c r="R3" i="43"/>
  <c r="X3" i="43"/>
  <c r="P88" i="43"/>
  <c r="C26" i="89" s="1"/>
  <c r="E26" i="66" s="1"/>
  <c r="T3" i="43"/>
  <c r="U3" i="43"/>
  <c r="Q3" i="43"/>
  <c r="W3" i="43"/>
  <c r="S3" i="43"/>
  <c r="V10" i="43"/>
  <c r="T10" i="43"/>
  <c r="R10" i="43"/>
  <c r="U10" i="43"/>
  <c r="X10" i="43"/>
  <c r="S10" i="43"/>
  <c r="Q10" i="43"/>
  <c r="W10" i="43"/>
  <c r="Q15" i="43"/>
  <c r="R15" i="43"/>
  <c r="S15" i="43"/>
  <c r="U15" i="43"/>
  <c r="X15" i="43"/>
  <c r="T15" i="43"/>
  <c r="V15" i="43"/>
  <c r="W15" i="43"/>
  <c r="Q4" i="43"/>
  <c r="T4" i="43"/>
  <c r="U4" i="43"/>
  <c r="R4" i="43"/>
  <c r="V4" i="43"/>
  <c r="S4" i="43"/>
  <c r="X4" i="43"/>
  <c r="W4" i="43"/>
  <c r="X72" i="43"/>
  <c r="Q72" i="43"/>
  <c r="S72" i="43"/>
  <c r="U72" i="43"/>
  <c r="V72" i="43"/>
  <c r="T72" i="43"/>
  <c r="R72" i="43"/>
  <c r="W72" i="43"/>
  <c r="U52" i="43"/>
  <c r="Q52" i="43"/>
  <c r="T52" i="43"/>
  <c r="S52" i="43"/>
  <c r="R52" i="43"/>
  <c r="V52" i="43"/>
  <c r="W52" i="43"/>
  <c r="B90" i="84"/>
  <c r="B53" i="84"/>
  <c r="T6" i="60"/>
  <c r="P6" i="60"/>
  <c r="Q6" i="60"/>
  <c r="Q19" i="60" s="1"/>
  <c r="S6" i="60"/>
  <c r="W6" i="60"/>
  <c r="R6" i="60"/>
  <c r="R19" i="60" s="1"/>
  <c r="U6" i="60"/>
  <c r="U19" i="60" s="1"/>
  <c r="O19" i="60"/>
  <c r="V6" i="60"/>
  <c r="R93" i="27"/>
  <c r="O93" i="27"/>
  <c r="L93" i="27"/>
  <c r="P93" i="27"/>
  <c r="M93" i="27"/>
  <c r="K93" i="27"/>
  <c r="Q93" i="27"/>
  <c r="N93" i="27"/>
  <c r="R64" i="43"/>
  <c r="S64" i="43"/>
  <c r="Q64" i="43"/>
  <c r="U64" i="43"/>
  <c r="W64" i="43"/>
  <c r="T64" i="43"/>
  <c r="V64" i="43"/>
  <c r="B48" i="85"/>
  <c r="B85" i="85"/>
  <c r="U36" i="43"/>
  <c r="S36" i="43"/>
  <c r="V36" i="43"/>
  <c r="T36" i="43"/>
  <c r="Q36" i="43"/>
  <c r="R36" i="43"/>
  <c r="W36" i="43"/>
  <c r="X58" i="50"/>
  <c r="X24" i="50"/>
  <c r="K18" i="76"/>
  <c r="W14" i="60"/>
  <c r="X22" i="50"/>
  <c r="L13" i="34"/>
  <c r="S42" i="4"/>
  <c r="S63" i="4"/>
  <c r="X10" i="50"/>
  <c r="X27" i="50"/>
  <c r="X15" i="50"/>
  <c r="S21" i="4"/>
  <c r="X44" i="50"/>
  <c r="S9" i="4"/>
  <c r="X47" i="50"/>
  <c r="X48" i="50"/>
  <c r="X23" i="50"/>
  <c r="S43" i="4"/>
  <c r="S4" i="4"/>
  <c r="S3" i="4"/>
  <c r="X31" i="50"/>
  <c r="X38" i="50"/>
  <c r="X8" i="50"/>
  <c r="X60" i="50"/>
  <c r="K7" i="76"/>
  <c r="X66" i="50"/>
  <c r="X21" i="50"/>
  <c r="S36" i="4"/>
  <c r="S14" i="4"/>
  <c r="S12" i="4"/>
  <c r="K3" i="76"/>
  <c r="S7" i="4"/>
  <c r="X13" i="50"/>
  <c r="S6" i="4"/>
  <c r="X32" i="50"/>
  <c r="S32" i="4"/>
  <c r="S40" i="4"/>
  <c r="S16" i="4"/>
  <c r="X20" i="50"/>
  <c r="X36" i="50"/>
  <c r="S35" i="4"/>
  <c r="X61" i="50"/>
  <c r="X42" i="50"/>
  <c r="X43" i="50"/>
  <c r="K16" i="76"/>
  <c r="S31" i="4"/>
  <c r="X28" i="50"/>
  <c r="K17" i="76"/>
  <c r="S22" i="4"/>
  <c r="X7" i="50"/>
  <c r="X50" i="50"/>
  <c r="X34" i="50"/>
  <c r="X49" i="50"/>
  <c r="K4" i="76"/>
  <c r="S10" i="4"/>
  <c r="X19" i="50"/>
  <c r="S44" i="4"/>
  <c r="K10" i="76"/>
  <c r="K15" i="76"/>
  <c r="S18" i="4"/>
  <c r="X63" i="50"/>
  <c r="S20" i="4"/>
  <c r="K11" i="76"/>
  <c r="W11" i="60"/>
  <c r="X54" i="50"/>
  <c r="S45" i="4"/>
  <c r="X56" i="50"/>
  <c r="X53" i="50"/>
  <c r="W5" i="60"/>
  <c r="S25" i="4"/>
  <c r="X51" i="50"/>
  <c r="L22" i="34"/>
  <c r="K14" i="76"/>
  <c r="X14" i="50"/>
  <c r="S30" i="4"/>
  <c r="X6" i="50"/>
  <c r="S5" i="4"/>
  <c r="S29" i="4"/>
  <c r="X35" i="50"/>
  <c r="X3" i="50"/>
  <c r="X25" i="50"/>
  <c r="S26" i="4"/>
  <c r="X26" i="50"/>
  <c r="K5" i="76"/>
  <c r="W16" i="60"/>
  <c r="S39" i="4"/>
  <c r="X46" i="50"/>
  <c r="X55" i="50"/>
  <c r="X40" i="50"/>
  <c r="S15" i="4"/>
  <c r="K8" i="76"/>
  <c r="S8" i="4"/>
  <c r="X30" i="50"/>
  <c r="S27" i="4"/>
  <c r="X4" i="50"/>
  <c r="S49" i="4"/>
  <c r="K13" i="76"/>
  <c r="S50" i="4"/>
  <c r="J8" i="9"/>
  <c r="X9" i="43" s="1"/>
  <c r="W15" i="60"/>
  <c r="L14" i="34"/>
  <c r="X52" i="50"/>
  <c r="X39" i="50"/>
  <c r="S48" i="4"/>
  <c r="K9" i="76"/>
  <c r="S17" i="4"/>
  <c r="X29" i="50"/>
  <c r="X33" i="50"/>
  <c r="X64" i="50"/>
  <c r="S28" i="4"/>
  <c r="S23" i="4"/>
  <c r="S24" i="4"/>
  <c r="S19" i="4"/>
  <c r="X17" i="50"/>
  <c r="X12" i="50"/>
  <c r="X37" i="50"/>
  <c r="X16" i="50"/>
  <c r="S11" i="4"/>
  <c r="L15" i="34"/>
  <c r="X57" i="50"/>
  <c r="L16" i="34"/>
  <c r="X5" i="50"/>
  <c r="X62" i="50"/>
  <c r="X65" i="50"/>
  <c r="S34" i="4"/>
  <c r="W18" i="60"/>
  <c r="X11" i="50"/>
  <c r="S33" i="4"/>
  <c r="K6" i="76"/>
  <c r="S37" i="4"/>
  <c r="X45" i="50"/>
  <c r="W10" i="60"/>
  <c r="W13" i="60"/>
  <c r="W17" i="60"/>
  <c r="L17" i="34"/>
  <c r="K12" i="76"/>
  <c r="X59" i="50"/>
  <c r="S46" i="4"/>
  <c r="X41" i="50"/>
  <c r="W12" i="60"/>
  <c r="X18" i="50"/>
  <c r="X9" i="50"/>
  <c r="W4" i="60"/>
  <c r="W8" i="60"/>
  <c r="K4" i="34"/>
  <c r="R38" i="4"/>
  <c r="W82" i="43"/>
  <c r="R47" i="4"/>
  <c r="W75" i="43"/>
  <c r="K5" i="34"/>
  <c r="L7" i="33"/>
  <c r="K8" i="34"/>
  <c r="L8" i="33"/>
  <c r="L6" i="33"/>
  <c r="W87" i="43"/>
  <c r="W83" i="43"/>
  <c r="W77" i="43"/>
  <c r="W86" i="43"/>
  <c r="R41" i="4"/>
  <c r="K7" i="34"/>
  <c r="W84" i="43"/>
  <c r="W76" i="43"/>
  <c r="W78" i="43"/>
  <c r="K6" i="34"/>
  <c r="L3" i="33"/>
  <c r="L4" i="33"/>
  <c r="W81" i="43"/>
  <c r="W85" i="43"/>
  <c r="W80" i="43"/>
  <c r="L5" i="33"/>
  <c r="W73" i="43"/>
  <c r="W79" i="43"/>
  <c r="W74" i="43"/>
  <c r="R13" i="4"/>
  <c r="R52" i="4" s="1"/>
  <c r="K26" i="87" s="1"/>
  <c r="R91" i="27"/>
  <c r="O91" i="27"/>
  <c r="M91" i="27"/>
  <c r="N91" i="27"/>
  <c r="P91" i="27"/>
  <c r="L91" i="27"/>
  <c r="Q91" i="27"/>
  <c r="K91" i="27"/>
  <c r="N49" i="70"/>
  <c r="G50" i="70"/>
  <c r="G87" i="70"/>
  <c r="U7" i="43"/>
  <c r="R7" i="43"/>
  <c r="Q7" i="43"/>
  <c r="T7" i="43"/>
  <c r="V7" i="43"/>
  <c r="X7" i="43"/>
  <c r="S7" i="43"/>
  <c r="W7" i="43"/>
  <c r="V47" i="43"/>
  <c r="X47" i="43"/>
  <c r="S47" i="43"/>
  <c r="U47" i="43"/>
  <c r="R47" i="43"/>
  <c r="Q47" i="43"/>
  <c r="W47" i="43"/>
  <c r="T47" i="43"/>
  <c r="V25" i="43"/>
  <c r="T25" i="43"/>
  <c r="U25" i="43"/>
  <c r="Q25" i="43"/>
  <c r="S25" i="43"/>
  <c r="X25" i="43"/>
  <c r="R25" i="43"/>
  <c r="W25" i="43"/>
  <c r="R63" i="43"/>
  <c r="Q63" i="43"/>
  <c r="S63" i="43"/>
  <c r="X63" i="43"/>
  <c r="U63" i="43"/>
  <c r="T63" i="43"/>
  <c r="W63" i="43"/>
  <c r="V63" i="43"/>
  <c r="U58" i="43"/>
  <c r="V58" i="43"/>
  <c r="R58" i="43"/>
  <c r="T58" i="43"/>
  <c r="Q58" i="43"/>
  <c r="S58" i="43"/>
  <c r="W58" i="43"/>
  <c r="X58" i="43"/>
  <c r="Q43" i="43"/>
  <c r="T43" i="43"/>
  <c r="S43" i="43"/>
  <c r="U43" i="43"/>
  <c r="V43" i="43"/>
  <c r="W43" i="43"/>
  <c r="R43" i="43"/>
  <c r="X43" i="43"/>
  <c r="T66" i="43"/>
  <c r="S66" i="43"/>
  <c r="R66" i="43"/>
  <c r="X66" i="43"/>
  <c r="U66" i="43"/>
  <c r="Q66" i="43"/>
  <c r="W66" i="43"/>
  <c r="V66" i="43"/>
  <c r="I92" i="92"/>
  <c r="J56" i="94"/>
  <c r="E85" i="84"/>
  <c r="E48" i="84"/>
  <c r="E48" i="85"/>
  <c r="E85" i="85"/>
  <c r="T44" i="43"/>
  <c r="U44" i="43"/>
  <c r="Q44" i="43"/>
  <c r="R44" i="43"/>
  <c r="V44" i="43"/>
  <c r="S44" i="43"/>
  <c r="X44" i="43"/>
  <c r="W44" i="43"/>
  <c r="G48" i="86"/>
  <c r="G85" i="86"/>
  <c r="M219" i="35"/>
  <c r="L229" i="35"/>
  <c r="L231" i="35" s="1"/>
  <c r="G27" i="27"/>
  <c r="G29" i="27"/>
  <c r="J29" i="27" s="1"/>
  <c r="J81" i="27"/>
  <c r="G94" i="27"/>
  <c r="H90" i="85"/>
  <c r="H53" i="85"/>
  <c r="M118" i="27"/>
  <c r="Q118" i="27"/>
  <c r="O118" i="27"/>
  <c r="L118" i="27"/>
  <c r="N118" i="27"/>
  <c r="P118" i="27"/>
  <c r="R118" i="27"/>
  <c r="K118" i="27"/>
  <c r="V38" i="43"/>
  <c r="R38" i="43"/>
  <c r="X38" i="43"/>
  <c r="S38" i="43"/>
  <c r="U38" i="43"/>
  <c r="T38" i="43"/>
  <c r="W38" i="43"/>
  <c r="Q38" i="43"/>
  <c r="S61" i="43"/>
  <c r="U61" i="43"/>
  <c r="T61" i="43"/>
  <c r="Q61" i="43"/>
  <c r="W61" i="43"/>
  <c r="R61" i="43"/>
  <c r="X61" i="43"/>
  <c r="V61" i="43"/>
  <c r="T28" i="43"/>
  <c r="S28" i="43"/>
  <c r="X28" i="43"/>
  <c r="U28" i="43"/>
  <c r="Q28" i="43"/>
  <c r="W28" i="43"/>
  <c r="V28" i="43"/>
  <c r="R28" i="43"/>
  <c r="X21" i="43"/>
  <c r="R21" i="43"/>
  <c r="U21" i="43"/>
  <c r="S21" i="43"/>
  <c r="V21" i="43"/>
  <c r="Q21" i="43"/>
  <c r="T21" i="43"/>
  <c r="W21" i="43"/>
  <c r="R62" i="43"/>
  <c r="T62" i="43"/>
  <c r="U62" i="43"/>
  <c r="V62" i="43"/>
  <c r="X62" i="43"/>
  <c r="S62" i="43"/>
  <c r="Q62" i="43"/>
  <c r="W62" i="43"/>
  <c r="V16" i="43"/>
  <c r="U16" i="43"/>
  <c r="S16" i="43"/>
  <c r="R16" i="43"/>
  <c r="Q16" i="43"/>
  <c r="T16" i="43"/>
  <c r="X16" i="43"/>
  <c r="W16" i="43"/>
  <c r="Q37" i="43"/>
  <c r="X37" i="43"/>
  <c r="R37" i="43"/>
  <c r="T37" i="43"/>
  <c r="V37" i="43"/>
  <c r="S37" i="43"/>
  <c r="W37" i="43"/>
  <c r="U37" i="43"/>
  <c r="G70" i="27"/>
  <c r="G67" i="27"/>
  <c r="J67" i="27" s="1"/>
  <c r="G66" i="27"/>
  <c r="J66" i="27" s="1"/>
  <c r="G69" i="27"/>
  <c r="J69" i="27" s="1"/>
  <c r="G62" i="27"/>
  <c r="J62" i="27" s="1"/>
  <c r="G61" i="27"/>
  <c r="J61" i="27" s="1"/>
  <c r="L85" i="27"/>
  <c r="M85" i="27"/>
  <c r="Q85" i="27"/>
  <c r="N85" i="27"/>
  <c r="O85" i="27"/>
  <c r="P85" i="27"/>
  <c r="R85" i="27"/>
  <c r="K85" i="27"/>
  <c r="R127" i="27"/>
  <c r="L127" i="27"/>
  <c r="P127" i="27"/>
  <c r="N127" i="27"/>
  <c r="K127" i="27"/>
  <c r="M127" i="27"/>
  <c r="Q127" i="27"/>
  <c r="O127" i="27"/>
  <c r="G51" i="85"/>
  <c r="G88" i="85"/>
  <c r="E88" i="86"/>
  <c r="E51" i="86"/>
  <c r="W40" i="43"/>
  <c r="V12" i="43"/>
  <c r="T12" i="43"/>
  <c r="U12" i="43"/>
  <c r="X12" i="43"/>
  <c r="R12" i="43"/>
  <c r="S12" i="43"/>
  <c r="Q12" i="43"/>
  <c r="W12" i="43"/>
  <c r="U69" i="43"/>
  <c r="Q69" i="43"/>
  <c r="X69" i="43"/>
  <c r="V69" i="43"/>
  <c r="R69" i="43"/>
  <c r="T69" i="43"/>
  <c r="W69" i="43"/>
  <c r="S69" i="43"/>
  <c r="Q8" i="43"/>
  <c r="X8" i="43"/>
  <c r="R8" i="43"/>
  <c r="T8" i="43"/>
  <c r="V8" i="43"/>
  <c r="W8" i="43"/>
  <c r="U8" i="43"/>
  <c r="S8" i="43"/>
  <c r="R14" i="43"/>
  <c r="Q14" i="43"/>
  <c r="V14" i="43"/>
  <c r="U14" i="43"/>
  <c r="S14" i="43"/>
  <c r="T14" i="43"/>
  <c r="W14" i="43"/>
  <c r="X14" i="43"/>
  <c r="T20" i="43"/>
  <c r="S20" i="43"/>
  <c r="R20" i="43"/>
  <c r="X20" i="43"/>
  <c r="U20" i="43"/>
  <c r="Q20" i="43"/>
  <c r="V20" i="43"/>
  <c r="W20" i="43"/>
  <c r="T50" i="43"/>
  <c r="X50" i="43"/>
  <c r="V50" i="43"/>
  <c r="Q50" i="43"/>
  <c r="U50" i="43"/>
  <c r="S50" i="43"/>
  <c r="W50" i="43"/>
  <c r="R50" i="43"/>
  <c r="U54" i="43"/>
  <c r="S54" i="43"/>
  <c r="T54" i="43"/>
  <c r="V54" i="43"/>
  <c r="Q54" i="43"/>
  <c r="R54" i="43"/>
  <c r="X54" i="43"/>
  <c r="W54" i="43"/>
  <c r="U53" i="43"/>
  <c r="T53" i="43"/>
  <c r="S53" i="43"/>
  <c r="R53" i="43"/>
  <c r="Q53" i="43"/>
  <c r="V53" i="43"/>
  <c r="X53" i="43"/>
  <c r="W53" i="43"/>
  <c r="Q91" i="81"/>
  <c r="C88" i="84" l="1"/>
  <c r="C51" i="84"/>
  <c r="D57" i="85"/>
  <c r="D94" i="85"/>
  <c r="N31" i="35"/>
  <c r="L46" i="35"/>
  <c r="M61" i="27"/>
  <c r="O61" i="27"/>
  <c r="K61" i="27"/>
  <c r="L61" i="27"/>
  <c r="N61" i="27"/>
  <c r="P61" i="27"/>
  <c r="Q61" i="27"/>
  <c r="R61" i="27"/>
  <c r="W19" i="60"/>
  <c r="L3" i="87"/>
  <c r="L26" i="77"/>
  <c r="K31" i="76"/>
  <c r="X36" i="43"/>
  <c r="B49" i="85"/>
  <c r="B86" i="85"/>
  <c r="P19" i="60"/>
  <c r="T88" i="43"/>
  <c r="G26" i="89" s="1"/>
  <c r="I26" i="66" s="1"/>
  <c r="M58" i="35"/>
  <c r="O58" i="35" s="1"/>
  <c r="M51" i="35"/>
  <c r="O51" i="35" s="1"/>
  <c r="M50" i="35"/>
  <c r="O50" i="35" s="1"/>
  <c r="X51" i="43"/>
  <c r="J49" i="86"/>
  <c r="C50" i="86"/>
  <c r="C87" i="86"/>
  <c r="X33" i="43"/>
  <c r="K49" i="84"/>
  <c r="D50" i="84"/>
  <c r="D87" i="84"/>
  <c r="H26" i="77"/>
  <c r="G31" i="76"/>
  <c r="Z29" i="81" s="1"/>
  <c r="K49" i="70"/>
  <c r="D50" i="70"/>
  <c r="D87" i="70"/>
  <c r="G88" i="84"/>
  <c r="G51" i="84"/>
  <c r="H49" i="84"/>
  <c r="H86" i="84"/>
  <c r="U88" i="43"/>
  <c r="H26" i="89" s="1"/>
  <c r="J26" i="66" s="1"/>
  <c r="B53" i="86"/>
  <c r="B90" i="86"/>
  <c r="C49" i="70"/>
  <c r="C86" i="70"/>
  <c r="M37" i="27"/>
  <c r="P37" i="27"/>
  <c r="O37" i="27"/>
  <c r="R37" i="27"/>
  <c r="N37" i="27"/>
  <c r="Q37" i="27"/>
  <c r="L37" i="27"/>
  <c r="K37" i="27"/>
  <c r="N81" i="27"/>
  <c r="M81" i="27"/>
  <c r="R81" i="27"/>
  <c r="K81" i="27"/>
  <c r="O81" i="27"/>
  <c r="L81" i="27"/>
  <c r="P81" i="27"/>
  <c r="Q81" i="27"/>
  <c r="E49" i="85"/>
  <c r="E86" i="85"/>
  <c r="X64" i="43"/>
  <c r="V19" i="60"/>
  <c r="T19" i="60"/>
  <c r="X60" i="43"/>
  <c r="F50" i="86"/>
  <c r="M49" i="86"/>
  <c r="F87" i="86"/>
  <c r="F50" i="70"/>
  <c r="F87" i="70"/>
  <c r="M49" i="70"/>
  <c r="X29" i="43"/>
  <c r="X5" i="43"/>
  <c r="X19" i="43"/>
  <c r="X55" i="43"/>
  <c r="M69" i="27"/>
  <c r="K69" i="27"/>
  <c r="Q69" i="27"/>
  <c r="N69" i="27"/>
  <c r="L69" i="27"/>
  <c r="R69" i="27"/>
  <c r="P69" i="27"/>
  <c r="O69" i="27"/>
  <c r="E49" i="84"/>
  <c r="E86" i="84"/>
  <c r="L9" i="33"/>
  <c r="B54" i="84"/>
  <c r="B91" i="84"/>
  <c r="F52" i="84"/>
  <c r="M51" i="84"/>
  <c r="F89" i="84"/>
  <c r="X42" i="43"/>
  <c r="X45" i="43"/>
  <c r="C58" i="85"/>
  <c r="C95" i="85"/>
  <c r="X17" i="43"/>
  <c r="X59" i="43"/>
  <c r="X18" i="43"/>
  <c r="X46" i="43"/>
  <c r="X41" i="43"/>
  <c r="X13" i="43"/>
  <c r="X67" i="43"/>
  <c r="H3" i="87"/>
  <c r="X56" i="43"/>
  <c r="X31" i="43"/>
  <c r="L60" i="27"/>
  <c r="G3" i="73" s="1"/>
  <c r="E3" i="73"/>
  <c r="K60" i="27"/>
  <c r="F3" i="73" s="1"/>
  <c r="P60" i="27"/>
  <c r="K3" i="73" s="1"/>
  <c r="O60" i="27"/>
  <c r="J3" i="73" s="1"/>
  <c r="Q60" i="27"/>
  <c r="L3" i="73" s="1"/>
  <c r="M60" i="27"/>
  <c r="H3" i="73" s="1"/>
  <c r="R60" i="27"/>
  <c r="M3" i="73" s="1"/>
  <c r="N60" i="27"/>
  <c r="I3" i="73" s="1"/>
  <c r="G86" i="86"/>
  <c r="G49" i="86"/>
  <c r="R88" i="43"/>
  <c r="E26" i="89" s="1"/>
  <c r="G26" i="66" s="1"/>
  <c r="E34" i="91"/>
  <c r="M31" i="90"/>
  <c r="D91" i="86"/>
  <c r="D54" i="86"/>
  <c r="H91" i="86"/>
  <c r="H54" i="86"/>
  <c r="O49" i="70"/>
  <c r="H87" i="70"/>
  <c r="H50" i="70"/>
  <c r="G63" i="27"/>
  <c r="G88" i="70"/>
  <c r="G51" i="70"/>
  <c r="O67" i="27"/>
  <c r="K67" i="27"/>
  <c r="R67" i="27"/>
  <c r="Q67" i="27"/>
  <c r="N67" i="27"/>
  <c r="M67" i="27"/>
  <c r="P67" i="27"/>
  <c r="L67" i="27"/>
  <c r="M221" i="35"/>
  <c r="M199" i="35"/>
  <c r="M210" i="35"/>
  <c r="M188" i="35"/>
  <c r="M193" i="35"/>
  <c r="M205" i="35"/>
  <c r="M179" i="35"/>
  <c r="M218" i="35"/>
  <c r="M186" i="35"/>
  <c r="M211" i="35"/>
  <c r="M204" i="35"/>
  <c r="M178" i="35"/>
  <c r="M206" i="35"/>
  <c r="M227" i="35"/>
  <c r="M198" i="35"/>
  <c r="M192" i="35"/>
  <c r="M194" i="35"/>
  <c r="M177" i="35"/>
  <c r="M214" i="35"/>
  <c r="M185" i="35"/>
  <c r="M187" i="35"/>
  <c r="M225" i="35"/>
  <c r="M197" i="35"/>
  <c r="M212" i="35"/>
  <c r="M181" i="35"/>
  <c r="M202" i="35"/>
  <c r="M213" i="35"/>
  <c r="M203" i="35"/>
  <c r="M180" i="35"/>
  <c r="M226" i="35"/>
  <c r="M176" i="35"/>
  <c r="M228" i="35"/>
  <c r="M220" i="35"/>
  <c r="X75" i="43"/>
  <c r="S38" i="4"/>
  <c r="X81" i="43"/>
  <c r="X82" i="43"/>
  <c r="S13" i="4"/>
  <c r="S52" i="4" s="1"/>
  <c r="L26" i="87" s="1"/>
  <c r="X85" i="43"/>
  <c r="X79" i="43"/>
  <c r="X84" i="43"/>
  <c r="X86" i="43"/>
  <c r="M8" i="33"/>
  <c r="M3" i="33"/>
  <c r="M9" i="33" s="1"/>
  <c r="S47" i="4"/>
  <c r="X74" i="43"/>
  <c r="X73" i="43"/>
  <c r="L7" i="34"/>
  <c r="S41" i="4"/>
  <c r="M4" i="33"/>
  <c r="M7" i="33"/>
  <c r="L8" i="34"/>
  <c r="L4" i="34"/>
  <c r="M6" i="33"/>
  <c r="L5" i="34"/>
  <c r="X80" i="43"/>
  <c r="L6" i="34"/>
  <c r="M5" i="33"/>
  <c r="X77" i="43"/>
  <c r="X78" i="43"/>
  <c r="X83" i="43"/>
  <c r="X40" i="43"/>
  <c r="X76" i="43"/>
  <c r="X87" i="43"/>
  <c r="X32" i="43"/>
  <c r="S88" i="43"/>
  <c r="F26" i="89" s="1"/>
  <c r="H26" i="66" s="1"/>
  <c r="V88" i="43"/>
  <c r="I26" i="89" s="1"/>
  <c r="K26" i="66" s="1"/>
  <c r="X6" i="43"/>
  <c r="X88" i="43" s="1"/>
  <c r="K26" i="89" s="1"/>
  <c r="M26" i="66" s="1"/>
  <c r="X11" i="43"/>
  <c r="X26" i="43"/>
  <c r="X23" i="43"/>
  <c r="X39" i="43"/>
  <c r="E57" i="69"/>
  <c r="M167" i="35"/>
  <c r="M145" i="35"/>
  <c r="M125" i="35"/>
  <c r="M144" i="35"/>
  <c r="M121" i="35"/>
  <c r="M148" i="35"/>
  <c r="M142" i="35"/>
  <c r="M124" i="35"/>
  <c r="M158" i="35"/>
  <c r="M81" i="35"/>
  <c r="M129" i="35"/>
  <c r="M155" i="35"/>
  <c r="M90" i="35"/>
  <c r="M140" i="35"/>
  <c r="M163" i="35"/>
  <c r="M143" i="35"/>
  <c r="M161" i="35"/>
  <c r="M104" i="35"/>
  <c r="M102" i="35"/>
  <c r="M138" i="35"/>
  <c r="M137" i="35"/>
  <c r="M141" i="35"/>
  <c r="M157" i="35"/>
  <c r="M120" i="35"/>
  <c r="M162" i="35"/>
  <c r="M123" i="35"/>
  <c r="M164" i="35"/>
  <c r="M126" i="35"/>
  <c r="M146" i="35"/>
  <c r="M156" i="35"/>
  <c r="M127" i="35"/>
  <c r="M160" i="35"/>
  <c r="M108" i="35"/>
  <c r="M103" i="35"/>
  <c r="M95" i="35"/>
  <c r="M128" i="35"/>
  <c r="M159" i="35"/>
  <c r="M119" i="35"/>
  <c r="M111" i="35"/>
  <c r="M94" i="35"/>
  <c r="M135" i="35"/>
  <c r="M139" i="35"/>
  <c r="M122" i="35"/>
  <c r="M109" i="35"/>
  <c r="M147" i="35"/>
  <c r="M105" i="35"/>
  <c r="M154" i="35"/>
  <c r="M166" i="35"/>
  <c r="M112" i="35"/>
  <c r="M110" i="35"/>
  <c r="M89" i="35"/>
  <c r="M165" i="35"/>
  <c r="M136" i="35"/>
  <c r="M107" i="35"/>
  <c r="M84" i="35"/>
  <c r="J27" i="27"/>
  <c r="G30" i="27"/>
  <c r="W88" i="43"/>
  <c r="J26" i="89" s="1"/>
  <c r="L26" i="66" s="1"/>
  <c r="F49" i="85"/>
  <c r="F86" i="85"/>
  <c r="S19" i="60"/>
  <c r="B91" i="70"/>
  <c r="B54" i="70"/>
  <c r="L51" i="86"/>
  <c r="E89" i="86"/>
  <c r="E52" i="86"/>
  <c r="N66" i="27"/>
  <c r="L66" i="27"/>
  <c r="O66" i="27"/>
  <c r="P66" i="27"/>
  <c r="M66" i="27"/>
  <c r="R66" i="27"/>
  <c r="K66" i="27"/>
  <c r="Q66" i="27"/>
  <c r="G52" i="85"/>
  <c r="N51" i="85"/>
  <c r="G89" i="85"/>
  <c r="H54" i="85"/>
  <c r="H91" i="85"/>
  <c r="X52" i="43"/>
  <c r="Q88" i="43"/>
  <c r="D26" i="89" s="1"/>
  <c r="Q20" i="27"/>
  <c r="P20" i="27"/>
  <c r="M20" i="27"/>
  <c r="R20" i="27"/>
  <c r="N20" i="27"/>
  <c r="K20" i="27"/>
  <c r="L20" i="27"/>
  <c r="O20" i="27"/>
  <c r="J137" i="27"/>
  <c r="E26" i="73" s="1"/>
  <c r="X65" i="43"/>
  <c r="X27" i="43"/>
  <c r="X22" i="43"/>
  <c r="X35" i="43"/>
  <c r="X57" i="43"/>
  <c r="X48" i="43"/>
  <c r="X49" i="43"/>
  <c r="X68" i="43"/>
  <c r="E52" i="70"/>
  <c r="L51" i="70"/>
  <c r="E89" i="70"/>
  <c r="O52" i="4"/>
  <c r="H26" i="87" s="1"/>
  <c r="N169" i="35"/>
  <c r="O169" i="35" s="1"/>
  <c r="O168" i="35"/>
  <c r="H55" i="85" l="1"/>
  <c r="H92" i="85"/>
  <c r="F53" i="84"/>
  <c r="F90" i="84"/>
  <c r="F88" i="86"/>
  <c r="F51" i="86"/>
  <c r="C87" i="70"/>
  <c r="J49" i="70"/>
  <c r="C50" i="70"/>
  <c r="D88" i="70"/>
  <c r="D51" i="70"/>
  <c r="M30" i="35"/>
  <c r="M9" i="35"/>
  <c r="M7" i="35"/>
  <c r="M32" i="35"/>
  <c r="M24" i="35"/>
  <c r="M13" i="35"/>
  <c r="M8" i="35"/>
  <c r="M16" i="35"/>
  <c r="M31" i="35"/>
  <c r="M33" i="35"/>
  <c r="M21" i="35"/>
  <c r="M29" i="35"/>
  <c r="M25" i="35"/>
  <c r="M37" i="35"/>
  <c r="M15" i="35"/>
  <c r="M42" i="35"/>
  <c r="M14" i="35"/>
  <c r="M28" i="35"/>
  <c r="M10" i="35"/>
  <c r="M6" i="35"/>
  <c r="M44" i="35" s="1"/>
  <c r="M23" i="35"/>
  <c r="M36" i="35"/>
  <c r="M43" i="35"/>
  <c r="M22" i="35"/>
  <c r="M17" i="35"/>
  <c r="M20" i="35"/>
  <c r="G52" i="70"/>
  <c r="G89" i="70"/>
  <c r="N51" i="70"/>
  <c r="H51" i="70"/>
  <c r="H88" i="70"/>
  <c r="B54" i="86"/>
  <c r="B91" i="86"/>
  <c r="C88" i="86"/>
  <c r="C51" i="86"/>
  <c r="O31" i="35"/>
  <c r="N44" i="35"/>
  <c r="O44" i="35" s="1"/>
  <c r="B55" i="70"/>
  <c r="B92" i="70"/>
  <c r="G53" i="85"/>
  <c r="G90" i="85"/>
  <c r="D92" i="86"/>
  <c r="D55" i="86"/>
  <c r="E90" i="70"/>
  <c r="E53" i="70"/>
  <c r="B55" i="84"/>
  <c r="B92" i="84"/>
  <c r="E90" i="86"/>
  <c r="E53" i="86"/>
  <c r="D95" i="85"/>
  <c r="D58" i="85"/>
  <c r="C96" i="85"/>
  <c r="C59" i="85"/>
  <c r="J58" i="85"/>
  <c r="I49" i="85"/>
  <c r="B50" i="85"/>
  <c r="B87" i="85"/>
  <c r="O136" i="27"/>
  <c r="J26" i="73" s="1"/>
  <c r="H55" i="86"/>
  <c r="H92" i="86"/>
  <c r="G87" i="86"/>
  <c r="N49" i="86"/>
  <c r="G50" i="86"/>
  <c r="F88" i="70"/>
  <c r="F51" i="70"/>
  <c r="O49" i="84"/>
  <c r="H87" i="84"/>
  <c r="H50" i="84"/>
  <c r="O59" i="35"/>
  <c r="J51" i="84"/>
  <c r="C52" i="84"/>
  <c r="C89" i="84"/>
  <c r="P136" i="27"/>
  <c r="K26" i="73" s="1"/>
  <c r="F87" i="85"/>
  <c r="M49" i="85"/>
  <c r="F50" i="85"/>
  <c r="Q136" i="27"/>
  <c r="L26" i="73" s="1"/>
  <c r="O170" i="35"/>
  <c r="L27" i="27"/>
  <c r="L136" i="27" s="1"/>
  <c r="G26" i="73" s="1"/>
  <c r="R27" i="27"/>
  <c r="N27" i="27"/>
  <c r="N136" i="27" s="1"/>
  <c r="I26" i="73" s="1"/>
  <c r="Q27" i="27"/>
  <c r="M27" i="27"/>
  <c r="M136" i="27" s="1"/>
  <c r="H26" i="73" s="1"/>
  <c r="O27" i="27"/>
  <c r="K27" i="27"/>
  <c r="K136" i="27" s="1"/>
  <c r="F26" i="73" s="1"/>
  <c r="P27" i="27"/>
  <c r="E50" i="84"/>
  <c r="L49" i="84"/>
  <c r="E87" i="84"/>
  <c r="L49" i="85"/>
  <c r="E87" i="85"/>
  <c r="E50" i="85"/>
  <c r="G89" i="84"/>
  <c r="N51" i="84"/>
  <c r="G52" i="84"/>
  <c r="D88" i="84"/>
  <c r="D51" i="84"/>
  <c r="M51" i="70" l="1"/>
  <c r="F52" i="70"/>
  <c r="F89" i="70"/>
  <c r="E91" i="86"/>
  <c r="E54" i="86"/>
  <c r="G90" i="70"/>
  <c r="G53" i="70"/>
  <c r="G90" i="84"/>
  <c r="G53" i="84"/>
  <c r="B51" i="85"/>
  <c r="B88" i="85"/>
  <c r="G54" i="85"/>
  <c r="G91" i="85"/>
  <c r="M51" i="86"/>
  <c r="F89" i="86"/>
  <c r="F52" i="86"/>
  <c r="C90" i="84"/>
  <c r="C53" i="84"/>
  <c r="G51" i="86"/>
  <c r="G88" i="86"/>
  <c r="B92" i="86"/>
  <c r="B55" i="86"/>
  <c r="I56" i="84"/>
  <c r="B56" i="84"/>
  <c r="B93" i="84"/>
  <c r="I55" i="84"/>
  <c r="I56" i="70"/>
  <c r="I55" i="70"/>
  <c r="B93" i="70"/>
  <c r="B56" i="70"/>
  <c r="D52" i="70"/>
  <c r="K51" i="70"/>
  <c r="D89" i="70"/>
  <c r="K51" i="84"/>
  <c r="D52" i="84"/>
  <c r="D89" i="84"/>
  <c r="C89" i="86"/>
  <c r="J51" i="86"/>
  <c r="C52" i="86"/>
  <c r="C97" i="85"/>
  <c r="C60" i="85"/>
  <c r="E54" i="70"/>
  <c r="E91" i="70"/>
  <c r="H52" i="70"/>
  <c r="O51" i="70"/>
  <c r="H89" i="70"/>
  <c r="F91" i="84"/>
  <c r="F54" i="84"/>
  <c r="E88" i="85"/>
  <c r="E51" i="85"/>
  <c r="F88" i="85"/>
  <c r="F51" i="85"/>
  <c r="E51" i="84"/>
  <c r="E88" i="84"/>
  <c r="H88" i="84"/>
  <c r="H51" i="84"/>
  <c r="H93" i="86"/>
  <c r="O56" i="86"/>
  <c r="O55" i="86"/>
  <c r="H56" i="86"/>
  <c r="D59" i="85"/>
  <c r="K58" i="85"/>
  <c r="D96" i="85"/>
  <c r="D93" i="86"/>
  <c r="K55" i="86"/>
  <c r="D56" i="86"/>
  <c r="K56" i="86"/>
  <c r="O46" i="35"/>
  <c r="C51" i="70"/>
  <c r="C88" i="70"/>
  <c r="H93" i="85"/>
  <c r="H56" i="85"/>
  <c r="O56" i="85"/>
  <c r="O55" i="85"/>
  <c r="H57" i="85" l="1"/>
  <c r="H94" i="85"/>
  <c r="C90" i="86"/>
  <c r="C53" i="86"/>
  <c r="D53" i="70"/>
  <c r="D90" i="70"/>
  <c r="G54" i="70"/>
  <c r="G91" i="70"/>
  <c r="H52" i="84"/>
  <c r="H89" i="84"/>
  <c r="O51" i="84"/>
  <c r="B94" i="84"/>
  <c r="B57" i="84"/>
  <c r="B57" i="70"/>
  <c r="B94" i="70"/>
  <c r="B93" i="86"/>
  <c r="B56" i="86"/>
  <c r="P55" i="86"/>
  <c r="I56" i="86"/>
  <c r="I55" i="86"/>
  <c r="E92" i="86"/>
  <c r="E55" i="86"/>
  <c r="D60" i="85"/>
  <c r="D97" i="85"/>
  <c r="M51" i="85"/>
  <c r="F89" i="85"/>
  <c r="F52" i="85"/>
  <c r="H90" i="70"/>
  <c r="H53" i="70"/>
  <c r="G92" i="85"/>
  <c r="G55" i="85"/>
  <c r="F92" i="84"/>
  <c r="F55" i="84"/>
  <c r="D90" i="84"/>
  <c r="D53" i="84"/>
  <c r="N51" i="86"/>
  <c r="G52" i="86"/>
  <c r="G89" i="86"/>
  <c r="L51" i="84"/>
  <c r="E89" i="84"/>
  <c r="E52" i="84"/>
  <c r="H57" i="86"/>
  <c r="H94" i="86"/>
  <c r="D94" i="86"/>
  <c r="D57" i="86"/>
  <c r="L51" i="85"/>
  <c r="E52" i="85"/>
  <c r="E89" i="85"/>
  <c r="E55" i="70"/>
  <c r="E92" i="70"/>
  <c r="C91" i="84"/>
  <c r="C54" i="84"/>
  <c r="B89" i="85"/>
  <c r="I51" i="85"/>
  <c r="B52" i="85"/>
  <c r="F90" i="70"/>
  <c r="F53" i="70"/>
  <c r="F53" i="86"/>
  <c r="F90" i="86"/>
  <c r="C89" i="70"/>
  <c r="C52" i="70"/>
  <c r="J51" i="70"/>
  <c r="C98" i="85"/>
  <c r="C61" i="85"/>
  <c r="G91" i="84"/>
  <c r="G54" i="84"/>
  <c r="C62" i="85" l="1"/>
  <c r="C99" i="85"/>
  <c r="B90" i="85"/>
  <c r="B53" i="85"/>
  <c r="D61" i="85"/>
  <c r="D98" i="85"/>
  <c r="G92" i="70"/>
  <c r="G55" i="70"/>
  <c r="L55" i="86"/>
  <c r="E93" i="86"/>
  <c r="E56" i="86"/>
  <c r="L56" i="86"/>
  <c r="B58" i="70"/>
  <c r="B95" i="70"/>
  <c r="E53" i="85"/>
  <c r="E90" i="85"/>
  <c r="D58" i="86"/>
  <c r="D95" i="86"/>
  <c r="G90" i="86"/>
  <c r="G53" i="86"/>
  <c r="H54" i="70"/>
  <c r="H91" i="70"/>
  <c r="B58" i="84"/>
  <c r="B95" i="84"/>
  <c r="D91" i="70"/>
  <c r="D54" i="70"/>
  <c r="C91" i="86"/>
  <c r="C54" i="86"/>
  <c r="D54" i="84"/>
  <c r="D91" i="84"/>
  <c r="F53" i="85"/>
  <c r="F90" i="85"/>
  <c r="C53" i="70"/>
  <c r="C90" i="70"/>
  <c r="C92" i="84"/>
  <c r="C55" i="84"/>
  <c r="H95" i="86"/>
  <c r="H58" i="86"/>
  <c r="G93" i="85"/>
  <c r="N56" i="85"/>
  <c r="N55" i="85"/>
  <c r="G56" i="85"/>
  <c r="G55" i="84"/>
  <c r="G92" i="84"/>
  <c r="F91" i="86"/>
  <c r="F54" i="86"/>
  <c r="F54" i="70"/>
  <c r="F91" i="70"/>
  <c r="L56" i="70"/>
  <c r="E93" i="70"/>
  <c r="E56" i="70"/>
  <c r="L55" i="70"/>
  <c r="E53" i="84"/>
  <c r="E90" i="84"/>
  <c r="F56" i="84"/>
  <c r="M56" i="84"/>
  <c r="F93" i="84"/>
  <c r="M55" i="84"/>
  <c r="B94" i="86"/>
  <c r="B57" i="86"/>
  <c r="H90" i="84"/>
  <c r="H53" i="84"/>
  <c r="H95" i="85"/>
  <c r="H58" i="85"/>
  <c r="F57" i="84" l="1"/>
  <c r="F94" i="84"/>
  <c r="F91" i="85"/>
  <c r="F54" i="85"/>
  <c r="I58" i="84"/>
  <c r="B59" i="84"/>
  <c r="B96" i="84"/>
  <c r="E54" i="85"/>
  <c r="E91" i="85"/>
  <c r="O58" i="86"/>
  <c r="H59" i="86"/>
  <c r="H96" i="86"/>
  <c r="F55" i="70"/>
  <c r="F92" i="70"/>
  <c r="E91" i="84"/>
  <c r="E54" i="84"/>
  <c r="D92" i="84"/>
  <c r="D55" i="84"/>
  <c r="H55" i="70"/>
  <c r="H92" i="70"/>
  <c r="I58" i="70"/>
  <c r="B96" i="70"/>
  <c r="B59" i="70"/>
  <c r="D62" i="85"/>
  <c r="D99" i="85"/>
  <c r="H96" i="85"/>
  <c r="H59" i="85"/>
  <c r="O58" i="85"/>
  <c r="H91" i="84"/>
  <c r="H54" i="84"/>
  <c r="B95" i="86"/>
  <c r="B58" i="86"/>
  <c r="J56" i="84"/>
  <c r="J55" i="84"/>
  <c r="C93" i="84"/>
  <c r="C56" i="84"/>
  <c r="C55" i="86"/>
  <c r="C92" i="86"/>
  <c r="G91" i="86"/>
  <c r="G54" i="86"/>
  <c r="B91" i="85"/>
  <c r="B54" i="85"/>
  <c r="G56" i="70"/>
  <c r="N56" i="70"/>
  <c r="G93" i="70"/>
  <c r="N55" i="70"/>
  <c r="E57" i="70"/>
  <c r="E94" i="70"/>
  <c r="E94" i="86"/>
  <c r="E57" i="86"/>
  <c r="G94" i="85"/>
  <c r="G57" i="85"/>
  <c r="D55" i="70"/>
  <c r="D92" i="70"/>
  <c r="F55" i="86"/>
  <c r="F92" i="86"/>
  <c r="N56" i="84"/>
  <c r="N55" i="84"/>
  <c r="G93" i="84"/>
  <c r="G56" i="84"/>
  <c r="C54" i="70"/>
  <c r="C91" i="70"/>
  <c r="D59" i="86"/>
  <c r="K58" i="86"/>
  <c r="D96" i="86"/>
  <c r="C63" i="85"/>
  <c r="C100" i="85"/>
  <c r="G92" i="86" l="1"/>
  <c r="G55" i="86"/>
  <c r="B97" i="70"/>
  <c r="B60" i="70"/>
  <c r="E92" i="84"/>
  <c r="E55" i="84"/>
  <c r="B60" i="84"/>
  <c r="B97" i="84"/>
  <c r="I58" i="86"/>
  <c r="B59" i="86"/>
  <c r="B96" i="86"/>
  <c r="D60" i="86"/>
  <c r="D97" i="86"/>
  <c r="C93" i="86"/>
  <c r="J55" i="86"/>
  <c r="C56" i="86"/>
  <c r="J56" i="86"/>
  <c r="F56" i="70"/>
  <c r="M55" i="70"/>
  <c r="M56" i="70"/>
  <c r="F93" i="70"/>
  <c r="E55" i="85"/>
  <c r="E92" i="85"/>
  <c r="M55" i="86"/>
  <c r="F93" i="86"/>
  <c r="F56" i="86"/>
  <c r="M56" i="86"/>
  <c r="H92" i="84"/>
  <c r="H55" i="84"/>
  <c r="G95" i="85"/>
  <c r="G58" i="85"/>
  <c r="C94" i="84"/>
  <c r="C57" i="84"/>
  <c r="F55" i="85"/>
  <c r="F92" i="85"/>
  <c r="D100" i="85"/>
  <c r="D63" i="85"/>
  <c r="E95" i="70"/>
  <c r="E58" i="70"/>
  <c r="D93" i="70"/>
  <c r="D56" i="70"/>
  <c r="K55" i="70"/>
  <c r="K56" i="70"/>
  <c r="G57" i="70"/>
  <c r="G94" i="70"/>
  <c r="H60" i="85"/>
  <c r="H97" i="85"/>
  <c r="O56" i="70"/>
  <c r="H56" i="70"/>
  <c r="O55" i="70"/>
  <c r="H93" i="70"/>
  <c r="H97" i="86"/>
  <c r="H60" i="86"/>
  <c r="C92" i="70"/>
  <c r="C55" i="70"/>
  <c r="G57" i="84"/>
  <c r="G94" i="84"/>
  <c r="C101" i="85"/>
  <c r="J63" i="85"/>
  <c r="C64" i="85"/>
  <c r="E58" i="86"/>
  <c r="E95" i="86"/>
  <c r="B92" i="85"/>
  <c r="B55" i="85"/>
  <c r="D56" i="84"/>
  <c r="K56" i="84"/>
  <c r="D93" i="84"/>
  <c r="K55" i="84"/>
  <c r="F58" i="84"/>
  <c r="F95" i="84"/>
  <c r="G58" i="84" l="1"/>
  <c r="G95" i="84"/>
  <c r="E59" i="70"/>
  <c r="E96" i="70"/>
  <c r="L58" i="70"/>
  <c r="N58" i="85"/>
  <c r="G96" i="85"/>
  <c r="G59" i="85"/>
  <c r="B98" i="84"/>
  <c r="B61" i="84"/>
  <c r="H61" i="85"/>
  <c r="H98" i="85"/>
  <c r="L55" i="85"/>
  <c r="L56" i="85"/>
  <c r="E93" i="85"/>
  <c r="E56" i="85"/>
  <c r="L56" i="84"/>
  <c r="E93" i="84"/>
  <c r="E56" i="84"/>
  <c r="L55" i="84"/>
  <c r="D101" i="85"/>
  <c r="D64" i="85"/>
  <c r="K63" i="85"/>
  <c r="H56" i="84"/>
  <c r="O55" i="84"/>
  <c r="O56" i="84"/>
  <c r="H93" i="84"/>
  <c r="B56" i="85"/>
  <c r="I55" i="85"/>
  <c r="B93" i="85"/>
  <c r="I56" i="85"/>
  <c r="C102" i="85"/>
  <c r="C65" i="85"/>
  <c r="G58" i="70"/>
  <c r="G95" i="70"/>
  <c r="D98" i="86"/>
  <c r="D61" i="86"/>
  <c r="B98" i="70"/>
  <c r="B61" i="70"/>
  <c r="E59" i="86"/>
  <c r="L58" i="86"/>
  <c r="E96" i="86"/>
  <c r="J56" i="70"/>
  <c r="C56" i="70"/>
  <c r="C93" i="70"/>
  <c r="J55" i="70"/>
  <c r="M58" i="84"/>
  <c r="F96" i="84"/>
  <c r="F59" i="84"/>
  <c r="H98" i="86"/>
  <c r="H61" i="86"/>
  <c r="M56" i="85"/>
  <c r="F93" i="85"/>
  <c r="F56" i="85"/>
  <c r="M55" i="85"/>
  <c r="F94" i="86"/>
  <c r="F57" i="86"/>
  <c r="F94" i="70"/>
  <c r="F57" i="70"/>
  <c r="B60" i="86"/>
  <c r="B97" i="86"/>
  <c r="G93" i="86"/>
  <c r="N55" i="86"/>
  <c r="N56" i="86"/>
  <c r="G56" i="86"/>
  <c r="C57" i="86"/>
  <c r="C94" i="86"/>
  <c r="D57" i="84"/>
  <c r="D94" i="84"/>
  <c r="H57" i="70"/>
  <c r="H94" i="70"/>
  <c r="D94" i="70"/>
  <c r="D57" i="70"/>
  <c r="C95" i="84"/>
  <c r="C58" i="84"/>
  <c r="B62" i="70" l="1"/>
  <c r="B99" i="70"/>
  <c r="E97" i="86"/>
  <c r="E60" i="86"/>
  <c r="D65" i="85"/>
  <c r="D102" i="85"/>
  <c r="D99" i="86"/>
  <c r="D62" i="86"/>
  <c r="E57" i="85"/>
  <c r="E94" i="85"/>
  <c r="F94" i="85"/>
  <c r="F57" i="85"/>
  <c r="D58" i="84"/>
  <c r="D95" i="84"/>
  <c r="C94" i="70"/>
  <c r="C57" i="70"/>
  <c r="B94" i="85"/>
  <c r="B57" i="85"/>
  <c r="G97" i="85"/>
  <c r="G60" i="85"/>
  <c r="B98" i="86"/>
  <c r="B61" i="86"/>
  <c r="F58" i="70"/>
  <c r="F95" i="70"/>
  <c r="H62" i="86"/>
  <c r="H99" i="86"/>
  <c r="E94" i="84"/>
  <c r="E57" i="84"/>
  <c r="H99" i="85"/>
  <c r="H62" i="85"/>
  <c r="E97" i="70"/>
  <c r="E60" i="70"/>
  <c r="H95" i="70"/>
  <c r="H58" i="70"/>
  <c r="C58" i="86"/>
  <c r="C95" i="86"/>
  <c r="N58" i="70"/>
  <c r="G96" i="70"/>
  <c r="G59" i="70"/>
  <c r="B62" i="84"/>
  <c r="B99" i="84"/>
  <c r="H57" i="84"/>
  <c r="H94" i="84"/>
  <c r="C59" i="84"/>
  <c r="J58" i="84"/>
  <c r="C96" i="84"/>
  <c r="D58" i="70"/>
  <c r="D95" i="70"/>
  <c r="G94" i="86"/>
  <c r="G57" i="86"/>
  <c r="F58" i="86"/>
  <c r="F95" i="86"/>
  <c r="F60" i="84"/>
  <c r="F97" i="84"/>
  <c r="C66" i="85"/>
  <c r="C103" i="85"/>
  <c r="G96" i="84"/>
  <c r="G59" i="84"/>
  <c r="N58" i="84"/>
  <c r="C104" i="85" l="1"/>
  <c r="C67" i="85"/>
  <c r="C95" i="70"/>
  <c r="C58" i="70"/>
  <c r="H63" i="85"/>
  <c r="H100" i="85"/>
  <c r="M58" i="70"/>
  <c r="F96" i="70"/>
  <c r="F59" i="70"/>
  <c r="D96" i="84"/>
  <c r="K58" i="84"/>
  <c r="D59" i="84"/>
  <c r="D103" i="85"/>
  <c r="D66" i="85"/>
  <c r="B100" i="84"/>
  <c r="B63" i="84"/>
  <c r="B62" i="86"/>
  <c r="B99" i="86"/>
  <c r="C97" i="84"/>
  <c r="C60" i="84"/>
  <c r="E58" i="84"/>
  <c r="E95" i="84"/>
  <c r="G61" i="85"/>
  <c r="G98" i="85"/>
  <c r="F95" i="85"/>
  <c r="F58" i="85"/>
  <c r="E61" i="86"/>
  <c r="E98" i="86"/>
  <c r="D63" i="86"/>
  <c r="D100" i="86"/>
  <c r="F61" i="84"/>
  <c r="F98" i="84"/>
  <c r="C59" i="86"/>
  <c r="C96" i="86"/>
  <c r="J58" i="86"/>
  <c r="D59" i="70"/>
  <c r="D96" i="70"/>
  <c r="K58" i="70"/>
  <c r="F59" i="86"/>
  <c r="M58" i="86"/>
  <c r="F96" i="86"/>
  <c r="G97" i="84"/>
  <c r="G60" i="84"/>
  <c r="G95" i="86"/>
  <c r="G58" i="86"/>
  <c r="H58" i="84"/>
  <c r="H95" i="84"/>
  <c r="O58" i="70"/>
  <c r="H96" i="70"/>
  <c r="H59" i="70"/>
  <c r="B58" i="85"/>
  <c r="B95" i="85"/>
  <c r="E98" i="70"/>
  <c r="E61" i="70"/>
  <c r="G97" i="70"/>
  <c r="G60" i="70"/>
  <c r="H63" i="86"/>
  <c r="H100" i="86"/>
  <c r="E58" i="85"/>
  <c r="E95" i="85"/>
  <c r="B100" i="70"/>
  <c r="B63" i="70"/>
  <c r="F99" i="84" l="1"/>
  <c r="F62" i="84"/>
  <c r="D104" i="85"/>
  <c r="D67" i="85"/>
  <c r="F97" i="86"/>
  <c r="F60" i="86"/>
  <c r="B64" i="70"/>
  <c r="B101" i="70"/>
  <c r="I63" i="70"/>
  <c r="D101" i="86"/>
  <c r="D64" i="86"/>
  <c r="K63" i="86"/>
  <c r="E59" i="84"/>
  <c r="E96" i="84"/>
  <c r="L58" i="84"/>
  <c r="H64" i="85"/>
  <c r="O63" i="85"/>
  <c r="H101" i="85"/>
  <c r="B64" i="84"/>
  <c r="B101" i="84"/>
  <c r="I63" i="84"/>
  <c r="D97" i="70"/>
  <c r="D60" i="70"/>
  <c r="C98" i="84"/>
  <c r="C61" i="84"/>
  <c r="D97" i="84"/>
  <c r="D60" i="84"/>
  <c r="C59" i="70"/>
  <c r="C96" i="70"/>
  <c r="J58" i="70"/>
  <c r="G98" i="70"/>
  <c r="G61" i="70"/>
  <c r="E99" i="70"/>
  <c r="E62" i="70"/>
  <c r="G96" i="86"/>
  <c r="N58" i="86"/>
  <c r="G59" i="86"/>
  <c r="G98" i="84"/>
  <c r="G61" i="84"/>
  <c r="E99" i="86"/>
  <c r="E62" i="86"/>
  <c r="G99" i="85"/>
  <c r="G62" i="85"/>
  <c r="E59" i="85"/>
  <c r="E96" i="85"/>
  <c r="L58" i="85"/>
  <c r="H97" i="70"/>
  <c r="H60" i="70"/>
  <c r="M58" i="85"/>
  <c r="F96" i="85"/>
  <c r="F59" i="85"/>
  <c r="C68" i="85"/>
  <c r="C105" i="85"/>
  <c r="H59" i="84"/>
  <c r="H96" i="84"/>
  <c r="O58" i="84"/>
  <c r="B59" i="85"/>
  <c r="B96" i="85"/>
  <c r="I58" i="85"/>
  <c r="O63" i="86"/>
  <c r="H64" i="86"/>
  <c r="H101" i="86"/>
  <c r="C97" i="86"/>
  <c r="C60" i="86"/>
  <c r="B63" i="86"/>
  <c r="B100" i="86"/>
  <c r="F97" i="70"/>
  <c r="F60" i="70"/>
  <c r="G62" i="84" l="1"/>
  <c r="G99" i="84"/>
  <c r="D61" i="70"/>
  <c r="D98" i="70"/>
  <c r="B102" i="70"/>
  <c r="B65" i="70"/>
  <c r="H60" i="84"/>
  <c r="H97" i="84"/>
  <c r="F61" i="86"/>
  <c r="F98" i="86"/>
  <c r="C98" i="86"/>
  <c r="C61" i="86"/>
  <c r="H102" i="85"/>
  <c r="H65" i="85"/>
  <c r="G60" i="86"/>
  <c r="G97" i="86"/>
  <c r="E60" i="84"/>
  <c r="E97" i="84"/>
  <c r="F98" i="70"/>
  <c r="F61" i="70"/>
  <c r="C69" i="85"/>
  <c r="C106" i="85"/>
  <c r="E97" i="85"/>
  <c r="E60" i="85"/>
  <c r="C60" i="70"/>
  <c r="C97" i="70"/>
  <c r="D105" i="85"/>
  <c r="D68" i="85"/>
  <c r="F60" i="85"/>
  <c r="F97" i="85"/>
  <c r="G100" i="85"/>
  <c r="G63" i="85"/>
  <c r="D61" i="84"/>
  <c r="D98" i="84"/>
  <c r="B65" i="84"/>
  <c r="B102" i="84"/>
  <c r="D65" i="86"/>
  <c r="D102" i="86"/>
  <c r="H61" i="70"/>
  <c r="H98" i="70"/>
  <c r="H102" i="86"/>
  <c r="H65" i="86"/>
  <c r="E100" i="70"/>
  <c r="E63" i="70"/>
  <c r="F100" i="84"/>
  <c r="F63" i="84"/>
  <c r="G62" i="70"/>
  <c r="G99" i="70"/>
  <c r="B101" i="86"/>
  <c r="B64" i="86"/>
  <c r="I63" i="86"/>
  <c r="B60" i="85"/>
  <c r="B97" i="85"/>
  <c r="E63" i="86"/>
  <c r="E100" i="86"/>
  <c r="C62" i="84"/>
  <c r="C99" i="84"/>
  <c r="G98" i="86" l="1"/>
  <c r="G61" i="86"/>
  <c r="H61" i="84"/>
  <c r="H98" i="84"/>
  <c r="H103" i="85"/>
  <c r="H66" i="85"/>
  <c r="B66" i="70"/>
  <c r="B103" i="70"/>
  <c r="C63" i="84"/>
  <c r="C100" i="84"/>
  <c r="C70" i="85"/>
  <c r="C107" i="85"/>
  <c r="G63" i="70"/>
  <c r="G100" i="70"/>
  <c r="D69" i="85"/>
  <c r="D106" i="85"/>
  <c r="F62" i="70"/>
  <c r="F99" i="70"/>
  <c r="C99" i="86"/>
  <c r="C62" i="86"/>
  <c r="F64" i="84"/>
  <c r="M63" i="84"/>
  <c r="F101" i="84"/>
  <c r="D66" i="86"/>
  <c r="D103" i="86"/>
  <c r="D99" i="70"/>
  <c r="D62" i="70"/>
  <c r="E61" i="85"/>
  <c r="E98" i="85"/>
  <c r="H99" i="70"/>
  <c r="H62" i="70"/>
  <c r="L63" i="86"/>
  <c r="E64" i="86"/>
  <c r="E101" i="86"/>
  <c r="B98" i="85"/>
  <c r="B61" i="85"/>
  <c r="B102" i="86"/>
  <c r="B65" i="86"/>
  <c r="H66" i="86"/>
  <c r="H103" i="86"/>
  <c r="G64" i="85"/>
  <c r="G101" i="85"/>
  <c r="N63" i="85"/>
  <c r="F61" i="85"/>
  <c r="F98" i="85"/>
  <c r="L63" i="70"/>
  <c r="E101" i="70"/>
  <c r="E64" i="70"/>
  <c r="B103" i="84"/>
  <c r="B66" i="84"/>
  <c r="D62" i="84"/>
  <c r="D99" i="84"/>
  <c r="C98" i="70"/>
  <c r="C61" i="70"/>
  <c r="E61" i="84"/>
  <c r="E98" i="84"/>
  <c r="F62" i="86"/>
  <c r="F99" i="86"/>
  <c r="G100" i="84"/>
  <c r="G63" i="84"/>
  <c r="E102" i="70" l="1"/>
  <c r="E65" i="70"/>
  <c r="D107" i="85"/>
  <c r="D70" i="85"/>
  <c r="B67" i="70"/>
  <c r="B104" i="70"/>
  <c r="H104" i="85"/>
  <c r="H67" i="85"/>
  <c r="F65" i="84"/>
  <c r="F102" i="84"/>
  <c r="N63" i="70"/>
  <c r="G64" i="70"/>
  <c r="G101" i="70"/>
  <c r="D67" i="86"/>
  <c r="D104" i="86"/>
  <c r="E62" i="84"/>
  <c r="E99" i="84"/>
  <c r="C99" i="70"/>
  <c r="C62" i="70"/>
  <c r="B66" i="86"/>
  <c r="B103" i="86"/>
  <c r="F99" i="85"/>
  <c r="F62" i="85"/>
  <c r="B62" i="85"/>
  <c r="B99" i="85"/>
  <c r="E62" i="85"/>
  <c r="E99" i="85"/>
  <c r="C63" i="86"/>
  <c r="C100" i="86"/>
  <c r="D100" i="70"/>
  <c r="D63" i="70"/>
  <c r="C108" i="85"/>
  <c r="C71" i="85"/>
  <c r="H62" i="84"/>
  <c r="H99" i="84"/>
  <c r="H67" i="86"/>
  <c r="H104" i="86"/>
  <c r="B104" i="84"/>
  <c r="B67" i="84"/>
  <c r="G62" i="86"/>
  <c r="G99" i="86"/>
  <c r="H100" i="70"/>
  <c r="H63" i="70"/>
  <c r="G101" i="84"/>
  <c r="N63" i="84"/>
  <c r="G64" i="84"/>
  <c r="D100" i="84"/>
  <c r="D63" i="84"/>
  <c r="F63" i="86"/>
  <c r="F100" i="86"/>
  <c r="G65" i="85"/>
  <c r="G102" i="85"/>
  <c r="E102" i="86"/>
  <c r="E65" i="86"/>
  <c r="F63" i="70"/>
  <c r="F100" i="70"/>
  <c r="C64" i="84"/>
  <c r="C101" i="84"/>
  <c r="J63" i="84"/>
  <c r="M63" i="70" l="1"/>
  <c r="F64" i="70"/>
  <c r="F101" i="70"/>
  <c r="F100" i="85"/>
  <c r="F63" i="85"/>
  <c r="G63" i="86"/>
  <c r="G100" i="86"/>
  <c r="E63" i="84"/>
  <c r="E100" i="84"/>
  <c r="B68" i="70"/>
  <c r="B105" i="70"/>
  <c r="H105" i="85"/>
  <c r="H68" i="85"/>
  <c r="H105" i="86"/>
  <c r="H68" i="86"/>
  <c r="C64" i="86"/>
  <c r="J63" i="86"/>
  <c r="C101" i="86"/>
  <c r="B104" i="86"/>
  <c r="B67" i="86"/>
  <c r="G102" i="70"/>
  <c r="G65" i="70"/>
  <c r="D71" i="85"/>
  <c r="D108" i="85"/>
  <c r="B63" i="85"/>
  <c r="B100" i="85"/>
  <c r="E66" i="86"/>
  <c r="E103" i="86"/>
  <c r="D105" i="86"/>
  <c r="D68" i="86"/>
  <c r="O63" i="70"/>
  <c r="H64" i="70"/>
  <c r="H101" i="70"/>
  <c r="C63" i="70"/>
  <c r="C100" i="70"/>
  <c r="D101" i="84"/>
  <c r="K63" i="84"/>
  <c r="D64" i="84"/>
  <c r="K63" i="70"/>
  <c r="D101" i="70"/>
  <c r="D64" i="70"/>
  <c r="H100" i="84"/>
  <c r="H63" i="84"/>
  <c r="E100" i="85"/>
  <c r="E63" i="85"/>
  <c r="E66" i="70"/>
  <c r="E103" i="70"/>
  <c r="B68" i="84"/>
  <c r="B105" i="84"/>
  <c r="G65" i="84"/>
  <c r="G102" i="84"/>
  <c r="G66" i="85"/>
  <c r="G103" i="85"/>
  <c r="C102" i="84"/>
  <c r="C65" i="84"/>
  <c r="M63" i="86"/>
  <c r="F101" i="86"/>
  <c r="F64" i="86"/>
  <c r="C72" i="85"/>
  <c r="C109" i="85"/>
  <c r="F66" i="84"/>
  <c r="F103" i="84"/>
  <c r="D109" i="85" l="1"/>
  <c r="D72" i="85"/>
  <c r="H69" i="86"/>
  <c r="H106" i="86"/>
  <c r="B106" i="84"/>
  <c r="B69" i="84"/>
  <c r="D106" i="86"/>
  <c r="D69" i="86"/>
  <c r="G103" i="70"/>
  <c r="G66" i="70"/>
  <c r="G101" i="86"/>
  <c r="G64" i="86"/>
  <c r="N63" i="86"/>
  <c r="E64" i="85"/>
  <c r="E101" i="85"/>
  <c r="L63" i="85"/>
  <c r="H69" i="85"/>
  <c r="H106" i="85"/>
  <c r="M63" i="85"/>
  <c r="F64" i="85"/>
  <c r="F101" i="85"/>
  <c r="H65" i="70"/>
  <c r="H102" i="70"/>
  <c r="B68" i="86"/>
  <c r="B105" i="86"/>
  <c r="D102" i="84"/>
  <c r="D65" i="84"/>
  <c r="C110" i="85"/>
  <c r="C73" i="85"/>
  <c r="H101" i="84"/>
  <c r="H64" i="84"/>
  <c r="O63" i="84"/>
  <c r="E104" i="86"/>
  <c r="E67" i="86"/>
  <c r="E101" i="84"/>
  <c r="L63" i="84"/>
  <c r="E64" i="84"/>
  <c r="F65" i="86"/>
  <c r="F102" i="86"/>
  <c r="G103" i="84"/>
  <c r="G66" i="84"/>
  <c r="C101" i="70"/>
  <c r="C64" i="70"/>
  <c r="J63" i="70"/>
  <c r="B69" i="70"/>
  <c r="B106" i="70"/>
  <c r="F102" i="70"/>
  <c r="F65" i="70"/>
  <c r="C65" i="86"/>
  <c r="C102" i="86"/>
  <c r="C66" i="84"/>
  <c r="C103" i="84"/>
  <c r="E67" i="70"/>
  <c r="E104" i="70"/>
  <c r="F104" i="84"/>
  <c r="F67" i="84"/>
  <c r="G104" i="85"/>
  <c r="G67" i="85"/>
  <c r="D65" i="70"/>
  <c r="D102" i="70"/>
  <c r="B101" i="85"/>
  <c r="I63" i="85"/>
  <c r="B64" i="85"/>
  <c r="F68" i="84" l="1"/>
  <c r="F105" i="84"/>
  <c r="B65" i="85"/>
  <c r="B102" i="85"/>
  <c r="B69" i="86"/>
  <c r="B106" i="86"/>
  <c r="H66" i="70"/>
  <c r="H103" i="70"/>
  <c r="E65" i="85"/>
  <c r="E102" i="85"/>
  <c r="B107" i="84"/>
  <c r="B70" i="84"/>
  <c r="B107" i="70"/>
  <c r="B70" i="70"/>
  <c r="C111" i="85"/>
  <c r="C74" i="85"/>
  <c r="F103" i="70"/>
  <c r="F66" i="70"/>
  <c r="F66" i="86"/>
  <c r="F103" i="86"/>
  <c r="F65" i="85"/>
  <c r="F102" i="85"/>
  <c r="G102" i="86"/>
  <c r="G65" i="86"/>
  <c r="H65" i="84"/>
  <c r="H102" i="84"/>
  <c r="E65" i="84"/>
  <c r="E102" i="84"/>
  <c r="C67" i="84"/>
  <c r="C104" i="84"/>
  <c r="C65" i="70"/>
  <c r="C102" i="70"/>
  <c r="D103" i="84"/>
  <c r="D66" i="84"/>
  <c r="H70" i="86"/>
  <c r="H107" i="86"/>
  <c r="D107" i="86"/>
  <c r="D70" i="86"/>
  <c r="E68" i="70"/>
  <c r="E105" i="70"/>
  <c r="G68" i="85"/>
  <c r="G105" i="85"/>
  <c r="E68" i="86"/>
  <c r="E105" i="86"/>
  <c r="G104" i="70"/>
  <c r="G67" i="70"/>
  <c r="D73" i="85"/>
  <c r="D110" i="85"/>
  <c r="D66" i="70"/>
  <c r="D103" i="70"/>
  <c r="C66" i="86"/>
  <c r="C103" i="86"/>
  <c r="G67" i="84"/>
  <c r="G104" i="84"/>
  <c r="H107" i="85"/>
  <c r="H70" i="85"/>
  <c r="H108" i="85" l="1"/>
  <c r="H71" i="85"/>
  <c r="H104" i="70"/>
  <c r="H67" i="70"/>
  <c r="G68" i="70"/>
  <c r="G105" i="70"/>
  <c r="B71" i="70"/>
  <c r="B108" i="70"/>
  <c r="G103" i="86"/>
  <c r="G66" i="86"/>
  <c r="C66" i="70"/>
  <c r="C103" i="70"/>
  <c r="C68" i="84"/>
  <c r="C105" i="84"/>
  <c r="F66" i="85"/>
  <c r="F103" i="85"/>
  <c r="B70" i="86"/>
  <c r="B107" i="86"/>
  <c r="C112" i="85"/>
  <c r="C75" i="85"/>
  <c r="D111" i="85"/>
  <c r="D74" i="85"/>
  <c r="B71" i="84"/>
  <c r="B108" i="84"/>
  <c r="E106" i="86"/>
  <c r="E69" i="86"/>
  <c r="H108" i="86"/>
  <c r="H71" i="86"/>
  <c r="E103" i="84"/>
  <c r="E66" i="84"/>
  <c r="F67" i="86"/>
  <c r="F104" i="86"/>
  <c r="B66" i="85"/>
  <c r="B103" i="85"/>
  <c r="E106" i="70"/>
  <c r="E69" i="70"/>
  <c r="D108" i="86"/>
  <c r="D71" i="86"/>
  <c r="D67" i="84"/>
  <c r="D104" i="84"/>
  <c r="F104" i="70"/>
  <c r="F67" i="70"/>
  <c r="G105" i="84"/>
  <c r="G68" i="84"/>
  <c r="C67" i="86"/>
  <c r="C104" i="86"/>
  <c r="D104" i="70"/>
  <c r="D67" i="70"/>
  <c r="G69" i="85"/>
  <c r="G106" i="85"/>
  <c r="H103" i="84"/>
  <c r="H66" i="84"/>
  <c r="E103" i="85"/>
  <c r="E66" i="85"/>
  <c r="F106" i="84"/>
  <c r="F69" i="84"/>
  <c r="F67" i="85" l="1"/>
  <c r="F104" i="85"/>
  <c r="B72" i="70"/>
  <c r="B109" i="70"/>
  <c r="D112" i="85"/>
  <c r="D75" i="85"/>
  <c r="B109" i="84"/>
  <c r="B72" i="84"/>
  <c r="C69" i="84"/>
  <c r="C106" i="84"/>
  <c r="G106" i="70"/>
  <c r="G69" i="70"/>
  <c r="E67" i="85"/>
  <c r="E104" i="85"/>
  <c r="E67" i="84"/>
  <c r="E104" i="84"/>
  <c r="G69" i="84"/>
  <c r="G106" i="84"/>
  <c r="E107" i="70"/>
  <c r="E70" i="70"/>
  <c r="H72" i="86"/>
  <c r="H109" i="86"/>
  <c r="C113" i="85"/>
  <c r="C76" i="85"/>
  <c r="H105" i="70"/>
  <c r="H68" i="70"/>
  <c r="D68" i="84"/>
  <c r="D105" i="84"/>
  <c r="C67" i="70"/>
  <c r="C104" i="70"/>
  <c r="F105" i="70"/>
  <c r="F68" i="70"/>
  <c r="E70" i="86"/>
  <c r="E107" i="86"/>
  <c r="G67" i="86"/>
  <c r="G104" i="86"/>
  <c r="H72" i="85"/>
  <c r="H109" i="85"/>
  <c r="F107" i="84"/>
  <c r="F70" i="84"/>
  <c r="D105" i="70"/>
  <c r="D68" i="70"/>
  <c r="F68" i="86"/>
  <c r="F105" i="86"/>
  <c r="D72" i="86"/>
  <c r="D109" i="86"/>
  <c r="C105" i="86"/>
  <c r="C68" i="86"/>
  <c r="H67" i="84"/>
  <c r="H104" i="84"/>
  <c r="G107" i="85"/>
  <c r="G70" i="85"/>
  <c r="B67" i="85"/>
  <c r="B104" i="85"/>
  <c r="B71" i="86"/>
  <c r="B108" i="86"/>
  <c r="E105" i="84" l="1"/>
  <c r="E68" i="84"/>
  <c r="D76" i="85"/>
  <c r="D113" i="85"/>
  <c r="F71" i="84"/>
  <c r="F108" i="84"/>
  <c r="D73" i="86"/>
  <c r="D110" i="86"/>
  <c r="C105" i="70"/>
  <c r="C68" i="70"/>
  <c r="H73" i="86"/>
  <c r="H110" i="86"/>
  <c r="E68" i="85"/>
  <c r="E105" i="85"/>
  <c r="C77" i="85"/>
  <c r="C114" i="85"/>
  <c r="B72" i="86"/>
  <c r="B109" i="86"/>
  <c r="G108" i="85"/>
  <c r="G71" i="85"/>
  <c r="E71" i="70"/>
  <c r="E108" i="70"/>
  <c r="G107" i="70"/>
  <c r="G70" i="70"/>
  <c r="B110" i="84"/>
  <c r="B73" i="84"/>
  <c r="B105" i="85"/>
  <c r="B68" i="85"/>
  <c r="G105" i="86"/>
  <c r="G68" i="86"/>
  <c r="D106" i="84"/>
  <c r="D69" i="84"/>
  <c r="B110" i="70"/>
  <c r="B73" i="70"/>
  <c r="C106" i="86"/>
  <c r="C69" i="86"/>
  <c r="H73" i="85"/>
  <c r="H110" i="85"/>
  <c r="D69" i="70"/>
  <c r="D106" i="70"/>
  <c r="H106" i="70"/>
  <c r="H69" i="70"/>
  <c r="F106" i="70"/>
  <c r="F69" i="70"/>
  <c r="F106" i="86"/>
  <c r="F69" i="86"/>
  <c r="H68" i="84"/>
  <c r="H105" i="84"/>
  <c r="E108" i="86"/>
  <c r="E71" i="86"/>
  <c r="G107" i="84"/>
  <c r="G70" i="84"/>
  <c r="C107" i="84"/>
  <c r="C70" i="84"/>
  <c r="F105" i="85"/>
  <c r="F68" i="85"/>
  <c r="F69" i="85" l="1"/>
  <c r="F106" i="85"/>
  <c r="C115" i="85"/>
  <c r="C78" i="85"/>
  <c r="C116" i="85" s="1"/>
  <c r="D74" i="86"/>
  <c r="D111" i="86"/>
  <c r="G106" i="86"/>
  <c r="G69" i="86"/>
  <c r="E72" i="70"/>
  <c r="E109" i="70"/>
  <c r="E69" i="85"/>
  <c r="E106" i="85"/>
  <c r="F72" i="84"/>
  <c r="F109" i="84"/>
  <c r="H69" i="84"/>
  <c r="H106" i="84"/>
  <c r="C108" i="84"/>
  <c r="C71" i="84"/>
  <c r="C107" i="86"/>
  <c r="C70" i="86"/>
  <c r="B69" i="85"/>
  <c r="B106" i="85"/>
  <c r="G72" i="85"/>
  <c r="G109" i="85"/>
  <c r="D107" i="84"/>
  <c r="D70" i="84"/>
  <c r="H74" i="86"/>
  <c r="H111" i="86"/>
  <c r="D77" i="85"/>
  <c r="D114" i="85"/>
  <c r="H74" i="85"/>
  <c r="H111" i="85"/>
  <c r="G71" i="84"/>
  <c r="G108" i="84"/>
  <c r="E72" i="86"/>
  <c r="E109" i="86"/>
  <c r="H107" i="70"/>
  <c r="H70" i="70"/>
  <c r="B74" i="70"/>
  <c r="B111" i="70"/>
  <c r="B111" i="84"/>
  <c r="B74" i="84"/>
  <c r="C106" i="70"/>
  <c r="C69" i="70"/>
  <c r="E69" i="84"/>
  <c r="E106" i="84"/>
  <c r="G108" i="70"/>
  <c r="G71" i="70"/>
  <c r="D107" i="70"/>
  <c r="D70" i="70"/>
  <c r="F70" i="86"/>
  <c r="F107" i="86"/>
  <c r="F70" i="70"/>
  <c r="F107" i="70"/>
  <c r="B73" i="86"/>
  <c r="B110" i="86"/>
  <c r="B111" i="86" l="1"/>
  <c r="B74" i="86"/>
  <c r="H75" i="85"/>
  <c r="H112" i="85"/>
  <c r="G73" i="85"/>
  <c r="G110" i="85"/>
  <c r="H107" i="84"/>
  <c r="H70" i="84"/>
  <c r="H108" i="70"/>
  <c r="H71" i="70"/>
  <c r="B75" i="70"/>
  <c r="B112" i="70"/>
  <c r="E107" i="84"/>
  <c r="E70" i="84"/>
  <c r="D78" i="85"/>
  <c r="D116" i="85" s="1"/>
  <c r="D115" i="85"/>
  <c r="B70" i="85"/>
  <c r="B107" i="85"/>
  <c r="F73" i="84"/>
  <c r="F110" i="84"/>
  <c r="D112" i="86"/>
  <c r="D75" i="86"/>
  <c r="G109" i="70"/>
  <c r="G72" i="70"/>
  <c r="C107" i="70"/>
  <c r="C70" i="70"/>
  <c r="C71" i="86"/>
  <c r="C108" i="86"/>
  <c r="G107" i="86"/>
  <c r="G70" i="86"/>
  <c r="F71" i="86"/>
  <c r="F108" i="86"/>
  <c r="E73" i="86"/>
  <c r="E110" i="86"/>
  <c r="H75" i="86"/>
  <c r="H112" i="86"/>
  <c r="E70" i="85"/>
  <c r="E107" i="85"/>
  <c r="D71" i="70"/>
  <c r="D108" i="70"/>
  <c r="B75" i="84"/>
  <c r="B112" i="84"/>
  <c r="D108" i="84"/>
  <c r="D71" i="84"/>
  <c r="C72" i="84"/>
  <c r="C109" i="84"/>
  <c r="F71" i="70"/>
  <c r="F108" i="70"/>
  <c r="G72" i="84"/>
  <c r="G109" i="84"/>
  <c r="E73" i="70"/>
  <c r="E110" i="70"/>
  <c r="F70" i="85"/>
  <c r="F107" i="85"/>
  <c r="F109" i="70" l="1"/>
  <c r="F72" i="70"/>
  <c r="D76" i="86"/>
  <c r="D113" i="86"/>
  <c r="E71" i="84"/>
  <c r="E108" i="84"/>
  <c r="D72" i="70"/>
  <c r="D109" i="70"/>
  <c r="C73" i="84"/>
  <c r="C110" i="84"/>
  <c r="G111" i="85"/>
  <c r="G74" i="85"/>
  <c r="G108" i="86"/>
  <c r="G71" i="86"/>
  <c r="F109" i="86"/>
  <c r="F72" i="86"/>
  <c r="D72" i="84"/>
  <c r="D109" i="84"/>
  <c r="H76" i="86"/>
  <c r="H113" i="86"/>
  <c r="C72" i="86"/>
  <c r="C109" i="86"/>
  <c r="F111" i="84"/>
  <c r="F74" i="84"/>
  <c r="B76" i="70"/>
  <c r="B113" i="70"/>
  <c r="H76" i="85"/>
  <c r="H113" i="85"/>
  <c r="H108" i="84"/>
  <c r="H71" i="84"/>
  <c r="F108" i="85"/>
  <c r="F71" i="85"/>
  <c r="C71" i="70"/>
  <c r="C108" i="70"/>
  <c r="H109" i="70"/>
  <c r="H72" i="70"/>
  <c r="B112" i="86"/>
  <c r="B75" i="86"/>
  <c r="G73" i="70"/>
  <c r="G110" i="70"/>
  <c r="E108" i="85"/>
  <c r="E71" i="85"/>
  <c r="E111" i="70"/>
  <c r="E74" i="70"/>
  <c r="G73" i="84"/>
  <c r="G110" i="84"/>
  <c r="B76" i="84"/>
  <c r="B113" i="84"/>
  <c r="E111" i="86"/>
  <c r="E74" i="86"/>
  <c r="B71" i="85"/>
  <c r="B108" i="85"/>
  <c r="D73" i="70" l="1"/>
  <c r="D110" i="70"/>
  <c r="C110" i="86"/>
  <c r="C73" i="86"/>
  <c r="E72" i="84"/>
  <c r="E109" i="84"/>
  <c r="F112" i="84"/>
  <c r="F75" i="84"/>
  <c r="B77" i="84"/>
  <c r="B114" i="84"/>
  <c r="G109" i="86"/>
  <c r="G72" i="86"/>
  <c r="G75" i="85"/>
  <c r="G112" i="85"/>
  <c r="F72" i="85"/>
  <c r="F109" i="85"/>
  <c r="G111" i="70"/>
  <c r="G74" i="70"/>
  <c r="B76" i="86"/>
  <c r="B113" i="86"/>
  <c r="G111" i="84"/>
  <c r="G74" i="84"/>
  <c r="E75" i="70"/>
  <c r="E112" i="70"/>
  <c r="H77" i="85"/>
  <c r="H114" i="85"/>
  <c r="H77" i="86"/>
  <c r="H114" i="86"/>
  <c r="D77" i="86"/>
  <c r="D114" i="86"/>
  <c r="H109" i="84"/>
  <c r="H72" i="84"/>
  <c r="E109" i="85"/>
  <c r="E72" i="85"/>
  <c r="F73" i="70"/>
  <c r="F110" i="70"/>
  <c r="F110" i="86"/>
  <c r="F73" i="86"/>
  <c r="H110" i="70"/>
  <c r="H73" i="70"/>
  <c r="B72" i="85"/>
  <c r="B109" i="85"/>
  <c r="E112" i="86"/>
  <c r="E75" i="86"/>
  <c r="C109" i="70"/>
  <c r="C72" i="70"/>
  <c r="B77" i="70"/>
  <c r="B114" i="70"/>
  <c r="D110" i="84"/>
  <c r="D73" i="84"/>
  <c r="C74" i="84"/>
  <c r="C111" i="84"/>
  <c r="F110" i="85" l="1"/>
  <c r="F73" i="85"/>
  <c r="G76" i="85"/>
  <c r="G113" i="85"/>
  <c r="E73" i="84"/>
  <c r="E110" i="84"/>
  <c r="B78" i="70"/>
  <c r="B116" i="70" s="1"/>
  <c r="B115" i="70"/>
  <c r="C73" i="70"/>
  <c r="C110" i="70"/>
  <c r="G73" i="86"/>
  <c r="G110" i="86"/>
  <c r="C111" i="86"/>
  <c r="C74" i="86"/>
  <c r="F76" i="84"/>
  <c r="F113" i="84"/>
  <c r="D78" i="86"/>
  <c r="D116" i="86" s="1"/>
  <c r="D115" i="86"/>
  <c r="F111" i="70"/>
  <c r="F74" i="70"/>
  <c r="H115" i="86"/>
  <c r="H78" i="86"/>
  <c r="H116" i="86" s="1"/>
  <c r="B77" i="86"/>
  <c r="B114" i="86"/>
  <c r="H73" i="84"/>
  <c r="H110" i="84"/>
  <c r="E113" i="70"/>
  <c r="E76" i="70"/>
  <c r="F74" i="86"/>
  <c r="F111" i="86"/>
  <c r="E113" i="86"/>
  <c r="E76" i="86"/>
  <c r="D74" i="84"/>
  <c r="D111" i="84"/>
  <c r="E73" i="85"/>
  <c r="E110" i="85"/>
  <c r="G112" i="70"/>
  <c r="G75" i="70"/>
  <c r="H74" i="70"/>
  <c r="H111" i="70"/>
  <c r="G75" i="84"/>
  <c r="G112" i="84"/>
  <c r="C112" i="84"/>
  <c r="C75" i="84"/>
  <c r="B73" i="85"/>
  <c r="B110" i="85"/>
  <c r="H78" i="85"/>
  <c r="H116" i="85" s="1"/>
  <c r="H115" i="85"/>
  <c r="B78" i="84"/>
  <c r="B116" i="84" s="1"/>
  <c r="B115" i="84"/>
  <c r="D74" i="70"/>
  <c r="D111" i="70"/>
  <c r="C75" i="86" l="1"/>
  <c r="C112" i="86"/>
  <c r="H75" i="70"/>
  <c r="H112" i="70"/>
  <c r="F75" i="86"/>
  <c r="F112" i="86"/>
  <c r="E111" i="84"/>
  <c r="E74" i="84"/>
  <c r="C113" i="84"/>
  <c r="C76" i="84"/>
  <c r="E77" i="70"/>
  <c r="E114" i="70"/>
  <c r="F75" i="70"/>
  <c r="F112" i="70"/>
  <c r="E111" i="85"/>
  <c r="E74" i="85"/>
  <c r="G74" i="86"/>
  <c r="G111" i="86"/>
  <c r="G114" i="85"/>
  <c r="G77" i="85"/>
  <c r="F77" i="84"/>
  <c r="F114" i="84"/>
  <c r="B74" i="85"/>
  <c r="B111" i="85"/>
  <c r="D112" i="70"/>
  <c r="D75" i="70"/>
  <c r="F111" i="85"/>
  <c r="F74" i="85"/>
  <c r="E114" i="86"/>
  <c r="E77" i="86"/>
  <c r="B115" i="86"/>
  <c r="B78" i="86"/>
  <c r="B116" i="86" s="1"/>
  <c r="G76" i="70"/>
  <c r="G113" i="70"/>
  <c r="G76" i="84"/>
  <c r="G113" i="84"/>
  <c r="D75" i="84"/>
  <c r="D112" i="84"/>
  <c r="H74" i="84"/>
  <c r="H111" i="84"/>
  <c r="C111" i="70"/>
  <c r="C74" i="70"/>
  <c r="F76" i="70" l="1"/>
  <c r="F113" i="70"/>
  <c r="F76" i="86"/>
  <c r="F113" i="86"/>
  <c r="E75" i="85"/>
  <c r="E112" i="85"/>
  <c r="F75" i="85"/>
  <c r="F112" i="85"/>
  <c r="B112" i="85"/>
  <c r="B75" i="85"/>
  <c r="F78" i="84"/>
  <c r="F116" i="84" s="1"/>
  <c r="F115" i="84"/>
  <c r="E115" i="70"/>
  <c r="E78" i="70"/>
  <c r="E116" i="70" s="1"/>
  <c r="H113" i="70"/>
  <c r="H76" i="70"/>
  <c r="H75" i="84"/>
  <c r="H112" i="84"/>
  <c r="E115" i="86"/>
  <c r="E78" i="86"/>
  <c r="E116" i="86" s="1"/>
  <c r="G115" i="85"/>
  <c r="G78" i="85"/>
  <c r="G116" i="85" s="1"/>
  <c r="C75" i="70"/>
  <c r="C112" i="70"/>
  <c r="D113" i="70"/>
  <c r="D76" i="70"/>
  <c r="C77" i="84"/>
  <c r="C114" i="84"/>
  <c r="E75" i="84"/>
  <c r="E112" i="84"/>
  <c r="D113" i="84"/>
  <c r="D76" i="84"/>
  <c r="G114" i="84"/>
  <c r="G77" i="84"/>
  <c r="G114" i="70"/>
  <c r="G77" i="70"/>
  <c r="G112" i="86"/>
  <c r="G75" i="86"/>
  <c r="C76" i="86"/>
  <c r="C113" i="86"/>
  <c r="F76" i="85" l="1"/>
  <c r="F113" i="85"/>
  <c r="H114" i="70"/>
  <c r="H77" i="70"/>
  <c r="E76" i="85"/>
  <c r="E113" i="85"/>
  <c r="G78" i="70"/>
  <c r="G116" i="70" s="1"/>
  <c r="G115" i="70"/>
  <c r="C77" i="86"/>
  <c r="C114" i="86"/>
  <c r="E76" i="84"/>
  <c r="E113" i="84"/>
  <c r="F114" i="86"/>
  <c r="F77" i="86"/>
  <c r="C78" i="84"/>
  <c r="C116" i="84" s="1"/>
  <c r="C115" i="84"/>
  <c r="G115" i="84"/>
  <c r="G78" i="84"/>
  <c r="G116" i="84" s="1"/>
  <c r="D114" i="70"/>
  <c r="D77" i="70"/>
  <c r="B76" i="85"/>
  <c r="B113" i="85"/>
  <c r="D114" i="84"/>
  <c r="D77" i="84"/>
  <c r="C113" i="70"/>
  <c r="C76" i="70"/>
  <c r="G113" i="86"/>
  <c r="G76" i="86"/>
  <c r="H113" i="84"/>
  <c r="H76" i="84"/>
  <c r="F114" i="70"/>
  <c r="F77" i="70"/>
  <c r="D115" i="84" l="1"/>
  <c r="D78" i="84"/>
  <c r="D116" i="84" s="1"/>
  <c r="E114" i="85"/>
  <c r="E77" i="85"/>
  <c r="F78" i="86"/>
  <c r="F116" i="86" s="1"/>
  <c r="F115" i="86"/>
  <c r="H115" i="70"/>
  <c r="H78" i="70"/>
  <c r="H116" i="70" s="1"/>
  <c r="F115" i="70"/>
  <c r="F78" i="70"/>
  <c r="F116" i="70" s="1"/>
  <c r="H77" i="84"/>
  <c r="H114" i="84"/>
  <c r="E114" i="84"/>
  <c r="E77" i="84"/>
  <c r="D115" i="70"/>
  <c r="D78" i="70"/>
  <c r="D116" i="70" s="1"/>
  <c r="B114" i="85"/>
  <c r="B77" i="85"/>
  <c r="G77" i="86"/>
  <c r="G114" i="86"/>
  <c r="C114" i="70"/>
  <c r="C77" i="70"/>
  <c r="C78" i="86"/>
  <c r="C116" i="86" s="1"/>
  <c r="C115" i="86"/>
  <c r="F114" i="85"/>
  <c r="F77" i="85"/>
  <c r="C115" i="70" l="1"/>
  <c r="C78" i="70"/>
  <c r="C116" i="70" s="1"/>
  <c r="E115" i="84"/>
  <c r="E78" i="84"/>
  <c r="E116" i="84" s="1"/>
  <c r="E78" i="85"/>
  <c r="E116" i="85" s="1"/>
  <c r="E115" i="85"/>
  <c r="H78" i="84"/>
  <c r="H116" i="84" s="1"/>
  <c r="H115" i="84"/>
  <c r="G115" i="86"/>
  <c r="G78" i="86"/>
  <c r="G116" i="86" s="1"/>
  <c r="B78" i="85"/>
  <c r="B116" i="85" s="1"/>
  <c r="B115" i="85"/>
  <c r="F115" i="85"/>
  <c r="F78" i="85"/>
  <c r="F116" i="85" s="1"/>
</calcChain>
</file>

<file path=xl/connections.xml><?xml version="1.0" encoding="utf-8"?>
<connections xmlns="http://schemas.openxmlformats.org/spreadsheetml/2006/main">
  <connection id="1" name="class23_stcntyfips" type="6" refreshedVersion="3" background="1" saveData="1">
    <textPr sourceFile="J:\projects\ertac\fra_mgt07\class23_table\class23_stcntyfips.txt" tab="0" comma="1" qualifier="singleQuote">
      <textFields count="4">
        <textField type="text"/>
        <textField type="text"/>
        <textField/>
        <textField/>
      </textFields>
    </textPr>
  </connection>
</connections>
</file>

<file path=xl/sharedStrings.xml><?xml version="1.0" encoding="utf-8"?>
<sst xmlns="http://schemas.openxmlformats.org/spreadsheetml/2006/main" count="58734" uniqueCount="1061">
  <si>
    <t>SRNJ</t>
  </si>
  <si>
    <t>WW</t>
  </si>
  <si>
    <t>Southern rail no longer operates in this county</t>
  </si>
  <si>
    <t>REP_MARK</t>
  </si>
  <si>
    <t>STCNTYFIPS</t>
  </si>
  <si>
    <t>LINKS</t>
  </si>
  <si>
    <t>SUM-MILES</t>
  </si>
  <si>
    <t>PM10</t>
  </si>
  <si>
    <t>HC</t>
  </si>
  <si>
    <t>NOX</t>
  </si>
  <si>
    <t>CO</t>
  </si>
  <si>
    <t>PM25</t>
  </si>
  <si>
    <t>Fuel Use factor</t>
  </si>
  <si>
    <t>Fuel Use</t>
  </si>
  <si>
    <t>Combined Fuel Use</t>
  </si>
  <si>
    <t xml:space="preserve">NOX </t>
  </si>
  <si>
    <t>NH3</t>
  </si>
  <si>
    <t>SO2</t>
  </si>
  <si>
    <t>NJ</t>
  </si>
  <si>
    <t>Date</t>
  </si>
  <si>
    <t>KY</t>
  </si>
  <si>
    <t>34005</t>
  </si>
  <si>
    <t>34029</t>
  </si>
  <si>
    <t>BDRV</t>
  </si>
  <si>
    <t>34019</t>
  </si>
  <si>
    <t>34041</t>
  </si>
  <si>
    <t>East Jersey Terminal Railroad</t>
  </si>
  <si>
    <t>Hainesport Industrial Railroad</t>
  </si>
  <si>
    <t>New York &amp; Greenwood Lake Railroad</t>
  </si>
  <si>
    <t>New York New Jersey Rail</t>
  </si>
  <si>
    <t>Port Jersey Railroad Company</t>
  </si>
  <si>
    <t>Raritan Central Railroad</t>
  </si>
  <si>
    <t>SMS Rail Service Inc.</t>
  </si>
  <si>
    <t>BRW</t>
  </si>
  <si>
    <t>CMSL</t>
  </si>
  <si>
    <t>34009</t>
  </si>
  <si>
    <t>CR</t>
  </si>
  <si>
    <t>34001</t>
  </si>
  <si>
    <t>34007</t>
  </si>
  <si>
    <t>34011</t>
  </si>
  <si>
    <t>34013</t>
  </si>
  <si>
    <t>34015</t>
  </si>
  <si>
    <t>34017</t>
  </si>
  <si>
    <t>34021</t>
  </si>
  <si>
    <t>34023</t>
  </si>
  <si>
    <t>34025</t>
  </si>
  <si>
    <t>34033</t>
  </si>
  <si>
    <t>34035</t>
  </si>
  <si>
    <t>34039</t>
  </si>
  <si>
    <t>ME</t>
  </si>
  <si>
    <t>34027</t>
  </si>
  <si>
    <t>Mileage &amp; fuel from NYSW.</t>
  </si>
  <si>
    <t>Conrail fuel information shows no service in Cape May County.</t>
  </si>
  <si>
    <t>Conrail fuel information shows no service in Atlantic County.</t>
  </si>
  <si>
    <t>Southern rail no longer operates in this county.</t>
  </si>
  <si>
    <t>New name is New York New Jersey Rail.</t>
  </si>
  <si>
    <t>No longer operating.</t>
  </si>
  <si>
    <t>Conrail fuel information shows no service in Hunterdon county.</t>
  </si>
  <si>
    <t>Conrail fuel information shows no service in Mercer County.</t>
  </si>
  <si>
    <t>Conrail fuel information shows no service in Monmouth County.</t>
  </si>
  <si>
    <t>Conrail fuel information shows no service in Salem County.</t>
  </si>
  <si>
    <t>Conrail fuel information shows no service in Somerset County.</t>
  </si>
  <si>
    <t>Used 2002 fuel data.   Assume the same for 2007.</t>
  </si>
  <si>
    <t>NYCH</t>
  </si>
  <si>
    <t>NYSW</t>
  </si>
  <si>
    <t>34003</t>
  </si>
  <si>
    <t>34031</t>
  </si>
  <si>
    <t>34037</t>
  </si>
  <si>
    <t>COUNTY</t>
  </si>
  <si>
    <t>VOC</t>
  </si>
  <si>
    <t>2285002006</t>
  </si>
  <si>
    <t>Railroad Equipment /Diesel /Line Haul Locomotives: Class I Operations</t>
  </si>
  <si>
    <t>USEPA locomarine FRM Model</t>
  </si>
  <si>
    <t>2285002007</t>
  </si>
  <si>
    <t>Railroad Equipment /Diesel /Line Haul Locomotives: Class II / III Operations</t>
  </si>
  <si>
    <t>2285002009</t>
  </si>
  <si>
    <t>Railroad Equipment /Diesel /Line Haul Locomotives: Commuter Lines</t>
  </si>
  <si>
    <t>2285002010</t>
  </si>
  <si>
    <t>Railroad Equipment /Diesel /Yard Locomotives</t>
  </si>
  <si>
    <t>FIPS</t>
  </si>
  <si>
    <t>SCC</t>
  </si>
  <si>
    <t>SCC_DESCRIPTION</t>
  </si>
  <si>
    <t>GROWTH FACTOR REFERENCE</t>
  </si>
  <si>
    <t>Bayway</t>
  </si>
  <si>
    <t>Metuchen</t>
  </si>
  <si>
    <t>Bayonne</t>
  </si>
  <si>
    <t>Paulsboro</t>
  </si>
  <si>
    <t>Camden</t>
  </si>
  <si>
    <t>Burlington</t>
  </si>
  <si>
    <t>PORT MORRIS</t>
  </si>
  <si>
    <t>KEARNEY</t>
  </si>
  <si>
    <t>HOBOKEN</t>
  </si>
  <si>
    <t>CH4</t>
  </si>
  <si>
    <t>N2O</t>
  </si>
  <si>
    <t>CO2</t>
  </si>
  <si>
    <t xml:space="preserve">PM2.5 </t>
  </si>
  <si>
    <t>NOx</t>
  </si>
  <si>
    <t>COMMENTS</t>
  </si>
  <si>
    <t>NJ TRANSIT sometimes uses its regular commuter locomotive for performing switching operations and also ahs desiganted switchers which may not be as big as large switchers so I stayed with using EPAs commuter rail Efs. Also note that used fuel supplied to switching operations which in some cases may include track work but is hard to sperate this out.</t>
  </si>
  <si>
    <t>Assume large switcher</t>
  </si>
  <si>
    <t>CONRAIL-Burlington</t>
  </si>
  <si>
    <t>CONRAIL-Camden</t>
  </si>
  <si>
    <t>CONRAIL-Millville</t>
  </si>
  <si>
    <t>CONRAIL-Brills</t>
  </si>
  <si>
    <t>CONRAIL-Budweiser</t>
  </si>
  <si>
    <t>CONRAIL-Doremus</t>
  </si>
  <si>
    <t>CONRAIL-Port Newark</t>
  </si>
  <si>
    <t>CONRAIL-Paulsboro</t>
  </si>
  <si>
    <t>CONRAIL-Bayonne</t>
  </si>
  <si>
    <t>CONRAIL-Browns</t>
  </si>
  <si>
    <t>CONRAIL-Metuchen</t>
  </si>
  <si>
    <t xml:space="preserve">CONRAIL-Port Reading </t>
  </si>
  <si>
    <t>CONRAIL-Parkview</t>
  </si>
  <si>
    <t>Bergen</t>
  </si>
  <si>
    <t>Essex</t>
  </si>
  <si>
    <t>Hudson</t>
  </si>
  <si>
    <t>Middlesex</t>
  </si>
  <si>
    <t>Union</t>
  </si>
  <si>
    <t>Description</t>
  </si>
  <si>
    <t>TOTAL</t>
  </si>
  <si>
    <t>Atlantic</t>
  </si>
  <si>
    <t>Cape May</t>
  </si>
  <si>
    <t>Cumberland</t>
  </si>
  <si>
    <t>Gloucester</t>
  </si>
  <si>
    <t>Hunterdon</t>
  </si>
  <si>
    <t>Mercer</t>
  </si>
  <si>
    <t>Monmouth</t>
  </si>
  <si>
    <t>Morris</t>
  </si>
  <si>
    <t>Ocean</t>
  </si>
  <si>
    <t>Passaic</t>
  </si>
  <si>
    <t>Salem</t>
  </si>
  <si>
    <t>Somerset</t>
  </si>
  <si>
    <t>Sussex</t>
  </si>
  <si>
    <t>Warren</t>
  </si>
  <si>
    <t>check</t>
  </si>
  <si>
    <t>DESCRIPTION</t>
  </si>
  <si>
    <t>NA</t>
  </si>
  <si>
    <t>TOTAL LINE HAUL CLASS 2 &amp; 3 EMISSIONS TPY</t>
  </si>
  <si>
    <t>User Comments</t>
  </si>
  <si>
    <t>The State of New Jersey</t>
  </si>
  <si>
    <r>
      <t>2</t>
    </r>
    <r>
      <rPr>
        <sz val="11"/>
        <color theme="1"/>
        <rFont val="Calibri"/>
        <family val="2"/>
        <scheme val="minor"/>
      </rPr>
      <t>Matty Kelly of PADEP May 25, 2010 email with 2008 ERTAC Rail Inventories Class 1/2/3 emission factors and links.</t>
    </r>
  </si>
  <si>
    <r>
      <t>1</t>
    </r>
    <r>
      <rPr>
        <sz val="11"/>
        <color theme="1"/>
        <rFont val="Calibri"/>
        <family val="2"/>
        <scheme val="minor"/>
      </rPr>
      <t>NJDEP collected information from each individual railroad concerning its fuel use or gross ton miles that was converted to fuel use.</t>
    </r>
  </si>
  <si>
    <t>ATLANTIC CITY</t>
  </si>
  <si>
    <t>RARITAN</t>
  </si>
  <si>
    <t>Location</t>
  </si>
  <si>
    <t>Engine</t>
  </si>
  <si>
    <t>Model</t>
  </si>
  <si>
    <t>Gallons</t>
  </si>
  <si>
    <t>AC</t>
  </si>
  <si>
    <t>GP40FH</t>
  </si>
  <si>
    <t>HO</t>
  </si>
  <si>
    <t>PM</t>
  </si>
  <si>
    <t>4000</t>
  </si>
  <si>
    <t>PL42AC</t>
  </si>
  <si>
    <t>RA</t>
  </si>
  <si>
    <t>4002</t>
  </si>
  <si>
    <t>4004</t>
  </si>
  <si>
    <t>4145</t>
  </si>
  <si>
    <t>GP40PH</t>
  </si>
  <si>
    <t>4009</t>
  </si>
  <si>
    <t>4010</t>
  </si>
  <si>
    <t>4011</t>
  </si>
  <si>
    <t>4013</t>
  </si>
  <si>
    <t>OTHER</t>
  </si>
  <si>
    <t>4020</t>
  </si>
  <si>
    <t>4001</t>
  </si>
  <si>
    <t>4021</t>
  </si>
  <si>
    <t>4029</t>
  </si>
  <si>
    <t>4030</t>
  </si>
  <si>
    <t>4032</t>
  </si>
  <si>
    <t>4102</t>
  </si>
  <si>
    <t>4104</t>
  </si>
  <si>
    <t>4112</t>
  </si>
  <si>
    <t>4113</t>
  </si>
  <si>
    <t>F40PH</t>
  </si>
  <si>
    <t>4003</t>
  </si>
  <si>
    <t>4146</t>
  </si>
  <si>
    <t>4005</t>
  </si>
  <si>
    <t>4006</t>
  </si>
  <si>
    <t>4007</t>
  </si>
  <si>
    <t>4008</t>
  </si>
  <si>
    <t>4012</t>
  </si>
  <si>
    <t>4147</t>
  </si>
  <si>
    <t>4014</t>
  </si>
  <si>
    <t>4015</t>
  </si>
  <si>
    <t>4016</t>
  </si>
  <si>
    <t>4017</t>
  </si>
  <si>
    <t>4018</t>
  </si>
  <si>
    <t>4019</t>
  </si>
  <si>
    <t>4022</t>
  </si>
  <si>
    <t>4023</t>
  </si>
  <si>
    <t>4025</t>
  </si>
  <si>
    <t>4027</t>
  </si>
  <si>
    <t>4028</t>
  </si>
  <si>
    <t>4031</t>
  </si>
  <si>
    <t>4100</t>
  </si>
  <si>
    <t>4101</t>
  </si>
  <si>
    <t>4103</t>
  </si>
  <si>
    <t>4149</t>
  </si>
  <si>
    <t>4105</t>
  </si>
  <si>
    <t>4106</t>
  </si>
  <si>
    <t>4107</t>
  </si>
  <si>
    <t>4108</t>
  </si>
  <si>
    <t>4109</t>
  </si>
  <si>
    <t>4110</t>
  </si>
  <si>
    <t>4150</t>
  </si>
  <si>
    <t>4116</t>
  </si>
  <si>
    <t>4119</t>
  </si>
  <si>
    <t>4120</t>
  </si>
  <si>
    <t>4124</t>
  </si>
  <si>
    <t>4200</t>
  </si>
  <si>
    <t>4201</t>
  </si>
  <si>
    <t>4127</t>
  </si>
  <si>
    <t>4202</t>
  </si>
  <si>
    <t>4139</t>
  </si>
  <si>
    <t>4141</t>
  </si>
  <si>
    <t>4203</t>
  </si>
  <si>
    <t>4204</t>
  </si>
  <si>
    <t>4205</t>
  </si>
  <si>
    <t>4206</t>
  </si>
  <si>
    <t>4207</t>
  </si>
  <si>
    <t>4208</t>
  </si>
  <si>
    <t>4209</t>
  </si>
  <si>
    <t>4210</t>
  </si>
  <si>
    <t>4211</t>
  </si>
  <si>
    <t>4212</t>
  </si>
  <si>
    <t>4213</t>
  </si>
  <si>
    <t>4214</t>
  </si>
  <si>
    <t>4215</t>
  </si>
  <si>
    <t>4216</t>
  </si>
  <si>
    <t>4217</t>
  </si>
  <si>
    <t>4218</t>
  </si>
  <si>
    <t>4219</t>
  </si>
  <si>
    <t>4300</t>
  </si>
  <si>
    <t>GP40-Non Rev</t>
  </si>
  <si>
    <t>4301</t>
  </si>
  <si>
    <t>4302</t>
  </si>
  <si>
    <t>4303</t>
  </si>
  <si>
    <t>4903</t>
  </si>
  <si>
    <t>4905</t>
  </si>
  <si>
    <t>4024</t>
  </si>
  <si>
    <t>FORKLIFT</t>
  </si>
  <si>
    <t>4900</t>
  </si>
  <si>
    <t>4902</t>
  </si>
  <si>
    <r>
      <rPr>
        <vertAlign val="superscript"/>
        <sz val="10"/>
        <rFont val="MS Sans Serif"/>
        <family val="2"/>
      </rPr>
      <t>1</t>
    </r>
    <r>
      <rPr>
        <sz val="10"/>
        <rFont val="MS Sans Serif"/>
        <family val="2"/>
      </rPr>
      <t>Compilation of fuel use data developed by Gus Andolino, NJTRANSIT, included in May 7, 2010 email from M Macdonald, NJTRANSIT.</t>
    </r>
  </si>
  <si>
    <r>
      <rPr>
        <vertAlign val="superscript"/>
        <sz val="10"/>
        <rFont val="MS Sans Serif"/>
        <family val="2"/>
      </rPr>
      <t>2</t>
    </r>
    <r>
      <rPr>
        <sz val="10"/>
        <rFont val="MS Sans Serif"/>
        <family val="2"/>
      </rPr>
      <t>Note that the non-revenue engines 500-503, 4300-4303,4903 &amp; 4905 are switchers. The other engines are commuter.</t>
    </r>
  </si>
  <si>
    <r>
      <rPr>
        <vertAlign val="superscript"/>
        <sz val="11"/>
        <color indexed="8"/>
        <rFont val="Calibri"/>
        <family val="2"/>
      </rPr>
      <t>1</t>
    </r>
    <r>
      <rPr>
        <sz val="11"/>
        <color theme="1"/>
        <rFont val="Calibri"/>
        <family val="2"/>
        <scheme val="minor"/>
      </rPr>
      <t>Emission Factors for Locomotives, Office of Transportation and Air Quality, EPA-420-F-09-025, April 2009</t>
    </r>
  </si>
  <si>
    <t>Oak Island</t>
  </si>
  <si>
    <t>Grand Total</t>
  </si>
  <si>
    <t>Port Reading</t>
  </si>
  <si>
    <r>
      <rPr>
        <vertAlign val="superscript"/>
        <sz val="11"/>
        <color indexed="8"/>
        <rFont val="Calibri"/>
        <family val="2"/>
      </rPr>
      <t>4</t>
    </r>
    <r>
      <rPr>
        <sz val="11"/>
        <color theme="1"/>
        <rFont val="Calibri"/>
        <family val="2"/>
        <scheme val="minor"/>
      </rPr>
      <t>Assume switch fuel use is 40 % of total fuel use as per Neil Ferrone for Conrail facilities.  Conrail uses same locomotive for switch and local transport of goods and empties.</t>
    </r>
  </si>
  <si>
    <r>
      <rPr>
        <vertAlign val="superscript"/>
        <sz val="11"/>
        <color indexed="8"/>
        <rFont val="Calibri"/>
        <family val="2"/>
      </rPr>
      <t>1</t>
    </r>
    <r>
      <rPr>
        <sz val="11"/>
        <color theme="1"/>
        <rFont val="Calibri"/>
        <family val="2"/>
        <scheme val="minor"/>
      </rPr>
      <t>NJTRANSIT supplied exact fuel use for switching.  But a small amount of the fuel used for line repair work.</t>
    </r>
  </si>
  <si>
    <r>
      <rPr>
        <vertAlign val="superscript"/>
        <sz val="11"/>
        <color indexed="8"/>
        <rFont val="Calibri"/>
        <family val="2"/>
      </rPr>
      <t>3</t>
    </r>
    <r>
      <rPr>
        <sz val="11"/>
        <color theme="1"/>
        <rFont val="Calibri"/>
        <family val="2"/>
        <scheme val="minor"/>
      </rPr>
      <t xml:space="preserve">Neil Ferrone, Conrail, Conrail fuel use data from january 2007 to august 2007 included in email dated September 18, 2007. </t>
    </r>
  </si>
  <si>
    <r>
      <rPr>
        <vertAlign val="superscript"/>
        <sz val="11"/>
        <color indexed="8"/>
        <rFont val="Calibri"/>
        <family val="2"/>
      </rPr>
      <t>4</t>
    </r>
    <r>
      <rPr>
        <sz val="11"/>
        <color theme="1"/>
        <rFont val="Calibri"/>
        <family val="2"/>
        <scheme val="minor"/>
      </rPr>
      <t xml:space="preserve">Neil Ferrone, Conrail, Conrail fuel use data for 2008 included in email dated May 18, 2010 (September, October, November and December). </t>
    </r>
  </si>
  <si>
    <r>
      <rPr>
        <vertAlign val="superscript"/>
        <sz val="11"/>
        <color indexed="8"/>
        <rFont val="Calibri"/>
        <family val="2"/>
      </rPr>
      <t>5</t>
    </r>
    <r>
      <rPr>
        <sz val="11"/>
        <color theme="1"/>
        <rFont val="Calibri"/>
        <family val="2"/>
        <scheme val="minor"/>
      </rPr>
      <t>Assume switch fuel use is 40 % of total fuel use as per Neil Ferrone.  Conrail uses same locomotive for switch and local transport of goods and empties.</t>
    </r>
  </si>
  <si>
    <r>
      <rPr>
        <vertAlign val="superscript"/>
        <sz val="11"/>
        <color indexed="8"/>
        <rFont val="Calibri"/>
        <family val="2"/>
      </rPr>
      <t>3</t>
    </r>
    <r>
      <rPr>
        <sz val="11"/>
        <color theme="1"/>
        <rFont val="Calibri"/>
        <family val="2"/>
        <scheme val="minor"/>
      </rPr>
      <t xml:space="preserve">Neil Ferrone, Conrail, Conrail fuel use data for 2008 included in email dated May 18, 2010 (September, October, November and December). </t>
    </r>
  </si>
  <si>
    <t>ATLANTIC</t>
  </si>
  <si>
    <t>BURLINGTON</t>
  </si>
  <si>
    <t>CAMDEN</t>
  </si>
  <si>
    <t>CAPE MAY</t>
  </si>
  <si>
    <t>CUMBERLAND</t>
  </si>
  <si>
    <t>GLOUCESTER</t>
  </si>
  <si>
    <t>MERCER</t>
  </si>
  <si>
    <t>OCEAN</t>
  </si>
  <si>
    <t>SALEM</t>
  </si>
  <si>
    <t>Department of Environmental Protection</t>
  </si>
  <si>
    <t>4500</t>
  </si>
  <si>
    <t>ALP45DP</t>
  </si>
  <si>
    <t>4800</t>
  </si>
  <si>
    <t>4801</t>
  </si>
  <si>
    <t>4802</t>
  </si>
  <si>
    <t>4803</t>
  </si>
  <si>
    <t>NJTRUCK</t>
  </si>
  <si>
    <t>total linehaul</t>
  </si>
  <si>
    <t>commuter</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</si>
  <si>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</si>
  <si>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</si>
  <si>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</si>
  <si>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</si>
  <si>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</si>
  <si>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</si>
  <si>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</si>
  <si>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</si>
  <si>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</si>
  <si>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</si>
  <si>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</si>
  <si>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</si>
  <si>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</si>
  <si>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</si>
  <si>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</si>
  <si>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</si>
  <si>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</si>
  <si>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</si>
  <si>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</si>
  <si>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</si>
  <si>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</si>
  <si>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</si>
  <si>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</si>
  <si>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</si>
  <si>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</si>
  <si>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</si>
  <si>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</si>
  <si>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</si>
  <si>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</si>
  <si>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</si>
  <si>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</si>
  <si>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</si>
  <si>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</si>
  <si>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</si>
  <si>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4901</t>
  </si>
  <si>
    <t>4904</t>
  </si>
  <si>
    <t>4906</t>
  </si>
  <si>
    <t>4907</t>
  </si>
  <si>
    <t>4908</t>
  </si>
  <si>
    <t>4909</t>
  </si>
  <si>
    <t>4910</t>
  </si>
  <si>
    <t>4911</t>
  </si>
  <si>
    <t>4912</t>
  </si>
  <si>
    <t>4913</t>
  </si>
  <si>
    <t>4914</t>
  </si>
  <si>
    <t>1003</t>
  </si>
  <si>
    <t>SWITCHER-MP20B-3</t>
  </si>
  <si>
    <t>1004</t>
  </si>
  <si>
    <t>switch</t>
  </si>
  <si>
    <t>1001</t>
  </si>
  <si>
    <t>1002</t>
  </si>
  <si>
    <t>1005</t>
  </si>
  <si>
    <t>BACKHOE</t>
  </si>
  <si>
    <t>EF705</t>
  </si>
  <si>
    <t>GATOR</t>
  </si>
  <si>
    <t>Newark</t>
  </si>
  <si>
    <t>CONRAIL-Manville</t>
  </si>
  <si>
    <t>CONRAIL-Bayway 13 TPK</t>
  </si>
  <si>
    <t>CONRAIL-OAK ISLAND HUMP</t>
  </si>
  <si>
    <t>CONRAIL-OAK ISLAND EAST</t>
  </si>
  <si>
    <t>TRIP</t>
  </si>
  <si>
    <t>Total</t>
  </si>
  <si>
    <t>Manville</t>
  </si>
  <si>
    <t>Ridgefield</t>
  </si>
  <si>
    <t>yard</t>
  </si>
  <si>
    <t>YARD</t>
  </si>
  <si>
    <t>serves customers to oak isalnd</t>
  </si>
  <si>
    <t>bayway to oak island and bayway to staten island</t>
  </si>
  <si>
    <t>1 yard other to pavonia vineland 2nd 34 or 26 miles</t>
  </si>
  <si>
    <t>GS2nd oak island to south amboy 14 mi on coast amboy 2nd 19 miles = 33 miles, OI to sewaran 12 miles</t>
  </si>
  <si>
    <t>trip to OI all newark</t>
  </si>
  <si>
    <t>all newark yard</t>
  </si>
  <si>
    <t>all manville yard</t>
  </si>
  <si>
    <t>1 yard, 1 trip bordentown 10 mile</t>
  </si>
  <si>
    <t>10 yard, 3 trips, camden,woodbury,carney's pt 31 mi, beelsys pt 2nd, 24 miles, philly via del air bridge</t>
  </si>
  <si>
    <t>4 miles north to rahway union county, 3 yards</t>
  </si>
  <si>
    <t>x</t>
  </si>
  <si>
    <t>SEG-#</t>
  </si>
  <si>
    <t>LINE NAME</t>
  </si>
  <si>
    <t>LOC-#1</t>
  </si>
  <si>
    <t>MP-#1</t>
  </si>
  <si>
    <t>LOC-#2</t>
  </si>
  <si>
    <t>MP-#2</t>
  </si>
  <si>
    <t>DISTANCE</t>
  </si>
  <si>
    <t>TONS</t>
  </si>
  <si>
    <t>TON-MILES</t>
  </si>
  <si>
    <t>VINELAND SEC</t>
  </si>
  <si>
    <t>COOPER (CAMDEN)</t>
  </si>
  <si>
    <t>CP-BROWN</t>
  </si>
  <si>
    <t>3-A</t>
  </si>
  <si>
    <t>COUNTY LINE</t>
  </si>
  <si>
    <t>3-B</t>
  </si>
  <si>
    <t>WOODBURY</t>
  </si>
  <si>
    <t>4-A</t>
  </si>
  <si>
    <t>4-B</t>
  </si>
  <si>
    <t>VINELAND (LANDIS)</t>
  </si>
  <si>
    <t>PENNS GROVE SEC</t>
  </si>
  <si>
    <t>PAULSBORO</t>
  </si>
  <si>
    <t>GIBBSTOWN</t>
  </si>
  <si>
    <t>7-A</t>
  </si>
  <si>
    <t>7-B</t>
  </si>
  <si>
    <t>PEDRICKTON</t>
  </si>
  <si>
    <t>CARNEYS PT</t>
  </si>
  <si>
    <t>DEEPWATER IT</t>
  </si>
  <si>
    <t>DEEPWATER</t>
  </si>
  <si>
    <t>BEESLEYS PT SEC</t>
  </si>
  <si>
    <t>BARRINGTON</t>
  </si>
  <si>
    <t>WINSLOW JCT</t>
  </si>
  <si>
    <t>SALEM RUNNING TRACK</t>
  </si>
  <si>
    <t>SWEDESBORO</t>
  </si>
  <si>
    <t>SWEDE IND TRK</t>
  </si>
  <si>
    <t>JCT SOUTHERN RR NJ</t>
  </si>
  <si>
    <t>VINELAND IND TRK</t>
  </si>
  <si>
    <t>JCT W &amp; W RR</t>
  </si>
  <si>
    <t>MILLVILLE IND TRK</t>
  </si>
  <si>
    <t>MILLVILLE</t>
  </si>
  <si>
    <t>MANUMUSKIN IND TRK</t>
  </si>
  <si>
    <t>Miles</t>
  </si>
  <si>
    <t>NJTR</t>
  </si>
  <si>
    <t>line % car</t>
  </si>
  <si>
    <t>Bergen cty line</t>
  </si>
  <si>
    <t>car miles</t>
  </si>
  <si>
    <t>NAME</t>
  </si>
  <si>
    <t>inches</t>
  </si>
  <si>
    <t>mile/inch</t>
  </si>
  <si>
    <t>miles</t>
  </si>
  <si>
    <t>% mile</t>
  </si>
  <si>
    <t>percent</t>
  </si>
  <si>
    <t>total line fuel</t>
  </si>
  <si>
    <t>fuel use</t>
  </si>
  <si>
    <t>17</t>
  </si>
  <si>
    <t>03</t>
  </si>
  <si>
    <t>New York</t>
  </si>
  <si>
    <t>port jervis line</t>
  </si>
  <si>
    <t>total</t>
  </si>
  <si>
    <t>Main Line</t>
  </si>
  <si>
    <t>done</t>
  </si>
  <si>
    <t>hudson</t>
  </si>
  <si>
    <t>bergen</t>
  </si>
  <si>
    <t>passiac</t>
  </si>
  <si>
    <t>Pascack Valley line</t>
  </si>
  <si>
    <t>new york</t>
  </si>
  <si>
    <t>North Coast Line</t>
  </si>
  <si>
    <t>ESSEX</t>
  </si>
  <si>
    <t>NEWARK CITY</t>
  </si>
  <si>
    <t>UNION</t>
  </si>
  <si>
    <t>ELIZABETH CITY</t>
  </si>
  <si>
    <t>LINDEN CITY</t>
  </si>
  <si>
    <t>RAHWAY CITY</t>
  </si>
  <si>
    <t>MIDDLESEX</t>
  </si>
  <si>
    <t>OLD BRIDGE TOWNSHIP</t>
  </si>
  <si>
    <t>PERTH AMBOY CITY</t>
  </si>
  <si>
    <t>SAYREVILLE BOROUGH</t>
  </si>
  <si>
    <t>SOUTH AMBOY CITY</t>
  </si>
  <si>
    <t>WOODBRIDGE TOWNSHIP</t>
  </si>
  <si>
    <t>MONMOUTH</t>
  </si>
  <si>
    <t>ABERDEEN TOWNSHIP</t>
  </si>
  <si>
    <t>HAZLET TOWNSHIP</t>
  </si>
  <si>
    <t>HOLMDEL TOWNSHIP</t>
  </si>
  <si>
    <t>LITTLE SILVER BOROUGH</t>
  </si>
  <si>
    <t>LONG BRANCH CITY</t>
  </si>
  <si>
    <t>MIDDLETOWN TOWNSHIP</t>
  </si>
  <si>
    <t>RED BANK BOROUGH</t>
  </si>
  <si>
    <t>Bayhead line</t>
  </si>
  <si>
    <t>SPRING LAKE BOROUGH</t>
  </si>
  <si>
    <t>POINT PLEASANT BEACH BOROUGH</t>
  </si>
  <si>
    <t>Atlantic City Line</t>
  </si>
  <si>
    <t>Atlantic Cty</t>
  </si>
  <si>
    <t>Camden Cty</t>
  </si>
  <si>
    <t>Penn</t>
  </si>
  <si>
    <t>North East Corridor Line</t>
  </si>
  <si>
    <t>13</t>
  </si>
  <si>
    <t>23</t>
  </si>
  <si>
    <t>Princeton Line</t>
  </si>
  <si>
    <t>Morristown line</t>
  </si>
  <si>
    <t>HUDSON</t>
  </si>
  <si>
    <t>HARRISON TOWN</t>
  </si>
  <si>
    <t>EAST ORANGE CITY</t>
  </si>
  <si>
    <t>SUMMIT</t>
  </si>
  <si>
    <t>MORRIS</t>
  </si>
  <si>
    <t>CHATHAM BOROUGH</t>
  </si>
  <si>
    <t>27</t>
  </si>
  <si>
    <t>WARREN</t>
  </si>
  <si>
    <t>HACKETTSTOWN TOWN</t>
  </si>
  <si>
    <t>41</t>
  </si>
  <si>
    <t>Midtown Direct</t>
  </si>
  <si>
    <t>Total miles in NJ</t>
  </si>
  <si>
    <t>New York miles</t>
  </si>
  <si>
    <t>Total line miles to end of line in New York Penn Station</t>
  </si>
  <si>
    <t>Gladstone Line</t>
  </si>
  <si>
    <t>KEARNY TOWN</t>
  </si>
  <si>
    <t>SOUTH ORANGE VILLAGE TOWNSHIP</t>
  </si>
  <si>
    <t>NEW PROVIDENCE BOROUGH</t>
  </si>
  <si>
    <t>PASSAIC</t>
  </si>
  <si>
    <t>PASSAIC CITY</t>
  </si>
  <si>
    <t>SOMERSET</t>
  </si>
  <si>
    <t>BEDMINSTER TOWNSHIP</t>
  </si>
  <si>
    <t>35</t>
  </si>
  <si>
    <t>Boonton line</t>
  </si>
  <si>
    <t>SECAUCUS TOWN</t>
  </si>
  <si>
    <t>WHARTON BOROUGH</t>
  </si>
  <si>
    <t>LITTLE FALLS TOWNSHIP</t>
  </si>
  <si>
    <t>Raritan line</t>
  </si>
  <si>
    <t>DUNELLEN BOROUGH</t>
  </si>
  <si>
    <t>BOUND BROOK BOROUGH</t>
  </si>
  <si>
    <t>CRANFORD TOWNSHIP</t>
  </si>
  <si>
    <t>HUNTERDON</t>
  </si>
  <si>
    <t>CLINTON TOWNSHIP</t>
  </si>
  <si>
    <t>19</t>
  </si>
  <si>
    <t>Montclair</t>
  </si>
  <si>
    <t>BLOOMFIELD TOWNSHIP</t>
  </si>
  <si>
    <t>Table NJT-2:NJT Switch Operation Emission Calculations</t>
  </si>
  <si>
    <t>switch yard</t>
  </si>
  <si>
    <t>fuel depot</t>
  </si>
  <si>
    <t>cty code</t>
  </si>
  <si>
    <t>cty</t>
  </si>
  <si>
    <t xml:space="preserve">fuel use </t>
  </si>
  <si>
    <t>FUEL</t>
  </si>
  <si>
    <t>Port Morris Yard</t>
  </si>
  <si>
    <t>Port Morris</t>
  </si>
  <si>
    <t>morris</t>
  </si>
  <si>
    <t>Hoboken</t>
  </si>
  <si>
    <t>Kearny</t>
  </si>
  <si>
    <t>Bayhead</t>
  </si>
  <si>
    <t>ocean</t>
  </si>
  <si>
    <t>Long Branch</t>
  </si>
  <si>
    <t>monmouth</t>
  </si>
  <si>
    <t>Raritan Yard</t>
  </si>
  <si>
    <t>Raritan</t>
  </si>
  <si>
    <t>somerset</t>
  </si>
  <si>
    <t>Atlantic City</t>
  </si>
  <si>
    <t>atlantic</t>
  </si>
  <si>
    <t xml:space="preserve">Line haul </t>
  </si>
  <si>
    <t>Kearney</t>
  </si>
  <si>
    <t>Yard</t>
  </si>
  <si>
    <t>GENSTAT</t>
  </si>
  <si>
    <t>SWITCH</t>
  </si>
  <si>
    <t>CLASS23</t>
  </si>
  <si>
    <r>
      <rPr>
        <vertAlign val="superscript"/>
        <sz val="11"/>
        <color indexed="8"/>
        <rFont val="Calibri"/>
        <family val="2"/>
      </rPr>
      <t>2</t>
    </r>
    <r>
      <rPr>
        <sz val="11"/>
        <color theme="1"/>
        <rFont val="Calibri"/>
        <family val="2"/>
        <scheme val="minor"/>
      </rPr>
      <t>Emission Factors for Locomotives, EPA420-F-97-051</t>
    </r>
  </si>
  <si>
    <r>
      <rPr>
        <vertAlign val="superscript"/>
        <sz val="11"/>
        <color indexed="8"/>
        <rFont val="Calibri"/>
        <family val="2"/>
      </rPr>
      <t>3</t>
    </r>
    <r>
      <rPr>
        <sz val="11"/>
        <color theme="1"/>
        <rFont val="Calibri"/>
        <family val="2"/>
        <scheme val="minor"/>
      </rPr>
      <t>Moves2014A, NonRoad model 2008a, EMSFAC file for generator sets 1400 hp (SCC 2270006005)</t>
    </r>
  </si>
  <si>
    <r>
      <rPr>
        <vertAlign val="superscript"/>
        <sz val="11"/>
        <color indexed="8"/>
        <rFont val="Calibri"/>
        <family val="2"/>
      </rPr>
      <t>4</t>
    </r>
    <r>
      <rPr>
        <sz val="11"/>
        <color theme="1"/>
        <rFont val="Calibri"/>
        <family val="2"/>
        <scheme val="minor"/>
      </rPr>
      <t>Conversion Factors for Hydrocarbon Emission Components, Report No. NR-002d, July 2010</t>
    </r>
  </si>
  <si>
    <r>
      <rPr>
        <vertAlign val="superscript"/>
        <sz val="11"/>
        <color indexed="8"/>
        <rFont val="Calibri"/>
        <family val="2"/>
      </rPr>
      <t>5</t>
    </r>
    <r>
      <rPr>
        <sz val="11"/>
        <color theme="1"/>
        <rFont val="Calibri"/>
        <family val="2"/>
        <scheme val="minor"/>
      </rPr>
      <t>Suggested nationwide Average Fuel Porperties, EPA-420-B-09-018, April 2009</t>
    </r>
  </si>
  <si>
    <t>County</t>
  </si>
  <si>
    <t>Somerrset</t>
  </si>
  <si>
    <r>
      <rPr>
        <vertAlign val="superscript"/>
        <sz val="11"/>
        <color indexed="8"/>
        <rFont val="Calibri"/>
        <family val="2"/>
      </rPr>
      <t>1</t>
    </r>
    <r>
      <rPr>
        <sz val="11"/>
        <color theme="1"/>
        <rFont val="Calibri"/>
        <family val="2"/>
        <scheme val="minor"/>
      </rPr>
      <t>April 22, 2016 email from CSX consultant, Diane H. Nguyen</t>
    </r>
  </si>
  <si>
    <r>
      <rPr>
        <vertAlign val="superscript"/>
        <sz val="11"/>
        <color indexed="8"/>
        <rFont val="Calibri"/>
        <family val="2"/>
      </rPr>
      <t>2</t>
    </r>
    <r>
      <rPr>
        <sz val="11"/>
        <color theme="1"/>
        <rFont val="Calibri"/>
        <family val="2"/>
        <scheme val="minor"/>
      </rPr>
      <t>GTM = Gross Ton Miles</t>
    </r>
  </si>
  <si>
    <r>
      <t>GTM (10</t>
    </r>
    <r>
      <rPr>
        <vertAlign val="superscript"/>
        <sz val="11"/>
        <color indexed="8"/>
        <rFont val="Calibri"/>
        <family val="2"/>
      </rPr>
      <t>6</t>
    </r>
    <r>
      <rPr>
        <sz val="11"/>
        <color theme="1"/>
        <rFont val="Calibri"/>
        <family val="2"/>
        <scheme val="minor"/>
      </rPr>
      <t xml:space="preserve"> tonmiles)</t>
    </r>
    <r>
      <rPr>
        <vertAlign val="superscript"/>
        <sz val="11"/>
        <color indexed="8"/>
        <rFont val="Calibri"/>
        <family val="2"/>
      </rPr>
      <t>2</t>
    </r>
  </si>
  <si>
    <t># of Conventional Switchers</t>
  </si>
  <si>
    <t>Number of Genset Switchers</t>
  </si>
  <si>
    <t>Elizabeth</t>
  </si>
  <si>
    <r>
      <rPr>
        <vertAlign val="superscript"/>
        <sz val="11"/>
        <color indexed="8"/>
        <rFont val="Calibri"/>
        <family val="2"/>
      </rPr>
      <t>4</t>
    </r>
    <r>
      <rPr>
        <sz val="11"/>
        <color theme="1"/>
        <rFont val="Calibri"/>
        <family val="2"/>
        <scheme val="minor"/>
      </rPr>
      <t>CSX assumes diesel fuel use to be approximately 60,000 gallons per year per conventional switcher</t>
    </r>
  </si>
  <si>
    <r>
      <rPr>
        <vertAlign val="superscript"/>
        <sz val="11"/>
        <color indexed="8"/>
        <rFont val="Calibri"/>
        <family val="2"/>
      </rPr>
      <t>5</t>
    </r>
    <r>
      <rPr>
        <sz val="11"/>
        <color theme="1"/>
        <rFont val="Calibri"/>
        <family val="2"/>
        <scheme val="minor"/>
      </rPr>
      <t>CSX assumes diesel fuel use to be approximately 45,000 gallons per year per Genset switcher.</t>
    </r>
  </si>
  <si>
    <r>
      <rPr>
        <vertAlign val="superscript"/>
        <sz val="11"/>
        <color indexed="8"/>
        <rFont val="Calibri"/>
        <family val="2"/>
      </rPr>
      <t>6</t>
    </r>
    <r>
      <rPr>
        <sz val="11"/>
        <color theme="1"/>
        <rFont val="Calibri"/>
        <family val="2"/>
        <scheme val="minor"/>
      </rPr>
      <t>Elizabeh Port switcher operated by transflo, subsidiary of CSX</t>
    </r>
  </si>
  <si>
    <t>Estimated Annual Switcher Fuel Use</t>
  </si>
  <si>
    <t>CLASS1</t>
  </si>
  <si>
    <t>BERGEN</t>
  </si>
  <si>
    <t>SUSSEX</t>
  </si>
  <si>
    <t>line-haul</t>
  </si>
  <si>
    <r>
      <rPr>
        <vertAlign val="superscript"/>
        <sz val="11"/>
        <color indexed="8"/>
        <rFont val="Calibri"/>
        <family val="2"/>
      </rPr>
      <t>1</t>
    </r>
    <r>
      <rPr>
        <sz val="11"/>
        <color theme="1"/>
        <rFont val="Calibri"/>
        <family val="2"/>
        <scheme val="minor"/>
      </rPr>
      <t>May 24, 2016 email from Melanie Boyer, NYSW</t>
    </r>
  </si>
  <si>
    <t>SHORTLINE</t>
  </si>
  <si>
    <t>Cty_code</t>
  </si>
  <si>
    <t>Winchester &amp; Western</t>
  </si>
  <si>
    <t xml:space="preserve">weight of </t>
  </si>
  <si>
    <t>GTM</t>
  </si>
  <si>
    <t>gal fuel</t>
  </si>
  <si>
    <t xml:space="preserve">dividing twp to bridgeton </t>
  </si>
  <si>
    <t>in</t>
  </si>
  <si>
    <t>mi/in</t>
  </si>
  <si>
    <t>town mi</t>
  </si>
  <si>
    <t># trips</t>
  </si>
  <si>
    <t>load &amp; car</t>
  </si>
  <si>
    <t>(mi*#*wt)</t>
  </si>
  <si>
    <t>gtm/gtm/fuel</t>
  </si>
  <si>
    <t>Commercial</t>
  </si>
  <si>
    <t>11</t>
  </si>
  <si>
    <t>11010</t>
  </si>
  <si>
    <t>Downe</t>
  </si>
  <si>
    <t>11020</t>
  </si>
  <si>
    <t>lawrence</t>
  </si>
  <si>
    <t>11040</t>
  </si>
  <si>
    <t>fairfield</t>
  </si>
  <si>
    <t>11025</t>
  </si>
  <si>
    <t>bridgeton cty</t>
  </si>
  <si>
    <t>11005</t>
  </si>
  <si>
    <t>bridgeton to dividing twp</t>
  </si>
  <si>
    <t>bridgeton to milleville</t>
  </si>
  <si>
    <t>bridgeton city</t>
  </si>
  <si>
    <t>upper deerfld</t>
  </si>
  <si>
    <t>11065</t>
  </si>
  <si>
    <t>deerfld</t>
  </si>
  <si>
    <t>11015</t>
  </si>
  <si>
    <t>pittsgrove</t>
  </si>
  <si>
    <t>33</t>
  </si>
  <si>
    <t>33050</t>
  </si>
  <si>
    <t>vineland cty</t>
  </si>
  <si>
    <t>11070</t>
  </si>
  <si>
    <t>milleville cty</t>
  </si>
  <si>
    <t>11050</t>
  </si>
  <si>
    <t xml:space="preserve">milleville to bridgeton </t>
  </si>
  <si>
    <t>Milleville to dorchester</t>
  </si>
  <si>
    <t>maurice river</t>
  </si>
  <si>
    <t>11045</t>
  </si>
  <si>
    <t>dorchester to milleville</t>
  </si>
  <si>
    <t>Gross ton mi:</t>
  </si>
  <si>
    <t>gtm</t>
  </si>
  <si>
    <t>gal fuel:</t>
  </si>
  <si>
    <t>gal</t>
  </si>
  <si>
    <t>fuel index</t>
  </si>
  <si>
    <t>gtm/gal fuel</t>
  </si>
  <si>
    <t>GTM/gal</t>
  </si>
  <si>
    <t>xxxxxx</t>
  </si>
  <si>
    <t>Southern RR</t>
  </si>
  <si>
    <t>15</t>
  </si>
  <si>
    <t>Winslow to Pleasantville</t>
  </si>
  <si>
    <t xml:space="preserve">NJ Western in 93 in 95 belongs to Southern </t>
  </si>
  <si>
    <t>Salem to swedesboro</t>
  </si>
  <si>
    <t>xxxxx</t>
  </si>
  <si>
    <t>Morris line</t>
  </si>
  <si>
    <t>CHESTER LINE</t>
  </si>
  <si>
    <t>lake junc-suc</t>
  </si>
  <si>
    <t>roxbery</t>
  </si>
  <si>
    <t>27180</t>
  </si>
  <si>
    <t>suc-lake junc</t>
  </si>
  <si>
    <t xml:space="preserve">HIGH BRIDGE </t>
  </si>
  <si>
    <t>Kenville to flanders to bartly</t>
  </si>
  <si>
    <t>roxbury</t>
  </si>
  <si>
    <t>olive</t>
  </si>
  <si>
    <t>27140</t>
  </si>
  <si>
    <t>HIGH BRIDGE</t>
  </si>
  <si>
    <t>kenville to flanders to bartly</t>
  </si>
  <si>
    <t>ROCKAWAY</t>
  </si>
  <si>
    <t>rockaway line by rt 80</t>
  </si>
  <si>
    <t>to lake junc</t>
  </si>
  <si>
    <t>jefferson</t>
  </si>
  <si>
    <t>27070</t>
  </si>
  <si>
    <t>rockaway</t>
  </si>
  <si>
    <t>27170</t>
  </si>
  <si>
    <t>wharton</t>
  </si>
  <si>
    <t>27195</t>
  </si>
  <si>
    <t>dover</t>
  </si>
  <si>
    <t>27045</t>
  </si>
  <si>
    <t>randolph</t>
  </si>
  <si>
    <t>27160</t>
  </si>
  <si>
    <t>denville</t>
  </si>
  <si>
    <t>27040</t>
  </si>
  <si>
    <t>rockaway twp</t>
  </si>
  <si>
    <t>27175</t>
  </si>
  <si>
    <t>WHIPPANY</t>
  </si>
  <si>
    <t>morristwn-cedar knoll</t>
  </si>
  <si>
    <t>whip-east han-roseld</t>
  </si>
  <si>
    <t>parsippany</t>
  </si>
  <si>
    <t>27150</t>
  </si>
  <si>
    <t>Morris Palins boro</t>
  </si>
  <si>
    <t>27120</t>
  </si>
  <si>
    <t>Morris twp</t>
  </si>
  <si>
    <t>27115</t>
  </si>
  <si>
    <t>Morristown</t>
  </si>
  <si>
    <t>27125</t>
  </si>
  <si>
    <t>Hanover</t>
  </si>
  <si>
    <t>27060</t>
  </si>
  <si>
    <t>east hanover</t>
  </si>
  <si>
    <t>27050</t>
  </si>
  <si>
    <t>roseland</t>
  </si>
  <si>
    <t>13090</t>
  </si>
  <si>
    <t>in/mi</t>
  </si>
  <si>
    <t>black river line</t>
  </si>
  <si>
    <t>lamberton-flemington</t>
  </si>
  <si>
    <t>lambertville</t>
  </si>
  <si>
    <t>19085</t>
  </si>
  <si>
    <t>delaware</t>
  </si>
  <si>
    <t>19035</t>
  </si>
  <si>
    <t>west amwell</t>
  </si>
  <si>
    <t>19130</t>
  </si>
  <si>
    <t>east amwell</t>
  </si>
  <si>
    <t>19040</t>
  </si>
  <si>
    <t>raritan</t>
  </si>
  <si>
    <t>19105</t>
  </si>
  <si>
    <t>flemington</t>
  </si>
  <si>
    <t>19045</t>
  </si>
  <si>
    <t>lamb-ringo/ringo-lamb</t>
  </si>
  <si>
    <t>ringo to flem</t>
  </si>
  <si>
    <t>flem to ringo</t>
  </si>
  <si>
    <t>3 bridge to ringos</t>
  </si>
  <si>
    <t>readington</t>
  </si>
  <si>
    <t>19110</t>
  </si>
  <si>
    <t>ringos to 3 bridges</t>
  </si>
  <si>
    <t>Phillipsburg  to Milford</t>
  </si>
  <si>
    <t>phillisburg</t>
  </si>
  <si>
    <t>41095</t>
  </si>
  <si>
    <t>pohatcong</t>
  </si>
  <si>
    <t>41100</t>
  </si>
  <si>
    <t>holland</t>
  </si>
  <si>
    <t>19075</t>
  </si>
  <si>
    <t>milford</t>
  </si>
  <si>
    <t>19100</t>
  </si>
  <si>
    <t>milford to phillipsburg</t>
  </si>
  <si>
    <t xml:space="preserve">bound brook </t>
  </si>
  <si>
    <t>35020</t>
  </si>
  <si>
    <t>Cape May Line</t>
  </si>
  <si>
    <t>fuel</t>
  </si>
  <si>
    <t>09</t>
  </si>
  <si>
    <t>Raritan Central</t>
  </si>
  <si>
    <t xml:space="preserve">edison </t>
  </si>
  <si>
    <t>23025</t>
  </si>
  <si>
    <t>xxxx</t>
  </si>
  <si>
    <t>SMS railway</t>
  </si>
  <si>
    <t>Bridgeport</t>
  </si>
  <si>
    <t>15045</t>
  </si>
  <si>
    <t>15070</t>
  </si>
  <si>
    <t>NY Cross harbor RR terminal corp</t>
  </si>
  <si>
    <t>17005</t>
  </si>
  <si>
    <t>East Jersey</t>
  </si>
  <si>
    <t>Jersey City</t>
  </si>
  <si>
    <t>17030</t>
  </si>
  <si>
    <t>NY susquehanna western</t>
  </si>
  <si>
    <t>2002 fuel use  = 623000 gallons use in New Jersey</t>
  </si>
  <si>
    <t>assume 2/3 fuel use for line operations and other 1/3 for switch operations.acc to susy Q</t>
  </si>
  <si>
    <t>265 miles total line</t>
  </si>
  <si>
    <t>70 -73.9 miles in NJ</t>
  </si>
  <si>
    <t>fips</t>
  </si>
  <si>
    <t>in/mile</t>
  </si>
  <si>
    <t>mile</t>
  </si>
  <si>
    <t>% track</t>
  </si>
  <si>
    <t>mun fuel use</t>
  </si>
  <si>
    <t>31075</t>
  </si>
  <si>
    <t>rigefield park</t>
  </si>
  <si>
    <t>03250</t>
  </si>
  <si>
    <t>SWITCHING OPS at RP</t>
  </si>
  <si>
    <t>switch fuel</t>
  </si>
  <si>
    <t>linehaul fuel</t>
  </si>
  <si>
    <t>total fuel</t>
  </si>
  <si>
    <t>% line haul</t>
  </si>
  <si>
    <t>MILES</t>
  </si>
  <si>
    <t>Westville</t>
  </si>
  <si>
    <t>same as 2007</t>
  </si>
  <si>
    <t>April 25, 2016 email fr Brain Murray (murrayb@smsrail.com)</t>
  </si>
  <si>
    <t>May 24, 2014 email fr Melanie Boyer (mboyer@nysw.com)</t>
  </si>
  <si>
    <t>shortline</t>
  </si>
  <si>
    <t>Croxton</t>
  </si>
  <si>
    <t>Doremus Auto Ramp</t>
  </si>
  <si>
    <t>Erail</t>
  </si>
  <si>
    <t>Paterson</t>
  </si>
  <si>
    <t>Port Newark Elizabe</t>
  </si>
  <si>
    <t>South Amboy</t>
  </si>
  <si>
    <t>trip to pedrickston/bridgeport and to swedesboro, 10 mi</t>
  </si>
  <si>
    <t>COMMUTER</t>
  </si>
  <si>
    <t>2006-07</t>
  </si>
  <si>
    <t>chem coast</t>
  </si>
  <si>
    <t>PAST FUEL USAGE DATA &amp; LOCOMOTIVE IN SERVICE</t>
  </si>
  <si>
    <t>CONRAIL-CHEM COAST (BAYWAY)</t>
  </si>
  <si>
    <t>CONRAIL-CHEM COAST (Carteret)</t>
  </si>
  <si>
    <t>CONRAIL-Browns Coast</t>
  </si>
  <si>
    <t>CONRAIL-CHEM COAST (Linden)</t>
  </si>
  <si>
    <t>CONRAIL-CHEM COAST (Perth Amboy)</t>
  </si>
  <si>
    <t>SELECT FUEL</t>
  </si>
  <si>
    <t>Assume that Manville fuel use is the difference between the total 2014 fuel use of 2228672 minus the sum of Conrail filling stations without Manvile.</t>
  </si>
  <si>
    <t>2014 LOCOMOTIVE</t>
  </si>
  <si>
    <t>2007 TOT</t>
  </si>
  <si>
    <t>2014 TOT</t>
  </si>
  <si>
    <t>STATION</t>
  </si>
  <si>
    <t>BAYONNE</t>
  </si>
  <si>
    <t>BAYWAY</t>
  </si>
  <si>
    <t>PT NEWARK</t>
  </si>
  <si>
    <t>METUCHEN</t>
  </si>
  <si>
    <t>PT READING</t>
  </si>
  <si>
    <t>PAVONIA</t>
  </si>
  <si>
    <t>ADJUSTED TRIP</t>
  </si>
  <si>
    <t>YARD FUEL ADJ FACTOR</t>
  </si>
  <si>
    <t xml:space="preserve">% FUEL USE YARD </t>
  </si>
  <si>
    <t>% TRIP FUEL USE</t>
  </si>
  <si>
    <t>2 yard &amp; 1 trip to oak island</t>
  </si>
  <si>
    <t>RAILROAD</t>
  </si>
  <si>
    <t>% TON_MILES</t>
  </si>
  <si>
    <t>LINE FUEL USE</t>
  </si>
  <si>
    <t>FUEL USE</t>
  </si>
  <si>
    <t>LINE</t>
  </si>
  <si>
    <t>PT READING SEC</t>
  </si>
  <si>
    <t>PT READING YARD</t>
  </si>
  <si>
    <t>CP-PD (PT READING)</t>
  </si>
  <si>
    <t>AVENEL</t>
  </si>
  <si>
    <t>REFORMATORY EXT</t>
  </si>
  <si>
    <t>JCT SUPERMARKET LD</t>
  </si>
  <si>
    <t>CARTERET-WEST</t>
  </si>
  <si>
    <t>CHECK</t>
  </si>
  <si>
    <t>1-A</t>
  </si>
  <si>
    <t>NATIONAL DOCKS BR</t>
  </si>
  <si>
    <t>UPPER BAY</t>
  </si>
  <si>
    <t>1-B</t>
  </si>
  <si>
    <t>CP-GREEN</t>
  </si>
  <si>
    <t>BAYONNE CONN &amp; I T</t>
  </si>
  <si>
    <t>CHEMICAL COAST LN</t>
  </si>
  <si>
    <t>PN</t>
  </si>
  <si>
    <t>2-A</t>
  </si>
  <si>
    <t>2-B</t>
  </si>
  <si>
    <t>ERAIL</t>
  </si>
  <si>
    <t>PORT</t>
  </si>
  <si>
    <t>CHEMCOAST</t>
  </si>
  <si>
    <t>5-A</t>
  </si>
  <si>
    <t>5-B</t>
  </si>
  <si>
    <t>BARBER</t>
  </si>
  <si>
    <t>WOOD-NJT CONN</t>
  </si>
  <si>
    <t>NJT-N JERSEY COAST LN</t>
  </si>
  <si>
    <t>WOOD-NJT</t>
  </si>
  <si>
    <t>PERTH AMBOY</t>
  </si>
  <si>
    <t>RIVER-NJT</t>
  </si>
  <si>
    <t>ESSAY-NJT</t>
  </si>
  <si>
    <t>AMTRAK NEC</t>
  </si>
  <si>
    <t>LINDEN</t>
  </si>
  <si>
    <t>6-A</t>
  </si>
  <si>
    <t>6-B</t>
  </si>
  <si>
    <t>LANE</t>
  </si>
  <si>
    <t>NEWARK(HUNTER)</t>
  </si>
  <si>
    <t>ROBBINSVILLE IT</t>
  </si>
  <si>
    <t>BORDENTOWN</t>
  </si>
  <si>
    <t>JCT NJT LIGHT RAIL LN</t>
  </si>
  <si>
    <t>NJT LIGHT RAIL LINE</t>
  </si>
  <si>
    <t>JCT ROBBINSVILLE IT</t>
  </si>
  <si>
    <t>FIELDSBORO</t>
  </si>
  <si>
    <t>DELAIR BRANCH</t>
  </si>
  <si>
    <t>STATE LINE PA/NJ</t>
  </si>
  <si>
    <t>CP-HATCH</t>
  </si>
  <si>
    <t>CAMDEN1</t>
  </si>
  <si>
    <t>BORDENTOWN R.T.</t>
  </si>
  <si>
    <t>CAMDEN2</t>
  </si>
  <si>
    <t>CAMDEN3</t>
  </si>
  <si>
    <t>PAULSBORO2</t>
  </si>
  <si>
    <t>National Miles of yard switching tracks (miles)</t>
  </si>
  <si>
    <t>train track ratio (state/national line haul)</t>
  </si>
  <si>
    <t>NJ gross ton miles based on track ratio</t>
  </si>
  <si>
    <t>shared assets gross ton miles</t>
  </si>
  <si>
    <t>ns gross ton miles on ns lines</t>
  </si>
  <si>
    <t>total gross ton miles for ns</t>
  </si>
  <si>
    <t>FUEL FREIGHT (gallons)</t>
  </si>
  <si>
    <t xml:space="preserve">YARD SWITCHING (gallons) </t>
  </si>
  <si>
    <t>Nat Dock-north-2 (southern tier) = 8200000 gross tons fr conrail shared assets coming from south tier line (NY state to north NJ).</t>
  </si>
  <si>
    <t>Bergen line (east side)</t>
  </si>
  <si>
    <t>1/2 of miles allocated</t>
  </si>
  <si>
    <t>Morristown-boonton line</t>
  </si>
  <si>
    <t>morristown-boonton line</t>
  </si>
  <si>
    <t>warren</t>
  </si>
  <si>
    <t>union</t>
  </si>
  <si>
    <t>essex</t>
  </si>
  <si>
    <t>Morristown-morristown line</t>
  </si>
  <si>
    <t>High Bridge to Bound brook</t>
  </si>
  <si>
    <t>hunterdon</t>
  </si>
  <si>
    <t>Sum of FUEL USE</t>
  </si>
  <si>
    <t>Navalweaponsstaearle</t>
  </si>
  <si>
    <t>NYSW USE CLASS 1 EF</t>
  </si>
  <si>
    <t>GALLONS</t>
  </si>
  <si>
    <t>UPDATE</t>
  </si>
  <si>
    <t>ADJUSTED YARD</t>
  </si>
  <si>
    <r>
      <rPr>
        <vertAlign val="superscript"/>
        <sz val="11"/>
        <color indexed="8"/>
        <rFont val="Calibri"/>
        <family val="2"/>
      </rPr>
      <t>5</t>
    </r>
    <r>
      <rPr>
        <sz val="11"/>
        <color theme="1"/>
        <rFont val="Calibri"/>
        <family val="2"/>
        <scheme val="minor"/>
      </rPr>
      <t>Assume that Manville fuel use is the difference between the total 2014 fuel use of 2228672 minus the sum of Conrail filling stations without Manvile.</t>
    </r>
  </si>
  <si>
    <r>
      <rPr>
        <vertAlign val="superscript"/>
        <sz val="11"/>
        <color indexed="8"/>
        <rFont val="Calibri"/>
        <family val="2"/>
      </rPr>
      <t>2</t>
    </r>
    <r>
      <rPr>
        <sz val="11"/>
        <color theme="1"/>
        <rFont val="Calibri"/>
        <family val="2"/>
        <scheme val="minor"/>
      </rPr>
      <t xml:space="preserve">Neil Ferrone, Conrail, Conrail fuel use data from january 2006 to august 2008 included in email dated September 18, 2007. </t>
    </r>
  </si>
  <si>
    <r>
      <rPr>
        <vertAlign val="superscript"/>
        <sz val="11"/>
        <color indexed="8"/>
        <rFont val="Calibri"/>
        <family val="2"/>
      </rPr>
      <t>2</t>
    </r>
    <r>
      <rPr>
        <sz val="11"/>
        <color theme="1"/>
        <rFont val="Calibri"/>
        <family val="2"/>
        <scheme val="minor"/>
      </rPr>
      <t>Assume that switching is conducting shortline rail operations with 4 axle locomotives.</t>
    </r>
  </si>
  <si>
    <r>
      <rPr>
        <vertAlign val="superscript"/>
        <sz val="11"/>
        <color indexed="8"/>
        <rFont val="Calibri"/>
        <family val="2"/>
      </rPr>
      <t>2</t>
    </r>
    <r>
      <rPr>
        <sz val="11"/>
        <color theme="1"/>
        <rFont val="Calibri"/>
        <family val="2"/>
        <scheme val="minor"/>
      </rPr>
      <t>Assume that using same engine as shortline operations.</t>
    </r>
  </si>
  <si>
    <r>
      <rPr>
        <vertAlign val="superscript"/>
        <sz val="11"/>
        <color indexed="8"/>
        <rFont val="Calibri"/>
        <family val="2"/>
      </rPr>
      <t>1</t>
    </r>
    <r>
      <rPr>
        <sz val="11"/>
        <color theme="1"/>
        <rFont val="Calibri"/>
        <family val="2"/>
        <scheme val="minor"/>
      </rPr>
      <t>Using 6 axle locomotive so assume that is similar to lin-haul CLASS 1 OPERATION.</t>
    </r>
  </si>
  <si>
    <t>genstat</t>
  </si>
  <si>
    <r>
      <rPr>
        <vertAlign val="superscript"/>
        <sz val="11"/>
        <color indexed="8"/>
        <rFont val="Calibri"/>
        <family val="2"/>
      </rPr>
      <t>1</t>
    </r>
    <r>
      <rPr>
        <sz val="11"/>
        <color theme="1"/>
        <rFont val="Calibri"/>
        <family val="2"/>
        <scheme val="minor"/>
      </rPr>
      <t>Assume 25 % of Bergen County emissions for Ridgefield Classification Yard.</t>
    </r>
  </si>
  <si>
    <t>Assume that switch locomotives same as line-haul 2/3</t>
  </si>
  <si>
    <t>road</t>
  </si>
  <si>
    <t>LEHIGH LINE</t>
  </si>
  <si>
    <t>3 bridges</t>
  </si>
  <si>
    <t>phillipsburg</t>
  </si>
  <si>
    <t>flagtown</t>
  </si>
  <si>
    <t>Port reading junc</t>
  </si>
  <si>
    <t>PT READING JCT</t>
  </si>
  <si>
    <t>BOUND BROOK</t>
  </si>
  <si>
    <t>S PLAINFIELD</t>
  </si>
  <si>
    <t>CLARK</t>
  </si>
  <si>
    <t>ALDENE</t>
  </si>
  <si>
    <t>HILLSIDE</t>
  </si>
  <si>
    <t>CP-NK (NEWARK)</t>
  </si>
  <si>
    <t>CP-VALLEY</t>
  </si>
  <si>
    <t>LEHIGH CONN TRK</t>
  </si>
  <si>
    <t>CP-STOCK</t>
  </si>
  <si>
    <t>9-A</t>
  </si>
  <si>
    <t>P &amp; H BRANCH</t>
  </si>
  <si>
    <t>9-B</t>
  </si>
  <si>
    <t>S KEARNY</t>
  </si>
  <si>
    <t>HACK</t>
  </si>
  <si>
    <t>11-A</t>
  </si>
  <si>
    <t>11-B</t>
  </si>
  <si>
    <t>S BOUND BROOK</t>
  </si>
  <si>
    <t>DURHAM</t>
  </si>
  <si>
    <t>OAK ISLAND YD TRK</t>
  </si>
  <si>
    <t>PIKE</t>
  </si>
  <si>
    <t>BOUND BROOK CONN</t>
  </si>
  <si>
    <t>CP-BOUND BROOK</t>
  </si>
  <si>
    <t>NJT-BROOK</t>
  </si>
  <si>
    <t>Main line (west line)add</t>
  </si>
  <si>
    <t>SNJ-N</t>
  </si>
  <si>
    <t>SNJ-S</t>
  </si>
  <si>
    <t>12-A</t>
  </si>
  <si>
    <t>12-B</t>
  </si>
  <si>
    <t>12-C</t>
  </si>
  <si>
    <t>PALERMO</t>
  </si>
  <si>
    <t>BEESLEYS PT IT</t>
  </si>
  <si>
    <t>BEASLEYS PT</t>
  </si>
  <si>
    <t>paulsboro</t>
  </si>
  <si>
    <t>burlington</t>
  </si>
  <si>
    <t>HAMILTON</t>
  </si>
  <si>
    <t>MIDWAY</t>
  </si>
  <si>
    <t>EDISON</t>
  </si>
  <si>
    <t>NJT-S AMBOY</t>
  </si>
  <si>
    <t>south amboy</t>
  </si>
  <si>
    <t>RED BANK</t>
  </si>
  <si>
    <t>SOUTHERN SEC</t>
  </si>
  <si>
    <t>FARMINGDALE</t>
  </si>
  <si>
    <t xml:space="preserve">COUNTY LINE </t>
  </si>
  <si>
    <t>LAKEWOOD</t>
  </si>
  <si>
    <t>LAKEHURST</t>
  </si>
  <si>
    <t>TOMS RIVERS IT</t>
  </si>
  <si>
    <t>TOMES RIVER</t>
  </si>
  <si>
    <t>NATIONAL</t>
  </si>
  <si>
    <t>Total mileage of running track operated (miles)</t>
  </si>
  <si>
    <t>GROSS TON MILES (loco, frieght, pas)</t>
  </si>
  <si>
    <t>assume all to Hudson county</t>
  </si>
  <si>
    <t>assume all to Metuchen line</t>
  </si>
  <si>
    <t>Assume all to Burlington County</t>
  </si>
  <si>
    <t>Fuel apportioned based on GrossTonMIles on remaining NS =</t>
  </si>
  <si>
    <t>update</t>
  </si>
  <si>
    <t>xxxxxxx</t>
  </si>
  <si>
    <t>xxxxxxxx</t>
  </si>
  <si>
    <t>xxxxxxxxx</t>
  </si>
  <si>
    <t>NJ FUEL USE ONLY</t>
  </si>
  <si>
    <t>NJ, NY AND PA FUEL USE</t>
  </si>
  <si>
    <t>CTY</t>
  </si>
  <si>
    <t xml:space="preserve">chem coast trip already included as 2 above </t>
  </si>
  <si>
    <t>NYSQ-Ridgefield</t>
  </si>
  <si>
    <t>CSX-North Bergen</t>
  </si>
  <si>
    <t>NJTRANSIT-morris</t>
  </si>
  <si>
    <t>NJTRANSIT-hudson</t>
  </si>
  <si>
    <t>NJTRANSIT-somerset</t>
  </si>
  <si>
    <t>NJTRANSIT-atlantic</t>
  </si>
  <si>
    <t>NS</t>
  </si>
  <si>
    <t>CONRAIL</t>
  </si>
  <si>
    <t>CSX</t>
  </si>
  <si>
    <t>middlesex</t>
  </si>
  <si>
    <t>LH FUEL USE</t>
  </si>
  <si>
    <t>TOT NOX</t>
  </si>
  <si>
    <t>CSX TRUMBULL YARD</t>
  </si>
  <si>
    <t xml:space="preserve">south kearny </t>
  </si>
  <si>
    <t>trumbull yard</t>
  </si>
  <si>
    <t>North Bergen Yard</t>
  </si>
  <si>
    <t>HUDSOn</t>
  </si>
  <si>
    <t>North Bergen</t>
  </si>
  <si>
    <t>CSX-South Kearny</t>
  </si>
  <si>
    <t>EXPRESS RAIL ELIZABETH total</t>
  </si>
  <si>
    <t>expressrail newark</t>
  </si>
  <si>
    <t>PM2.5</t>
  </si>
  <si>
    <t>EXPRESS RAIL ELIZ</t>
  </si>
  <si>
    <t>EXPRESS RAIL NEWARK</t>
  </si>
  <si>
    <t>GREENVILLE YARD</t>
  </si>
  <si>
    <t>switch fuel use</t>
  </si>
  <si>
    <t>CSX-Elizabeth -trumbell Yard</t>
  </si>
  <si>
    <t>greenville yard NYNJRAIL</t>
  </si>
  <si>
    <t>little ferry</t>
  </si>
  <si>
    <t>Year</t>
  </si>
  <si>
    <t>EPA ANNUAL GROWTH RATE = 1.6%</t>
  </si>
  <si>
    <r>
      <rPr>
        <vertAlign val="superscript"/>
        <sz val="12"/>
        <rFont val="Arial"/>
        <family val="2"/>
      </rPr>
      <t>1</t>
    </r>
    <r>
      <rPr>
        <sz val="12"/>
        <rFont val="Arial"/>
        <family val="2"/>
      </rPr>
      <t>Line Haul Locomotives: Class I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</si>
  <si>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Class 2&amp;3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</si>
  <si>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Yard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</si>
  <si>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Passenger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</si>
  <si>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t>2011 Fuel Use Gallons1</t>
  </si>
  <si>
    <t>2014 Fuel Use Gallons2</t>
  </si>
  <si>
    <t>This is a YARD as designated by PANYNJ. So so not leave it here. Did not use the 900 gallon fuel. Instead used Starcrest 2016 report for 2014 hudson switching.</t>
  </si>
  <si>
    <r>
      <rPr>
        <vertAlign val="superscript"/>
        <sz val="11"/>
        <color indexed="8"/>
        <rFont val="Calibri"/>
        <family val="2"/>
      </rPr>
      <t>3</t>
    </r>
    <r>
      <rPr>
        <sz val="11"/>
        <color theme="1"/>
        <rFont val="Calibri"/>
        <family val="2"/>
        <scheme val="minor"/>
      </rPr>
      <t>Estimate includes fuel consumption from switcher and lin-haul operations. CSX 2014 Systemwide Fuel Efficiency of 941 GTM/gal was used to estimate total fuel consumption from switcher and line-haul operations except for Union County which onlhy includes line-haul.</t>
    </r>
  </si>
  <si>
    <t>Starcrest 2014 locomotive gallons of fuel</t>
  </si>
  <si>
    <t>2014 CLASS 1 LINE HAUL EMISSiON FACTORS</t>
  </si>
  <si>
    <t>2014 SWITCH EMISSIONS</t>
  </si>
  <si>
    <t>2014 Starcrest Line haul Emission Calculations TPY</t>
  </si>
  <si>
    <t>GREENBROOK NYNJ RAIL</t>
  </si>
  <si>
    <t>EXPRESS RAIL ELIZABETH</t>
  </si>
  <si>
    <t>NAT AVG GTM/GAL INDEX</t>
  </si>
  <si>
    <t>Assume all to Middlesex County</t>
  </si>
  <si>
    <t>total NJ locomotive fuel use gallons =</t>
  </si>
  <si>
    <t>% remaining fuel gallons index =</t>
  </si>
  <si>
    <t>Assume all to gloucester county</t>
  </si>
  <si>
    <t>estimate not used since used GTM from 2002 Conrail study. Use total 2667441 times GTM on NSFINALCALC sheet.</t>
  </si>
  <si>
    <t>PANYNJ 2014 Total Locomotive Emissions TONSPERDAY (TPD)</t>
  </si>
  <si>
    <t>Switch NOX EF</t>
  </si>
  <si>
    <t>TIER 1</t>
  </si>
  <si>
    <t>TIER 0</t>
  </si>
  <si>
    <t>TIER 4</t>
  </si>
  <si>
    <t xml:space="preserve">2014 PANYNJ ANN SWITCH EMISSIONS TPY </t>
  </si>
  <si>
    <t xml:space="preserve">2017 PANYNJ ANN SWITCH EMISSIONS TPY </t>
  </si>
  <si>
    <t>Growth Factor</t>
  </si>
  <si>
    <t>2014 LINE HAUL EMISSIONS TPY</t>
  </si>
  <si>
    <t>NYSW shortline use 3 EF</t>
  </si>
  <si>
    <t>2014 LINE HAUL 1 EF</t>
  </si>
  <si>
    <t>CO_TPY</t>
  </si>
  <si>
    <t>PM10_TPY</t>
  </si>
  <si>
    <t xml:space="preserve">PM2.5_TPY </t>
  </si>
  <si>
    <t>SO2_TPY</t>
  </si>
  <si>
    <t>VOC_TPY</t>
  </si>
  <si>
    <t>NH3_TPY</t>
  </si>
  <si>
    <t>CO2_TPY</t>
  </si>
  <si>
    <t>CO_TPD</t>
  </si>
  <si>
    <t>PM10_TPD</t>
  </si>
  <si>
    <t>PM2.5 _TPD</t>
  </si>
  <si>
    <t>SO2_TPD</t>
  </si>
  <si>
    <t>VOC_TPD</t>
  </si>
  <si>
    <t>NH3_TPD</t>
  </si>
  <si>
    <t>CO2_TPD</t>
  </si>
  <si>
    <t>NOx_TPY</t>
  </si>
  <si>
    <t>NOx_TPD</t>
  </si>
  <si>
    <t xml:space="preserve"> </t>
  </si>
  <si>
    <t>RAIL DESC</t>
  </si>
  <si>
    <t>TOTAL YARD</t>
  </si>
  <si>
    <t>TOTAL COMM</t>
  </si>
  <si>
    <t>NORTH COMM</t>
  </si>
  <si>
    <t>AC COMM</t>
  </si>
  <si>
    <t>TABLE 8: 2014 NJTRANSIT FUEL USE SUMMARY GALLONS</t>
  </si>
  <si>
    <r>
      <rPr>
        <b/>
        <sz val="11"/>
        <color indexed="8"/>
        <rFont val="Calibri"/>
        <family val="2"/>
      </rPr>
      <t>TABLE 9: NJTRANSIT 2014 FUEL USE DATA</t>
    </r>
    <r>
      <rPr>
        <b/>
        <vertAlign val="superscript"/>
        <sz val="11"/>
        <color indexed="8"/>
        <rFont val="Calibri"/>
        <family val="2"/>
      </rPr>
      <t>1,2</t>
    </r>
  </si>
  <si>
    <r>
      <rPr>
        <vertAlign val="superscript"/>
        <sz val="11"/>
        <color indexed="8"/>
        <rFont val="Calibri"/>
        <family val="2"/>
      </rPr>
      <t>1</t>
    </r>
    <r>
      <rPr>
        <sz val="11"/>
        <color theme="1"/>
        <rFont val="Calibri"/>
        <family val="2"/>
        <scheme val="minor"/>
      </rPr>
      <t>Copy of New Jersey Consumption 2014-2015, email from Rick Crawford of NS, May 26, 2016</t>
    </r>
  </si>
  <si>
    <r>
      <t>Table 22A: NS 2014 fuel submissions</t>
    </r>
    <r>
      <rPr>
        <b/>
        <vertAlign val="superscript"/>
        <sz val="11"/>
        <color indexed="8"/>
        <rFont val="Calibri"/>
        <family val="2"/>
      </rPr>
      <t>1</t>
    </r>
    <r>
      <rPr>
        <b/>
        <sz val="11"/>
        <color indexed="8"/>
        <rFont val="Calibri"/>
        <family val="2"/>
      </rPr>
      <t xml:space="preserve"> </t>
    </r>
  </si>
  <si>
    <t>Table 22B:2014 Activity Data and Allocation Factors from 2014 R-1 Report</t>
  </si>
  <si>
    <t>Table 22C: FUEL ADJUSTMENT CALCULATION</t>
  </si>
  <si>
    <t>Table 22D: FUEL USE SUMMARY</t>
  </si>
  <si>
    <r>
      <t>Table 23A: Line Haul Locomotives (SCC 2285002006): Class I Operations EPA Controlled Inventory</t>
    </r>
    <r>
      <rPr>
        <b/>
        <vertAlign val="superscript"/>
        <sz val="12"/>
        <rFont val="Arial"/>
        <family val="2"/>
      </rPr>
      <t>1</t>
    </r>
  </si>
  <si>
    <r>
      <t>Table 23B: Line Haul Locomotives (SCC 2285002006): Class I Operations EPA Growth Only</t>
    </r>
    <r>
      <rPr>
        <b/>
        <vertAlign val="superscript"/>
        <sz val="12"/>
        <rFont val="Arial"/>
        <family val="2"/>
      </rPr>
      <t>1</t>
    </r>
  </si>
  <si>
    <r>
      <t>Table 23C: Line Haul Locomotives (SCC 2285002006): Class I Operations Control Factor</t>
    </r>
    <r>
      <rPr>
        <b/>
        <vertAlign val="superscript"/>
        <sz val="12"/>
        <rFont val="Arial"/>
        <family val="2"/>
      </rPr>
      <t>1</t>
    </r>
  </si>
  <si>
    <r>
      <t>Table 24A: Line Haul Locomotives (SCC 2285002007): Class 2 &amp; 3 Operations EPA Controlled Inventory</t>
    </r>
    <r>
      <rPr>
        <b/>
        <vertAlign val="superscript"/>
        <sz val="12"/>
        <rFont val="Arial"/>
        <family val="2"/>
      </rPr>
      <t>1</t>
    </r>
  </si>
  <si>
    <r>
      <t>Table 24B: Line Haul Locomotives (SCC 2285002007): Class 2 &amp; 3 Operations EPA Growth Only</t>
    </r>
    <r>
      <rPr>
        <b/>
        <vertAlign val="superscript"/>
        <sz val="12"/>
        <rFont val="Arial"/>
        <family val="2"/>
      </rPr>
      <t>1</t>
    </r>
  </si>
  <si>
    <r>
      <t>Table 24C: Line Haul Locomotives (SCC 2285002007): Class 2 &amp; 3 Operations Control Factor</t>
    </r>
    <r>
      <rPr>
        <b/>
        <vertAlign val="superscript"/>
        <sz val="12"/>
        <rFont val="Arial"/>
        <family val="2"/>
      </rPr>
      <t>1</t>
    </r>
  </si>
  <si>
    <r>
      <t>Table 25A: Yard Locomotives (SCC 2285002010) Operations EPA Controlled Inventory</t>
    </r>
    <r>
      <rPr>
        <b/>
        <vertAlign val="superscript"/>
        <sz val="12"/>
        <rFont val="Arial"/>
        <family val="2"/>
      </rPr>
      <t>1</t>
    </r>
  </si>
  <si>
    <r>
      <t>Table 25B: Yard Locomotives (SCC 2285002010) Operations EPA Growth Only</t>
    </r>
    <r>
      <rPr>
        <b/>
        <vertAlign val="superscript"/>
        <sz val="12"/>
        <rFont val="Arial"/>
        <family val="2"/>
      </rPr>
      <t>1</t>
    </r>
  </si>
  <si>
    <r>
      <t>Table 25C: Yard Locomotives (SCC 2285002010) Operations Control Factor</t>
    </r>
    <r>
      <rPr>
        <b/>
        <vertAlign val="superscript"/>
        <sz val="12"/>
        <rFont val="Arial"/>
        <family val="2"/>
      </rPr>
      <t>1</t>
    </r>
  </si>
  <si>
    <r>
      <t>Table 26B: Line Haul Locomotives (SCC 2285002008): Passenger Operations EPA Growth Only</t>
    </r>
    <r>
      <rPr>
        <b/>
        <vertAlign val="superscript"/>
        <sz val="12"/>
        <rFont val="Arial"/>
        <family val="2"/>
      </rPr>
      <t>1</t>
    </r>
  </si>
  <si>
    <r>
      <t>Table 26A: Line Haul Locomotives (SCC 2285002008): Passenger Operations EPA Controlled Inventory</t>
    </r>
    <r>
      <rPr>
        <b/>
        <vertAlign val="superscript"/>
        <sz val="12"/>
        <rFont val="Arial"/>
        <family val="2"/>
      </rPr>
      <t>1</t>
    </r>
  </si>
  <si>
    <r>
      <t>Table 26C: Line Haul Locomotives (SCC 2285002008): Passenger Operations Control Factor</t>
    </r>
    <r>
      <rPr>
        <b/>
        <vertAlign val="superscript"/>
        <sz val="12"/>
        <rFont val="Arial"/>
        <family val="2"/>
      </rPr>
      <t>1</t>
    </r>
  </si>
  <si>
    <t>TABLE 17: CONRAIL LINEHAUL-YARD 2014 FUEL CALCULATIONS</t>
  </si>
  <si>
    <t>TABLE 14: CONRAIL LINE HAUL 2014 FUEL USE COMPILATION GALLONS PER YEAR (GPY)</t>
  </si>
  <si>
    <t>TABLE 5B: STARCREST PANYNJ 2014 YARDS EMISSION CALCULATION METHOD 1</t>
  </si>
  <si>
    <t>TABLE 5C: STARCREST PAYNJ 2014 YARDS EMISSION CALCULATION METHOD 2 CHECK on METHOD 1</t>
  </si>
  <si>
    <t>O3 AQCR</t>
  </si>
  <si>
    <t>NNJ-NY-Conn</t>
  </si>
  <si>
    <t xml:space="preserve">Middlesex </t>
  </si>
  <si>
    <t>TOT NNJ-NY-Conn O3 AQCR Pop &amp; Emissions</t>
  </si>
  <si>
    <t>SNJ-Phil</t>
  </si>
  <si>
    <t>TOTAL SNJ-PHIL O3 AQCR Pop $ Emissions</t>
  </si>
  <si>
    <t>TOTAL NJ EMISSIONS</t>
  </si>
  <si>
    <r>
      <rPr>
        <b/>
        <vertAlign val="superscript"/>
        <sz val="11"/>
        <color indexed="8"/>
        <rFont val="Calibri"/>
        <family val="2"/>
      </rPr>
      <t>1</t>
    </r>
    <r>
      <rPr>
        <sz val="11"/>
        <color theme="1"/>
        <rFont val="Calibri"/>
        <family val="2"/>
        <scheme val="minor"/>
      </rPr>
      <t>Starcrest assumes that PM2.5 is .92 of PM10.  Otherwise NJDEP assumed .97</t>
    </r>
  </si>
  <si>
    <t>Attachment 4B</t>
  </si>
  <si>
    <t>2017 Projection Year Inventory</t>
  </si>
  <si>
    <t>for Northern New Jersey</t>
  </si>
  <si>
    <t>TABLE 1A: 2017 PROJECTED EMISSION INVENTORY</t>
  </si>
  <si>
    <t xml:space="preserve">LOCOMOTIVE </t>
  </si>
  <si>
    <t>NEW JERSEY PORTION OF NORTHERN NEW JERSEY-NEW YORK-CONNECTICUT NONATTAINMENT AREA</t>
  </si>
  <si>
    <r>
      <t>AVERAGE SUMMER WEEKDAY EMISSIONS BY O3 NAA AND CTY TONSPERDAY (TPD)</t>
    </r>
    <r>
      <rPr>
        <b/>
        <sz val="10"/>
        <color indexed="8"/>
        <rFont val="Arial"/>
        <family val="2"/>
      </rPr>
      <t xml:space="preserve"> </t>
    </r>
  </si>
  <si>
    <t>GROWN TO 2017 FROM 2014 AND CONTROLLED TO 2011</t>
  </si>
  <si>
    <t>TABLE 1B: 2017 PROJECTED EMISSION INVENTORY</t>
  </si>
  <si>
    <t>LOCOMOTIVES</t>
  </si>
  <si>
    <r>
      <t>ANNUAL TONSPERYEAR (TPY) AND SUMMER WEEKDAY EMISSIONS BY O3 NAA AND CTY TONSPERDAY (TPD)</t>
    </r>
    <r>
      <rPr>
        <b/>
        <sz val="10"/>
        <color indexed="8"/>
        <rFont val="Arial"/>
        <family val="2"/>
      </rPr>
      <t xml:space="preserve"> </t>
    </r>
  </si>
  <si>
    <t>TABLE 2: 2017 PROJECTED EMISSION INVENTORY</t>
  </si>
  <si>
    <r>
      <t>ANNUAL TONSPERYEAR (TPY) AND SUMMER WEEKDAY EMISSIONS SCC AND CTY TONSPERDAY (TPD)</t>
    </r>
    <r>
      <rPr>
        <b/>
        <sz val="10"/>
        <color indexed="8"/>
        <rFont val="Arial"/>
        <family val="2"/>
      </rPr>
      <t xml:space="preserve"> </t>
    </r>
  </si>
  <si>
    <t>TABLE 3B: 2017 PROJECTED EMISSION INVENTORY</t>
  </si>
  <si>
    <t>TABLE 3A: 2017 PROJECTED EMISSION INVENTORY</t>
  </si>
  <si>
    <r>
      <t>ANNUAL TONSPERYEAR (TPY) AND SUMMER WEEKDAY EMISSIONS BY CTY AND SCC TONSPERDAY (TPD)</t>
    </r>
    <r>
      <rPr>
        <b/>
        <sz val="10"/>
        <color indexed="8"/>
        <rFont val="Arial"/>
        <family val="2"/>
      </rPr>
      <t xml:space="preserve"> </t>
    </r>
  </si>
  <si>
    <r>
      <t>AVERAGE SUMMER WEEKDAY EMISSIONS BY CTY TONSPERDAY (TPD)</t>
    </r>
    <r>
      <rPr>
        <b/>
        <sz val="10"/>
        <color indexed="8"/>
        <rFont val="Arial"/>
        <family val="2"/>
      </rPr>
      <t xml:space="preserve"> </t>
    </r>
  </si>
  <si>
    <t>Volatile Organic Compouds (VOC), Nitrogen Oxide (NOx) and Carbon Monoxide (CO)</t>
  </si>
  <si>
    <r>
      <t>ANNUAL AND SUMMER WEEKDAY EMISSIONS BY O3 NAA AND CTY TONSPERYEAR (TPY) AND TONSPERDAY (TPD)</t>
    </r>
    <r>
      <rPr>
        <b/>
        <sz val="10"/>
        <color indexed="8"/>
        <rFont val="Arial"/>
        <family val="2"/>
      </rPr>
      <t xml:space="preserve"> </t>
    </r>
  </si>
  <si>
    <t>PM2.5 _TPY</t>
  </si>
  <si>
    <t>Annual &amp; Average Summer Weekday  Emissions</t>
  </si>
  <si>
    <t>Appendix 4-6: 2017 Nonroad Sources Emission Inventory Calculations</t>
  </si>
  <si>
    <r>
      <t>TABLE 4: LOCOMOTIVE 2017 EMISSION FACTORS WITH GROWTH FACTOR INCLUDED FR 2014 TO 2017</t>
    </r>
    <r>
      <rPr>
        <b/>
        <vertAlign val="superscript"/>
        <sz val="11"/>
        <color indexed="8"/>
        <rFont val="Calibri"/>
        <family val="2"/>
      </rPr>
      <t>1-5</t>
    </r>
  </si>
  <si>
    <t>TABLE 5: YARD LOCOMOTIVES (SCC 2285002010) EMISSIONS GROWN TO 2017 AND CONTROLLED TO 2017 BY COUNTY TONSPERYEAR (TPY)</t>
  </si>
  <si>
    <t>TABLE 5A: YARD LOCOMOTIVES (SCC 2285002010) EMISSIONS GROWN TO 2017 AND COTNROLLED TO 2017 TONSPERYEAR (TPY)</t>
  </si>
  <si>
    <t>TABLE 6: NJTRANSIT COMMUTER LOCOMOTIVE EMISSIONS BY COUNTY GROWN TO 2017 AND CONTROLLED TO 2017 TONS PER YEAR (TPY)</t>
  </si>
  <si>
    <t>TABLE 7: NJTRANSIT COMMUTER EMISSIONS GROWN TO 2017 AND CONTROL TO 2017 CALCULATIONS</t>
  </si>
  <si>
    <t>TABLE 10: LINE-HAUL CLASS 2-3 TOTAL BY COUNTY EMISSIONS GROWN TO 2017 AND CONTROL TO 2017 TONS PER YEAR (TPY)</t>
  </si>
  <si>
    <t xml:space="preserve">TABLE 11: TOTAL 2014 ANNUAL LINE HAUL CLASS 2/3 LOCOMOTIVE (SCC: 2285002007) EMISSIONS GROWN TO 2017 AND CONTROL TO 2017 TONS PER YEAR (TPY) </t>
  </si>
  <si>
    <r>
      <t>Table 12A: NYSQWEstimated Class 1/2 line-haul fuel Usage  and Emissions grown to 2017 and control to 2017</t>
    </r>
    <r>
      <rPr>
        <b/>
        <vertAlign val="superscript"/>
        <sz val="11"/>
        <color indexed="8"/>
        <rFont val="Calibri"/>
        <family val="2"/>
      </rPr>
      <t>1</t>
    </r>
  </si>
  <si>
    <r>
      <t>Table 12B: NYSQW Estimated Diesel shortline class 3 operation Emissions grown to 2017 and control to 2017</t>
    </r>
    <r>
      <rPr>
        <b/>
        <vertAlign val="superscript"/>
        <sz val="11"/>
        <color indexed="8"/>
        <rFont val="Calibri"/>
        <family val="2"/>
      </rPr>
      <t>1,2</t>
    </r>
  </si>
  <si>
    <r>
      <t>Table 12C: NYSQW Estimated Diesel yard operation grown to 2017 and cotnrol to 2017</t>
    </r>
    <r>
      <rPr>
        <b/>
        <vertAlign val="superscript"/>
        <sz val="11"/>
        <color indexed="8"/>
        <rFont val="Calibri"/>
        <family val="2"/>
      </rPr>
      <t>1,2</t>
    </r>
  </si>
  <si>
    <t>Table 13: Shortline Railroads EMISSION CALCULATIONS FOR 2014</t>
  </si>
  <si>
    <t>TABLE 15: CONRAIL LINE-HAUL 2014 FUEL USE CALCULATIONS AND EMISSIONS GROWN TO 2017 AND COTNROL TO 2017 TONS PER YEAR (TPY)</t>
  </si>
  <si>
    <t>TABLE 16: CONRAIL YARD 2014 FUEL USE CALCULATIONS AND EMISSIONS GROWN TO 2017 CONTROLL TO 2017 TONS PER YEAR (TPY)</t>
  </si>
  <si>
    <t>TABLE 18: CLASS 1 LINE-HAUL COMPILE EMISSIONS TONS PER YEAR 2017 GROWTH 2017 CONTROL (TPY)</t>
  </si>
  <si>
    <r>
      <t>TABLE 19A: 2104 CSX Fuel Use Data AND 2017 EMISSIONS for Switcher and Line-Haul Operations in NJ</t>
    </r>
    <r>
      <rPr>
        <b/>
        <vertAlign val="superscript"/>
        <sz val="11"/>
        <color indexed="8"/>
        <rFont val="Calibri"/>
        <family val="2"/>
      </rPr>
      <t>1,3</t>
    </r>
  </si>
  <si>
    <r>
      <t>TABLE 19B: Number of CSX Switchers Operating in NJ AND 2017 EMISSIONS</t>
    </r>
    <r>
      <rPr>
        <b/>
        <vertAlign val="superscript"/>
        <sz val="11"/>
        <color indexed="8"/>
        <rFont val="Calibri"/>
        <family val="2"/>
      </rPr>
      <t>1,4,5&amp;6</t>
    </r>
  </si>
  <si>
    <t>TABLE 20:  NORFORK SOUTHERN (NS) EMISSIONS 2017 GROWTH AND 2017 CONTROL BY COUNTY TONSPERYEAR (TPY)</t>
  </si>
  <si>
    <t>TABLE 21: 2017 NORFORK SOUTHERN (NS) EMISSIONS CALCULATIONS TONSPERYEAR (TPY)  CONTROL TO 2017 GRW TO 2017</t>
  </si>
  <si>
    <t>Controlled 2017</t>
  </si>
  <si>
    <t>CONTROLLED 2017</t>
  </si>
  <si>
    <t>Railroad (Locomotive)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</si>
</sst>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7" formatCode="0.000000"/>
    <numFmt numFmtId="168" formatCode="0.00000"/>
    <numFmt numFmtId="169" formatCode="_(* #,##0_);_(* \(#,##0\);_(* &quot;-&quot;??_);_(@_)"/>
    <numFmt numFmtId="170" formatCode="0.0000"/>
    <numFmt numFmtId="171" formatCode="0.000"/>
    <numFmt numFmtId="172" formatCode="#,##0.0000"/>
    <numFmt numFmtId="177" formatCode="#,##0.0_);\(#,##0.0\)"/>
    <numFmt numFmtId="180" formatCode="0.00000000"/>
    <numFmt numFmtId="183" formatCode="0.0"/>
    <numFmt numFmtId="185" formatCode="#,##0.000"/>
  </numFmts>
  <fonts count="43" x14ac:knownFonts="1">
    <font>
      <sz val="11"/>
      <color theme="1"/>
      <name val="Calibri"/>
      <family val="2"/>
      <scheme val="minor"/>
    </font>
    <font>
      <sz val="11"/>
      <color indexed="8"/>
      <name val="Calibri"/>
      <family val="2"/>
    </font>
    <font>
      <b/>
      <sz val="11"/>
      <color indexed="8"/>
      <name val="Calibri"/>
      <family val="2"/>
    </font>
    <font>
      <sz val="10"/>
      <color indexed="8"/>
      <name val="Arial"/>
      <family val="2"/>
    </font>
    <font>
      <sz val="11"/>
      <color indexed="8"/>
      <name val="Calibri"/>
      <family val="2"/>
    </font>
    <font>
      <sz val="11"/>
      <color indexed="8"/>
      <name val="Calibri"/>
      <family val="2"/>
    </font>
    <font>
      <sz val="11"/>
      <color indexed="10"/>
      <name val="Calibri"/>
      <family val="2"/>
    </font>
    <font>
      <b/>
      <sz val="11"/>
      <color indexed="8"/>
      <name val="Calibri"/>
      <family val="2"/>
    </font>
    <font>
      <sz val="10"/>
      <name val="Arial"/>
      <family val="2"/>
    </font>
    <font>
      <b/>
      <sz val="10"/>
      <name val="Arial"/>
      <family val="2"/>
    </font>
    <font>
      <vertAlign val="superscript"/>
      <sz val="11"/>
      <color indexed="8"/>
      <name val="Calibri"/>
      <family val="2"/>
    </font>
    <font>
      <b/>
      <sz val="10"/>
      <name val="MS Sans Serif"/>
      <family val="2"/>
    </font>
    <font>
      <sz val="10"/>
      <name val="MS Sans Serif"/>
      <family val="2"/>
    </font>
    <font>
      <vertAlign val="superscript"/>
      <sz val="10"/>
      <name val="MS Sans Serif"/>
      <family val="2"/>
    </font>
    <font>
      <b/>
      <vertAlign val="superscript"/>
      <sz val="11"/>
      <color indexed="8"/>
      <name val="Calibri"/>
      <family val="2"/>
    </font>
    <font>
      <b/>
      <sz val="9"/>
      <name val="Arial"/>
      <family val="2"/>
    </font>
    <font>
      <b/>
      <u/>
      <sz val="10"/>
      <name val="Arial"/>
      <family val="2"/>
    </font>
    <font>
      <b/>
      <sz val="10"/>
      <color indexed="8"/>
      <name val="Arial"/>
      <family val="2"/>
    </font>
    <font>
      <vertAlign val="superscript"/>
      <sz val="11"/>
      <color indexed="8"/>
      <name val="Calibri"/>
      <family val="2"/>
    </font>
    <font>
      <vertAlign val="superscript"/>
      <sz val="11"/>
      <color indexed="8"/>
      <name val="Calibri"/>
      <family val="2"/>
    </font>
    <font>
      <b/>
      <vertAlign val="superscript"/>
      <sz val="11"/>
      <color indexed="8"/>
      <name val="Calibri"/>
      <family val="2"/>
    </font>
    <font>
      <vertAlign val="superscript"/>
      <sz val="11"/>
      <color indexed="8"/>
      <name val="Calibri"/>
      <family val="2"/>
    </font>
    <font>
      <sz val="12"/>
      <name val="Arial"/>
      <family val="2"/>
    </font>
    <font>
      <b/>
      <sz val="12"/>
      <name val="Arial"/>
      <family val="2"/>
    </font>
    <font>
      <b/>
      <vertAlign val="superscript"/>
      <sz val="12"/>
      <name val="Arial"/>
      <family val="2"/>
    </font>
    <font>
      <b/>
      <sz val="14"/>
      <name val="Arial"/>
      <family val="2"/>
    </font>
    <font>
      <vertAlign val="superscript"/>
      <sz val="12"/>
      <name val="Arial"/>
      <family val="2"/>
    </font>
    <font>
      <b/>
      <sz val="11"/>
      <color indexed="8"/>
      <name val="Calibri"/>
      <family val="2"/>
    </font>
    <font>
      <vertAlign val="superscript"/>
      <sz val="11"/>
      <color indexed="8"/>
      <name val="Calibri"/>
      <family val="2"/>
    </font>
    <font>
      <b/>
      <vertAlign val="superscript"/>
      <sz val="11"/>
      <color indexed="8"/>
      <name val="Calibri"/>
      <family val="2"/>
    </font>
    <font>
      <b/>
      <vertAlign val="superscript"/>
      <sz val="11"/>
      <color indexed="8"/>
      <name val="Calibri"/>
      <family val="2"/>
    </font>
    <font>
      <sz val="11"/>
      <color theme="1"/>
      <name val="Calibri"/>
      <family val="2"/>
      <scheme val="minor"/>
    </font>
    <font>
      <b/>
      <sz val="11"/>
      <color theme="1"/>
      <name val="Calibri"/>
      <family val="2"/>
      <scheme val="minor"/>
    </font>
    <font>
      <vertAlign val="superscript"/>
      <sz val="11"/>
      <color theme="1"/>
      <name val="Calibri"/>
      <family val="2"/>
      <scheme val="minor"/>
    </font>
    <font>
      <b/>
      <sz val="11"/>
      <color rgb="FF000000"/>
      <name val="Calibri"/>
      <family val="2"/>
    </font>
    <font>
      <sz val="11"/>
      <color rgb="FF000000"/>
      <name val="Calibri"/>
      <family val="2"/>
    </font>
    <font>
      <b/>
      <sz val="11"/>
      <color rgb="FFFF0000"/>
      <name val="Calibri"/>
      <family val="2"/>
      <scheme val="minor"/>
    </font>
    <font>
      <b/>
      <sz val="10"/>
      <color rgb="FFFF0000"/>
      <name val="Arial"/>
      <family val="2"/>
    </font>
    <font>
      <b/>
      <sz val="11"/>
      <color rgb="FFFF0000"/>
      <name val="Calibri"/>
      <family val="2"/>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indexed="13"/>
        <bgColor indexed="64"/>
      </patternFill>
    </fill>
    <fill>
      <patternFill patternType="solid">
        <fgColor rgb="FFC0C0C0"/>
        <bgColor rgb="FFC0C0C0"/>
      </patternFill>
    </fill>
    <fill>
      <patternFill patternType="solid">
        <fgColor rgb="FFFFFF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medium">
        <color indexed="8"/>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thin">
        <color indexed="8"/>
      </right>
      <top style="thin">
        <color indexed="8"/>
      </top>
      <bottom style="thin">
        <color indexed="8"/>
      </bottom>
      <diagonal/>
    </border>
    <border>
      <left/>
      <right/>
      <top style="thin">
        <color indexed="64"/>
      </top>
      <bottom/>
      <diagonal/>
    </border>
    <border>
      <left style="thin">
        <color indexed="8"/>
      </left>
      <right style="medium">
        <color indexed="8"/>
      </right>
      <top style="thin">
        <color indexed="8"/>
      </top>
      <bottom/>
      <diagonal/>
    </border>
    <border>
      <left/>
      <right/>
      <top style="medium">
        <color indexed="8"/>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8"/>
      </left>
      <right/>
      <top/>
      <bottom style="thin">
        <color indexed="8"/>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8"/>
      </right>
      <top/>
      <bottom/>
      <diagonal/>
    </border>
    <border>
      <left style="thin">
        <color indexed="8"/>
      </left>
      <right/>
      <top style="medium">
        <color indexed="8"/>
      </top>
      <bottom style="thin">
        <color indexed="8"/>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43" fontId="5" fillId="0" borderId="0" applyFont="0" applyFill="0" applyBorder="0" applyAlignment="0" applyProtection="0"/>
    <xf numFmtId="0" fontId="8" fillId="0" borderId="0"/>
    <xf numFmtId="0" fontId="8" fillId="0" borderId="0"/>
    <xf numFmtId="0" fontId="8" fillId="0" borderId="0"/>
  </cellStyleXfs>
  <cellXfs count="608">
    <xf numFmtId="0" fontId="0" fillId="0" borderId="0" xfId="0"/>
    <xf numFmtId="1" fontId="0" fillId="0" borderId="0" xfId="0" applyNumberFormat="1"/>
    <xf numFmtId="0" fontId="0" fillId="0" borderId="0" xfId="0" applyAlignment="1">
      <alignment horizontal="center"/>
    </xf>
    <xf numFmtId="0" fontId="6" fillId="0" borderId="0" xfId="0" applyFont="1"/>
    <xf numFmtId="0" fontId="0" fillId="0" borderId="0" xfId="0" applyAlignment="1">
      <alignment wrapText="1"/>
    </xf>
    <xf numFmtId="0" fontId="2" fillId="0" borderId="0" xfId="0" applyFont="1" applyAlignment="1">
      <alignment wrapText="1"/>
    </xf>
    <xf numFmtId="0" fontId="0" fillId="0" borderId="0" xfId="0" applyBorder="1"/>
    <xf numFmtId="3" fontId="0" fillId="0" borderId="0" xfId="0" applyNumberFormat="1"/>
    <xf numFmtId="0" fontId="4" fillId="0" borderId="0" xfId="0" applyFont="1"/>
    <xf numFmtId="49" fontId="4" fillId="0" borderId="0" xfId="0" applyNumberFormat="1" applyFont="1" applyBorder="1"/>
    <xf numFmtId="2" fontId="0" fillId="0" borderId="0" xfId="0" applyNumberFormat="1"/>
    <xf numFmtId="1" fontId="2" fillId="0" borderId="0" xfId="0" applyNumberFormat="1" applyFont="1"/>
    <xf numFmtId="0" fontId="0" fillId="0" borderId="1" xfId="0" applyBorder="1"/>
    <xf numFmtId="170" fontId="0" fillId="0" borderId="0" xfId="0" applyNumberFormat="1"/>
    <xf numFmtId="1" fontId="2" fillId="0" borderId="0" xfId="0" applyNumberFormat="1"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1" fontId="2" fillId="0" borderId="3" xfId="0" applyNumberFormat="1" applyFont="1" applyBorder="1"/>
    <xf numFmtId="1" fontId="1" fillId="0" borderId="1" xfId="0" applyNumberFormat="1" applyFont="1" applyBorder="1"/>
    <xf numFmtId="2" fontId="1" fillId="0" borderId="1" xfId="0" applyNumberFormat="1" applyFont="1" applyBorder="1"/>
    <xf numFmtId="170" fontId="0" fillId="0" borderId="4" xfId="0" applyNumberFormat="1" applyBorder="1"/>
    <xf numFmtId="0" fontId="32" fillId="0" borderId="5" xfId="0" applyFont="1" applyBorder="1"/>
    <xf numFmtId="0" fontId="0" fillId="0" borderId="6" xfId="0" applyBorder="1"/>
    <xf numFmtId="0" fontId="2" fillId="0" borderId="2" xfId="0" applyFont="1" applyBorder="1" applyAlignment="1">
      <alignment wrapText="1"/>
    </xf>
    <xf numFmtId="0" fontId="2" fillId="0" borderId="3" xfId="0" applyFont="1" applyBorder="1" applyAlignment="1">
      <alignment wrapText="1"/>
    </xf>
    <xf numFmtId="1" fontId="2" fillId="0" borderId="3" xfId="0" applyNumberFormat="1" applyFont="1" applyBorder="1" applyAlignment="1">
      <alignment wrapText="1"/>
    </xf>
    <xf numFmtId="0" fontId="9" fillId="0" borderId="3" xfId="4" applyFont="1" applyBorder="1" applyAlignment="1">
      <alignment horizontal="center"/>
    </xf>
    <xf numFmtId="0" fontId="9" fillId="0" borderId="3" xfId="4" applyFont="1" applyBorder="1" applyAlignment="1">
      <alignment wrapText="1"/>
    </xf>
    <xf numFmtId="2" fontId="9" fillId="0" borderId="3" xfId="3" applyNumberFormat="1" applyFont="1" applyBorder="1" applyAlignment="1">
      <alignment horizontal="center" wrapText="1"/>
    </xf>
    <xf numFmtId="0" fontId="0" fillId="0" borderId="7" xfId="0" applyBorder="1"/>
    <xf numFmtId="0" fontId="0" fillId="0" borderId="1" xfId="0" applyBorder="1"/>
    <xf numFmtId="0" fontId="32" fillId="0" borderId="0" xfId="0" applyFont="1"/>
    <xf numFmtId="0" fontId="2" fillId="0" borderId="3" xfId="0" applyFont="1" applyBorder="1" applyAlignment="1">
      <alignment horizontal="center" wrapText="1"/>
    </xf>
    <xf numFmtId="0" fontId="2" fillId="0" borderId="8" xfId="0" applyFont="1" applyBorder="1" applyAlignment="1">
      <alignment wrapText="1"/>
    </xf>
    <xf numFmtId="1" fontId="1" fillId="0" borderId="5" xfId="0" applyNumberFormat="1" applyFont="1" applyBorder="1"/>
    <xf numFmtId="1" fontId="2" fillId="0" borderId="5" xfId="0" applyNumberFormat="1" applyFont="1" applyBorder="1"/>
    <xf numFmtId="0" fontId="3" fillId="0" borderId="7" xfId="0" quotePrefix="1" applyFont="1" applyBorder="1"/>
    <xf numFmtId="0" fontId="3" fillId="0" borderId="1" xfId="0" applyFont="1" applyFill="1" applyBorder="1"/>
    <xf numFmtId="0" fontId="4" fillId="0" borderId="1" xfId="0" applyFont="1" applyBorder="1" applyAlignment="1">
      <alignment horizontal="center"/>
    </xf>
    <xf numFmtId="0" fontId="3" fillId="0" borderId="1" xfId="0" applyFont="1" applyBorder="1"/>
    <xf numFmtId="4" fontId="4" fillId="0" borderId="1" xfId="0" applyNumberFormat="1" applyFont="1" applyBorder="1"/>
    <xf numFmtId="1" fontId="4" fillId="0" borderId="1" xfId="0" applyNumberFormat="1" applyFont="1" applyBorder="1" applyAlignment="1">
      <alignment horizontal="center"/>
    </xf>
    <xf numFmtId="49" fontId="4" fillId="0" borderId="7" xfId="0" applyNumberFormat="1" applyFont="1" applyBorder="1"/>
    <xf numFmtId="49" fontId="4" fillId="0" borderId="1" xfId="0" applyNumberFormat="1" applyFont="1" applyBorder="1"/>
    <xf numFmtId="1" fontId="4" fillId="0" borderId="1" xfId="0" applyNumberFormat="1" applyFont="1" applyBorder="1"/>
    <xf numFmtId="2" fontId="3" fillId="0" borderId="1" xfId="0" applyNumberFormat="1" applyFont="1" applyBorder="1"/>
    <xf numFmtId="49" fontId="4" fillId="0" borderId="9" xfId="0" applyNumberFormat="1" applyFont="1" applyBorder="1"/>
    <xf numFmtId="49" fontId="4" fillId="0" borderId="5" xfId="0" applyNumberFormat="1" applyFont="1" applyBorder="1"/>
    <xf numFmtId="2" fontId="1" fillId="0" borderId="5" xfId="0" applyNumberFormat="1" applyFont="1" applyBorder="1"/>
    <xf numFmtId="0" fontId="4" fillId="0" borderId="5" xfId="0" applyFont="1" applyBorder="1" applyAlignment="1">
      <alignment horizontal="center"/>
    </xf>
    <xf numFmtId="4" fontId="4" fillId="0" borderId="5" xfId="0" applyNumberFormat="1" applyFont="1" applyBorder="1"/>
    <xf numFmtId="170" fontId="4" fillId="0" borderId="1" xfId="0" applyNumberFormat="1" applyFont="1" applyBorder="1"/>
    <xf numFmtId="0" fontId="0" fillId="0" borderId="10" xfId="0" applyBorder="1"/>
    <xf numFmtId="0" fontId="0" fillId="0" borderId="10" xfId="0" applyBorder="1" applyAlignment="1">
      <alignment horizontal="center"/>
    </xf>
    <xf numFmtId="1" fontId="0" fillId="0" borderId="10" xfId="0" applyNumberFormat="1" applyBorder="1"/>
    <xf numFmtId="49" fontId="2" fillId="0" borderId="11" xfId="0" applyNumberFormat="1" applyFont="1" applyFill="1" applyBorder="1"/>
    <xf numFmtId="49" fontId="2" fillId="0" borderId="10" xfId="0" applyNumberFormat="1" applyFont="1" applyBorder="1"/>
    <xf numFmtId="0" fontId="32" fillId="0" borderId="10" xfId="0" applyFont="1" applyBorder="1"/>
    <xf numFmtId="2" fontId="32" fillId="0" borderId="10" xfId="0" applyNumberFormat="1" applyFont="1" applyBorder="1"/>
    <xf numFmtId="2" fontId="32" fillId="0" borderId="12" xfId="0" applyNumberFormat="1" applyFont="1" applyBorder="1"/>
    <xf numFmtId="0" fontId="2" fillId="0" borderId="13" xfId="0" applyFont="1" applyBorder="1" applyAlignment="1">
      <alignment wrapText="1"/>
    </xf>
    <xf numFmtId="0" fontId="4" fillId="0" borderId="14" xfId="0" applyFont="1" applyBorder="1"/>
    <xf numFmtId="0" fontId="0" fillId="0" borderId="15" xfId="0" applyBorder="1"/>
    <xf numFmtId="171" fontId="9" fillId="0" borderId="3" xfId="3" applyNumberFormat="1" applyFont="1" applyBorder="1" applyAlignment="1">
      <alignment horizontal="center" wrapText="1"/>
    </xf>
    <xf numFmtId="0" fontId="9" fillId="0" borderId="3" xfId="3" applyFont="1" applyBorder="1" applyAlignment="1">
      <alignment horizontal="center" wrapText="1"/>
    </xf>
    <xf numFmtId="0" fontId="0" fillId="0" borderId="0" xfId="0" applyFill="1" applyBorder="1"/>
    <xf numFmtId="1" fontId="2" fillId="0" borderId="1" xfId="0" applyNumberFormat="1" applyFont="1" applyBorder="1"/>
    <xf numFmtId="0" fontId="32" fillId="0" borderId="3" xfId="0" applyFont="1" applyBorder="1"/>
    <xf numFmtId="1" fontId="2" fillId="0" borderId="7" xfId="0" applyNumberFormat="1" applyFont="1" applyBorder="1"/>
    <xf numFmtId="1" fontId="2" fillId="0" borderId="9" xfId="0" applyNumberFormat="1" applyFont="1" applyBorder="1"/>
    <xf numFmtId="0" fontId="2" fillId="2" borderId="5" xfId="0" applyFont="1" applyFill="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15" fontId="9" fillId="0" borderId="0" xfId="0" applyNumberFormat="1" applyFont="1" applyAlignment="1">
      <alignment horizontal="center"/>
    </xf>
    <xf numFmtId="0" fontId="33" fillId="0" borderId="0" xfId="0" applyFont="1" applyAlignment="1">
      <alignment horizontal="left"/>
    </xf>
    <xf numFmtId="43" fontId="31" fillId="0" borderId="16" xfId="1" applyFont="1" applyBorder="1"/>
    <xf numFmtId="0" fontId="0" fillId="0" borderId="17" xfId="0" applyBorder="1"/>
    <xf numFmtId="0" fontId="0" fillId="0" borderId="18" xfId="0" applyBorder="1"/>
    <xf numFmtId="43" fontId="31" fillId="0" borderId="19" xfId="1" applyFont="1" applyBorder="1"/>
    <xf numFmtId="0" fontId="0" fillId="0" borderId="7" xfId="0" applyBorder="1"/>
    <xf numFmtId="14" fontId="0" fillId="0" borderId="1" xfId="0" applyNumberFormat="1" applyBorder="1" applyAlignment="1" applyProtection="1">
      <alignment vertical="center"/>
    </xf>
    <xf numFmtId="43" fontId="31" fillId="0" borderId="20" xfId="1" applyFont="1" applyBorder="1"/>
    <xf numFmtId="0" fontId="11" fillId="0" borderId="17" xfId="0" applyFont="1" applyBorder="1"/>
    <xf numFmtId="0" fontId="11" fillId="0" borderId="18" xfId="0" applyFont="1" applyBorder="1"/>
    <xf numFmtId="14" fontId="11" fillId="0" borderId="18" xfId="0" applyNumberFormat="1" applyFont="1" applyBorder="1" applyAlignment="1" applyProtection="1">
      <alignment vertical="center"/>
    </xf>
    <xf numFmtId="43" fontId="11" fillId="0" borderId="19" xfId="1" applyFont="1" applyBorder="1"/>
    <xf numFmtId="14" fontId="0" fillId="0" borderId="18" xfId="0" applyNumberFormat="1" applyBorder="1" applyAlignment="1" applyProtection="1">
      <alignment vertical="center"/>
    </xf>
    <xf numFmtId="0" fontId="0" fillId="0" borderId="21" xfId="0" applyBorder="1"/>
    <xf numFmtId="0" fontId="0" fillId="0" borderId="22" xfId="0" applyBorder="1"/>
    <xf numFmtId="14" fontId="0" fillId="0" borderId="22" xfId="0" applyNumberFormat="1" applyBorder="1" applyAlignment="1" applyProtection="1">
      <alignment vertical="center"/>
    </xf>
    <xf numFmtId="0" fontId="0" fillId="0" borderId="23" xfId="0" applyBorder="1"/>
    <xf numFmtId="0" fontId="0" fillId="0" borderId="24" xfId="0" applyBorder="1"/>
    <xf numFmtId="0" fontId="0" fillId="0" borderId="25" xfId="0" applyBorder="1"/>
    <xf numFmtId="0" fontId="0" fillId="0" borderId="5" xfId="0" applyBorder="1"/>
    <xf numFmtId="0" fontId="0" fillId="0" borderId="26" xfId="0" applyBorder="1"/>
    <xf numFmtId="14" fontId="0" fillId="0" borderId="24" xfId="0" applyNumberFormat="1" applyBorder="1" applyAlignment="1" applyProtection="1">
      <alignment vertical="center"/>
    </xf>
    <xf numFmtId="43" fontId="31" fillId="0" borderId="27" xfId="1" applyFont="1" applyBorder="1"/>
    <xf numFmtId="0" fontId="0" fillId="0" borderId="28" xfId="0" applyBorder="1"/>
    <xf numFmtId="14" fontId="0" fillId="0" borderId="23" xfId="0" applyNumberFormat="1" applyBorder="1" applyAlignment="1" applyProtection="1">
      <alignment vertical="center"/>
    </xf>
    <xf numFmtId="43" fontId="31" fillId="0" borderId="29" xfId="1" applyFont="1" applyBorder="1"/>
    <xf numFmtId="43" fontId="31" fillId="0" borderId="0" xfId="1" applyFont="1"/>
    <xf numFmtId="0" fontId="9" fillId="0" borderId="1" xfId="0" applyFont="1" applyBorder="1"/>
    <xf numFmtId="0" fontId="9" fillId="0" borderId="5" xfId="0" applyFont="1" applyBorder="1"/>
    <xf numFmtId="2" fontId="0" fillId="0" borderId="1" xfId="0" applyNumberFormat="1" applyBorder="1"/>
    <xf numFmtId="2" fontId="0" fillId="0" borderId="4" xfId="0" applyNumberFormat="1" applyBorder="1"/>
    <xf numFmtId="2" fontId="0" fillId="0" borderId="5" xfId="0" applyNumberFormat="1" applyBorder="1"/>
    <xf numFmtId="0" fontId="0" fillId="0" borderId="30" xfId="0" applyBorder="1"/>
    <xf numFmtId="0" fontId="8" fillId="0" borderId="1" xfId="0" applyFont="1" applyBorder="1"/>
    <xf numFmtId="3" fontId="0" fillId="0" borderId="0" xfId="0" applyNumberFormat="1" applyBorder="1"/>
    <xf numFmtId="4" fontId="0" fillId="0" borderId="0" xfId="0" applyNumberFormat="1" applyBorder="1"/>
    <xf numFmtId="4" fontId="0" fillId="0" borderId="1" xfId="0" applyNumberFormat="1" applyBorder="1"/>
    <xf numFmtId="0" fontId="0" fillId="0" borderId="31" xfId="0" applyBorder="1"/>
    <xf numFmtId="3" fontId="0" fillId="0" borderId="4" xfId="0" applyNumberFormat="1" applyBorder="1"/>
    <xf numFmtId="0" fontId="4" fillId="0" borderId="32" xfId="0" applyFont="1" applyBorder="1"/>
    <xf numFmtId="0" fontId="0" fillId="0" borderId="33" xfId="0" applyBorder="1"/>
    <xf numFmtId="0" fontId="0" fillId="0" borderId="34" xfId="0" applyBorder="1"/>
    <xf numFmtId="14" fontId="0" fillId="0" borderId="34" xfId="0" applyNumberFormat="1" applyBorder="1" applyAlignment="1" applyProtection="1">
      <alignment vertical="center"/>
    </xf>
    <xf numFmtId="43" fontId="31" fillId="0" borderId="34" xfId="1" applyFont="1" applyBorder="1"/>
    <xf numFmtId="14" fontId="0" fillId="0" borderId="0" xfId="0" applyNumberFormat="1" applyBorder="1" applyAlignment="1" applyProtection="1">
      <alignment vertical="center"/>
    </xf>
    <xf numFmtId="43" fontId="31" fillId="0" borderId="0" xfId="1" applyFont="1" applyBorder="1"/>
    <xf numFmtId="0" fontId="11" fillId="0" borderId="0" xfId="0" applyFont="1" applyBorder="1"/>
    <xf numFmtId="14" fontId="11" fillId="0" borderId="0" xfId="0" applyNumberFormat="1" applyFont="1" applyBorder="1" applyAlignment="1" applyProtection="1">
      <alignment vertical="center"/>
    </xf>
    <xf numFmtId="43" fontId="11" fillId="0" borderId="0" xfId="1" applyFont="1" applyBorder="1"/>
    <xf numFmtId="1" fontId="11" fillId="0" borderId="0" xfId="0" applyNumberFormat="1" applyFont="1" applyBorder="1"/>
    <xf numFmtId="43" fontId="0" fillId="0" borderId="0" xfId="0" applyNumberFormat="1" applyBorder="1"/>
    <xf numFmtId="43" fontId="31" fillId="0" borderId="35" xfId="1" applyFont="1" applyBorder="1"/>
    <xf numFmtId="0" fontId="0" fillId="0" borderId="36" xfId="0" applyBorder="1"/>
    <xf numFmtId="14" fontId="0" fillId="0" borderId="36" xfId="0" applyNumberFormat="1" applyBorder="1" applyAlignment="1" applyProtection="1">
      <alignment vertical="center"/>
    </xf>
    <xf numFmtId="43" fontId="31" fillId="0" borderId="36" xfId="1" applyFont="1" applyBorder="1"/>
    <xf numFmtId="0" fontId="11" fillId="0" borderId="0" xfId="0" applyFont="1" applyFill="1" applyBorder="1"/>
    <xf numFmtId="37" fontId="11" fillId="0" borderId="0" xfId="0" applyNumberFormat="1" applyFont="1" applyBorder="1"/>
    <xf numFmtId="0" fontId="34" fillId="4" borderId="1" xfId="0" applyFont="1" applyFill="1" applyBorder="1" applyAlignment="1" applyProtection="1">
      <alignment horizontal="center" vertical="center"/>
    </xf>
    <xf numFmtId="0" fontId="35" fillId="0" borderId="100" xfId="0" applyFont="1" applyFill="1" applyBorder="1" applyAlignment="1" applyProtection="1">
      <alignment vertical="center" wrapText="1"/>
    </xf>
    <xf numFmtId="14" fontId="35" fillId="0" borderId="100" xfId="0" applyNumberFormat="1" applyFont="1" applyFill="1" applyBorder="1" applyAlignment="1" applyProtection="1">
      <alignment horizontal="right" vertical="center" wrapText="1"/>
    </xf>
    <xf numFmtId="4" fontId="35" fillId="0" borderId="100" xfId="0" applyNumberFormat="1" applyFont="1" applyFill="1" applyBorder="1" applyAlignment="1" applyProtection="1">
      <alignment horizontal="right" vertical="center" wrapText="1"/>
    </xf>
    <xf numFmtId="0" fontId="12" fillId="0" borderId="0" xfId="0" applyFont="1"/>
    <xf numFmtId="4" fontId="0" fillId="0" borderId="0" xfId="0" applyNumberFormat="1"/>
    <xf numFmtId="177" fontId="11" fillId="0" borderId="0" xfId="0" applyNumberFormat="1" applyFont="1" applyBorder="1"/>
    <xf numFmtId="180" fontId="0" fillId="0" borderId="0" xfId="0" applyNumberFormat="1"/>
    <xf numFmtId="0" fontId="9" fillId="0" borderId="0" xfId="0" applyFont="1"/>
    <xf numFmtId="3" fontId="9" fillId="0" borderId="0" xfId="0" applyNumberFormat="1" applyFont="1"/>
    <xf numFmtId="0" fontId="8" fillId="0" borderId="0" xfId="0" applyFont="1"/>
    <xf numFmtId="0" fontId="8" fillId="0" borderId="7" xfId="0" applyFont="1" applyBorder="1"/>
    <xf numFmtId="0" fontId="16" fillId="0" borderId="0" xfId="0" applyFont="1"/>
    <xf numFmtId="1" fontId="0" fillId="0" borderId="1" xfId="0" applyNumberFormat="1" applyBorder="1"/>
    <xf numFmtId="1" fontId="0" fillId="0" borderId="1" xfId="0" quotePrefix="1" applyNumberFormat="1" applyBorder="1"/>
    <xf numFmtId="171" fontId="0" fillId="0" borderId="1" xfId="0" applyNumberFormat="1" applyBorder="1"/>
    <xf numFmtId="170" fontId="0" fillId="0" borderId="1" xfId="0" applyNumberFormat="1" applyBorder="1"/>
    <xf numFmtId="1" fontId="9" fillId="0" borderId="1" xfId="0" applyNumberFormat="1" applyFont="1" applyBorder="1"/>
    <xf numFmtId="4" fontId="0" fillId="0" borderId="1" xfId="0" quotePrefix="1" applyNumberFormat="1" applyBorder="1"/>
    <xf numFmtId="0" fontId="0" fillId="0" borderId="1" xfId="0" quotePrefix="1" applyBorder="1"/>
    <xf numFmtId="4" fontId="0" fillId="0" borderId="34" xfId="0" applyNumberFormat="1" applyBorder="1"/>
    <xf numFmtId="2" fontId="0" fillId="0" borderId="34" xfId="0" applyNumberFormat="1" applyBorder="1"/>
    <xf numFmtId="0" fontId="9" fillId="0" borderId="37" xfId="0" applyFont="1" applyBorder="1"/>
    <xf numFmtId="0" fontId="0" fillId="0" borderId="38" xfId="0" applyBorder="1"/>
    <xf numFmtId="4" fontId="0" fillId="0" borderId="38" xfId="0" applyNumberFormat="1" applyBorder="1"/>
    <xf numFmtId="2" fontId="0" fillId="0" borderId="38" xfId="0" applyNumberFormat="1" applyBorder="1"/>
    <xf numFmtId="43" fontId="0" fillId="0" borderId="0" xfId="0" applyNumberFormat="1"/>
    <xf numFmtId="0" fontId="0" fillId="0" borderId="0" xfId="0" applyBorder="1" applyAlignment="1">
      <alignment wrapText="1"/>
    </xf>
    <xf numFmtId="0" fontId="0" fillId="0" borderId="1" xfId="0" applyBorder="1"/>
    <xf numFmtId="3" fontId="0" fillId="0" borderId="1" xfId="0" applyNumberFormat="1" applyBorder="1"/>
    <xf numFmtId="0" fontId="0" fillId="0" borderId="2" xfId="0" applyBorder="1"/>
    <xf numFmtId="0" fontId="0" fillId="0" borderId="3" xfId="0" applyBorder="1"/>
    <xf numFmtId="0" fontId="0" fillId="0" borderId="3" xfId="0" applyBorder="1" applyAlignment="1">
      <alignment wrapText="1"/>
    </xf>
    <xf numFmtId="0" fontId="9" fillId="0" borderId="8" xfId="3" applyFont="1" applyBorder="1" applyAlignment="1">
      <alignment horizontal="center" wrapText="1"/>
    </xf>
    <xf numFmtId="0" fontId="0" fillId="0" borderId="7" xfId="0" applyBorder="1"/>
    <xf numFmtId="0" fontId="0" fillId="0" borderId="9" xfId="0" applyBorder="1"/>
    <xf numFmtId="0" fontId="0" fillId="0" borderId="5" xfId="0" applyBorder="1"/>
    <xf numFmtId="0" fontId="0" fillId="0" borderId="7" xfId="0" applyFill="1" applyBorder="1"/>
    <xf numFmtId="0" fontId="0" fillId="0" borderId="9" xfId="0" applyFill="1" applyBorder="1"/>
    <xf numFmtId="3" fontId="0" fillId="0" borderId="5" xfId="0" applyNumberFormat="1" applyBorder="1"/>
    <xf numFmtId="0" fontId="9" fillId="0" borderId="1" xfId="4" applyFont="1" applyBorder="1" applyAlignment="1">
      <alignment horizontal="center"/>
    </xf>
    <xf numFmtId="0" fontId="9" fillId="0" borderId="1" xfId="4" applyFont="1" applyBorder="1" applyAlignment="1">
      <alignment wrapText="1"/>
    </xf>
    <xf numFmtId="2" fontId="9" fillId="0" borderId="1" xfId="3" applyNumberFormat="1" applyFont="1" applyBorder="1" applyAlignment="1">
      <alignment horizontal="center" wrapText="1"/>
    </xf>
    <xf numFmtId="171" fontId="9" fillId="0" borderId="1" xfId="3" applyNumberFormat="1" applyFont="1" applyBorder="1" applyAlignment="1">
      <alignment horizontal="center" wrapText="1"/>
    </xf>
    <xf numFmtId="0" fontId="9" fillId="0" borderId="1" xfId="3" applyFont="1" applyBorder="1" applyAlignment="1">
      <alignment horizontal="center" wrapText="1"/>
    </xf>
    <xf numFmtId="0" fontId="0" fillId="0" borderId="1" xfId="0" quotePrefix="1" applyBorder="1"/>
    <xf numFmtId="0" fontId="32" fillId="0" borderId="0" xfId="0" applyFont="1" applyFill="1" applyBorder="1"/>
    <xf numFmtId="0" fontId="0" fillId="0" borderId="39" xfId="0" applyFill="1" applyBorder="1"/>
    <xf numFmtId="0" fontId="16" fillId="0" borderId="1" xfId="0" applyFont="1" applyBorder="1"/>
    <xf numFmtId="0" fontId="0" fillId="0" borderId="16" xfId="0" applyBorder="1"/>
    <xf numFmtId="2" fontId="0" fillId="0" borderId="1" xfId="0" applyNumberFormat="1" applyBorder="1"/>
    <xf numFmtId="2" fontId="0" fillId="0" borderId="16" xfId="0" applyNumberFormat="1" applyBorder="1"/>
    <xf numFmtId="0" fontId="0" fillId="0" borderId="40" xfId="0" applyBorder="1"/>
    <xf numFmtId="2" fontId="0" fillId="0" borderId="40" xfId="0" applyNumberFormat="1" applyBorder="1"/>
    <xf numFmtId="2" fontId="0" fillId="0" borderId="41" xfId="0" applyNumberFormat="1" applyBorder="1"/>
    <xf numFmtId="0" fontId="0" fillId="0" borderId="13" xfId="0" applyBorder="1"/>
    <xf numFmtId="0" fontId="16" fillId="0" borderId="3" xfId="0" applyFont="1" applyBorder="1"/>
    <xf numFmtId="2" fontId="0" fillId="0" borderId="3" xfId="0" applyNumberFormat="1" applyBorder="1"/>
    <xf numFmtId="2" fontId="0" fillId="0" borderId="42" xfId="0" applyNumberFormat="1" applyBorder="1"/>
    <xf numFmtId="0" fontId="0" fillId="0" borderId="14" xfId="0" applyBorder="1"/>
    <xf numFmtId="0" fontId="0" fillId="0" borderId="32" xfId="0" applyBorder="1"/>
    <xf numFmtId="0" fontId="0" fillId="0" borderId="40" xfId="0" quotePrefix="1" applyBorder="1"/>
    <xf numFmtId="0" fontId="9" fillId="0" borderId="40" xfId="0" applyFont="1" applyBorder="1"/>
    <xf numFmtId="2" fontId="0" fillId="0" borderId="43" xfId="0" applyNumberFormat="1" applyBorder="1"/>
    <xf numFmtId="0" fontId="16" fillId="0" borderId="30" xfId="0" applyFont="1" applyBorder="1"/>
    <xf numFmtId="2" fontId="0" fillId="0" borderId="30" xfId="0" applyNumberFormat="1" applyBorder="1"/>
    <xf numFmtId="2" fontId="0" fillId="0" borderId="37" xfId="0" applyNumberFormat="1" applyBorder="1"/>
    <xf numFmtId="0" fontId="9" fillId="0" borderId="1" xfId="0" quotePrefix="1" applyFont="1" applyBorder="1"/>
    <xf numFmtId="0" fontId="0" fillId="0" borderId="41" xfId="0" applyBorder="1"/>
    <xf numFmtId="0" fontId="9" fillId="0" borderId="3" xfId="0" applyFont="1" applyBorder="1"/>
    <xf numFmtId="0" fontId="0" fillId="0" borderId="42" xfId="0" applyBorder="1"/>
    <xf numFmtId="11" fontId="0" fillId="0" borderId="1" xfId="0" applyNumberFormat="1" applyBorder="1"/>
    <xf numFmtId="0" fontId="0" fillId="0" borderId="1" xfId="0" applyNumberFormat="1" applyBorder="1"/>
    <xf numFmtId="0" fontId="0" fillId="0" borderId="44" xfId="0" applyBorder="1"/>
    <xf numFmtId="11" fontId="0" fillId="0" borderId="40" xfId="0" applyNumberFormat="1" applyBorder="1"/>
    <xf numFmtId="0" fontId="0" fillId="0" borderId="45" xfId="0" applyBorder="1"/>
    <xf numFmtId="0" fontId="0" fillId="0" borderId="25" xfId="0" applyBorder="1"/>
    <xf numFmtId="0" fontId="0" fillId="0" borderId="46" xfId="0" applyBorder="1"/>
    <xf numFmtId="0" fontId="0" fillId="0" borderId="43" xfId="0" applyBorder="1"/>
    <xf numFmtId="0" fontId="0" fillId="0" borderId="10" xfId="0" applyBorder="1"/>
    <xf numFmtId="0" fontId="0" fillId="0" borderId="47" xfId="0" applyBorder="1"/>
    <xf numFmtId="11" fontId="0" fillId="0" borderId="10" xfId="0" applyNumberFormat="1" applyBorder="1"/>
    <xf numFmtId="0" fontId="17" fillId="0" borderId="1" xfId="0" applyFont="1" applyBorder="1"/>
    <xf numFmtId="0" fontId="1" fillId="0" borderId="0" xfId="0" applyFont="1"/>
    <xf numFmtId="49" fontId="1" fillId="0" borderId="7" xfId="0" applyNumberFormat="1" applyFont="1" applyBorder="1"/>
    <xf numFmtId="49" fontId="2" fillId="0" borderId="7" xfId="0" applyNumberFormat="1" applyFont="1" applyBorder="1"/>
    <xf numFmtId="49" fontId="2" fillId="0" borderId="1" xfId="0" applyNumberFormat="1" applyFont="1" applyBorder="1"/>
    <xf numFmtId="2" fontId="2" fillId="0" borderId="1" xfId="0" applyNumberFormat="1" applyFont="1" applyBorder="1"/>
    <xf numFmtId="0" fontId="2" fillId="0" borderId="1" xfId="0" applyFont="1" applyBorder="1" applyAlignment="1">
      <alignment horizontal="center"/>
    </xf>
    <xf numFmtId="4" fontId="2" fillId="0" borderId="1" xfId="0" applyNumberFormat="1" applyFont="1" applyBorder="1"/>
    <xf numFmtId="1" fontId="2" fillId="0" borderId="1" xfId="0" applyNumberFormat="1" applyFont="1" applyBorder="1" applyAlignment="1">
      <alignment horizontal="center"/>
    </xf>
    <xf numFmtId="0" fontId="0" fillId="0" borderId="2" xfId="0" applyBorder="1"/>
    <xf numFmtId="0" fontId="0" fillId="0" borderId="3" xfId="0" applyBorder="1"/>
    <xf numFmtId="0" fontId="0" fillId="0" borderId="8" xfId="0" applyBorder="1"/>
    <xf numFmtId="0" fontId="0" fillId="0" borderId="7" xfId="0" applyBorder="1"/>
    <xf numFmtId="0" fontId="0" fillId="0" borderId="1" xfId="0" applyBorder="1"/>
    <xf numFmtId="0" fontId="0" fillId="0" borderId="4" xfId="0" applyBorder="1"/>
    <xf numFmtId="0" fontId="0" fillId="0" borderId="9" xfId="0" applyBorder="1"/>
    <xf numFmtId="0" fontId="0" fillId="0" borderId="5" xfId="0" applyBorder="1"/>
    <xf numFmtId="0" fontId="0" fillId="0" borderId="48" xfId="0" applyBorder="1"/>
    <xf numFmtId="0" fontId="0" fillId="0" borderId="14" xfId="0" applyBorder="1"/>
    <xf numFmtId="0" fontId="0" fillId="0" borderId="16" xfId="0" applyBorder="1" applyAlignment="1">
      <alignment wrapText="1"/>
    </xf>
    <xf numFmtId="43" fontId="0" fillId="0" borderId="1" xfId="0" quotePrefix="1" applyNumberFormat="1" applyBorder="1"/>
    <xf numFmtId="4" fontId="0" fillId="0" borderId="0" xfId="0" applyNumberFormat="1" applyFill="1" applyBorder="1"/>
    <xf numFmtId="0" fontId="0" fillId="0" borderId="1" xfId="0" applyBorder="1" applyAlignment="1">
      <alignment horizontal="center"/>
    </xf>
    <xf numFmtId="0" fontId="0" fillId="0" borderId="25" xfId="0" applyBorder="1"/>
    <xf numFmtId="0" fontId="0" fillId="0" borderId="16" xfId="0" applyBorder="1" applyAlignment="1">
      <alignment wrapText="1"/>
    </xf>
    <xf numFmtId="0" fontId="9" fillId="0" borderId="3" xfId="0" applyFont="1" applyBorder="1" applyAlignment="1">
      <alignment horizontal="center"/>
    </xf>
    <xf numFmtId="0" fontId="32" fillId="0" borderId="1" xfId="0" applyFont="1" applyBorder="1"/>
    <xf numFmtId="0" fontId="0" fillId="0" borderId="1" xfId="0" applyFill="1" applyBorder="1"/>
    <xf numFmtId="0" fontId="32" fillId="0" borderId="25" xfId="0" applyFont="1" applyBorder="1"/>
    <xf numFmtId="0" fontId="0" fillId="0" borderId="49" xfId="0" applyBorder="1"/>
    <xf numFmtId="0" fontId="0" fillId="0" borderId="50" xfId="0" applyBorder="1"/>
    <xf numFmtId="10" fontId="0" fillId="0" borderId="43" xfId="0" applyNumberFormat="1" applyBorder="1"/>
    <xf numFmtId="0" fontId="0" fillId="0" borderId="51" xfId="0" applyBorder="1"/>
    <xf numFmtId="0" fontId="0" fillId="0" borderId="37" xfId="0" applyBorder="1"/>
    <xf numFmtId="0" fontId="0" fillId="0" borderId="3" xfId="0" applyFill="1" applyBorder="1"/>
    <xf numFmtId="0" fontId="0" fillId="0" borderId="41" xfId="0" applyBorder="1" applyAlignment="1">
      <alignment wrapText="1"/>
    </xf>
    <xf numFmtId="3" fontId="0" fillId="0" borderId="40" xfId="0" applyNumberFormat="1" applyBorder="1"/>
    <xf numFmtId="3" fontId="0" fillId="0" borderId="2" xfId="0" applyNumberFormat="1" applyBorder="1"/>
    <xf numFmtId="3" fontId="0" fillId="0" borderId="8" xfId="0" applyNumberFormat="1" applyBorder="1"/>
    <xf numFmtId="170" fontId="0" fillId="0" borderId="5" xfId="0" applyNumberFormat="1" applyBorder="1"/>
    <xf numFmtId="170" fontId="0" fillId="0" borderId="48" xfId="0" applyNumberFormat="1" applyBorder="1"/>
    <xf numFmtId="2" fontId="0" fillId="0" borderId="52" xfId="0" applyNumberFormat="1" applyBorder="1"/>
    <xf numFmtId="1" fontId="0" fillId="0" borderId="16" xfId="0" applyNumberFormat="1" applyBorder="1"/>
    <xf numFmtId="1" fontId="0" fillId="0" borderId="37" xfId="0" applyNumberFormat="1" applyBorder="1"/>
    <xf numFmtId="0" fontId="8" fillId="0" borderId="2" xfId="0" applyFont="1" applyBorder="1"/>
    <xf numFmtId="0" fontId="9" fillId="0" borderId="8" xfId="0" applyFont="1" applyBorder="1"/>
    <xf numFmtId="0" fontId="8" fillId="0" borderId="7" xfId="0" quotePrefix="1" applyFont="1" applyBorder="1"/>
    <xf numFmtId="0" fontId="8" fillId="0" borderId="4" xfId="0" applyFont="1" applyBorder="1"/>
    <xf numFmtId="3" fontId="9" fillId="0" borderId="1" xfId="0" applyNumberFormat="1" applyFont="1" applyBorder="1"/>
    <xf numFmtId="0" fontId="15" fillId="0" borderId="1" xfId="0" applyFont="1" applyBorder="1" applyAlignment="1">
      <alignment horizontal="center"/>
    </xf>
    <xf numFmtId="0" fontId="0" fillId="0" borderId="1" xfId="0" applyBorder="1" applyAlignment="1">
      <alignment wrapText="1"/>
    </xf>
    <xf numFmtId="1" fontId="0" fillId="0" borderId="0" xfId="0" applyNumberFormat="1" applyBorder="1"/>
    <xf numFmtId="0" fontId="9" fillId="0" borderId="7" xfId="0" quotePrefix="1" applyFont="1" applyBorder="1"/>
    <xf numFmtId="49" fontId="1" fillId="0" borderId="1" xfId="0" applyNumberFormat="1" applyFont="1" applyBorder="1"/>
    <xf numFmtId="0" fontId="0" fillId="0" borderId="53" xfId="0" applyBorder="1"/>
    <xf numFmtId="0" fontId="0" fillId="0" borderId="53" xfId="0" pivotButton="1" applyBorder="1"/>
    <xf numFmtId="0" fontId="0" fillId="0" borderId="54" xfId="0" applyBorder="1"/>
    <xf numFmtId="0" fontId="0" fillId="0" borderId="55" xfId="0" applyBorder="1"/>
    <xf numFmtId="0" fontId="0" fillId="0" borderId="22" xfId="0" applyNumberFormat="1" applyBorder="1"/>
    <xf numFmtId="0" fontId="0" fillId="0" borderId="56" xfId="0" applyNumberFormat="1" applyBorder="1"/>
    <xf numFmtId="0" fontId="0" fillId="0" borderId="18" xfId="0" applyNumberFormat="1" applyBorder="1"/>
    <xf numFmtId="0" fontId="2" fillId="0" borderId="57" xfId="0" applyFont="1" applyBorder="1" applyAlignment="1">
      <alignment wrapText="1"/>
    </xf>
    <xf numFmtId="0" fontId="2" fillId="0" borderId="58" xfId="0" applyFont="1" applyBorder="1" applyAlignment="1">
      <alignment wrapText="1"/>
    </xf>
    <xf numFmtId="2" fontId="32" fillId="0" borderId="59" xfId="0" applyNumberFormat="1" applyFont="1" applyBorder="1"/>
    <xf numFmtId="0" fontId="8" fillId="0" borderId="0" xfId="0" applyFont="1" applyBorder="1"/>
    <xf numFmtId="1" fontId="2" fillId="0" borderId="5" xfId="0" applyNumberFormat="1" applyFont="1" applyBorder="1" applyAlignment="1">
      <alignment horizontal="center"/>
    </xf>
    <xf numFmtId="0" fontId="0" fillId="0" borderId="16" xfId="0" applyBorder="1" applyAlignment="1">
      <alignment wrapText="1"/>
    </xf>
    <xf numFmtId="170" fontId="3" fillId="0" borderId="1" xfId="0" applyNumberFormat="1" applyFont="1" applyBorder="1"/>
    <xf numFmtId="170" fontId="2" fillId="0" borderId="1" xfId="0" applyNumberFormat="1" applyFont="1" applyBorder="1"/>
    <xf numFmtId="170" fontId="4" fillId="0" borderId="5" xfId="0" applyNumberFormat="1" applyFont="1" applyBorder="1"/>
    <xf numFmtId="0" fontId="0" fillId="0" borderId="16" xfId="0" applyBorder="1" applyAlignment="1">
      <alignment wrapText="1"/>
    </xf>
    <xf numFmtId="0" fontId="0" fillId="0" borderId="37" xfId="0" applyBorder="1" applyAlignment="1">
      <alignment wrapText="1"/>
    </xf>
    <xf numFmtId="1" fontId="0" fillId="0" borderId="43" xfId="0" applyNumberFormat="1" applyBorder="1"/>
    <xf numFmtId="1" fontId="0" fillId="0" borderId="41" xfId="0" applyNumberFormat="1" applyBorder="1"/>
    <xf numFmtId="1" fontId="0" fillId="0" borderId="42" xfId="0" applyNumberFormat="1" applyBorder="1"/>
    <xf numFmtId="0" fontId="2" fillId="0" borderId="0" xfId="0" applyFont="1" applyBorder="1"/>
    <xf numFmtId="0" fontId="0" fillId="0" borderId="0" xfId="0" applyBorder="1" applyAlignment="1">
      <alignment wrapText="1"/>
    </xf>
    <xf numFmtId="2" fontId="0" fillId="0" borderId="0" xfId="0" applyNumberFormat="1" applyBorder="1"/>
    <xf numFmtId="170" fontId="0" fillId="0" borderId="0" xfId="0" applyNumberFormat="1" applyBorder="1"/>
    <xf numFmtId="3" fontId="15" fillId="0" borderId="1" xfId="0" applyNumberFormat="1" applyFont="1" applyBorder="1" applyAlignment="1">
      <alignment horizontal="center"/>
    </xf>
    <xf numFmtId="3" fontId="0" fillId="0" borderId="1" xfId="0" applyNumberFormat="1" applyFill="1" applyBorder="1"/>
    <xf numFmtId="0" fontId="0" fillId="0" borderId="7" xfId="0" applyBorder="1" applyAlignment="1">
      <alignment horizontal="center"/>
    </xf>
    <xf numFmtId="0" fontId="0" fillId="0" borderId="1" xfId="0" applyBorder="1"/>
    <xf numFmtId="3" fontId="0" fillId="0" borderId="1" xfId="0" applyNumberFormat="1" applyBorder="1"/>
    <xf numFmtId="183" fontId="0" fillId="0" borderId="1" xfId="0" applyNumberFormat="1" applyBorder="1"/>
    <xf numFmtId="0" fontId="0" fillId="0" borderId="4" xfId="0" applyBorder="1"/>
    <xf numFmtId="0" fontId="0" fillId="0" borderId="5" xfId="0" applyBorder="1"/>
    <xf numFmtId="0" fontId="0" fillId="0" borderId="48" xfId="0" applyBorder="1"/>
    <xf numFmtId="3" fontId="0" fillId="0" borderId="4" xfId="0" applyNumberFormat="1" applyBorder="1"/>
    <xf numFmtId="3" fontId="8" fillId="0" borderId="1" xfId="0" applyNumberFormat="1" applyFont="1" applyBorder="1"/>
    <xf numFmtId="0" fontId="0" fillId="0" borderId="7" xfId="0" applyBorder="1"/>
    <xf numFmtId="1" fontId="0" fillId="0" borderId="1" xfId="0" applyNumberFormat="1" applyBorder="1"/>
    <xf numFmtId="0" fontId="32" fillId="0" borderId="0" xfId="0" applyFont="1" applyBorder="1"/>
    <xf numFmtId="3" fontId="0" fillId="0" borderId="7" xfId="0" applyNumberFormat="1" applyBorder="1"/>
    <xf numFmtId="3" fontId="0" fillId="0" borderId="9" xfId="0" applyNumberFormat="1" applyBorder="1"/>
    <xf numFmtId="3" fontId="0" fillId="0" borderId="48" xfId="0" applyNumberFormat="1" applyBorder="1"/>
    <xf numFmtId="0" fontId="0" fillId="0" borderId="1" xfId="0" applyBorder="1" applyAlignment="1">
      <alignment wrapText="1"/>
    </xf>
    <xf numFmtId="183" fontId="0" fillId="0" borderId="0" xfId="0" applyNumberFormat="1" applyBorder="1"/>
    <xf numFmtId="2" fontId="8" fillId="0" borderId="0" xfId="0" applyNumberFormat="1" applyFont="1"/>
    <xf numFmtId="0" fontId="0" fillId="0" borderId="34" xfId="0" applyBorder="1"/>
    <xf numFmtId="3" fontId="0" fillId="0" borderId="34" xfId="0" applyNumberFormat="1" applyBorder="1"/>
    <xf numFmtId="172" fontId="0" fillId="0" borderId="0" xfId="0" applyNumberFormat="1" applyBorder="1"/>
    <xf numFmtId="3" fontId="8" fillId="0" borderId="0" xfId="0" applyNumberFormat="1" applyFont="1" applyBorder="1"/>
    <xf numFmtId="9" fontId="0" fillId="0" borderId="0" xfId="0" applyNumberFormat="1" applyBorder="1"/>
    <xf numFmtId="9" fontId="8" fillId="0" borderId="0" xfId="0" applyNumberFormat="1" applyFont="1" applyBorder="1"/>
    <xf numFmtId="0" fontId="0" fillId="0" borderId="25" xfId="0" applyBorder="1"/>
    <xf numFmtId="0" fontId="0" fillId="0" borderId="51" xfId="0" applyBorder="1"/>
    <xf numFmtId="0" fontId="0" fillId="0" borderId="11" xfId="0" applyBorder="1"/>
    <xf numFmtId="3" fontId="0" fillId="0" borderId="10" xfId="0" applyNumberFormat="1" applyBorder="1"/>
    <xf numFmtId="2" fontId="0" fillId="0" borderId="10" xfId="0" applyNumberFormat="1" applyBorder="1"/>
    <xf numFmtId="2" fontId="0" fillId="0" borderId="12" xfId="0" applyNumberFormat="1" applyBorder="1"/>
    <xf numFmtId="0" fontId="6" fillId="0" borderId="0" xfId="0" applyFont="1" applyBorder="1"/>
    <xf numFmtId="0" fontId="0" fillId="0" borderId="53" xfId="0" applyBorder="1"/>
    <xf numFmtId="0" fontId="0" fillId="0" borderId="32" xfId="0" applyBorder="1"/>
    <xf numFmtId="170" fontId="3" fillId="0" borderId="40" xfId="0" applyNumberFormat="1" applyFont="1" applyBorder="1"/>
    <xf numFmtId="4" fontId="4" fillId="0" borderId="40" xfId="0" applyNumberFormat="1" applyFont="1" applyBorder="1"/>
    <xf numFmtId="2" fontId="3" fillId="0" borderId="40" xfId="0" applyNumberFormat="1" applyFont="1" applyBorder="1"/>
    <xf numFmtId="49" fontId="1" fillId="0" borderId="44" xfId="0" applyNumberFormat="1" applyFont="1" applyBorder="1"/>
    <xf numFmtId="0" fontId="0" fillId="0" borderId="4" xfId="0" applyBorder="1" applyAlignment="1">
      <alignment wrapText="1"/>
    </xf>
    <xf numFmtId="0" fontId="0" fillId="0" borderId="7" xfId="0" applyBorder="1" applyAlignment="1">
      <alignment wrapText="1"/>
    </xf>
    <xf numFmtId="1" fontId="0" fillId="0" borderId="7" xfId="0" applyNumberFormat="1" applyBorder="1"/>
    <xf numFmtId="10" fontId="0" fillId="0" borderId="9" xfId="0" applyNumberFormat="1" applyBorder="1"/>
    <xf numFmtId="0" fontId="0" fillId="0" borderId="16" xfId="0" applyBorder="1" applyAlignment="1">
      <alignment wrapText="1"/>
    </xf>
    <xf numFmtId="0" fontId="0" fillId="0" borderId="2" xfId="0" applyBorder="1"/>
    <xf numFmtId="0" fontId="0" fillId="0" borderId="3" xfId="0" applyBorder="1"/>
    <xf numFmtId="0" fontId="0" fillId="0" borderId="8" xfId="0" applyBorder="1"/>
    <xf numFmtId="4" fontId="0" fillId="0" borderId="4" xfId="0" applyNumberFormat="1" applyBorder="1"/>
    <xf numFmtId="4" fontId="0" fillId="0" borderId="5" xfId="0" applyNumberFormat="1" applyBorder="1"/>
    <xf numFmtId="4" fontId="0" fillId="0" borderId="48" xfId="0" applyNumberFormat="1" applyBorder="1"/>
    <xf numFmtId="4" fontId="0" fillId="0" borderId="11" xfId="0" applyNumberFormat="1" applyBorder="1"/>
    <xf numFmtId="4" fontId="0" fillId="0" borderId="10" xfId="0" applyNumberFormat="1" applyBorder="1"/>
    <xf numFmtId="4" fontId="0" fillId="0" borderId="12" xfId="0" applyNumberFormat="1" applyBorder="1"/>
    <xf numFmtId="1" fontId="0" fillId="0" borderId="10" xfId="0" applyNumberFormat="1" applyBorder="1" applyAlignment="1">
      <alignment horizontal="center"/>
    </xf>
    <xf numFmtId="0" fontId="32" fillId="0" borderId="7" xfId="0" applyFont="1" applyBorder="1"/>
    <xf numFmtId="170" fontId="32" fillId="0" borderId="4" xfId="0" applyNumberFormat="1" applyFont="1" applyBorder="1"/>
    <xf numFmtId="0" fontId="36" fillId="0" borderId="14" xfId="0" applyFont="1" applyBorder="1"/>
    <xf numFmtId="0" fontId="37" fillId="0" borderId="7" xfId="0" quotePrefix="1" applyFont="1" applyBorder="1"/>
    <xf numFmtId="0" fontId="37" fillId="0" borderId="1" xfId="0" applyFont="1" applyFill="1" applyBorder="1"/>
    <xf numFmtId="1" fontId="38" fillId="0" borderId="1" xfId="0" applyNumberFormat="1" applyFont="1" applyBorder="1"/>
    <xf numFmtId="2" fontId="38" fillId="0" borderId="1" xfId="0" applyNumberFormat="1" applyFont="1" applyBorder="1"/>
    <xf numFmtId="0" fontId="38" fillId="0" borderId="1" xfId="0" applyFont="1" applyBorder="1" applyAlignment="1">
      <alignment horizontal="center"/>
    </xf>
    <xf numFmtId="170" fontId="37" fillId="0" borderId="1" xfId="0" applyNumberFormat="1" applyFont="1" applyBorder="1"/>
    <xf numFmtId="4" fontId="38" fillId="0" borderId="1" xfId="0" applyNumberFormat="1" applyFont="1" applyBorder="1"/>
    <xf numFmtId="0" fontId="37" fillId="0" borderId="1" xfId="0" applyFont="1" applyBorder="1"/>
    <xf numFmtId="1" fontId="38" fillId="0" borderId="1" xfId="0" applyNumberFormat="1" applyFont="1" applyBorder="1" applyAlignment="1">
      <alignment horizontal="center"/>
    </xf>
    <xf numFmtId="170" fontId="38" fillId="0" borderId="1" xfId="0" applyNumberFormat="1" applyFont="1" applyBorder="1"/>
    <xf numFmtId="0" fontId="38" fillId="0" borderId="14" xfId="0" applyFont="1" applyBorder="1"/>
    <xf numFmtId="0" fontId="0" fillId="0" borderId="1" xfId="0" applyBorder="1"/>
    <xf numFmtId="0" fontId="22" fillId="0" borderId="0" xfId="2" applyFont="1"/>
    <xf numFmtId="0" fontId="8" fillId="0" borderId="0" xfId="2"/>
    <xf numFmtId="0" fontId="23" fillId="0" borderId="0" xfId="2" applyFont="1"/>
    <xf numFmtId="0" fontId="23" fillId="0" borderId="1" xfId="2" applyFont="1" applyBorder="1" applyAlignment="1">
      <alignment horizontal="center"/>
    </xf>
    <xf numFmtId="0" fontId="23" fillId="0" borderId="60" xfId="2" applyFont="1" applyBorder="1" applyAlignment="1">
      <alignment horizontal="center"/>
    </xf>
    <xf numFmtId="0" fontId="23" fillId="0" borderId="61" xfId="2" applyFont="1" applyBorder="1" applyAlignment="1">
      <alignment horizontal="center"/>
    </xf>
    <xf numFmtId="0" fontId="23" fillId="0" borderId="25" xfId="2" applyFont="1" applyBorder="1" applyAlignment="1">
      <alignment horizontal="center"/>
    </xf>
    <xf numFmtId="0" fontId="22" fillId="0" borderId="62" xfId="2" applyFont="1" applyBorder="1" applyAlignment="1">
      <alignment horizontal="center"/>
    </xf>
    <xf numFmtId="169" fontId="22" fillId="0" borderId="63" xfId="1" applyNumberFormat="1" applyFont="1" applyBorder="1"/>
    <xf numFmtId="169" fontId="22" fillId="0" borderId="64" xfId="1" applyNumberFormat="1" applyFont="1" applyBorder="1"/>
    <xf numFmtId="169" fontId="22" fillId="0" borderId="65" xfId="1" applyNumberFormat="1" applyFont="1" applyBorder="1"/>
    <xf numFmtId="0" fontId="22" fillId="0" borderId="66" xfId="2" applyFont="1" applyBorder="1" applyAlignment="1">
      <alignment horizontal="center"/>
    </xf>
    <xf numFmtId="0" fontId="22" fillId="0" borderId="67" xfId="2" applyFont="1" applyBorder="1" applyAlignment="1">
      <alignment horizontal="center"/>
    </xf>
    <xf numFmtId="0" fontId="22" fillId="0" borderId="68" xfId="2" applyFont="1" applyBorder="1" applyAlignment="1">
      <alignment horizontal="center"/>
    </xf>
    <xf numFmtId="169" fontId="22" fillId="0" borderId="69" xfId="1" applyNumberFormat="1" applyFont="1" applyBorder="1"/>
    <xf numFmtId="169" fontId="22" fillId="0" borderId="70" xfId="1" applyNumberFormat="1" applyFont="1" applyBorder="1"/>
    <xf numFmtId="169" fontId="22" fillId="0" borderId="71" xfId="1" applyNumberFormat="1" applyFont="1" applyBorder="1"/>
    <xf numFmtId="3" fontId="22" fillId="0" borderId="63" xfId="2" applyNumberFormat="1" applyFont="1" applyBorder="1"/>
    <xf numFmtId="3" fontId="22" fillId="0" borderId="64" xfId="2" applyNumberFormat="1" applyFont="1" applyBorder="1"/>
    <xf numFmtId="3" fontId="22" fillId="0" borderId="65" xfId="2" applyNumberFormat="1" applyFont="1" applyBorder="1"/>
    <xf numFmtId="2" fontId="25" fillId="0" borderId="0" xfId="2" applyNumberFormat="1" applyFont="1"/>
    <xf numFmtId="0" fontId="23" fillId="0" borderId="66" xfId="2" applyFont="1" applyBorder="1" applyAlignment="1">
      <alignment horizontal="center"/>
    </xf>
    <xf numFmtId="3" fontId="23" fillId="0" borderId="63" xfId="2" applyNumberFormat="1" applyFont="1" applyBorder="1"/>
    <xf numFmtId="0" fontId="25" fillId="0" borderId="0" xfId="2" applyFont="1"/>
    <xf numFmtId="0" fontId="8" fillId="0" borderId="0" xfId="2" applyFont="1"/>
    <xf numFmtId="0" fontId="23" fillId="0" borderId="67" xfId="2" applyFont="1" applyBorder="1" applyAlignment="1">
      <alignment horizontal="center"/>
    </xf>
    <xf numFmtId="185" fontId="22" fillId="0" borderId="63" xfId="2" applyNumberFormat="1" applyFont="1" applyBorder="1"/>
    <xf numFmtId="0" fontId="22" fillId="5" borderId="66" xfId="2" applyFont="1" applyFill="1" applyBorder="1" applyAlignment="1">
      <alignment horizontal="center"/>
    </xf>
    <xf numFmtId="185" fontId="22" fillId="5" borderId="63" xfId="2" applyNumberFormat="1" applyFont="1" applyFill="1" applyBorder="1"/>
    <xf numFmtId="0" fontId="22" fillId="3" borderId="67" xfId="2" applyFont="1" applyFill="1" applyBorder="1" applyAlignment="1">
      <alignment horizontal="center"/>
    </xf>
    <xf numFmtId="3" fontId="22" fillId="0" borderId="72" xfId="2" applyNumberFormat="1" applyFont="1" applyBorder="1"/>
    <xf numFmtId="3" fontId="22" fillId="0" borderId="69" xfId="2" applyNumberFormat="1" applyFont="1" applyBorder="1"/>
    <xf numFmtId="3" fontId="22" fillId="0" borderId="70" xfId="2" applyNumberFormat="1" applyFont="1" applyBorder="1"/>
    <xf numFmtId="3" fontId="22" fillId="0" borderId="71" xfId="2" applyNumberFormat="1" applyFont="1" applyBorder="1"/>
    <xf numFmtId="0" fontId="22" fillId="0" borderId="73" xfId="2" applyFont="1" applyBorder="1"/>
    <xf numFmtId="0" fontId="22" fillId="0" borderId="0" xfId="2" applyFont="1" applyBorder="1"/>
    <xf numFmtId="167" fontId="22" fillId="0" borderId="0" xfId="2" applyNumberFormat="1" applyFont="1"/>
    <xf numFmtId="172" fontId="22" fillId="0" borderId="0" xfId="2" applyNumberFormat="1" applyFont="1"/>
    <xf numFmtId="1" fontId="0" fillId="0" borderId="34" xfId="0" applyNumberFormat="1" applyBorder="1"/>
    <xf numFmtId="1" fontId="0" fillId="0" borderId="38" xfId="0" applyNumberFormat="1" applyBorder="1"/>
    <xf numFmtId="0" fontId="9" fillId="0" borderId="3" xfId="0" applyFont="1" applyFill="1" applyBorder="1"/>
    <xf numFmtId="0" fontId="9" fillId="0" borderId="8" xfId="4" applyFont="1" applyBorder="1" applyAlignment="1">
      <alignment horizontal="center"/>
    </xf>
    <xf numFmtId="0" fontId="9" fillId="0" borderId="45" xfId="4" applyFont="1" applyBorder="1" applyAlignment="1">
      <alignment horizontal="center"/>
    </xf>
    <xf numFmtId="0" fontId="0" fillId="0" borderId="74" xfId="0" applyBorder="1"/>
    <xf numFmtId="0" fontId="0" fillId="0" borderId="75" xfId="0" applyBorder="1"/>
    <xf numFmtId="0" fontId="0" fillId="0" borderId="76" xfId="0" applyBorder="1"/>
    <xf numFmtId="0" fontId="32" fillId="0" borderId="8" xfId="0" applyFont="1" applyBorder="1"/>
    <xf numFmtId="0" fontId="9" fillId="0" borderId="2" xfId="4" applyFont="1" applyBorder="1" applyAlignment="1">
      <alignment horizontal="center"/>
    </xf>
    <xf numFmtId="0" fontId="0" fillId="0" borderId="77" xfId="0" applyBorder="1"/>
    <xf numFmtId="0" fontId="0" fillId="0" borderId="78" xfId="0" applyBorder="1"/>
    <xf numFmtId="0" fontId="0" fillId="0" borderId="79" xfId="0" applyBorder="1"/>
    <xf numFmtId="0" fontId="0" fillId="0" borderId="12" xfId="0" applyBorder="1"/>
    <xf numFmtId="3" fontId="0" fillId="0" borderId="80" xfId="0" applyNumberFormat="1" applyFill="1" applyBorder="1"/>
    <xf numFmtId="0" fontId="32" fillId="0" borderId="9" xfId="0" applyFont="1" applyBorder="1"/>
    <xf numFmtId="0" fontId="32" fillId="0" borderId="48" xfId="0" applyFont="1" applyBorder="1"/>
    <xf numFmtId="0" fontId="0" fillId="0" borderId="13" xfId="0" applyBorder="1"/>
    <xf numFmtId="0" fontId="32" fillId="0" borderId="14" xfId="0" applyFont="1" applyBorder="1"/>
    <xf numFmtId="0" fontId="0" fillId="0" borderId="25" xfId="0" applyFill="1" applyBorder="1"/>
    <xf numFmtId="0" fontId="0" fillId="0" borderId="14" xfId="0" applyFont="1" applyBorder="1"/>
    <xf numFmtId="0" fontId="0" fillId="0" borderId="11" xfId="0" applyBorder="1"/>
    <xf numFmtId="0" fontId="0" fillId="0" borderId="10" xfId="0" applyBorder="1"/>
    <xf numFmtId="0" fontId="0" fillId="0" borderId="81" xfId="0" applyBorder="1"/>
    <xf numFmtId="3" fontId="32" fillId="0" borderId="14" xfId="0" applyNumberFormat="1" applyFont="1" applyBorder="1"/>
    <xf numFmtId="3" fontId="0" fillId="0" borderId="14" xfId="0" applyNumberFormat="1" applyBorder="1"/>
    <xf numFmtId="3" fontId="32" fillId="0" borderId="15" xfId="0" applyNumberFormat="1" applyFont="1" applyBorder="1"/>
    <xf numFmtId="0" fontId="0" fillId="0" borderId="82" xfId="0" applyBorder="1"/>
    <xf numFmtId="0" fontId="0" fillId="0" borderId="83" xfId="0" applyBorder="1" applyAlignment="1"/>
    <xf numFmtId="0" fontId="32" fillId="0" borderId="14" xfId="0" applyFont="1" applyFill="1" applyBorder="1" applyAlignment="1">
      <alignment wrapText="1"/>
    </xf>
    <xf numFmtId="0" fontId="32" fillId="0" borderId="14" xfId="0" applyFont="1" applyBorder="1" applyAlignment="1">
      <alignment wrapText="1"/>
    </xf>
    <xf numFmtId="0" fontId="0" fillId="0" borderId="51" xfId="0" applyFill="1" applyBorder="1"/>
    <xf numFmtId="0" fontId="0" fillId="0" borderId="40" xfId="0" applyFill="1" applyBorder="1"/>
    <xf numFmtId="0" fontId="32" fillId="0" borderId="4" xfId="0" applyFont="1" applyBorder="1"/>
    <xf numFmtId="0" fontId="32" fillId="0" borderId="84" xfId="0" applyFont="1" applyBorder="1"/>
    <xf numFmtId="0" fontId="0" fillId="0" borderId="47" xfId="0" applyBorder="1"/>
    <xf numFmtId="0" fontId="32" fillId="0" borderId="13" xfId="0" applyFont="1" applyBorder="1" applyAlignment="1">
      <alignment horizontal="center"/>
    </xf>
    <xf numFmtId="0" fontId="32" fillId="0" borderId="84" xfId="0" applyFont="1" applyBorder="1" applyAlignment="1">
      <alignment wrapText="1"/>
    </xf>
    <xf numFmtId="0" fontId="32" fillId="0" borderId="85" xfId="0" applyFont="1" applyBorder="1"/>
    <xf numFmtId="183" fontId="0" fillId="0" borderId="25" xfId="0" applyNumberFormat="1" applyBorder="1"/>
    <xf numFmtId="170" fontId="0" fillId="0" borderId="85" xfId="0" applyNumberFormat="1" applyBorder="1"/>
    <xf numFmtId="0" fontId="8" fillId="0" borderId="1" xfId="0" quotePrefix="1" applyFont="1" applyBorder="1"/>
    <xf numFmtId="4" fontId="0" fillId="0" borderId="30" xfId="0" applyNumberFormat="1" applyBorder="1"/>
    <xf numFmtId="0" fontId="0" fillId="0" borderId="86" xfId="0" applyBorder="1"/>
    <xf numFmtId="0" fontId="0" fillId="0" borderId="87" xfId="0" applyBorder="1"/>
    <xf numFmtId="0" fontId="0" fillId="0" borderId="1" xfId="0" applyFont="1" applyBorder="1"/>
    <xf numFmtId="2" fontId="0" fillId="0" borderId="25" xfId="0" applyNumberFormat="1" applyBorder="1"/>
    <xf numFmtId="0" fontId="2" fillId="0" borderId="88" xfId="0" applyFont="1" applyBorder="1" applyAlignment="1">
      <alignment wrapText="1"/>
    </xf>
    <xf numFmtId="0" fontId="0" fillId="0" borderId="2" xfId="0" applyBorder="1"/>
    <xf numFmtId="0" fontId="0" fillId="0" borderId="3" xfId="0" applyBorder="1"/>
    <xf numFmtId="0" fontId="0" fillId="0" borderId="3" xfId="0" applyBorder="1" applyAlignment="1">
      <alignment wrapText="1"/>
    </xf>
    <xf numFmtId="0" fontId="0" fillId="0" borderId="8" xfId="0" applyBorder="1"/>
    <xf numFmtId="1" fontId="1" fillId="0" borderId="7" xfId="0" applyNumberFormat="1" applyFont="1" applyBorder="1"/>
    <xf numFmtId="1" fontId="0" fillId="0" borderId="4" xfId="0" applyNumberFormat="1" applyBorder="1"/>
    <xf numFmtId="1" fontId="1" fillId="0" borderId="9" xfId="0" applyNumberFormat="1" applyFont="1" applyBorder="1"/>
    <xf numFmtId="1" fontId="0" fillId="0" borderId="5" xfId="0" applyNumberFormat="1" applyBorder="1"/>
    <xf numFmtId="1" fontId="0" fillId="0" borderId="48" xfId="0" applyNumberFormat="1" applyBorder="1"/>
    <xf numFmtId="1" fontId="1" fillId="0" borderId="1" xfId="0" applyNumberFormat="1" applyFont="1" applyBorder="1" applyAlignment="1">
      <alignment wrapText="1"/>
    </xf>
    <xf numFmtId="1" fontId="2" fillId="0" borderId="40" xfId="0" applyNumberFormat="1" applyFont="1" applyBorder="1"/>
    <xf numFmtId="0" fontId="2" fillId="0" borderId="40" xfId="0" applyFont="1" applyBorder="1" applyAlignment="1">
      <alignment wrapText="1"/>
    </xf>
    <xf numFmtId="0" fontId="0" fillId="0" borderId="40" xfId="0" applyBorder="1" applyAlignment="1">
      <alignment wrapText="1"/>
    </xf>
    <xf numFmtId="1" fontId="1" fillId="0" borderId="2" xfId="0" applyNumberFormat="1" applyFont="1" applyBorder="1"/>
    <xf numFmtId="1" fontId="1" fillId="0" borderId="3" xfId="0" applyNumberFormat="1" applyFont="1" applyBorder="1"/>
    <xf numFmtId="1" fontId="0" fillId="0" borderId="3" xfId="0" applyNumberFormat="1" applyBorder="1"/>
    <xf numFmtId="0" fontId="0" fillId="0" borderId="89" xfId="0" applyBorder="1"/>
    <xf numFmtId="4" fontId="0" fillId="0" borderId="3" xfId="0" applyNumberFormat="1" applyBorder="1"/>
    <xf numFmtId="0" fontId="0" fillId="0" borderId="75" xfId="0" applyBorder="1"/>
    <xf numFmtId="0" fontId="0" fillId="0" borderId="76" xfId="0" applyBorder="1"/>
    <xf numFmtId="0" fontId="0" fillId="0" borderId="58" xfId="0" applyBorder="1"/>
    <xf numFmtId="0" fontId="0" fillId="0" borderId="59" xfId="0" applyBorder="1"/>
    <xf numFmtId="4" fontId="0" fillId="0" borderId="40" xfId="0" applyNumberFormat="1" applyBorder="1"/>
    <xf numFmtId="0" fontId="32" fillId="0" borderId="90" xfId="0" applyFont="1" applyBorder="1" applyAlignment="1">
      <alignment horizontal="center" wrapText="1"/>
    </xf>
    <xf numFmtId="0" fontId="32" fillId="0" borderId="50" xfId="0" applyFont="1" applyBorder="1" applyAlignment="1">
      <alignment horizontal="center" wrapText="1"/>
    </xf>
    <xf numFmtId="0" fontId="32" fillId="0" borderId="57" xfId="0" applyFont="1" applyBorder="1" applyAlignment="1">
      <alignment horizontal="center" wrapText="1"/>
    </xf>
    <xf numFmtId="0" fontId="0" fillId="0" borderId="50" xfId="0" applyBorder="1" applyAlignment="1">
      <alignment horizontal="center" wrapText="1"/>
    </xf>
    <xf numFmtId="9" fontId="0" fillId="0" borderId="1" xfId="0" applyNumberFormat="1" applyBorder="1"/>
    <xf numFmtId="9" fontId="8" fillId="0" borderId="1" xfId="0" applyNumberFormat="1" applyFont="1" applyBorder="1"/>
    <xf numFmtId="0" fontId="0" fillId="0" borderId="2" xfId="0" applyBorder="1"/>
    <xf numFmtId="0" fontId="0" fillId="0" borderId="3" xfId="0" applyBorder="1"/>
    <xf numFmtId="0" fontId="0" fillId="0" borderId="7" xfId="0" applyFill="1" applyBorder="1" applyAlignment="1">
      <alignment horizontal="center"/>
    </xf>
    <xf numFmtId="0" fontId="8" fillId="0" borderId="1" xfId="0" applyFont="1" applyFill="1" applyBorder="1"/>
    <xf numFmtId="0" fontId="0" fillId="0" borderId="1" xfId="0" applyFont="1" applyFill="1" applyBorder="1"/>
    <xf numFmtId="0" fontId="9" fillId="0" borderId="1" xfId="0" applyFont="1" applyFill="1" applyBorder="1"/>
    <xf numFmtId="0" fontId="0" fillId="0" borderId="9" xfId="0" applyBorder="1" applyAlignment="1">
      <alignment horizontal="center"/>
    </xf>
    <xf numFmtId="183" fontId="0" fillId="0" borderId="5" xfId="0" applyNumberFormat="1" applyBorder="1"/>
    <xf numFmtId="0" fontId="0" fillId="0" borderId="3" xfId="0" applyBorder="1" applyAlignment="1">
      <alignment wrapText="1"/>
    </xf>
    <xf numFmtId="0" fontId="0" fillId="0" borderId="8" xfId="0" applyBorder="1"/>
    <xf numFmtId="0" fontId="0" fillId="0" borderId="5" xfId="0" applyFont="1" applyBorder="1"/>
    <xf numFmtId="0" fontId="0" fillId="0" borderId="91" xfId="0" applyBorder="1"/>
    <xf numFmtId="3" fontId="0" fillId="0" borderId="91" xfId="0" applyNumberFormat="1" applyBorder="1"/>
    <xf numFmtId="0" fontId="0" fillId="0" borderId="7" xfId="0" applyFont="1" applyBorder="1"/>
    <xf numFmtId="170" fontId="0" fillId="0" borderId="1" xfId="0" applyNumberFormat="1" applyFont="1" applyBorder="1"/>
    <xf numFmtId="0" fontId="32" fillId="0" borderId="11" xfId="0" applyFont="1" applyBorder="1"/>
    <xf numFmtId="0" fontId="32" fillId="0" borderId="10" xfId="0" applyFont="1" applyBorder="1"/>
    <xf numFmtId="170" fontId="0" fillId="0" borderId="4" xfId="0" applyNumberFormat="1" applyFont="1" applyBorder="1"/>
    <xf numFmtId="170" fontId="0" fillId="0" borderId="5" xfId="0" applyNumberFormat="1" applyFont="1" applyBorder="1"/>
    <xf numFmtId="170" fontId="32" fillId="0" borderId="10" xfId="0" applyNumberFormat="1" applyFont="1" applyBorder="1"/>
    <xf numFmtId="170" fontId="32" fillId="0" borderId="12" xfId="0" applyNumberFormat="1" applyFont="1" applyBorder="1"/>
    <xf numFmtId="0" fontId="32" fillId="0" borderId="50" xfId="0" applyFont="1" applyBorder="1" applyAlignment="1">
      <alignment horizontal="center" wrapText="1"/>
    </xf>
    <xf numFmtId="0" fontId="32" fillId="0" borderId="13" xfId="0" applyFont="1" applyBorder="1" applyAlignment="1">
      <alignment horizontal="center" wrapText="1"/>
    </xf>
    <xf numFmtId="0" fontId="0" fillId="0" borderId="57" xfId="0" applyBorder="1" applyAlignment="1">
      <alignment horizontal="center" wrapText="1"/>
    </xf>
    <xf numFmtId="0" fontId="32" fillId="0" borderId="13" xfId="0" applyFont="1" applyBorder="1" applyAlignment="1">
      <alignment wrapText="1"/>
    </xf>
    <xf numFmtId="170" fontId="0" fillId="0" borderId="40" xfId="0" applyNumberFormat="1" applyBorder="1"/>
    <xf numFmtId="170" fontId="0" fillId="0" borderId="52" xfId="0" applyNumberFormat="1" applyBorder="1"/>
    <xf numFmtId="0" fontId="0" fillId="0" borderId="2" xfId="0" applyFill="1" applyBorder="1"/>
    <xf numFmtId="170" fontId="0" fillId="0" borderId="3" xfId="0" applyNumberFormat="1" applyFont="1" applyBorder="1"/>
    <xf numFmtId="170" fontId="0" fillId="0" borderId="3" xfId="0" applyNumberFormat="1" applyBorder="1"/>
    <xf numFmtId="0" fontId="2" fillId="0" borderId="2" xfId="0" applyFont="1" applyBorder="1"/>
    <xf numFmtId="0" fontId="0" fillId="0" borderId="45" xfId="0" applyBorder="1"/>
    <xf numFmtId="1" fontId="0" fillId="0" borderId="40" xfId="0" applyNumberFormat="1" applyBorder="1"/>
    <xf numFmtId="2" fontId="0" fillId="0" borderId="51" xfId="0" applyNumberFormat="1" applyBorder="1"/>
    <xf numFmtId="1" fontId="0" fillId="0" borderId="75" xfId="0" applyNumberFormat="1" applyBorder="1"/>
    <xf numFmtId="2" fontId="0" fillId="0" borderId="75" xfId="0" applyNumberFormat="1" applyBorder="1"/>
    <xf numFmtId="172" fontId="0" fillId="0" borderId="0" xfId="0" applyNumberFormat="1"/>
    <xf numFmtId="1" fontId="1" fillId="0" borderId="44" xfId="0" applyNumberFormat="1" applyFont="1" applyBorder="1"/>
    <xf numFmtId="0" fontId="1" fillId="2" borderId="40" xfId="0" applyFont="1" applyFill="1" applyBorder="1" applyAlignment="1">
      <alignment horizontal="center"/>
    </xf>
    <xf numFmtId="1" fontId="1" fillId="0" borderId="75" xfId="0" applyNumberFormat="1" applyFont="1" applyFill="1" applyBorder="1"/>
    <xf numFmtId="1" fontId="1" fillId="0" borderId="75" xfId="0" applyNumberFormat="1" applyFont="1" applyBorder="1"/>
    <xf numFmtId="1" fontId="32" fillId="0" borderId="10" xfId="0" applyNumberFormat="1" applyFont="1" applyBorder="1"/>
    <xf numFmtId="2" fontId="32" fillId="0" borderId="81" xfId="0" applyNumberFormat="1" applyFont="1" applyBorder="1"/>
    <xf numFmtId="0" fontId="32" fillId="0" borderId="13" xfId="0" applyFont="1" applyBorder="1"/>
    <xf numFmtId="0" fontId="32" fillId="0" borderId="2" xfId="0" applyFont="1" applyBorder="1"/>
    <xf numFmtId="0" fontId="9" fillId="0" borderId="8" xfId="3" applyFont="1" applyFill="1" applyBorder="1" applyAlignment="1">
      <alignment horizontal="center" wrapText="1"/>
    </xf>
    <xf numFmtId="0" fontId="0" fillId="0" borderId="31" xfId="0" applyBorder="1" applyAlignment="1"/>
    <xf numFmtId="0" fontId="0" fillId="0" borderId="0" xfId="0" applyBorder="1" applyAlignment="1"/>
    <xf numFmtId="1" fontId="1" fillId="0" borderId="30" xfId="0" applyNumberFormat="1" applyFont="1" applyBorder="1"/>
    <xf numFmtId="0" fontId="0" fillId="0" borderId="92" xfId="0" applyBorder="1"/>
    <xf numFmtId="0" fontId="0" fillId="0" borderId="89" xfId="0" applyFont="1" applyBorder="1"/>
    <xf numFmtId="1" fontId="1" fillId="0" borderId="10" xfId="0" applyNumberFormat="1" applyFont="1" applyFill="1" applyBorder="1"/>
    <xf numFmtId="0" fontId="2" fillId="0" borderId="10" xfId="0" applyFont="1" applyBorder="1" applyAlignment="1">
      <alignment wrapText="1"/>
    </xf>
    <xf numFmtId="1" fontId="0" fillId="0" borderId="12" xfId="0" applyNumberFormat="1" applyBorder="1"/>
    <xf numFmtId="0" fontId="2" fillId="2" borderId="1" xfId="0" applyFont="1" applyFill="1" applyBorder="1" applyAlignment="1">
      <alignment horizontal="center"/>
    </xf>
    <xf numFmtId="2" fontId="0" fillId="0" borderId="48" xfId="0" applyNumberFormat="1" applyBorder="1"/>
    <xf numFmtId="49" fontId="1" fillId="0" borderId="40" xfId="0" applyNumberFormat="1" applyFont="1" applyBorder="1"/>
    <xf numFmtId="0" fontId="0" fillId="0" borderId="93" xfId="0" applyBorder="1"/>
    <xf numFmtId="0" fontId="0" fillId="0" borderId="94" xfId="0" applyBorder="1"/>
    <xf numFmtId="0" fontId="0" fillId="0" borderId="88" xfId="0" applyBorder="1"/>
    <xf numFmtId="0" fontId="0" fillId="0" borderId="25" xfId="0" applyFont="1" applyBorder="1"/>
    <xf numFmtId="0" fontId="0" fillId="0" borderId="51" xfId="0" applyFont="1" applyBorder="1"/>
    <xf numFmtId="0" fontId="0" fillId="0" borderId="40" xfId="0" applyFont="1" applyBorder="1"/>
    <xf numFmtId="1" fontId="8" fillId="0" borderId="1" xfId="0" applyNumberFormat="1" applyFont="1" applyBorder="1"/>
    <xf numFmtId="1" fontId="2" fillId="0" borderId="2" xfId="0" applyNumberFormat="1" applyFont="1" applyBorder="1"/>
    <xf numFmtId="0" fontId="0" fillId="0" borderId="73" xfId="0" applyFill="1" applyBorder="1"/>
    <xf numFmtId="0" fontId="2" fillId="0" borderId="95" xfId="0" applyFont="1" applyBorder="1" applyAlignment="1">
      <alignment wrapText="1"/>
    </xf>
    <xf numFmtId="0" fontId="2" fillId="0" borderId="96" xfId="0" applyFont="1" applyBorder="1" applyAlignment="1">
      <alignment wrapText="1"/>
    </xf>
    <xf numFmtId="0" fontId="0" fillId="0" borderId="96" xfId="0" applyBorder="1"/>
    <xf numFmtId="0" fontId="0" fillId="0" borderId="2" xfId="0" quotePrefix="1" applyBorder="1"/>
    <xf numFmtId="0" fontId="8" fillId="0" borderId="3" xfId="0" applyFont="1" applyBorder="1"/>
    <xf numFmtId="170" fontId="0" fillId="0" borderId="97" xfId="0" applyNumberFormat="1" applyBorder="1"/>
    <xf numFmtId="170" fontId="0" fillId="0" borderId="16" xfId="0" applyNumberFormat="1" applyBorder="1"/>
    <xf numFmtId="0" fontId="0" fillId="0" borderId="7" xfId="0" quotePrefix="1" applyBorder="1"/>
    <xf numFmtId="0" fontId="8" fillId="0" borderId="5" xfId="0" applyFont="1" applyBorder="1"/>
    <xf numFmtId="170" fontId="0" fillId="0" borderId="41" xfId="0" applyNumberFormat="1" applyBorder="1"/>
    <xf numFmtId="0" fontId="8" fillId="0" borderId="10" xfId="0" applyFont="1" applyBorder="1"/>
    <xf numFmtId="170" fontId="0" fillId="0" borderId="10" xfId="0" applyNumberFormat="1" applyBorder="1"/>
    <xf numFmtId="0" fontId="8" fillId="0" borderId="30" xfId="0" applyFont="1" applyBorder="1"/>
    <xf numFmtId="170" fontId="0" fillId="0" borderId="25" xfId="0" applyNumberFormat="1" applyBorder="1"/>
    <xf numFmtId="0" fontId="8" fillId="0" borderId="40" xfId="0" applyFont="1" applyBorder="1"/>
    <xf numFmtId="170" fontId="0" fillId="0" borderId="81" xfId="0" applyNumberFormat="1" applyBorder="1"/>
    <xf numFmtId="170" fontId="0" fillId="0" borderId="89" xfId="0" applyNumberFormat="1" applyBorder="1"/>
    <xf numFmtId="170" fontId="0" fillId="0" borderId="0" xfId="0" applyNumberFormat="1" applyFill="1" applyBorder="1"/>
    <xf numFmtId="0" fontId="0" fillId="0" borderId="97" xfId="0" applyBorder="1"/>
    <xf numFmtId="170" fontId="0" fillId="0" borderId="75" xfId="0" applyNumberFormat="1" applyBorder="1"/>
    <xf numFmtId="0" fontId="32" fillId="0" borderId="84" xfId="0" applyFont="1" applyFill="1" applyBorder="1"/>
    <xf numFmtId="171" fontId="0" fillId="0" borderId="0" xfId="0" applyNumberFormat="1"/>
    <xf numFmtId="168" fontId="0" fillId="0" borderId="0" xfId="0" applyNumberFormat="1"/>
    <xf numFmtId="0" fontId="32" fillId="0" borderId="0" xfId="0" applyFont="1" applyAlignment="1">
      <alignment horizontal="center" wrapText="1"/>
    </xf>
    <xf numFmtId="0" fontId="17" fillId="0" borderId="0" xfId="0" applyFont="1" applyFill="1" applyAlignment="1"/>
    <xf numFmtId="0" fontId="39" fillId="0" borderId="0" xfId="0" applyFont="1"/>
    <xf numFmtId="0" fontId="40" fillId="0" borderId="0" xfId="0" applyFont="1" applyBorder="1" applyAlignment="1"/>
    <xf numFmtId="0" fontId="40" fillId="0" borderId="0" xfId="0" applyFont="1"/>
    <xf numFmtId="0" fontId="41" fillId="0" borderId="0" xfId="0" applyFont="1"/>
    <xf numFmtId="0" fontId="42" fillId="0" borderId="0" xfId="0" applyFont="1"/>
    <xf numFmtId="0" fontId="0" fillId="0" borderId="9" xfId="0" quotePrefix="1" applyBorder="1"/>
    <xf numFmtId="0" fontId="32" fillId="0" borderId="77" xfId="0" applyFont="1" applyBorder="1"/>
    <xf numFmtId="0" fontId="32" fillId="0" borderId="90" xfId="0" applyFont="1" applyBorder="1"/>
    <xf numFmtId="170" fontId="0" fillId="0" borderId="47" xfId="0" applyNumberFormat="1" applyBorder="1"/>
    <xf numFmtId="170" fontId="0" fillId="0" borderId="78" xfId="0" applyNumberFormat="1" applyBorder="1"/>
    <xf numFmtId="170" fontId="0" fillId="0" borderId="9" xfId="0" applyNumberFormat="1" applyBorder="1"/>
    <xf numFmtId="0" fontId="0" fillId="0" borderId="52" xfId="0" applyBorder="1"/>
    <xf numFmtId="0" fontId="0" fillId="0" borderId="73" xfId="0" applyBorder="1"/>
    <xf numFmtId="0" fontId="0" fillId="0" borderId="57" xfId="0" applyBorder="1"/>
    <xf numFmtId="0" fontId="2" fillId="0" borderId="1" xfId="0" applyFont="1" applyBorder="1" applyAlignment="1">
      <alignment wrapText="1"/>
    </xf>
    <xf numFmtId="0" fontId="9" fillId="5" borderId="0" xfId="0" applyFont="1" applyFill="1" applyAlignment="1">
      <alignment horizontal="center" wrapText="1"/>
    </xf>
    <xf numFmtId="0" fontId="9" fillId="0" borderId="0" xfId="0" applyFont="1" applyAlignment="1">
      <alignment horizontal="center" wrapText="1"/>
    </xf>
    <xf numFmtId="0" fontId="8" fillId="0" borderId="11" xfId="0" quotePrefix="1" applyFont="1" applyBorder="1" applyAlignment="1">
      <alignment wrapText="1"/>
    </xf>
    <xf numFmtId="0" fontId="0" fillId="0" borderId="10" xfId="0" applyBorder="1" applyAlignment="1">
      <alignment wrapText="1"/>
    </xf>
    <xf numFmtId="0" fontId="32" fillId="0" borderId="90" xfId="0" applyFont="1" applyBorder="1" applyAlignment="1">
      <alignment horizontal="center" wrapText="1"/>
    </xf>
    <xf numFmtId="0" fontId="0" fillId="0" borderId="50" xfId="0" applyBorder="1" applyAlignment="1">
      <alignment horizontal="center" wrapText="1"/>
    </xf>
    <xf numFmtId="0" fontId="0" fillId="0" borderId="57" xfId="0" applyBorder="1" applyAlignment="1">
      <alignment horizontal="center" wrapText="1"/>
    </xf>
    <xf numFmtId="0" fontId="12" fillId="0" borderId="0" xfId="0" applyFont="1" applyFill="1" applyBorder="1" applyAlignment="1">
      <alignment wrapText="1"/>
    </xf>
    <xf numFmtId="0" fontId="0" fillId="0" borderId="0" xfId="0" applyFont="1" applyAlignment="1">
      <alignment wrapText="1"/>
    </xf>
    <xf numFmtId="0" fontId="0" fillId="0" borderId="98" xfId="0" applyFont="1" applyBorder="1" applyAlignment="1">
      <alignment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2" xfId="0" applyFont="1" applyBorder="1" applyAlignment="1">
      <alignment horizontal="center" wrapText="1"/>
    </xf>
    <xf numFmtId="0" fontId="11" fillId="0" borderId="28" xfId="0" applyFont="1" applyBorder="1" applyAlignment="1">
      <alignment horizontal="center" wrapText="1"/>
    </xf>
    <xf numFmtId="0" fontId="11" fillId="0" borderId="23" xfId="0" applyFont="1" applyBorder="1" applyAlignment="1">
      <alignment horizontal="center" wrapText="1"/>
    </xf>
    <xf numFmtId="0" fontId="11" fillId="0" borderId="29" xfId="0" applyFont="1" applyBorder="1" applyAlignment="1">
      <alignment horizontal="center" wrapText="1"/>
    </xf>
    <xf numFmtId="0" fontId="11" fillId="0" borderId="99" xfId="0" applyFont="1" applyBorder="1" applyAlignment="1">
      <alignment horizontal="center" wrapText="1"/>
    </xf>
    <xf numFmtId="0" fontId="11" fillId="0" borderId="8" xfId="0" applyFont="1" applyBorder="1" applyAlignment="1">
      <alignment horizontal="center" wrapText="1"/>
    </xf>
    <xf numFmtId="0" fontId="0" fillId="0" borderId="0" xfId="0" applyFont="1" applyBorder="1" applyAlignment="1">
      <alignment wrapText="1"/>
    </xf>
    <xf numFmtId="0" fontId="0" fillId="0" borderId="0" xfId="0" applyBorder="1" applyAlignment="1">
      <alignment wrapText="1"/>
    </xf>
    <xf numFmtId="0" fontId="23" fillId="0" borderId="38" xfId="2" applyFont="1" applyBorder="1" applyAlignment="1">
      <alignment horizontal="center" wrapText="1"/>
    </xf>
    <xf numFmtId="0" fontId="22" fillId="0" borderId="0" xfId="2" applyFont="1" applyAlignment="1">
      <alignment wrapText="1"/>
    </xf>
    <xf numFmtId="0" fontId="23" fillId="0" borderId="38" xfId="2" applyFont="1" applyBorder="1" applyAlignment="1">
      <alignment wrapText="1"/>
    </xf>
    <xf numFmtId="0" fontId="0" fillId="0" borderId="38" xfId="0" applyBorder="1" applyAlignment="1">
      <alignment wrapText="1"/>
    </xf>
    <xf numFmtId="0" fontId="23" fillId="0" borderId="0" xfId="2" applyFont="1" applyBorder="1" applyAlignment="1">
      <alignment wrapText="1"/>
    </xf>
    <xf numFmtId="0" fontId="23" fillId="0" borderId="0" xfId="2" applyFont="1" applyBorder="1" applyAlignment="1">
      <alignment horizontal="center" wrapText="1"/>
    </xf>
  </cellXfs>
  <cellStyles count="5">
    <cellStyle name="Comma" xfId="1" builtinId="3"/>
    <cellStyle name="Normal" xfId="0" builtinId="0"/>
    <cellStyle name="Normal 2" xfId="2"/>
    <cellStyle name="Normal_fralinks2" xfId="3"/>
    <cellStyle name="Normal_Railyards summary_Railyards Individual 05_12_2010 confidential" xfId="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Air/PLANNING/INVNTORY/2002/Non-Road_Inventory/Nonroad%20Orphan%20Inventories/2285000-Rail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lass 1 LH EF"/>
      <sheetName val="switch EF"/>
      <sheetName val="class 2-3 EF"/>
      <sheetName val="Passenger EF"/>
      <sheetName val="control eff"/>
      <sheetName val="conrail shared asset line"/>
      <sheetName val="conrail yard"/>
      <sheetName val="NS"/>
      <sheetName val="CSX"/>
      <sheetName val="compare nscsx check"/>
      <sheetName val="shortline trains"/>
      <sheetName val="amtrak"/>
      <sheetName val="canadian pacific-delaware"/>
      <sheetName val="njtr act data 96"/>
      <sheetName val="njt 02 fuel data total"/>
      <sheetName val="njt 02 fuel data "/>
      <sheetName val="NJTR "/>
      <sheetName val="total"/>
      <sheetName val="grand total"/>
      <sheetName val="cty emissions tons"/>
      <sheetName val="cty emissions lbs"/>
    </sheetNames>
    <sheetDataSet>
      <sheetData sheetId="0" refreshError="1"/>
      <sheetData sheetId="1" refreshError="1">
        <row r="7">
          <cell r="B7">
            <v>1.3293855945748723E-2</v>
          </cell>
        </row>
      </sheetData>
      <sheetData sheetId="2" refreshError="1">
        <row r="2">
          <cell r="B2">
            <v>4.6297010756338831E-2</v>
          </cell>
        </row>
        <row r="3">
          <cell r="B3">
            <v>0.7980722806568884</v>
          </cell>
        </row>
        <row r="4">
          <cell r="B4">
            <v>8.3996005229357601E-2</v>
          </cell>
        </row>
        <row r="5">
          <cell r="B5">
            <v>3.7213978169857116E-2</v>
          </cell>
        </row>
        <row r="6">
          <cell r="B6">
            <v>2.0282499950396056E-2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oroniades, Jim" refreshedDate="42538.606957638891" createdVersion="1" refreshedVersion="4" recordCount="64" upgradeOnRefresh="1">
  <cacheSource type="worksheet">
    <worksheetSource ref="A2:O66" sheet="CONRAIL LINE-HAUL EMISS"/>
  </cacheSource>
  <cacheFields count="15">
    <cacheField name="FIPS" numFmtId="0">
      <sharedItems containsSemiMixedTypes="0" containsString="0" containsNumber="1" containsInteger="1" minValue="34005" maxValue="34039" count="9">
        <n v="34023"/>
        <n v="34013"/>
        <n v="34017"/>
        <n v="34039"/>
        <n v="34005"/>
        <n v="34007"/>
        <n v="34015"/>
        <n v="34033"/>
        <n v="34011"/>
      </sharedItems>
    </cacheField>
    <cacheField name="SEG-#" numFmtId="0">
      <sharedItems containsString="0" containsNumber="1" containsInteger="1"/>
    </cacheField>
    <cacheField name="LINE NAME" numFmtId="0">
      <sharedItems containsString="0"/>
    </cacheField>
    <cacheField name="LOC-#1" numFmtId="0">
      <sharedItems containsString="0"/>
    </cacheField>
    <cacheField name="MP-#1" numFmtId="0">
      <sharedItems containsString="0" containsNumber="1"/>
    </cacheField>
    <cacheField name="LOC-#2" numFmtId="0">
      <sharedItems containsString="0"/>
    </cacheField>
    <cacheField name="MP-#2" numFmtId="0">
      <sharedItems containsString="0" containsNumber="1"/>
    </cacheField>
    <cacheField name="RAILROAD" numFmtId="0">
      <sharedItems containsString="0"/>
    </cacheField>
    <cacheField name="COUNTY" numFmtId="0">
      <sharedItems containsString="0"/>
    </cacheField>
    <cacheField name="DISTANCE" numFmtId="0">
      <sharedItems containsString="0" containsNumber="1"/>
    </cacheField>
    <cacheField name="TONS" numFmtId="0">
      <sharedItems containsString="0" containsNumber="1"/>
    </cacheField>
    <cacheField name="TON-MILES" numFmtId="0">
      <sharedItems containsString="0" containsNumber="1"/>
    </cacheField>
    <cacheField name="% TON_MILES" numFmtId="0">
      <sharedItems containsString="0" containsNumber="1"/>
    </cacheField>
    <cacheField name="LINE FUEL USE" numFmtId="0">
      <sharedItems containsString="0" containsNumber="1"/>
    </cacheField>
    <cacheField name="FUEL USE" numFmtId="0">
      <sharedItems containsSemiMixedTypes="0" containsString="0" containsNumber="1" minValue="79.504997621933384" maxValue="51444.410225956897" count="63">
        <n v="26332.787340165458"/>
        <n v="18959.606884919198"/>
        <n v="552.98853414347661"/>
        <n v="4420.0512429432656"/>
        <n v="26520.307457659586"/>
        <n v="22376.509417400277"/>
        <n v="22185.727737973386"/>
        <n v="11917.952917093144"/>
        <n v="16685.134083930399"/>
        <n v="13109.748208802455"/>
        <n v="25669.437052200617"/>
        <n v="10842.032477016925"/>
        <n v="5824.2323223644653"/>
        <n v="8153.9252513102501"/>
        <n v="6406.6555546009104"/>
        <n v="12544.500386631153"/>
        <n v="15508.885299424348"/>
        <n v="12006.878941489818"/>
        <n v="6869.6073545837271"/>
        <n v="3614.0108256723092"/>
        <n v="2419.2965031360068"/>
        <n v="1254.4500386631164"/>
        <n v="1463.5250451069676"/>
        <n v="37320.58123664873"/>
        <n v="17023.423020225735"/>
        <n v="51444.410225956897"/>
        <n v="1870.7058263984259"/>
        <n v="79.504997621933384"/>
        <n v="2974.3069183797948"/>
        <n v="4755.7099924896193"/>
        <n v="4389.8861469134936"/>
        <n v="29804.24373991436"/>
        <n v="8349.1723114015986"/>
        <n v="11216.564822388005"/>
        <n v="34526.779235230446"/>
        <n v="22365.661585693979"/>
        <n v="20780.1621972662"/>
        <n v="41560.324394532399"/>
        <n v="48239.662243653678"/>
        <n v="13696.015993652722"/>
        <n v="31170.243295899294"/>
        <n v="8163.6351489260087"/>
        <n v="4048.0835449219871"/>
        <n v="2024.0417724609936"/>
        <n v="6257.6624798585708"/>
        <n v="15433.318515015077"/>
        <n v="11723.577110626884"/>
        <n v="7594.266364773448"/>
        <n v="7055.9096239825703"/>
        <n v="14111.819247965141"/>
        <n v="13418.82812418114"/>
        <n v="2456.968529779645"/>
        <n v="589.90153512191932"/>
        <n v="6420.190493899725"/>
        <n v="110.24858787472766"/>
        <n v="27147.617996280518"/>
        <n v="7707.6453891537685"/>
        <n v="17541.537782212024"/>
        <n v="4594.2122762936269"/>
        <n v="7441.8645136657087"/>
        <n v="190.60285642143822"/>
        <n v="29272"/>
        <n v="677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2:B13" firstHeaderRow="2" firstDataRow="2" firstDataCol="1"/>
  <pivotFields count="15">
    <pivotField axis="axisRow" compact="0" outline="0" subtotalTop="0" showAll="0" includeNewItemsInFilter="1">
      <items count="10">
        <item x="4"/>
        <item x="5"/>
        <item x="8"/>
        <item x="1"/>
        <item x="6"/>
        <item x="2"/>
        <item x="0"/>
        <item x="7"/>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items count="64">
        <item x="27"/>
        <item x="54"/>
        <item x="60"/>
        <item x="2"/>
        <item x="52"/>
        <item x="21"/>
        <item x="22"/>
        <item x="26"/>
        <item x="43"/>
        <item x="20"/>
        <item x="51"/>
        <item x="28"/>
        <item x="19"/>
        <item x="42"/>
        <item x="30"/>
        <item x="3"/>
        <item x="58"/>
        <item x="29"/>
        <item x="12"/>
        <item x="44"/>
        <item x="14"/>
        <item x="53"/>
        <item x="62"/>
        <item x="18"/>
        <item x="48"/>
        <item x="59"/>
        <item x="47"/>
        <item x="56"/>
        <item x="13"/>
        <item x="41"/>
        <item x="32"/>
        <item x="11"/>
        <item x="33"/>
        <item x="46"/>
        <item x="7"/>
        <item x="17"/>
        <item x="15"/>
        <item x="9"/>
        <item x="50"/>
        <item x="39"/>
        <item x="49"/>
        <item x="45"/>
        <item x="16"/>
        <item x="8"/>
        <item x="24"/>
        <item x="57"/>
        <item x="1"/>
        <item x="36"/>
        <item x="6"/>
        <item x="35"/>
        <item x="5"/>
        <item x="10"/>
        <item x="0"/>
        <item x="4"/>
        <item x="55"/>
        <item x="61"/>
        <item x="31"/>
        <item x="40"/>
        <item x="34"/>
        <item x="23"/>
        <item x="37"/>
        <item x="38"/>
        <item x="25"/>
        <item t="default"/>
      </items>
    </pivotField>
  </pivotFields>
  <rowFields count="1">
    <field x="0"/>
  </rowFields>
  <rowItems count="10">
    <i>
      <x/>
    </i>
    <i>
      <x v="1"/>
    </i>
    <i>
      <x v="2"/>
    </i>
    <i>
      <x v="3"/>
    </i>
    <i>
      <x v="4"/>
    </i>
    <i>
      <x v="5"/>
    </i>
    <i>
      <x v="6"/>
    </i>
    <i>
      <x v="7"/>
    </i>
    <i>
      <x v="8"/>
    </i>
    <i t="grand">
      <x/>
    </i>
  </rowItems>
  <colItems count="1">
    <i/>
  </colItems>
  <dataFields count="1">
    <dataField name="Sum of FUEL USE" fld="1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class23_stcntyfip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9" sqref="A9"/>
    </sheetView>
  </sheetViews>
  <sheetFormatPr defaultRowHeight="15" x14ac:dyDescent="0.25"/>
  <cols>
    <col min="1" max="1" width="73.5703125" customWidth="1"/>
  </cols>
  <sheetData>
    <row r="1" spans="1:1" x14ac:dyDescent="0.25">
      <c r="A1" s="71" t="s">
        <v>139</v>
      </c>
    </row>
    <row r="2" spans="1:1" ht="28.5" customHeight="1" x14ac:dyDescent="0.25">
      <c r="A2" s="72" t="s">
        <v>265</v>
      </c>
    </row>
    <row r="3" spans="1:1" ht="30.75" customHeight="1" x14ac:dyDescent="0.25">
      <c r="A3" s="72" t="s">
        <v>1019</v>
      </c>
    </row>
    <row r="4" spans="1:1" ht="24.95" customHeight="1" x14ac:dyDescent="0.25">
      <c r="A4" s="72" t="s">
        <v>1039</v>
      </c>
    </row>
    <row r="5" spans="1:1" ht="15" customHeight="1" x14ac:dyDescent="0.25">
      <c r="A5" s="72" t="s">
        <v>1018</v>
      </c>
    </row>
    <row r="6" spans="1:1" ht="15" customHeight="1" x14ac:dyDescent="0.25">
      <c r="A6" s="582" t="s">
        <v>1060</v>
      </c>
    </row>
    <row r="7" spans="1:1" ht="23.45" customHeight="1" x14ac:dyDescent="0.25">
      <c r="A7" s="72" t="s">
        <v>1035</v>
      </c>
    </row>
    <row r="8" spans="1:1" ht="29.25" customHeight="1" x14ac:dyDescent="0.25">
      <c r="A8" s="565" t="s">
        <v>1038</v>
      </c>
    </row>
    <row r="9" spans="1:1" ht="20.25" customHeight="1" x14ac:dyDescent="0.25">
      <c r="A9" s="582" t="s">
        <v>1058</v>
      </c>
    </row>
    <row r="10" spans="1:1" x14ac:dyDescent="0.25">
      <c r="A10" s="71" t="s">
        <v>1020</v>
      </c>
    </row>
    <row r="11" spans="1:1" x14ac:dyDescent="0.25">
      <c r="A11" s="73">
        <v>42916</v>
      </c>
    </row>
    <row r="12" spans="1:1" x14ac:dyDescent="0.25">
      <c r="A12" s="71"/>
    </row>
    <row r="14" spans="1:1" x14ac:dyDescent="0.25">
      <c r="A14" s="72"/>
    </row>
    <row r="15" spans="1:1" x14ac:dyDescent="0.25">
      <c r="A15" s="72"/>
    </row>
    <row r="16" spans="1:1" x14ac:dyDescent="0.25">
      <c r="A16" s="72"/>
    </row>
    <row r="17" spans="1:1" x14ac:dyDescent="0.25">
      <c r="A17" s="583"/>
    </row>
    <row r="18" spans="1:1" x14ac:dyDescent="0.25">
      <c r="A18" s="583"/>
    </row>
    <row r="19" spans="1:1" x14ac:dyDescent="0.25">
      <c r="A19" s="71"/>
    </row>
    <row r="20" spans="1:1" x14ac:dyDescent="0.25">
      <c r="A20" s="73"/>
    </row>
  </sheetData>
  <mergeCells count="1">
    <mergeCell ref="A17:A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H9" sqref="H9"/>
    </sheetView>
  </sheetViews>
  <sheetFormatPr defaultRowHeight="15" x14ac:dyDescent="0.25"/>
  <cols>
    <col min="1" max="1" width="14.5703125" customWidth="1"/>
    <col min="3" max="3" width="6.5703125" customWidth="1"/>
    <col min="5" max="5" width="10" customWidth="1"/>
    <col min="6" max="6" width="9.42578125" customWidth="1"/>
    <col min="9" max="9" width="8.85546875" customWidth="1"/>
    <col min="10" max="10" width="7.5703125" customWidth="1"/>
  </cols>
  <sheetData>
    <row r="1" spans="1:17" x14ac:dyDescent="0.25">
      <c r="A1" s="566" t="s">
        <v>1021</v>
      </c>
      <c r="B1" s="571"/>
      <c r="C1" s="571"/>
      <c r="D1" s="571"/>
      <c r="E1" s="571"/>
      <c r="F1" s="571"/>
      <c r="G1" s="571"/>
      <c r="H1" s="571"/>
      <c r="I1" s="571"/>
      <c r="J1" s="571"/>
      <c r="K1" s="571"/>
      <c r="L1" s="571"/>
      <c r="M1" s="571"/>
    </row>
    <row r="2" spans="1:17" x14ac:dyDescent="0.25">
      <c r="A2" s="139" t="s">
        <v>1027</v>
      </c>
      <c r="B2" s="571"/>
      <c r="C2" s="571"/>
      <c r="D2" s="571"/>
      <c r="E2" s="571"/>
      <c r="F2" s="571"/>
      <c r="G2" s="571"/>
      <c r="H2" s="571"/>
      <c r="I2" s="571"/>
      <c r="J2" s="571"/>
      <c r="K2" s="571"/>
      <c r="L2" s="571"/>
      <c r="M2" s="571"/>
    </row>
    <row r="3" spans="1:17" x14ac:dyDescent="0.25">
      <c r="A3" s="139" t="s">
        <v>1023</v>
      </c>
      <c r="B3" s="571"/>
      <c r="C3" s="571"/>
      <c r="D3" s="571"/>
      <c r="E3" s="571"/>
      <c r="F3" s="571"/>
      <c r="G3" s="571"/>
      <c r="H3" s="571"/>
      <c r="I3" s="571"/>
      <c r="J3" s="571"/>
      <c r="K3" s="571"/>
      <c r="L3" s="571"/>
      <c r="M3" s="571"/>
    </row>
    <row r="4" spans="1:17" x14ac:dyDescent="0.25">
      <c r="A4" s="568" t="s">
        <v>1036</v>
      </c>
      <c r="B4" s="571"/>
      <c r="C4" s="571"/>
      <c r="D4" s="571"/>
      <c r="E4" s="571"/>
      <c r="F4" s="571"/>
      <c r="G4" s="571"/>
      <c r="H4" s="571"/>
      <c r="I4" s="571"/>
      <c r="J4" s="571"/>
      <c r="K4" s="571"/>
      <c r="L4" s="571"/>
      <c r="M4" s="571"/>
    </row>
    <row r="5" spans="1:17" ht="15.75" thickBot="1" x14ac:dyDescent="0.3">
      <c r="A5" s="569" t="s">
        <v>1059</v>
      </c>
      <c r="B5" s="571"/>
      <c r="C5" s="571"/>
      <c r="D5" s="571"/>
      <c r="E5" s="571"/>
      <c r="F5" s="571"/>
      <c r="G5" s="571"/>
      <c r="H5" s="571"/>
      <c r="I5" s="571"/>
      <c r="J5" s="571"/>
      <c r="K5" s="571"/>
      <c r="L5" s="571"/>
      <c r="M5" s="571"/>
    </row>
    <row r="6" spans="1:17" ht="30.75" thickBot="1" x14ac:dyDescent="0.3">
      <c r="A6" s="573" t="s">
        <v>1010</v>
      </c>
      <c r="B6" s="528" t="s">
        <v>68</v>
      </c>
      <c r="C6" s="528" t="s">
        <v>4</v>
      </c>
      <c r="D6" s="412" t="s">
        <v>969</v>
      </c>
      <c r="E6" s="421" t="s">
        <v>979</v>
      </c>
      <c r="F6" s="421" t="s">
        <v>965</v>
      </c>
      <c r="G6" s="421" t="s">
        <v>966</v>
      </c>
      <c r="H6" s="421" t="s">
        <v>1037</v>
      </c>
      <c r="I6" s="421" t="s">
        <v>968</v>
      </c>
      <c r="J6" s="404" t="s">
        <v>970</v>
      </c>
      <c r="K6" s="412" t="s">
        <v>976</v>
      </c>
      <c r="L6" s="421" t="s">
        <v>980</v>
      </c>
      <c r="M6" s="421" t="s">
        <v>972</v>
      </c>
      <c r="N6" s="421" t="s">
        <v>973</v>
      </c>
      <c r="O6" s="421" t="s">
        <v>974</v>
      </c>
      <c r="P6" s="421" t="s">
        <v>975</v>
      </c>
      <c r="Q6" s="404" t="s">
        <v>977</v>
      </c>
    </row>
    <row r="7" spans="1:17" ht="15.75" thickBot="1" x14ac:dyDescent="0.3">
      <c r="A7" s="542"/>
      <c r="B7" s="543"/>
      <c r="C7" s="544"/>
      <c r="D7" s="560">
        <f>DSUM('TOT RAIL SCC cty 1 '!$D$6:$U$90,'TOT RAIL SCC cty 1 '!F6,'TOT RAIL cty NAA'!$C$34:$C$35)</f>
        <v>29.579811897539237</v>
      </c>
      <c r="E7" s="560">
        <f>DSUM('TOT RAIL SCC cty 1 '!$D$6:$U$90,'TOT RAIL SCC cty 1 '!G6,'TOT RAIL cty NAA'!$C$34:$C$35)</f>
        <v>684.79307390127792</v>
      </c>
      <c r="F7" s="560">
        <f>DSUM('TOT RAIL SCC cty 1 '!$D$6:$U$90,'TOT RAIL SCC cty 1 '!H6,'TOT RAIL cty NAA'!$C$34:$C$35)</f>
        <v>160.56392942363325</v>
      </c>
      <c r="G7" s="560">
        <f>DSUM('TOT RAIL SCC cty 1 '!$D$6:$U$90,'TOT RAIL SCC cty 1 '!I6,'TOT RAIL cty NAA'!$C$34:$C$35)</f>
        <v>17.1713645216564</v>
      </c>
      <c r="H7" s="560">
        <f>DSUM('TOT RAIL SCC cty 1 '!$D$6:$U$90,'TOT RAIL SCC cty 1 '!J6,'TOT RAIL cty NAA'!$C$34:$C$35)</f>
        <v>16.656223586006707</v>
      </c>
      <c r="I7" s="560">
        <f>DSUM('TOT RAIL SCC cty 1 '!$D$6:$U$90,'TOT RAIL SCC cty 1 '!K6,'TOT RAIL cty NAA'!$C$34:$C$35)</f>
        <v>8.7030767722859572</v>
      </c>
      <c r="J7" s="560">
        <f>DSUM('TOT RAIL SCC cty 1 '!$D$6:$U$90,'TOT RAIL SCC cty 1 '!L6,'TOT RAIL cty NAA'!$C$34:$C$35)</f>
        <v>0.50283910453168157</v>
      </c>
      <c r="K7" s="560">
        <f>DSUM('TOT RAIL SCC cty 1 '!$D$6:$U$90,'TOT RAIL SCC cty 1 '!N6,'TOT RAIL cty NAA'!$C$34:$C$35)</f>
        <v>8.1040580541203402E-2</v>
      </c>
      <c r="L7" s="560">
        <f>DSUM('TOT RAIL SCC cty 1 '!$D$6:$U$90,'TOT RAIL SCC cty 1 '!O6,'TOT RAIL cty NAA'!$C$34:$C$35)</f>
        <v>1.8761454079487063</v>
      </c>
      <c r="M7" s="560">
        <f>DSUM('TOT RAIL SCC cty 1 '!$D$6:$U$90,'TOT RAIL SCC cty 1 '!P6,'TOT RAIL cty NAA'!$C$34:$C$35)</f>
        <v>0.43990117650310473</v>
      </c>
      <c r="N7" s="560">
        <f>DSUM('TOT RAIL SCC cty 1 '!$D$6:$U$90,'TOT RAIL SCC cty 1 '!Q6,'TOT RAIL cty NAA'!$C$34:$C$35)</f>
        <v>4.7044834305907945E-2</v>
      </c>
      <c r="O7" s="560">
        <f>DSUM('TOT RAIL SCC cty 1 '!$D$6:$U$90,'TOT RAIL SCC cty 1 '!R6,'TOT RAIL cty NAA'!$C$34:$C$35)</f>
        <v>4.56334892767307E-2</v>
      </c>
      <c r="P7" s="560">
        <f>DSUM('TOT RAIL SCC cty 1 '!$D$6:$U$90,'TOT RAIL SCC cty 1 '!S6,'TOT RAIL cty NAA'!$C$34:$C$35)</f>
        <v>2.3844045951468378E-2</v>
      </c>
      <c r="Q7" s="560">
        <f>DSUM('TOT RAIL SCC cty 1 '!$D$6:$U$90,'TOT RAIL SCC cty 1 '!T6,'TOT RAIL cty NAA'!$C$34:$C$35)</f>
        <v>1.3776413822785799E-3</v>
      </c>
    </row>
    <row r="8" spans="1:17" x14ac:dyDescent="0.25">
      <c r="A8" s="545" t="s">
        <v>1011</v>
      </c>
      <c r="B8" s="477" t="s">
        <v>113</v>
      </c>
      <c r="C8" s="546" t="s">
        <v>65</v>
      </c>
      <c r="D8" s="547">
        <f t="dataTable" ref="D8:Q19" dt2D="0" dtr="0" r1="C35"/>
        <v>29.579811897539237</v>
      </c>
      <c r="E8" s="505">
        <v>684.79307390127792</v>
      </c>
      <c r="F8" s="505">
        <v>160.56392942363325</v>
      </c>
      <c r="G8" s="505">
        <v>17.1713645216564</v>
      </c>
      <c r="H8" s="505">
        <v>16.656223586006707</v>
      </c>
      <c r="I8" s="505">
        <v>8.7030767722859572</v>
      </c>
      <c r="J8" s="548">
        <v>0.50283910453168157</v>
      </c>
      <c r="K8" s="476">
        <v>8.1040580541203402E-2</v>
      </c>
      <c r="L8" s="477">
        <v>1.8761454079487063</v>
      </c>
      <c r="M8" s="477">
        <v>0.43990117650310473</v>
      </c>
      <c r="N8" s="477">
        <v>4.7044834305907945E-2</v>
      </c>
      <c r="O8" s="477">
        <v>4.56334892767307E-2</v>
      </c>
      <c r="P8" s="477">
        <v>2.3844045951468378E-2</v>
      </c>
      <c r="Q8" s="485">
        <v>1.3776413822785799E-3</v>
      </c>
    </row>
    <row r="9" spans="1:17" x14ac:dyDescent="0.25">
      <c r="A9" s="549" t="s">
        <v>1011</v>
      </c>
      <c r="B9" s="360" t="s">
        <v>114</v>
      </c>
      <c r="C9" s="107" t="s">
        <v>40</v>
      </c>
      <c r="D9" s="147">
        <v>26.959569228244064</v>
      </c>
      <c r="E9" s="147">
        <v>427.35582146310321</v>
      </c>
      <c r="F9" s="147">
        <v>68.130911583902787</v>
      </c>
      <c r="G9" s="147">
        <v>12.337236848337284</v>
      </c>
      <c r="H9" s="147">
        <v>11.718285153304709</v>
      </c>
      <c r="I9" s="147">
        <v>2.5999119380231459</v>
      </c>
      <c r="J9" s="548">
        <v>0.15475906397394606</v>
      </c>
      <c r="K9" s="303">
        <v>7.3861833502038537E-2</v>
      </c>
      <c r="L9" s="360">
        <v>1.1708378670222006</v>
      </c>
      <c r="M9" s="360">
        <v>0.18666003173671999</v>
      </c>
      <c r="N9" s="360">
        <v>3.3800648899554198E-2</v>
      </c>
      <c r="O9" s="360">
        <v>3.2104890830971809E-2</v>
      </c>
      <c r="P9" s="360">
        <v>7.1230464055428658E-3</v>
      </c>
      <c r="Q9" s="298">
        <v>4.2399743554505766E-4</v>
      </c>
    </row>
    <row r="10" spans="1:17" x14ac:dyDescent="0.25">
      <c r="A10" s="549" t="s">
        <v>1011</v>
      </c>
      <c r="B10" s="360" t="s">
        <v>115</v>
      </c>
      <c r="C10" s="107" t="s">
        <v>42</v>
      </c>
      <c r="D10" s="147">
        <v>17.393719226430182</v>
      </c>
      <c r="E10" s="147">
        <v>374.52529248449082</v>
      </c>
      <c r="F10" s="147">
        <v>75.862336406531895</v>
      </c>
      <c r="G10" s="147">
        <v>9.2568397347423712</v>
      </c>
      <c r="H10" s="147">
        <v>8.9709551493325961</v>
      </c>
      <c r="I10" s="147">
        <v>4.1655269182192809</v>
      </c>
      <c r="J10" s="548">
        <v>0.24836123379262712</v>
      </c>
      <c r="K10" s="303">
        <v>4.7654025277890907E-2</v>
      </c>
      <c r="L10" s="360">
        <v>1.026096691738331</v>
      </c>
      <c r="M10" s="360">
        <v>0.20784201755214218</v>
      </c>
      <c r="N10" s="360">
        <v>2.5361204752718823E-2</v>
      </c>
      <c r="O10" s="360">
        <v>2.4577959313239993E-2</v>
      </c>
      <c r="P10" s="360">
        <v>1.1412402515669261E-2</v>
      </c>
      <c r="Q10" s="298">
        <v>6.8044173641815643E-4</v>
      </c>
    </row>
    <row r="11" spans="1:17" x14ac:dyDescent="0.25">
      <c r="A11" s="259" t="s">
        <v>1011</v>
      </c>
      <c r="B11" s="107" t="s">
        <v>124</v>
      </c>
      <c r="C11" s="107" t="s">
        <v>24</v>
      </c>
      <c r="D11" s="147">
        <v>9.0476658668676393</v>
      </c>
      <c r="E11" s="147">
        <v>210.40183411587154</v>
      </c>
      <c r="F11" s="147">
        <v>49.437617074420295</v>
      </c>
      <c r="G11" s="147">
        <v>5.2944414894952532</v>
      </c>
      <c r="H11" s="147">
        <v>5.1356082448103955</v>
      </c>
      <c r="I11" s="147">
        <v>2.6796764278380047</v>
      </c>
      <c r="J11" s="548">
        <v>0.15474686197239265</v>
      </c>
      <c r="K11" s="168">
        <v>2.4788125662651067E-2</v>
      </c>
      <c r="L11" s="360">
        <v>0.5764433811393741</v>
      </c>
      <c r="M11" s="360">
        <v>0.13544552623128847</v>
      </c>
      <c r="N11" s="360">
        <v>1.4505319149302063E-2</v>
      </c>
      <c r="O11" s="360">
        <v>1.4070159574823E-2</v>
      </c>
      <c r="P11" s="360">
        <v>7.3415792543506976E-3</v>
      </c>
      <c r="Q11" s="298">
        <v>4.2396400540381551E-4</v>
      </c>
    </row>
    <row r="12" spans="1:17" x14ac:dyDescent="0.25">
      <c r="A12" s="303" t="s">
        <v>1011</v>
      </c>
      <c r="B12" s="360" t="s">
        <v>1012</v>
      </c>
      <c r="C12" s="107" t="s">
        <v>44</v>
      </c>
      <c r="D12" s="147">
        <v>14.269859190800123</v>
      </c>
      <c r="E12" s="147">
        <v>303.68913481852508</v>
      </c>
      <c r="F12" s="147">
        <v>53.294261670857153</v>
      </c>
      <c r="G12" s="147">
        <v>7.3158102504531008</v>
      </c>
      <c r="H12" s="147">
        <v>7.0963359429395076</v>
      </c>
      <c r="I12" s="147">
        <v>2.8887188580195335</v>
      </c>
      <c r="J12" s="548">
        <v>0.17263758660147155</v>
      </c>
      <c r="K12" s="168">
        <v>3.9095504632329102E-2</v>
      </c>
      <c r="L12" s="360">
        <v>0.83202502690006863</v>
      </c>
      <c r="M12" s="360">
        <v>0.14601167581056754</v>
      </c>
      <c r="N12" s="360">
        <v>2.004331575466603E-2</v>
      </c>
      <c r="O12" s="360">
        <v>1.9442016282026048E-2</v>
      </c>
      <c r="P12" s="360">
        <v>7.9142982411494062E-3</v>
      </c>
      <c r="Q12" s="298">
        <v>4.7297968931910012E-4</v>
      </c>
    </row>
    <row r="13" spans="1:17" x14ac:dyDescent="0.25">
      <c r="A13" s="303" t="s">
        <v>1011</v>
      </c>
      <c r="B13" s="360" t="s">
        <v>126</v>
      </c>
      <c r="C13" s="107" t="s">
        <v>45</v>
      </c>
      <c r="D13" s="147">
        <v>14.273047281612783</v>
      </c>
      <c r="E13" s="147">
        <v>329.52536180582206</v>
      </c>
      <c r="F13" s="147">
        <v>77.714304147068191</v>
      </c>
      <c r="G13" s="147">
        <v>8.2367658786730331</v>
      </c>
      <c r="H13" s="147">
        <v>7.9896629023128423</v>
      </c>
      <c r="I13" s="147">
        <v>4.2123629991155642</v>
      </c>
      <c r="J13" s="548">
        <v>0.2433219192929249</v>
      </c>
      <c r="K13" s="168">
        <v>3.9104239127706254E-2</v>
      </c>
      <c r="L13" s="360">
        <v>0.90280921042690976</v>
      </c>
      <c r="M13" s="360">
        <v>0.2129159017727896</v>
      </c>
      <c r="N13" s="360">
        <v>2.2566481859378172E-2</v>
      </c>
      <c r="O13" s="360">
        <v>2.1889487403596829E-2</v>
      </c>
      <c r="P13" s="360">
        <v>1.1540720545522094E-2</v>
      </c>
      <c r="Q13" s="298">
        <v>6.6663539532308194E-4</v>
      </c>
    </row>
    <row r="14" spans="1:17" x14ac:dyDescent="0.25">
      <c r="A14" s="303" t="s">
        <v>1011</v>
      </c>
      <c r="B14" s="360" t="s">
        <v>127</v>
      </c>
      <c r="C14" s="107" t="s">
        <v>50</v>
      </c>
      <c r="D14" s="147">
        <v>7.7118058224213133</v>
      </c>
      <c r="E14" s="147">
        <v>177.52870606253686</v>
      </c>
      <c r="F14" s="147">
        <v>41.566539780887965</v>
      </c>
      <c r="G14" s="147">
        <v>4.4309824567827381</v>
      </c>
      <c r="H14" s="147">
        <v>4.2980529830792564</v>
      </c>
      <c r="I14" s="147">
        <v>2.253038949469679</v>
      </c>
      <c r="J14" s="548">
        <v>0.13024407341507577</v>
      </c>
      <c r="K14" s="168">
        <v>2.1128235129921406E-2</v>
      </c>
      <c r="L14" s="360">
        <v>0.48638001660968999</v>
      </c>
      <c r="M14" s="360">
        <v>0.11388093090654236</v>
      </c>
      <c r="N14" s="360">
        <v>1.2139677963788323E-2</v>
      </c>
      <c r="O14" s="360">
        <v>1.1775487624874676E-2</v>
      </c>
      <c r="P14" s="360">
        <v>6.1727094506018607E-3</v>
      </c>
      <c r="Q14" s="298">
        <v>3.5683307784952265E-4</v>
      </c>
    </row>
    <row r="15" spans="1:17" x14ac:dyDescent="0.25">
      <c r="A15" s="549" t="s">
        <v>1011</v>
      </c>
      <c r="B15" s="360" t="s">
        <v>129</v>
      </c>
      <c r="C15" s="107" t="s">
        <v>66</v>
      </c>
      <c r="D15" s="147">
        <v>7.9017547460192414</v>
      </c>
      <c r="E15" s="147">
        <v>182.06209321896893</v>
      </c>
      <c r="F15" s="147">
        <v>42.601161605020785</v>
      </c>
      <c r="G15" s="147">
        <v>4.5479928835094015</v>
      </c>
      <c r="H15" s="147">
        <v>4.4115530970041181</v>
      </c>
      <c r="I15" s="147">
        <v>2.3091187501947417</v>
      </c>
      <c r="J15" s="548">
        <v>0.13348336300242117</v>
      </c>
      <c r="K15" s="168">
        <v>2.1648643139778746E-2</v>
      </c>
      <c r="L15" s="360">
        <v>0.49880025539443545</v>
      </c>
      <c r="M15" s="360">
        <v>0.11671551124663229</v>
      </c>
      <c r="N15" s="360">
        <v>1.2460254475368224E-2</v>
      </c>
      <c r="O15" s="360">
        <v>1.2086446841107174E-2</v>
      </c>
      <c r="P15" s="360">
        <v>6.3263527402595667E-3</v>
      </c>
      <c r="Q15" s="298">
        <v>3.6570784384224982E-4</v>
      </c>
    </row>
    <row r="16" spans="1:17" x14ac:dyDescent="0.25">
      <c r="A16" s="549" t="s">
        <v>1011</v>
      </c>
      <c r="B16" s="360" t="s">
        <v>131</v>
      </c>
      <c r="C16" s="107" t="s">
        <v>47</v>
      </c>
      <c r="D16" s="147">
        <v>11.788002174608764</v>
      </c>
      <c r="E16" s="147">
        <v>271.49359496363013</v>
      </c>
      <c r="F16" s="147">
        <v>61.686444673007003</v>
      </c>
      <c r="G16" s="147">
        <v>6.8074996208414458</v>
      </c>
      <c r="H16" s="147">
        <v>6.6032746322162019</v>
      </c>
      <c r="I16" s="147">
        <v>3.3436019268193742</v>
      </c>
      <c r="J16" s="548">
        <v>0.19372992196015393</v>
      </c>
      <c r="K16" s="168">
        <v>3.2295896368791134E-2</v>
      </c>
      <c r="L16" s="360">
        <v>0.74381806839350728</v>
      </c>
      <c r="M16" s="360">
        <v>0.16900395800823834</v>
      </c>
      <c r="N16" s="360">
        <v>1.8650683892716288E-2</v>
      </c>
      <c r="O16" s="360">
        <v>1.8091163375934801E-2</v>
      </c>
      <c r="P16" s="360">
        <v>9.1605532241626694E-3</v>
      </c>
      <c r="Q16" s="298">
        <v>5.3076690947987369E-4</v>
      </c>
    </row>
    <row r="17" spans="1:17" x14ac:dyDescent="0.25">
      <c r="A17" s="549" t="s">
        <v>1011</v>
      </c>
      <c r="B17" s="360" t="s">
        <v>132</v>
      </c>
      <c r="C17" s="107" t="s">
        <v>67</v>
      </c>
      <c r="D17" s="147">
        <v>0.71181060718806177</v>
      </c>
      <c r="E17" s="147">
        <v>16.077665739317414</v>
      </c>
      <c r="F17" s="147">
        <v>3.3462905088753048</v>
      </c>
      <c r="G17" s="147">
        <v>0.40097687137634064</v>
      </c>
      <c r="H17" s="147">
        <v>0.38894756523505036</v>
      </c>
      <c r="I17" s="147">
        <v>0.18137961188203855</v>
      </c>
      <c r="J17" s="548">
        <v>1.0602437521296741E-2</v>
      </c>
      <c r="K17" s="303">
        <v>1.9501660470905803E-3</v>
      </c>
      <c r="L17" s="360">
        <v>4.4048399285801135E-2</v>
      </c>
      <c r="M17" s="360">
        <v>9.1679192023980949E-3</v>
      </c>
      <c r="N17" s="360">
        <v>1.0985667708940839E-3</v>
      </c>
      <c r="O17" s="360">
        <v>1.0656097677672614E-3</v>
      </c>
      <c r="P17" s="360">
        <v>4.9693044351243438E-4</v>
      </c>
      <c r="Q17" s="298">
        <v>2.9047774030949976E-5</v>
      </c>
    </row>
    <row r="18" spans="1:17" x14ac:dyDescent="0.25">
      <c r="A18" s="549" t="s">
        <v>1011</v>
      </c>
      <c r="B18" s="360" t="s">
        <v>117</v>
      </c>
      <c r="C18" s="107" t="s">
        <v>48</v>
      </c>
      <c r="D18" s="147">
        <v>16.985288759500946</v>
      </c>
      <c r="E18" s="147">
        <v>323.47641616686781</v>
      </c>
      <c r="F18" s="147">
        <v>66.672937163158394</v>
      </c>
      <c r="G18" s="147">
        <v>8.7872868902209724</v>
      </c>
      <c r="H18" s="147">
        <v>8.4309589609266649</v>
      </c>
      <c r="I18" s="147">
        <v>3.4361179256922902</v>
      </c>
      <c r="J18" s="548">
        <v>0.18774030469935502</v>
      </c>
      <c r="K18" s="303">
        <v>4.653503769726286E-2</v>
      </c>
      <c r="L18" s="360">
        <v>0.88623675662155565</v>
      </c>
      <c r="M18" s="360">
        <v>0.18266558126892712</v>
      </c>
      <c r="N18" s="360">
        <v>2.4074758603345129E-2</v>
      </c>
      <c r="O18" s="360">
        <v>2.3098517701168945E-2</v>
      </c>
      <c r="P18" s="360">
        <v>9.4140217142254529E-3</v>
      </c>
      <c r="Q18" s="298">
        <v>5.1435699917631514E-4</v>
      </c>
    </row>
    <row r="19" spans="1:17" ht="15.75" thickBot="1" x14ac:dyDescent="0.3">
      <c r="A19" s="228" t="s">
        <v>1011</v>
      </c>
      <c r="B19" s="299" t="s">
        <v>133</v>
      </c>
      <c r="C19" s="550" t="s">
        <v>25</v>
      </c>
      <c r="D19" s="501">
        <v>1.4595534289942136</v>
      </c>
      <c r="E19" s="501">
        <v>33.861832350620119</v>
      </c>
      <c r="F19" s="501">
        <v>7.7371253954239059</v>
      </c>
      <c r="G19" s="501">
        <v>0.85369895689727304</v>
      </c>
      <c r="H19" s="501">
        <v>0.82808798819035467</v>
      </c>
      <c r="I19" s="501">
        <v>0.4193768585191735</v>
      </c>
      <c r="J19" s="551">
        <v>2.4274450067585371E-2</v>
      </c>
      <c r="K19" s="204">
        <v>3.9987765177923662E-3</v>
      </c>
      <c r="L19" s="183">
        <v>9.2772143426356479E-2</v>
      </c>
      <c r="M19" s="183">
        <v>2.1197603823079194E-2</v>
      </c>
      <c r="N19" s="183">
        <v>2.3389012517733509E-3</v>
      </c>
      <c r="O19" s="183">
        <v>2.26873421422015E-3</v>
      </c>
      <c r="P19" s="183">
        <v>1.1489776945730781E-3</v>
      </c>
      <c r="Q19" s="578">
        <v>6.650534265091883E-5</v>
      </c>
    </row>
    <row r="20" spans="1:17" ht="15.75" thickBot="1" x14ac:dyDescent="0.3">
      <c r="A20" s="420" t="s">
        <v>1013</v>
      </c>
      <c r="B20" s="421"/>
      <c r="C20" s="552" t="s">
        <v>1013</v>
      </c>
      <c r="D20" s="553">
        <f>SUM(D8:D19)</f>
        <v>158.08188823022655</v>
      </c>
      <c r="E20" s="553">
        <f t="shared" ref="E20:J20" si="0">SUM(E8:E19)</f>
        <v>3334.790827091032</v>
      </c>
      <c r="F20" s="553">
        <f t="shared" si="0"/>
        <v>708.61385943278708</v>
      </c>
      <c r="G20" s="553">
        <f t="shared" si="0"/>
        <v>85.440896402985615</v>
      </c>
      <c r="H20" s="553">
        <f t="shared" si="0"/>
        <v>82.527946205358404</v>
      </c>
      <c r="I20" s="553">
        <f t="shared" si="0"/>
        <v>37.191907936078778</v>
      </c>
      <c r="J20" s="575">
        <f t="shared" si="0"/>
        <v>2.1567403208309321</v>
      </c>
      <c r="K20" s="420">
        <f>SUM(K8:K19)</f>
        <v>0.43310106364445644</v>
      </c>
      <c r="L20" s="421">
        <f t="shared" ref="L20:Q20" si="1">SUM(L8:L19)</f>
        <v>9.1364132249069367</v>
      </c>
      <c r="M20" s="421">
        <f t="shared" si="1"/>
        <v>1.9414078340624297</v>
      </c>
      <c r="N20" s="421">
        <f t="shared" si="1"/>
        <v>0.23408464767941264</v>
      </c>
      <c r="O20" s="421">
        <f t="shared" si="1"/>
        <v>0.2261039622064614</v>
      </c>
      <c r="P20" s="421">
        <f t="shared" si="1"/>
        <v>0.10189563818103774</v>
      </c>
      <c r="Q20" s="412">
        <f t="shared" si="1"/>
        <v>5.9088775913176215E-3</v>
      </c>
    </row>
    <row r="21" spans="1:17" x14ac:dyDescent="0.25">
      <c r="A21" s="111" t="s">
        <v>1010</v>
      </c>
      <c r="B21" s="543" t="s">
        <v>68</v>
      </c>
      <c r="C21" s="544" t="s">
        <v>4</v>
      </c>
      <c r="D21" s="201" t="s">
        <v>969</v>
      </c>
      <c r="E21" s="477" t="s">
        <v>979</v>
      </c>
      <c r="F21" s="477" t="s">
        <v>965</v>
      </c>
      <c r="G21" s="477" t="s">
        <v>966</v>
      </c>
      <c r="H21" s="477" t="s">
        <v>1037</v>
      </c>
      <c r="I21" s="477" t="s">
        <v>968</v>
      </c>
      <c r="J21" s="580" t="s">
        <v>970</v>
      </c>
      <c r="K21" s="535" t="s">
        <v>976</v>
      </c>
      <c r="L21" s="106" t="s">
        <v>980</v>
      </c>
      <c r="M21" s="106" t="s">
        <v>972</v>
      </c>
      <c r="N21" s="106" t="s">
        <v>973</v>
      </c>
      <c r="O21" s="106" t="s">
        <v>974</v>
      </c>
      <c r="P21" s="106" t="s">
        <v>975</v>
      </c>
      <c r="Q21" s="534" t="s">
        <v>977</v>
      </c>
    </row>
    <row r="22" spans="1:17" x14ac:dyDescent="0.25">
      <c r="A22" s="303"/>
      <c r="B22" s="581"/>
      <c r="C22" s="360"/>
      <c r="D22" s="579">
        <f>DSUM('TOT RAIL SCC cty 1 '!$D$6:$U$90,'TOT RAIL SCC cty 1 '!F6,'TOT RAIL cty NAA'!$C$34:$C$35)</f>
        <v>29.579811897539237</v>
      </c>
      <c r="E22" s="579">
        <f>DSUM('TOT RAIL SCC cty 1 '!$D$6:$U$90,'TOT RAIL SCC cty 1 '!G6,'TOT RAIL cty NAA'!$C$34:$C$35)</f>
        <v>684.79307390127792</v>
      </c>
      <c r="F22" s="579">
        <f>DSUM('TOT RAIL SCC cty 1 '!$D$6:$U$90,'TOT RAIL SCC cty 1 '!H6,'TOT RAIL cty NAA'!$C$34:$C$35)</f>
        <v>160.56392942363325</v>
      </c>
      <c r="G22" s="579">
        <f>DSUM('TOT RAIL SCC cty 1 '!$D$6:$U$90,'TOT RAIL SCC cty 1 '!I6,'TOT RAIL cty NAA'!$C$34:$C$35)</f>
        <v>17.1713645216564</v>
      </c>
      <c r="H22" s="579">
        <f>DSUM('TOT RAIL SCC cty 1 '!$D$6:$U$90,'TOT RAIL SCC cty 1 '!J6,'TOT RAIL cty NAA'!$C$34:$C$35)</f>
        <v>16.656223586006707</v>
      </c>
      <c r="I22" s="579">
        <f>DSUM('TOT RAIL SCC cty 1 '!$D$6:$U$90,'TOT RAIL SCC cty 1 '!K6,'TOT RAIL cty NAA'!$C$34:$C$35)</f>
        <v>8.7030767722859572</v>
      </c>
      <c r="J22" s="579">
        <f>DSUM('TOT RAIL SCC cty 1 '!$D$6:$U$90,'TOT RAIL SCC cty 1 '!L6,'TOT RAIL cty NAA'!$C$34:$C$35)</f>
        <v>0.50283910453168157</v>
      </c>
      <c r="K22" s="303">
        <f>DSUM('TOT RAIL SCC cty 1 '!$D$6:$U$90,'TOT RAIL SCC cty 1 '!N6,'TOT RAIL cty NAA'!$C$34:$C$35)</f>
        <v>8.1040580541203402E-2</v>
      </c>
      <c r="L22" s="360">
        <f>DSUM('TOT RAIL SCC cty 1 '!$D$6:$U$90,'TOT RAIL SCC cty 1 '!O6,'TOT RAIL cty NAA'!$C$34:$C$35)</f>
        <v>1.8761454079487063</v>
      </c>
      <c r="M22" s="360">
        <f>DSUM('TOT RAIL SCC cty 1 '!$D$6:$U$90,'TOT RAIL SCC cty 1 '!P6,'TOT RAIL cty NAA'!$C$34:$C$35)</f>
        <v>0.43990117650310473</v>
      </c>
      <c r="N22" s="360">
        <f>DSUM('TOT RAIL SCC cty 1 '!$D$6:$U$90,'TOT RAIL SCC cty 1 '!Q6,'TOT RAIL cty NAA'!$C$34:$C$35)</f>
        <v>4.7044834305907945E-2</v>
      </c>
      <c r="O22" s="360">
        <f>DSUM('TOT RAIL SCC cty 1 '!$D$6:$U$90,'TOT RAIL SCC cty 1 '!R6,'TOT RAIL cty NAA'!$C$34:$C$35)</f>
        <v>4.56334892767307E-2</v>
      </c>
      <c r="P22" s="360">
        <f>DSUM('TOT RAIL SCC cty 1 '!$D$6:$U$90,'TOT RAIL SCC cty 1 '!S6,'TOT RAIL cty NAA'!$C$34:$C$35)</f>
        <v>2.3844045951468378E-2</v>
      </c>
      <c r="Q22" s="298">
        <f>DSUM('TOT RAIL SCC cty 1 '!$D$6:$U$90,'TOT RAIL SCC cty 1 '!T6,'TOT RAIL cty NAA'!$C$34:$C$35)</f>
        <v>1.3776413822785799E-3</v>
      </c>
    </row>
    <row r="23" spans="1:17" x14ac:dyDescent="0.25">
      <c r="A23" s="111" t="s">
        <v>1014</v>
      </c>
      <c r="B23" s="106" t="s">
        <v>256</v>
      </c>
      <c r="C23" s="554" t="s">
        <v>37</v>
      </c>
      <c r="D23" s="147">
        <f t="dataTable" ref="D23:Q32" dt2D="0" dtr="0" r1="C35" ca="1"/>
        <v>3.1725876476682324</v>
      </c>
      <c r="E23" s="147">
        <v>73.2968247057984</v>
      </c>
      <c r="F23" s="147">
        <v>17.328387349759169</v>
      </c>
      <c r="G23" s="147">
        <v>1.8325598396431211</v>
      </c>
      <c r="H23" s="147">
        <v>1.7775830444538272</v>
      </c>
      <c r="I23" s="147">
        <v>0.93925382859162432</v>
      </c>
      <c r="J23" s="20">
        <v>5.4242008684597852E-2</v>
      </c>
      <c r="K23" s="303">
        <v>8.6920209525157052E-3</v>
      </c>
      <c r="L23" s="360">
        <v>0.20081321837205041</v>
      </c>
      <c r="M23" s="360">
        <v>4.7475033834956624E-2</v>
      </c>
      <c r="N23" s="360">
        <v>5.0207118894332083E-3</v>
      </c>
      <c r="O23" s="360">
        <v>4.8700905327502117E-3</v>
      </c>
      <c r="P23" s="360">
        <v>2.5732981605249986E-3</v>
      </c>
      <c r="Q23" s="298">
        <v>1.4860824297150096E-4</v>
      </c>
    </row>
    <row r="24" spans="1:17" x14ac:dyDescent="0.25">
      <c r="A24" s="111" t="s">
        <v>1014</v>
      </c>
      <c r="B24" s="360" t="s">
        <v>257</v>
      </c>
      <c r="C24" s="107" t="s">
        <v>21</v>
      </c>
      <c r="D24" s="147">
        <v>1.3341598251374278</v>
      </c>
      <c r="E24" s="147">
        <v>26.839683577988684</v>
      </c>
      <c r="F24" s="147">
        <v>3.5080804490612882</v>
      </c>
      <c r="G24" s="147">
        <v>0.62860518394910159</v>
      </c>
      <c r="H24" s="147">
        <v>0.60974702843062856</v>
      </c>
      <c r="I24" s="147">
        <v>0.19014914234555319</v>
      </c>
      <c r="J24" s="20">
        <v>1.1872544648596231E-2</v>
      </c>
      <c r="K24" s="303">
        <v>3.6552323976367885E-3</v>
      </c>
      <c r="L24" s="360">
        <v>7.3533379665722418E-2</v>
      </c>
      <c r="M24" s="360">
        <v>9.6111793124966805E-3</v>
      </c>
      <c r="N24" s="360">
        <v>1.7222059834221962E-3</v>
      </c>
      <c r="O24" s="360">
        <v>1.6705398039195303E-3</v>
      </c>
      <c r="P24" s="360">
        <v>5.209565543713786E-4</v>
      </c>
      <c r="Q24" s="298">
        <v>3.252751958519515E-5</v>
      </c>
    </row>
    <row r="25" spans="1:17" x14ac:dyDescent="0.25">
      <c r="A25" s="111" t="s">
        <v>1014</v>
      </c>
      <c r="B25" s="360" t="s">
        <v>258</v>
      </c>
      <c r="C25" s="107" t="s">
        <v>38</v>
      </c>
      <c r="D25" s="147">
        <v>10.904565994434765</v>
      </c>
      <c r="E25" s="147">
        <v>223.88000578048872</v>
      </c>
      <c r="F25" s="147">
        <v>33.449565564581391</v>
      </c>
      <c r="G25" s="147">
        <v>5.2910644352119203</v>
      </c>
      <c r="H25" s="147">
        <v>5.1323325021555624</v>
      </c>
      <c r="I25" s="147">
        <v>1.8130730740905485</v>
      </c>
      <c r="J25" s="548">
        <v>0.11086421157721853</v>
      </c>
      <c r="K25" s="303">
        <v>2.9875523272424015E-2</v>
      </c>
      <c r="L25" s="360">
        <v>0.61336987885065397</v>
      </c>
      <c r="M25" s="360">
        <v>9.1642645382414775E-2</v>
      </c>
      <c r="N25" s="360">
        <v>1.4496066945786083E-2</v>
      </c>
      <c r="O25" s="360">
        <v>1.4061184937412499E-2</v>
      </c>
      <c r="P25" s="360">
        <v>4.9673234906590369E-3</v>
      </c>
      <c r="Q25" s="298">
        <v>3.0373756596498229E-4</v>
      </c>
    </row>
    <row r="26" spans="1:17" x14ac:dyDescent="0.25">
      <c r="A26" s="111" t="s">
        <v>1014</v>
      </c>
      <c r="B26" s="360" t="s">
        <v>259</v>
      </c>
      <c r="C26" s="107" t="s">
        <v>35</v>
      </c>
      <c r="D26" s="147">
        <v>0.16072155174543051</v>
      </c>
      <c r="E26" s="147">
        <v>3.3173361066869296</v>
      </c>
      <c r="F26" s="147">
        <v>0.49311291344207792</v>
      </c>
      <c r="G26" s="147">
        <v>7.8862344064091622E-2</v>
      </c>
      <c r="H26" s="147">
        <v>7.6496473742168863E-2</v>
      </c>
      <c r="I26" s="147">
        <v>2.6728291705972219E-2</v>
      </c>
      <c r="J26" s="548">
        <v>1.6343152836061903E-3</v>
      </c>
      <c r="K26" s="168">
        <v>4.4033301848063152E-4</v>
      </c>
      <c r="L26" s="360">
        <v>9.0885920731148748E-3</v>
      </c>
      <c r="M26" s="360">
        <v>1.3509942834029533E-3</v>
      </c>
      <c r="N26" s="360">
        <v>2.1606121661394963E-4</v>
      </c>
      <c r="O26" s="360">
        <v>2.0957938011553114E-4</v>
      </c>
      <c r="P26" s="360">
        <v>7.3228196454718403E-5</v>
      </c>
      <c r="Q26" s="298">
        <v>4.4775761194690144E-6</v>
      </c>
    </row>
    <row r="27" spans="1:17" x14ac:dyDescent="0.25">
      <c r="A27" s="111" t="s">
        <v>1014</v>
      </c>
      <c r="B27" s="360" t="s">
        <v>260</v>
      </c>
      <c r="C27" s="107" t="s">
        <v>39</v>
      </c>
      <c r="D27" s="555">
        <v>2.926356410984245</v>
      </c>
      <c r="E27" s="147">
        <v>56.293899351731397</v>
      </c>
      <c r="F27" s="147">
        <v>5.5334290265735655</v>
      </c>
      <c r="G27" s="147">
        <v>1.2826458080141336</v>
      </c>
      <c r="H27" s="147">
        <v>1.2441664337737095</v>
      </c>
      <c r="I27" s="147">
        <v>0.29992949104530947</v>
      </c>
      <c r="J27" s="548">
        <v>1.9785992301733404E-2</v>
      </c>
      <c r="K27" s="168">
        <v>8.0174148246143703E-3</v>
      </c>
      <c r="L27" s="360">
        <v>0.15422986123762028</v>
      </c>
      <c r="M27" s="360">
        <v>1.5160079524859083E-2</v>
      </c>
      <c r="N27" s="360">
        <v>3.5140981041483113E-3</v>
      </c>
      <c r="O27" s="360">
        <v>3.4086751610238617E-3</v>
      </c>
      <c r="P27" s="360">
        <v>8.2172463300084772E-4</v>
      </c>
      <c r="Q27" s="298">
        <v>5.4208198086940832E-5</v>
      </c>
    </row>
    <row r="28" spans="1:17" x14ac:dyDescent="0.25">
      <c r="A28" s="111" t="s">
        <v>1014</v>
      </c>
      <c r="B28" s="360" t="s">
        <v>261</v>
      </c>
      <c r="C28" s="107" t="s">
        <v>41</v>
      </c>
      <c r="D28" s="147">
        <v>5.8906485504065937</v>
      </c>
      <c r="E28" s="147">
        <v>117.14102237412577</v>
      </c>
      <c r="F28" s="147">
        <v>14.345826339034817</v>
      </c>
      <c r="G28" s="147">
        <v>2.7245925811538281</v>
      </c>
      <c r="H28" s="147">
        <v>2.6428548037192128</v>
      </c>
      <c r="I28" s="147">
        <v>0.77758951489714279</v>
      </c>
      <c r="J28" s="548">
        <v>4.911135266322663E-2</v>
      </c>
      <c r="K28" s="168">
        <v>1.6138763151798886E-2</v>
      </c>
      <c r="L28" s="360">
        <v>0.3209343078743172</v>
      </c>
      <c r="M28" s="360">
        <v>3.930363380557484E-2</v>
      </c>
      <c r="N28" s="360">
        <v>7.4646372086406253E-3</v>
      </c>
      <c r="O28" s="360">
        <v>7.2406980923814057E-3</v>
      </c>
      <c r="P28" s="360">
        <v>2.1303822325949118E-3</v>
      </c>
      <c r="Q28" s="298">
        <v>1.3455165113212774E-4</v>
      </c>
    </row>
    <row r="29" spans="1:17" x14ac:dyDescent="0.25">
      <c r="A29" s="111" t="s">
        <v>1014</v>
      </c>
      <c r="B29" s="360" t="s">
        <v>262</v>
      </c>
      <c r="C29" s="107" t="s">
        <v>43</v>
      </c>
      <c r="D29" s="147">
        <v>4.3736454269024554</v>
      </c>
      <c r="E29" s="147">
        <v>102.35989263132558</v>
      </c>
      <c r="F29" s="147">
        <v>24.039790215502496</v>
      </c>
      <c r="G29" s="147">
        <v>2.5897715019311014</v>
      </c>
      <c r="H29" s="147">
        <v>2.5120783568731682</v>
      </c>
      <c r="I29" s="147">
        <v>1.303033256511547</v>
      </c>
      <c r="J29" s="548">
        <v>7.5214611793716982E-2</v>
      </c>
      <c r="K29" s="168">
        <v>1.198259021069166E-2</v>
      </c>
      <c r="L29" s="360">
        <v>0.28043806200363169</v>
      </c>
      <c r="M29" s="360">
        <v>6.5862438946582183E-2</v>
      </c>
      <c r="N29" s="360">
        <v>7.0952643888523327E-3</v>
      </c>
      <c r="O29" s="360">
        <v>6.882406457186763E-3</v>
      </c>
      <c r="P29" s="360">
        <v>3.5699541274288957E-3</v>
      </c>
      <c r="Q29" s="298">
        <v>2.0606742957182735E-4</v>
      </c>
    </row>
    <row r="30" spans="1:17" x14ac:dyDescent="0.25">
      <c r="A30" s="111" t="s">
        <v>1014</v>
      </c>
      <c r="B30" s="360" t="s">
        <v>263</v>
      </c>
      <c r="C30" s="107" t="s">
        <v>22</v>
      </c>
      <c r="D30" s="147">
        <v>0.5732674774450699</v>
      </c>
      <c r="E30" s="147">
        <v>13.26437379658994</v>
      </c>
      <c r="F30" s="147">
        <v>3.1509709978730629</v>
      </c>
      <c r="G30" s="147">
        <v>0.33183652358683702</v>
      </c>
      <c r="H30" s="147">
        <v>0.32188142787923185</v>
      </c>
      <c r="I30" s="147">
        <v>0.1707926718047757</v>
      </c>
      <c r="J30" s="548">
        <v>9.8586159968006015E-3</v>
      </c>
      <c r="K30" s="168">
        <v>1.5705958286166299E-3</v>
      </c>
      <c r="L30" s="360">
        <v>3.6340750127643665E-2</v>
      </c>
      <c r="M30" s="360">
        <v>8.6327972544467495E-3</v>
      </c>
      <c r="N30" s="360">
        <v>9.0914116051188224E-4</v>
      </c>
      <c r="O30" s="360">
        <v>8.8186692569652565E-4</v>
      </c>
      <c r="P30" s="360">
        <v>4.6792512823226221E-4</v>
      </c>
      <c r="Q30" s="298">
        <v>2.7009906840549595E-5</v>
      </c>
    </row>
    <row r="31" spans="1:17" ht="15.75" thickBot="1" x14ac:dyDescent="0.3">
      <c r="A31" s="111" t="s">
        <v>1014</v>
      </c>
      <c r="B31" s="183" t="s">
        <v>264</v>
      </c>
      <c r="C31" s="556" t="s">
        <v>46</v>
      </c>
      <c r="D31" s="501">
        <v>0.46312952283222558</v>
      </c>
      <c r="E31" s="501">
        <v>9.368679490395138</v>
      </c>
      <c r="F31" s="501">
        <v>1.2611909286707186</v>
      </c>
      <c r="G31" s="501">
        <v>0.22014066658678275</v>
      </c>
      <c r="H31" s="501">
        <v>0.21353644658917928</v>
      </c>
      <c r="I31" s="501">
        <v>6.8360568380038095E-2</v>
      </c>
      <c r="J31" s="551">
        <v>4.2470243427752243E-3</v>
      </c>
      <c r="K31" s="168">
        <v>1.2688480077595221E-3</v>
      </c>
      <c r="L31" s="360">
        <v>2.566761504217846E-2</v>
      </c>
      <c r="M31" s="360">
        <v>3.4553176127964892E-3</v>
      </c>
      <c r="N31" s="360">
        <v>6.0312511393639107E-4</v>
      </c>
      <c r="O31" s="360">
        <v>5.8503136051829942E-4</v>
      </c>
      <c r="P31" s="360">
        <v>1.8728922843846052E-4</v>
      </c>
      <c r="Q31" s="298">
        <v>1.1635683130891025E-5</v>
      </c>
    </row>
    <row r="32" spans="1:17" ht="15.75" thickBot="1" x14ac:dyDescent="0.3">
      <c r="A32" s="420" t="s">
        <v>1015</v>
      </c>
      <c r="B32" s="421"/>
      <c r="C32" s="552"/>
      <c r="D32" s="557">
        <v>187.88097063778307</v>
      </c>
      <c r="E32" s="557">
        <v>3960.5525449061624</v>
      </c>
      <c r="F32" s="557">
        <v>811.7242132172853</v>
      </c>
      <c r="G32" s="557">
        <v>100.42097528712651</v>
      </c>
      <c r="H32" s="557">
        <v>97.058622722975073</v>
      </c>
      <c r="I32" s="557">
        <v>42.780817775451283</v>
      </c>
      <c r="J32" s="576">
        <v>2.4935709981232033</v>
      </c>
      <c r="K32" s="303">
        <v>0.51474238530899441</v>
      </c>
      <c r="L32" s="360">
        <v>10.850828890153872</v>
      </c>
      <c r="M32" s="360">
        <v>2.2239019540199609</v>
      </c>
      <c r="N32" s="360">
        <v>0.27512595969075754</v>
      </c>
      <c r="O32" s="360">
        <v>0.26591403485746595</v>
      </c>
      <c r="P32" s="360">
        <v>0.11720771993274327</v>
      </c>
      <c r="Q32" s="298">
        <v>6.8317013647211091E-3</v>
      </c>
    </row>
    <row r="33" spans="1:17" ht="15.75" thickBot="1" x14ac:dyDescent="0.3">
      <c r="A33" s="584" t="s">
        <v>1016</v>
      </c>
      <c r="B33" s="585"/>
      <c r="C33" s="585"/>
      <c r="D33" s="558">
        <f>D32+D20</f>
        <v>345.96285886800962</v>
      </c>
      <c r="E33" s="553">
        <f t="shared" ref="E33:Q33" si="2">E32+E20</f>
        <v>7295.3433719971945</v>
      </c>
      <c r="F33" s="553">
        <f t="shared" si="2"/>
        <v>1520.3380726500723</v>
      </c>
      <c r="G33" s="553">
        <f t="shared" si="2"/>
        <v>185.86187169011214</v>
      </c>
      <c r="H33" s="553">
        <f t="shared" si="2"/>
        <v>179.58656892833346</v>
      </c>
      <c r="I33" s="553">
        <f t="shared" si="2"/>
        <v>79.97272571153006</v>
      </c>
      <c r="J33" s="558">
        <f t="shared" si="2"/>
        <v>4.6503113189541354</v>
      </c>
      <c r="K33" s="577">
        <f t="shared" si="2"/>
        <v>0.94784344895345085</v>
      </c>
      <c r="L33" s="252">
        <f t="shared" si="2"/>
        <v>19.987242115060809</v>
      </c>
      <c r="M33" s="252">
        <f t="shared" si="2"/>
        <v>4.1653097880823911</v>
      </c>
      <c r="N33" s="252">
        <f t="shared" si="2"/>
        <v>0.50921060737017021</v>
      </c>
      <c r="O33" s="252">
        <f t="shared" si="2"/>
        <v>0.49201799706392735</v>
      </c>
      <c r="P33" s="252">
        <f t="shared" si="2"/>
        <v>0.21910335811378101</v>
      </c>
      <c r="Q33" s="253">
        <f t="shared" si="2"/>
        <v>1.274057895603873E-2</v>
      </c>
    </row>
    <row r="34" spans="1:17" ht="30.75" thickBot="1" x14ac:dyDescent="0.3">
      <c r="B34" s="65"/>
      <c r="C34" s="542" t="s">
        <v>4</v>
      </c>
      <c r="D34" s="559"/>
      <c r="E34" s="559">
        <f>'TOT RAIL SCC cty 2 '!O91</f>
        <v>10.850828890153871</v>
      </c>
      <c r="F34" s="559"/>
      <c r="G34" s="559"/>
      <c r="H34" s="559"/>
      <c r="I34" s="559"/>
      <c r="J34" s="559"/>
      <c r="K34" s="7"/>
      <c r="L34" s="7"/>
    </row>
    <row r="35" spans="1:17" x14ac:dyDescent="0.25">
      <c r="C35" s="545" t="s">
        <v>65</v>
      </c>
    </row>
  </sheetData>
  <mergeCells count="1">
    <mergeCell ref="A33:C33"/>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workbookViewId="0">
      <selection activeCell="A5" sqref="A5"/>
    </sheetView>
  </sheetViews>
  <sheetFormatPr defaultRowHeight="15" x14ac:dyDescent="0.25"/>
  <cols>
    <col min="1" max="1" width="16" customWidth="1"/>
    <col min="2" max="2" width="13.42578125" customWidth="1"/>
    <col min="3" max="3" width="35.5703125" customWidth="1"/>
    <col min="6" max="7" width="11.85546875" customWidth="1"/>
    <col min="16" max="16" width="14.42578125" customWidth="1"/>
    <col min="17" max="17" width="12.42578125" customWidth="1"/>
    <col min="23" max="23" width="14.42578125" customWidth="1"/>
  </cols>
  <sheetData>
    <row r="1" spans="1:34" x14ac:dyDescent="0.25">
      <c r="A1" s="566" t="s">
        <v>1026</v>
      </c>
      <c r="Z1" s="571"/>
      <c r="AA1" s="571"/>
      <c r="AB1" s="571"/>
      <c r="AC1" s="571"/>
      <c r="AD1" s="571"/>
      <c r="AE1" s="571"/>
      <c r="AF1" s="571"/>
      <c r="AG1" s="571"/>
      <c r="AH1" s="571"/>
    </row>
    <row r="2" spans="1:34" x14ac:dyDescent="0.25">
      <c r="A2" s="139" t="s">
        <v>1027</v>
      </c>
      <c r="Z2" s="571"/>
      <c r="AA2" s="571"/>
      <c r="AB2" s="571"/>
      <c r="AC2" s="571"/>
      <c r="AD2" s="571"/>
      <c r="AE2" s="571"/>
      <c r="AF2" s="571"/>
      <c r="AG2" s="571"/>
      <c r="AH2" s="571"/>
    </row>
    <row r="3" spans="1:34" x14ac:dyDescent="0.25">
      <c r="A3" s="139" t="s">
        <v>1023</v>
      </c>
      <c r="Z3" s="571"/>
      <c r="AA3" s="571"/>
      <c r="AB3" s="571"/>
      <c r="AC3" s="571"/>
      <c r="AD3" s="571"/>
      <c r="AE3" s="571"/>
      <c r="AF3" s="571"/>
      <c r="AG3" s="571"/>
      <c r="AH3" s="571"/>
    </row>
    <row r="4" spans="1:34" x14ac:dyDescent="0.25">
      <c r="A4" s="568" t="s">
        <v>1028</v>
      </c>
      <c r="B4" s="31"/>
      <c r="Z4" s="571"/>
      <c r="AA4" s="571"/>
      <c r="AB4" s="571"/>
      <c r="AC4" s="571"/>
      <c r="AD4" s="571"/>
      <c r="AE4" s="571"/>
      <c r="AF4" s="571"/>
      <c r="AG4" s="571"/>
      <c r="AH4" s="571"/>
    </row>
    <row r="5" spans="1:34" ht="15.75" thickBot="1" x14ac:dyDescent="0.3">
      <c r="A5" s="569" t="s">
        <v>1059</v>
      </c>
      <c r="B5" s="31"/>
      <c r="Y5" s="568"/>
      <c r="Z5" s="571"/>
      <c r="AA5" s="571"/>
      <c r="AB5" s="571"/>
      <c r="AC5" s="571"/>
      <c r="AD5" s="571"/>
      <c r="AE5" s="571"/>
      <c r="AF5" s="571"/>
      <c r="AG5" s="571"/>
      <c r="AH5" s="571"/>
    </row>
    <row r="6" spans="1:34" ht="30" x14ac:dyDescent="0.25">
      <c r="A6" s="574" t="s">
        <v>1010</v>
      </c>
      <c r="B6" s="457" t="s">
        <v>80</v>
      </c>
      <c r="C6" s="457" t="s">
        <v>118</v>
      </c>
      <c r="D6" s="183" t="s">
        <v>68</v>
      </c>
      <c r="E6" s="458" t="s">
        <v>4</v>
      </c>
      <c r="F6" s="459" t="s">
        <v>823</v>
      </c>
      <c r="G6" s="477" t="s">
        <v>969</v>
      </c>
      <c r="H6" s="477" t="s">
        <v>979</v>
      </c>
      <c r="I6" s="477" t="s">
        <v>965</v>
      </c>
      <c r="J6" s="477" t="s">
        <v>966</v>
      </c>
      <c r="K6" s="477" t="s">
        <v>967</v>
      </c>
      <c r="L6" s="477" t="s">
        <v>968</v>
      </c>
      <c r="M6" s="477" t="s">
        <v>970</v>
      </c>
      <c r="N6" s="485" t="s">
        <v>971</v>
      </c>
      <c r="O6" s="477" t="s">
        <v>976</v>
      </c>
      <c r="P6" s="507" t="s">
        <v>980</v>
      </c>
      <c r="Q6" s="477" t="s">
        <v>972</v>
      </c>
      <c r="R6" s="477" t="s">
        <v>973</v>
      </c>
      <c r="S6" s="477" t="s">
        <v>974</v>
      </c>
      <c r="T6" s="477" t="s">
        <v>975</v>
      </c>
      <c r="U6" s="477" t="s">
        <v>977</v>
      </c>
      <c r="V6" s="485" t="s">
        <v>978</v>
      </c>
      <c r="Z6" s="571"/>
      <c r="AA6" s="571"/>
      <c r="AB6" s="571"/>
      <c r="AC6" s="571"/>
      <c r="AD6" s="571"/>
      <c r="AE6" s="571"/>
      <c r="AF6" s="571"/>
      <c r="AG6" s="571"/>
      <c r="AH6" s="571"/>
    </row>
    <row r="7" spans="1:34" x14ac:dyDescent="0.25">
      <c r="A7" s="549" t="s">
        <v>1011</v>
      </c>
      <c r="B7" s="303">
        <v>2285002006</v>
      </c>
      <c r="C7" s="360" t="s">
        <v>71</v>
      </c>
      <c r="D7" s="360" t="s">
        <v>113</v>
      </c>
      <c r="E7" s="360" t="s">
        <v>65</v>
      </c>
      <c r="F7" s="360">
        <f>'CLASS 1 LINE HAUL COMPILE EMISS'!E5</f>
        <v>1250982.1137166743</v>
      </c>
      <c r="G7" s="360">
        <f>'CLASS 1 LINE HAUL COMPILE EMISS'!K5</f>
        <v>7.0052347023934995</v>
      </c>
      <c r="H7" s="360">
        <f>'CLASS 1 LINE HAUL COMPILE EMISS'!F5</f>
        <v>164.86988646782669</v>
      </c>
      <c r="I7" s="360">
        <f>'CLASS 1 LINE HAUL COMPILE EMISS'!G5</f>
        <v>38.504349625608938</v>
      </c>
      <c r="J7" s="360">
        <f>'CLASS 1 LINE HAUL COMPILE EMISS'!H5</f>
        <v>4.1940585154096262</v>
      </c>
      <c r="K7" s="360">
        <f>'CLASS 1 LINE HAUL COMPILE EMISS'!I5</f>
        <v>4.0682367599473377</v>
      </c>
      <c r="L7" s="360">
        <f>'CLASS 1 LINE HAUL COMPILE EMISS'!J5</f>
        <v>2.0870584823224356</v>
      </c>
      <c r="M7" s="360">
        <f>'CLASS 1 LINE HAUL COMPILE EMISS'!L5</f>
        <v>0.12047067314223617</v>
      </c>
      <c r="N7" s="360">
        <f>'CLASS 1 LINE HAUL COMPILE EMISS'!M5</f>
        <v>14776.1020179104</v>
      </c>
      <c r="O7" s="360">
        <f t="shared" ref="O7:O54" si="0">G7/365</f>
        <v>1.9192423842173973E-2</v>
      </c>
      <c r="P7" s="360">
        <f t="shared" ref="P7:P54" si="1">H7/365</f>
        <v>0.45169831908993613</v>
      </c>
      <c r="Q7" s="360">
        <f t="shared" ref="Q7:Q54" si="2">I7/365</f>
        <v>0.10549136883728476</v>
      </c>
      <c r="R7" s="360">
        <f t="shared" ref="R7:R54" si="3">J7/365</f>
        <v>1.1490571275094867E-2</v>
      </c>
      <c r="S7" s="360">
        <f t="shared" ref="S7:S54" si="4">K7/365</f>
        <v>1.1145854136842021E-2</v>
      </c>
      <c r="T7" s="360">
        <f t="shared" ref="T7:T54" si="5">L7/365</f>
        <v>5.7179684447190016E-3</v>
      </c>
      <c r="U7" s="360">
        <f t="shared" ref="U7:U54" si="6">M7/365</f>
        <v>3.300566387458525E-4</v>
      </c>
      <c r="V7" s="298">
        <f t="shared" ref="V7:V54" si="7">N7/365</f>
        <v>40.482471281946303</v>
      </c>
    </row>
    <row r="8" spans="1:34" x14ac:dyDescent="0.25">
      <c r="A8" s="549" t="s">
        <v>1011</v>
      </c>
      <c r="B8" s="303">
        <v>2285002007</v>
      </c>
      <c r="C8" s="360" t="s">
        <v>74</v>
      </c>
      <c r="D8" s="360" t="s">
        <v>113</v>
      </c>
      <c r="E8" s="360" t="s">
        <v>65</v>
      </c>
      <c r="F8" s="110">
        <f>'LINE HAUL CLASS 23 TOTAL BY CTY'!D5</f>
        <v>84184.540000000008</v>
      </c>
      <c r="G8" s="110">
        <f>'LINE HAUL CLASS 23 TOTAL BY CTY'!J5</f>
        <v>0.73228783668675101</v>
      </c>
      <c r="H8" s="110">
        <f>'LINE HAUL CLASS 23 TOTAL BY CTY'!E5</f>
        <v>15.386746575245551</v>
      </c>
      <c r="I8" s="110">
        <f>'LINE HAUL CLASS 23 TOTAL BY CTY'!F5</f>
        <v>2.4750162637726412</v>
      </c>
      <c r="J8" s="110">
        <f>'LINE HAUL CLASS 23 TOTAL BY CTY'!G5</f>
        <v>0.36947123230717027</v>
      </c>
      <c r="K8" s="110">
        <f>'LINE HAUL CLASS 23 TOTAL BY CTY'!H5</f>
        <v>0.35838709533795521</v>
      </c>
      <c r="L8" s="110">
        <f>'LINE HAUL CLASS 23 TOTAL BY CTY'!I5</f>
        <v>0.1341537706108179</v>
      </c>
      <c r="M8" s="110">
        <f>'LINE HAUL CLASS 23 TOTAL BY CTY'!K5</f>
        <v>8.107044929553997E-3</v>
      </c>
      <c r="N8" s="110">
        <f>'LINE HAUL CLASS 23 TOTAL BY CTY'!L5</f>
        <v>994.35422595705063</v>
      </c>
      <c r="O8" s="360">
        <f t="shared" si="0"/>
        <v>2.0062680457171261E-3</v>
      </c>
      <c r="P8" s="360">
        <f t="shared" si="1"/>
        <v>4.2155470069165896E-2</v>
      </c>
      <c r="Q8" s="360">
        <f t="shared" si="2"/>
        <v>6.7808664760894283E-3</v>
      </c>
      <c r="R8" s="360">
        <f t="shared" si="3"/>
        <v>1.0122499515264939E-3</v>
      </c>
      <c r="S8" s="360">
        <f t="shared" si="4"/>
        <v>9.8188245298069928E-4</v>
      </c>
      <c r="T8" s="360">
        <f t="shared" si="5"/>
        <v>3.6754457701593945E-4</v>
      </c>
      <c r="U8" s="360">
        <f t="shared" si="6"/>
        <v>2.2211081998778073E-5</v>
      </c>
      <c r="V8" s="298">
        <f t="shared" si="7"/>
        <v>2.7242581533069878</v>
      </c>
    </row>
    <row r="9" spans="1:34" x14ac:dyDescent="0.25">
      <c r="A9" s="549" t="s">
        <v>1011</v>
      </c>
      <c r="B9" s="303">
        <v>2285002009</v>
      </c>
      <c r="C9" s="360" t="s">
        <v>76</v>
      </c>
      <c r="D9" s="360" t="s">
        <v>113</v>
      </c>
      <c r="E9" s="360" t="s">
        <v>65</v>
      </c>
      <c r="F9" s="110">
        <f>'NJT COMMUTER EMIS CTY'!E5</f>
        <v>3877188.2303268742</v>
      </c>
      <c r="G9" s="110">
        <f>'NJT COMMUTER EMIS CTY'!K5</f>
        <v>21.711432354618672</v>
      </c>
      <c r="H9" s="110">
        <f>'NJT COMMUTER EMIS CTY'!F5</f>
        <v>502.01916340833475</v>
      </c>
      <c r="I9" s="110">
        <f>'NJT COMMUTER EMIS CTY'!G5</f>
        <v>119.33712684449557</v>
      </c>
      <c r="J9" s="110">
        <f>'NJT COMMUTER EMIS CTY'!H5</f>
        <v>12.550479085208368</v>
      </c>
      <c r="K9" s="110">
        <f>'NJT COMMUTER EMIS CTY'!I5</f>
        <v>12.173964712652115</v>
      </c>
      <c r="L9" s="110">
        <f>'NJT COMMUTER EMIS CTY'!J5</f>
        <v>6.4684526620634761</v>
      </c>
      <c r="M9" s="110">
        <f>'NJT COMMUTER EMIS CTY'!L5</f>
        <v>0.37337662216361717</v>
      </c>
      <c r="N9" s="110">
        <f>'NJT COMMUTER EMIS CTY'!M5</f>
        <v>45795.801719133538</v>
      </c>
      <c r="O9" s="360">
        <f t="shared" si="0"/>
        <v>5.9483376314023763E-2</v>
      </c>
      <c r="P9" s="360">
        <f t="shared" si="1"/>
        <v>1.375394968242013</v>
      </c>
      <c r="Q9" s="360">
        <f t="shared" si="2"/>
        <v>0.32695103245067281</v>
      </c>
      <c r="R9" s="360">
        <f t="shared" si="3"/>
        <v>3.4384874206050325E-2</v>
      </c>
      <c r="S9" s="360">
        <f t="shared" si="4"/>
        <v>3.3353327979868806E-2</v>
      </c>
      <c r="T9" s="360">
        <f t="shared" si="5"/>
        <v>1.7721788115242401E-2</v>
      </c>
      <c r="U9" s="360">
        <f t="shared" si="6"/>
        <v>1.0229496497633347E-3</v>
      </c>
      <c r="V9" s="298">
        <f t="shared" si="7"/>
        <v>125.46794991543435</v>
      </c>
    </row>
    <row r="10" spans="1:34" x14ac:dyDescent="0.25">
      <c r="A10" s="549" t="s">
        <v>1011</v>
      </c>
      <c r="B10" s="451">
        <v>2285002010</v>
      </c>
      <c r="C10" s="18" t="s">
        <v>78</v>
      </c>
      <c r="D10" s="360" t="s">
        <v>113</v>
      </c>
      <c r="E10" s="360" t="s">
        <v>65</v>
      </c>
      <c r="F10" s="304">
        <f>'2017 YARD EMIS CTY COMPILE 2 '!D5</f>
        <v>9187.5</v>
      </c>
      <c r="G10" s="304">
        <f>'2017 YARD EMIS CTY COMPILE 2 '!J5</f>
        <v>0.13085700384031249</v>
      </c>
      <c r="H10" s="304">
        <f>'2017 YARD EMIS CTY COMPILE 2 '!E5</f>
        <v>2.5172774498708654</v>
      </c>
      <c r="I10" s="304">
        <f>'2017 YARD EMIS CTY COMPILE 2 '!F5</f>
        <v>0.24743668975608307</v>
      </c>
      <c r="J10" s="304">
        <f>'2017 YARD EMIS CTY COMPILE 2 '!G5</f>
        <v>5.7355688731234929E-2</v>
      </c>
      <c r="K10" s="304">
        <f>'2017 YARD EMIS CTY COMPILE 2 '!H5</f>
        <v>5.5635018069297888E-2</v>
      </c>
      <c r="L10" s="304">
        <f>'2017 YARD EMIS CTY COMPILE 2 '!I5</f>
        <v>1.34118572892283E-2</v>
      </c>
      <c r="M10" s="304">
        <f>'2017 YARD EMIS CTY COMPILE 2 '!K5</f>
        <v>8.8476429627431998E-4</v>
      </c>
      <c r="N10" s="304">
        <f>'2017 YARD EMIS CTY COMPILE 2 '!L5</f>
        <v>108.51908736426429</v>
      </c>
      <c r="O10" s="360">
        <f t="shared" si="0"/>
        <v>3.5851233928852735E-4</v>
      </c>
      <c r="P10" s="360">
        <f t="shared" si="1"/>
        <v>6.8966505475914121E-3</v>
      </c>
      <c r="Q10" s="360">
        <f t="shared" si="2"/>
        <v>6.7790873905776189E-4</v>
      </c>
      <c r="R10" s="360">
        <f t="shared" si="3"/>
        <v>1.5713887323626007E-4</v>
      </c>
      <c r="S10" s="360">
        <f t="shared" si="4"/>
        <v>1.5242470703917229E-4</v>
      </c>
      <c r="T10" s="360">
        <f t="shared" si="5"/>
        <v>3.6744814491036437E-5</v>
      </c>
      <c r="U10" s="360">
        <f t="shared" si="6"/>
        <v>2.4240117706145755E-6</v>
      </c>
      <c r="V10" s="298">
        <f t="shared" si="7"/>
        <v>0.29731256812127205</v>
      </c>
    </row>
    <row r="11" spans="1:34" x14ac:dyDescent="0.25">
      <c r="A11" s="259" t="s">
        <v>1011</v>
      </c>
      <c r="B11" s="360">
        <v>2285002006</v>
      </c>
      <c r="C11" s="360" t="s">
        <v>71</v>
      </c>
      <c r="D11" s="360" t="s">
        <v>114</v>
      </c>
      <c r="E11" s="360" t="s">
        <v>40</v>
      </c>
      <c r="F11" s="360">
        <f>'CLASS 1 LINE HAUL COMPILE EMISS'!E10</f>
        <v>140849.13063509113</v>
      </c>
      <c r="G11" s="360">
        <f>'CLASS 1 LINE HAUL COMPILE EMISS'!K10</f>
        <v>0.788725279848695</v>
      </c>
      <c r="H11" s="360">
        <f>'CLASS 1 LINE HAUL COMPILE EMISS'!F10</f>
        <v>18.562839486095879</v>
      </c>
      <c r="I11" s="360">
        <f>'CLASS 1 LINE HAUL COMPILE EMISS'!G10</f>
        <v>4.3352371796299716</v>
      </c>
      <c r="J11" s="360">
        <f>'CLASS 1 LINE HAUL COMPILE EMISS'!H10</f>
        <v>0.47221258341822853</v>
      </c>
      <c r="K11" s="360">
        <f>'CLASS 1 LINE HAUL COMPILE EMISS'!I10</f>
        <v>0.45804620591568163</v>
      </c>
      <c r="L11" s="360">
        <f>'CLASS 1 LINE HAUL COMPILE EMISS'!J10</f>
        <v>0.23498367370445458</v>
      </c>
      <c r="M11" s="360">
        <f>'CLASS 1 LINE HAUL COMPILE EMISS'!L10</f>
        <v>1.3563894633709517E-2</v>
      </c>
      <c r="N11" s="360">
        <f>'CLASS 1 LINE HAUL COMPILE EMISS'!M10</f>
        <v>1663.6537809600143</v>
      </c>
      <c r="O11">
        <f t="shared" si="0"/>
        <v>2.1608911776676573E-3</v>
      </c>
      <c r="P11">
        <f t="shared" si="1"/>
        <v>5.0857094482454464E-2</v>
      </c>
      <c r="Q11">
        <f t="shared" si="2"/>
        <v>1.1877362135972526E-2</v>
      </c>
      <c r="R11">
        <f t="shared" si="3"/>
        <v>1.2937331052554205E-3</v>
      </c>
      <c r="S11">
        <f t="shared" si="4"/>
        <v>1.2549211120977579E-3</v>
      </c>
      <c r="T11">
        <f t="shared" si="5"/>
        <v>6.4379088686151943E-4</v>
      </c>
      <c r="U11">
        <f t="shared" si="6"/>
        <v>3.7161355160847989E-5</v>
      </c>
      <c r="V11" s="467">
        <f t="shared" si="7"/>
        <v>4.5579555642740113</v>
      </c>
    </row>
    <row r="12" spans="1:34" x14ac:dyDescent="0.25">
      <c r="A12" s="303" t="s">
        <v>1011</v>
      </c>
      <c r="B12" s="360">
        <v>2285002007</v>
      </c>
      <c r="C12" s="360" t="s">
        <v>74</v>
      </c>
      <c r="D12" s="360" t="s">
        <v>114</v>
      </c>
      <c r="E12" s="360" t="s">
        <v>40</v>
      </c>
      <c r="F12" s="110">
        <f>'LINE HAUL CLASS 23 TOTAL BY CTY'!D10</f>
        <v>86640.860896438913</v>
      </c>
      <c r="G12" s="110">
        <f>'LINE HAUL CLASS 23 TOTAL BY CTY'!J10</f>
        <v>1.2340205134207658</v>
      </c>
      <c r="H12" s="110">
        <f>'LINE HAUL CLASS 23 TOTAL BY CTY'!E10</f>
        <v>23.738675958857595</v>
      </c>
      <c r="I12" s="110">
        <f>'LINE HAUL CLASS 23 TOTAL BY CTY'!F10</f>
        <v>2.3334016672470321</v>
      </c>
      <c r="J12" s="110">
        <f>'LINE HAUL CLASS 23 TOTAL BY CTY'!G10</f>
        <v>0.54088122437903396</v>
      </c>
      <c r="K12" s="110">
        <f>'LINE HAUL CLASS 23 TOTAL BY CTY'!H10</f>
        <v>0.52465478764766293</v>
      </c>
      <c r="L12" s="110">
        <f>'LINE HAUL CLASS 23 TOTAL BY CTY'!I10</f>
        <v>0.1264778080826035</v>
      </c>
      <c r="M12" s="110">
        <f>'LINE HAUL CLASS 23 TOTAL BY CTY'!K10</f>
        <v>8.3435907830899624E-3</v>
      </c>
      <c r="N12" s="110">
        <f>'LINE HAUL CLASS 23 TOTAL BY CTY'!L10</f>
        <v>1023.3673091630722</v>
      </c>
      <c r="O12">
        <f t="shared" si="0"/>
        <v>3.380878118961002E-3</v>
      </c>
      <c r="P12">
        <f t="shared" si="1"/>
        <v>6.503746838043177E-2</v>
      </c>
      <c r="Q12">
        <f t="shared" si="2"/>
        <v>6.3928812801288554E-3</v>
      </c>
      <c r="R12">
        <f t="shared" si="3"/>
        <v>1.4818663681617369E-3</v>
      </c>
      <c r="S12">
        <f t="shared" si="4"/>
        <v>1.4374103771168847E-3</v>
      </c>
      <c r="T12">
        <f t="shared" si="5"/>
        <v>3.4651454269206438E-4</v>
      </c>
      <c r="U12">
        <f t="shared" si="6"/>
        <v>2.2859152830383459E-5</v>
      </c>
      <c r="V12" s="467">
        <f t="shared" si="7"/>
        <v>2.8037460525015674</v>
      </c>
    </row>
    <row r="13" spans="1:34" x14ac:dyDescent="0.25">
      <c r="A13" s="303" t="s">
        <v>1011</v>
      </c>
      <c r="B13" s="360">
        <v>2285002009</v>
      </c>
      <c r="C13" s="360" t="s">
        <v>76</v>
      </c>
      <c r="D13" s="360" t="s">
        <v>114</v>
      </c>
      <c r="E13" s="360" t="s">
        <v>40</v>
      </c>
      <c r="F13" s="110">
        <f>'NJT COMMUTER EMIS CTY'!E10</f>
        <v>753471.94050554989</v>
      </c>
      <c r="G13" s="110">
        <f>'NJT COMMUTER EMIS CTY'!K10</f>
        <v>4.2192831752226629</v>
      </c>
      <c r="H13" s="110">
        <f>'NJT COMMUTER EMIS CTY'!F10</f>
        <v>97.559708415900403</v>
      </c>
      <c r="I13" s="110">
        <f>'NJT COMMUTER EMIS CTY'!G10</f>
        <v>23.19133640057975</v>
      </c>
      <c r="J13" s="110">
        <f>'NJT COMMUTER EMIS CTY'!H10</f>
        <v>2.4389927103975095</v>
      </c>
      <c r="K13" s="110">
        <f>'NJT COMMUTER EMIS CTY'!I10</f>
        <v>2.3658229290855841</v>
      </c>
      <c r="L13" s="110">
        <f>'NJT COMMUTER EMIS CTY'!J10</f>
        <v>1.2570443552961992</v>
      </c>
      <c r="M13" s="110">
        <f>'NJT COMMUTER EMIS CTY'!L10</f>
        <v>7.2560007750077732E-2</v>
      </c>
      <c r="N13" s="110">
        <f>'NJT COMMUTER EMIS CTY'!M10</f>
        <v>8899.7101864754841</v>
      </c>
      <c r="O13" s="6">
        <f t="shared" si="0"/>
        <v>1.1559679932116885E-2</v>
      </c>
      <c r="P13" s="6">
        <f t="shared" si="1"/>
        <v>0.2672868723723299</v>
      </c>
      <c r="Q13" s="6">
        <f t="shared" si="2"/>
        <v>6.3537907946793842E-2</v>
      </c>
      <c r="R13" s="6">
        <f t="shared" si="3"/>
        <v>6.6821718093082452E-3</v>
      </c>
      <c r="S13" s="6">
        <f t="shared" si="4"/>
        <v>6.4817066550289975E-3</v>
      </c>
      <c r="T13" s="6">
        <f t="shared" si="5"/>
        <v>3.4439571377978058E-3</v>
      </c>
      <c r="U13" s="6">
        <f t="shared" si="6"/>
        <v>1.9879454178103488E-4</v>
      </c>
      <c r="V13" s="467">
        <f t="shared" si="7"/>
        <v>24.382767634179409</v>
      </c>
    </row>
    <row r="14" spans="1:34" x14ac:dyDescent="0.25">
      <c r="A14" s="303" t="s">
        <v>1011</v>
      </c>
      <c r="B14" s="18">
        <v>2285002010</v>
      </c>
      <c r="C14" s="18" t="s">
        <v>78</v>
      </c>
      <c r="D14" s="360" t="s">
        <v>114</v>
      </c>
      <c r="E14" s="360" t="s">
        <v>40</v>
      </c>
      <c r="F14" s="304">
        <f>'2017 YARD EMIS CTY COMPILE 2 '!D10</f>
        <v>1171868.1043215371</v>
      </c>
      <c r="G14" s="304">
        <f>'2017 YARD EMIS CTY COMPILE 2 '!J10</f>
        <v>20.717540259751942</v>
      </c>
      <c r="H14" s="304">
        <f>'2017 YARD EMIS CTY COMPILE 2 '!E10</f>
        <v>287.49459760224931</v>
      </c>
      <c r="I14" s="304">
        <f>'2017 YARD EMIS CTY COMPILE 2 '!F10</f>
        <v>38.270936336446042</v>
      </c>
      <c r="J14" s="304">
        <f>'2017 YARD EMIS CTY COMPILE 2 '!G10</f>
        <v>8.8851503301425119</v>
      </c>
      <c r="K14" s="304">
        <f>'2017 YARD EMIS CTY COMPILE 2 '!H10</f>
        <v>8.3697612306557811</v>
      </c>
      <c r="L14" s="304">
        <f>'2017 YARD EMIS CTY COMPILE 2 '!I10</f>
        <v>0.98140610093988867</v>
      </c>
      <c r="M14" s="304">
        <f>'2017 YARD EMIS CTY COMPILE 2 '!K10</f>
        <v>6.0291570807068838E-2</v>
      </c>
      <c r="N14" s="304">
        <f>'2017 YARD EMIS CTY COMPILE 2 '!L10</f>
        <v>13119.402625770301</v>
      </c>
      <c r="O14" s="6">
        <f t="shared" si="0"/>
        <v>5.6760384273292989E-2</v>
      </c>
      <c r="P14" s="6">
        <f t="shared" si="1"/>
        <v>0.78765643178698441</v>
      </c>
      <c r="Q14" s="6">
        <f t="shared" si="2"/>
        <v>0.10485188037382477</v>
      </c>
      <c r="R14" s="6">
        <f t="shared" si="3"/>
        <v>2.4342877616828799E-2</v>
      </c>
      <c r="S14" s="6">
        <f t="shared" si="4"/>
        <v>2.2930852686728169E-2</v>
      </c>
      <c r="T14" s="6">
        <f t="shared" si="5"/>
        <v>2.688783838191476E-3</v>
      </c>
      <c r="U14" s="6">
        <f t="shared" si="6"/>
        <v>1.6518238577279133E-4</v>
      </c>
      <c r="V14" s="467">
        <f t="shared" si="7"/>
        <v>35.943568837726851</v>
      </c>
    </row>
    <row r="15" spans="1:34" x14ac:dyDescent="0.25">
      <c r="A15" s="549" t="s">
        <v>1011</v>
      </c>
      <c r="B15" s="360">
        <v>2285002006</v>
      </c>
      <c r="C15" s="360" t="s">
        <v>71</v>
      </c>
      <c r="D15" s="360" t="s">
        <v>115</v>
      </c>
      <c r="E15" s="360" t="s">
        <v>42</v>
      </c>
      <c r="F15" s="360">
        <f>'CLASS 1 LINE HAUL COMPILE EMISS'!E12</f>
        <v>323445.62013438344</v>
      </c>
      <c r="G15" s="360">
        <f>'CLASS 1 LINE HAUL COMPILE EMISS'!K12</f>
        <v>1.8112269213592733</v>
      </c>
      <c r="H15" s="360">
        <f>'CLASS 1 LINE HAUL COMPILE EMISS'!F12</f>
        <v>42.627661966835362</v>
      </c>
      <c r="I15" s="360">
        <f>'CLASS 1 LINE HAUL COMPILE EMISS'!G12</f>
        <v>9.955428703552851</v>
      </c>
      <c r="J15" s="360">
        <f>'CLASS 1 LINE HAUL COMPILE EMISS'!H12</f>
        <v>1.0843878921387944</v>
      </c>
      <c r="K15" s="360">
        <f>'CLASS 1 LINE HAUL COMPILE EMISS'!I12</f>
        <v>1.0518562553746307</v>
      </c>
      <c r="L15" s="360">
        <f>'CLASS 1 LINE HAUL COMPILE EMISS'!J12</f>
        <v>0.53961596866155703</v>
      </c>
      <c r="M15" s="360">
        <f>'CLASS 1 LINE HAUL COMPILE EMISS'!L12</f>
        <v>3.1148096487750614E-2</v>
      </c>
      <c r="N15" s="360">
        <f>'CLASS 1 LINE HAUL COMPILE EMISS'!M12</f>
        <v>3820.4107220627807</v>
      </c>
      <c r="O15">
        <f t="shared" si="0"/>
        <v>4.9622655379706121E-3</v>
      </c>
      <c r="P15">
        <f t="shared" si="1"/>
        <v>0.11678811497763113</v>
      </c>
      <c r="Q15">
        <f t="shared" si="2"/>
        <v>2.727514713302151E-2</v>
      </c>
      <c r="R15">
        <f t="shared" si="3"/>
        <v>2.9709257318871079E-3</v>
      </c>
      <c r="S15">
        <f t="shared" si="4"/>
        <v>2.8817979599304951E-3</v>
      </c>
      <c r="T15">
        <f t="shared" si="5"/>
        <v>1.4783999141412521E-3</v>
      </c>
      <c r="U15">
        <f t="shared" si="6"/>
        <v>8.5337250651371552E-5</v>
      </c>
      <c r="V15" s="467">
        <f t="shared" si="7"/>
        <v>10.466878690582961</v>
      </c>
    </row>
    <row r="16" spans="1:34" x14ac:dyDescent="0.25">
      <c r="A16" s="549" t="s">
        <v>1011</v>
      </c>
      <c r="B16" s="360">
        <v>2285002007</v>
      </c>
      <c r="C16" s="360" t="s">
        <v>74</v>
      </c>
      <c r="D16" s="360" t="s">
        <v>115</v>
      </c>
      <c r="E16" s="360" t="s">
        <v>42</v>
      </c>
      <c r="F16" s="110">
        <f>'LINE HAUL CLASS 23 TOTAL BY CTY'!D12</f>
        <v>158160.81687505986</v>
      </c>
      <c r="G16" s="110">
        <f>'LINE HAUL CLASS 23 TOTAL BY CTY'!J12</f>
        <v>2.2526748975463038</v>
      </c>
      <c r="H16" s="110">
        <f>'LINE HAUL CLASS 23 TOTAL BY CTY'!E12</f>
        <v>43.334384519482299</v>
      </c>
      <c r="I16" s="110">
        <f>'LINE HAUL CLASS 23 TOTAL BY CTY'!F12</f>
        <v>4.2595688682103798</v>
      </c>
      <c r="J16" s="110">
        <f>'LINE HAUL CLASS 23 TOTAL BY CTY'!G12</f>
        <v>0.98736572322871108</v>
      </c>
      <c r="K16" s="110">
        <f>'LINE HAUL CLASS 23 TOTAL BY CTY'!H12</f>
        <v>0.95774475153184957</v>
      </c>
      <c r="L16" s="110">
        <f>'LINE HAUL CLASS 23 TOTAL BY CTY'!I12</f>
        <v>0.23088221003276999</v>
      </c>
      <c r="M16" s="110">
        <f>'LINE HAUL CLASS 23 TOTAL BY CTY'!K12</f>
        <v>1.5231025179932946E-2</v>
      </c>
      <c r="N16" s="110">
        <f>'LINE HAUL CLASS 23 TOTAL BY CTY'!L12</f>
        <v>1868.1325174495814</v>
      </c>
      <c r="O16">
        <f t="shared" si="0"/>
        <v>6.1717120480720648E-3</v>
      </c>
      <c r="P16">
        <f t="shared" si="1"/>
        <v>0.11872434114926657</v>
      </c>
      <c r="Q16">
        <f t="shared" si="2"/>
        <v>1.1670051693727068E-2</v>
      </c>
      <c r="R16">
        <f t="shared" si="3"/>
        <v>2.7051115704896196E-3</v>
      </c>
      <c r="S16">
        <f t="shared" si="4"/>
        <v>2.6239582233749301E-3</v>
      </c>
      <c r="T16">
        <f t="shared" si="5"/>
        <v>6.3255400008978074E-4</v>
      </c>
      <c r="U16">
        <f t="shared" si="6"/>
        <v>4.1728836109405328E-5</v>
      </c>
      <c r="V16" s="467">
        <f t="shared" si="7"/>
        <v>5.1181712806837849</v>
      </c>
    </row>
    <row r="17" spans="1:22" x14ac:dyDescent="0.25">
      <c r="A17" s="549" t="s">
        <v>1011</v>
      </c>
      <c r="B17" s="360">
        <v>2285002009</v>
      </c>
      <c r="C17" s="360" t="s">
        <v>76</v>
      </c>
      <c r="D17" s="360" t="s">
        <v>115</v>
      </c>
      <c r="E17" s="360" t="s">
        <v>42</v>
      </c>
      <c r="F17" s="110">
        <f>'NJT COMMUTER EMIS CTY'!E12</f>
        <v>1580030.0899469894</v>
      </c>
      <c r="G17" s="110">
        <f>'NJT COMMUTER EMIS CTY'!K12</f>
        <v>8.8478336305209488</v>
      </c>
      <c r="H17" s="110">
        <f>'NJT COMMUTER EMIS CTY'!F12</f>
        <v>204.58263483594422</v>
      </c>
      <c r="I17" s="110">
        <f>'NJT COMMUTER EMIS CTY'!G12</f>
        <v>48.632214909573023</v>
      </c>
      <c r="J17" s="110">
        <f>'NJT COMMUTER EMIS CTY'!H12</f>
        <v>5.1145658708986037</v>
      </c>
      <c r="K17" s="110">
        <f>'NJT COMMUTER EMIS CTY'!I12</f>
        <v>4.9611288947716456</v>
      </c>
      <c r="L17" s="110">
        <f>'NJT COMMUTER EMIS CTY'!J12</f>
        <v>2.6360210632838821</v>
      </c>
      <c r="M17" s="110">
        <f>'NJT COMMUTER EMIS CTY'!L12</f>
        <v>0.15215828142848423</v>
      </c>
      <c r="N17" s="110">
        <f>'NJT COMMUTER EMIS CTY'!M12</f>
        <v>18662.685536775371</v>
      </c>
      <c r="O17" s="6">
        <f t="shared" si="0"/>
        <v>2.424064008361904E-2</v>
      </c>
      <c r="P17" s="6">
        <f t="shared" si="1"/>
        <v>0.56050036941354575</v>
      </c>
      <c r="Q17" s="6">
        <f t="shared" si="2"/>
        <v>0.13323894495773431</v>
      </c>
      <c r="R17" s="6">
        <f t="shared" si="3"/>
        <v>1.401250923533864E-2</v>
      </c>
      <c r="S17" s="6">
        <f t="shared" si="4"/>
        <v>1.3592133958278482E-2</v>
      </c>
      <c r="T17" s="6">
        <f t="shared" si="5"/>
        <v>7.2219755158462523E-3</v>
      </c>
      <c r="U17" s="6">
        <f t="shared" si="6"/>
        <v>4.1687200391365541E-4</v>
      </c>
      <c r="V17" s="467">
        <f t="shared" si="7"/>
        <v>51.130645306233895</v>
      </c>
    </row>
    <row r="18" spans="1:22" ht="14.25" customHeight="1" x14ac:dyDescent="0.25">
      <c r="A18" s="549" t="s">
        <v>1011</v>
      </c>
      <c r="B18" s="18">
        <v>2285002010</v>
      </c>
      <c r="C18" s="18" t="s">
        <v>78</v>
      </c>
      <c r="D18" s="360" t="s">
        <v>115</v>
      </c>
      <c r="E18" s="360" t="s">
        <v>42</v>
      </c>
      <c r="F18" s="304">
        <f>'2017 YARD EMIS CTY COMPILE 2 '!D12</f>
        <v>524159.02176177863</v>
      </c>
      <c r="G18" s="304">
        <f>'2017 YARD EMIS CTY COMPILE 2 '!J12</f>
        <v>4.4819837770036548</v>
      </c>
      <c r="H18" s="304">
        <f>'2017 YARD EMIS CTY COMPILE 2 '!E12</f>
        <v>83.980611162228911</v>
      </c>
      <c r="I18" s="304">
        <f>'2017 YARD EMIS CTY COMPILE 2 '!F12</f>
        <v>13.015123925195644</v>
      </c>
      <c r="J18" s="304">
        <f>'2017 YARD EMIS CTY COMPILE 2 '!G12</f>
        <v>2.0705202484762619</v>
      </c>
      <c r="K18" s="304">
        <f>'2017 YARD EMIS CTY COMPILE 2 '!H12</f>
        <v>2.0002252476544706</v>
      </c>
      <c r="L18" s="304">
        <f>'2017 YARD EMIS CTY COMPILE 2 '!I12</f>
        <v>0.75900767624107124</v>
      </c>
      <c r="M18" s="304">
        <f>'2017 YARD EMIS CTY COMPILE 2 '!K12</f>
        <v>4.9823830696459313E-2</v>
      </c>
      <c r="N18" s="304">
        <f>'2017 YARD EMIS CTY COMPILE 2 '!L12</f>
        <v>6257.5452463838819</v>
      </c>
      <c r="O18" s="6">
        <f t="shared" si="0"/>
        <v>1.2279407608229192E-2</v>
      </c>
      <c r="P18" s="6">
        <f t="shared" si="1"/>
        <v>0.23008386619788743</v>
      </c>
      <c r="Q18" s="6">
        <f t="shared" si="2"/>
        <v>3.5657873767659297E-2</v>
      </c>
      <c r="R18" s="6">
        <f t="shared" si="3"/>
        <v>5.6726582150034574E-3</v>
      </c>
      <c r="S18" s="6">
        <f t="shared" si="4"/>
        <v>5.4800691716560841E-3</v>
      </c>
      <c r="T18" s="6">
        <f t="shared" si="5"/>
        <v>2.0794730855919759E-3</v>
      </c>
      <c r="U18" s="6">
        <f t="shared" si="6"/>
        <v>1.3650364574372415E-4</v>
      </c>
      <c r="V18" s="467">
        <f t="shared" si="7"/>
        <v>17.143959579133924</v>
      </c>
    </row>
    <row r="19" spans="1:22" x14ac:dyDescent="0.25">
      <c r="A19" s="549" t="s">
        <v>1011</v>
      </c>
      <c r="B19" s="360">
        <v>2285002006</v>
      </c>
      <c r="C19" s="360" t="s">
        <v>71</v>
      </c>
      <c r="D19" s="360" t="s">
        <v>124</v>
      </c>
      <c r="E19" s="360" t="s">
        <v>24</v>
      </c>
      <c r="F19" s="360">
        <f>'CLASS 1 LINE HAUL COMPILE EMISS'!E13</f>
        <v>654944.96518165921</v>
      </c>
      <c r="G19" s="360">
        <f>'CLASS 1 LINE HAUL COMPILE EMISS'!K13</f>
        <v>3.6675529953161057</v>
      </c>
      <c r="H19" s="360">
        <f>'CLASS 1 LINE HAUL COMPILE EMISS'!F13</f>
        <v>86.3167433556373</v>
      </c>
      <c r="I19" s="360">
        <f>'CLASS 1 LINE HAUL COMPILE EMISS'!G13</f>
        <v>20.158745395618315</v>
      </c>
      <c r="J19" s="360">
        <f>'CLASS 1 LINE HAUL COMPILE EMISS'!H13</f>
        <v>2.1957768046609494</v>
      </c>
      <c r="K19" s="360">
        <f>'CLASS 1 LINE HAUL COMPILE EMISS'!I13</f>
        <v>2.1299035005211207</v>
      </c>
      <c r="L19" s="360">
        <f>'CLASS 1 LINE HAUL COMPILE EMISS'!J13</f>
        <v>1.0926682564434611</v>
      </c>
      <c r="M19" s="360">
        <f>'CLASS 1 LINE HAUL COMPILE EMISS'!L13</f>
        <v>6.3071773737943912E-2</v>
      </c>
      <c r="N19" s="360">
        <f>'CLASS 1 LINE HAUL COMPILE EMISS'!M13</f>
        <v>7735.9488321451445</v>
      </c>
      <c r="O19">
        <f t="shared" si="0"/>
        <v>1.0048090398126317E-2</v>
      </c>
      <c r="P19">
        <f t="shared" si="1"/>
        <v>0.23648422837160904</v>
      </c>
      <c r="Q19">
        <f t="shared" si="2"/>
        <v>5.5229439440050175E-2</v>
      </c>
      <c r="R19">
        <f t="shared" si="3"/>
        <v>6.0158268620847926E-3</v>
      </c>
      <c r="S19">
        <f t="shared" si="4"/>
        <v>5.8353520562222485E-3</v>
      </c>
      <c r="T19">
        <f t="shared" si="5"/>
        <v>2.9936116614889346E-3</v>
      </c>
      <c r="U19">
        <f t="shared" si="6"/>
        <v>1.7279938010395592E-4</v>
      </c>
      <c r="V19" s="467">
        <f t="shared" si="7"/>
        <v>21.194380362041493</v>
      </c>
    </row>
    <row r="20" spans="1:22" x14ac:dyDescent="0.25">
      <c r="A20" s="549" t="s">
        <v>1011</v>
      </c>
      <c r="B20" s="360">
        <v>2285002007</v>
      </c>
      <c r="C20" s="360" t="s">
        <v>74</v>
      </c>
      <c r="D20" s="360" t="s">
        <v>124</v>
      </c>
      <c r="E20" s="360" t="s">
        <v>24</v>
      </c>
      <c r="F20" s="110">
        <f>'LINE HAUL CLASS 23 TOTAL BY CTY'!D13</f>
        <v>5705</v>
      </c>
      <c r="G20" s="110">
        <f>'LINE HAUL CLASS 23 TOTAL BY CTY'!J13</f>
        <v>8.125596809893687E-2</v>
      </c>
      <c r="H20" s="110">
        <f>'LINE HAUL CLASS 23 TOTAL BY CTY'!E13</f>
        <v>1.5631094260150518</v>
      </c>
      <c r="I20" s="110">
        <f>'LINE HAUL CLASS 23 TOTAL BY CTY'!F13</f>
        <v>0.15364640163901541</v>
      </c>
      <c r="J20" s="110">
        <f>'LINE HAUL CLASS 23 TOTAL BY CTY'!G13</f>
        <v>3.5615151478823978E-2</v>
      </c>
      <c r="K20" s="110">
        <f>'LINE HAUL CLASS 23 TOTAL BY CTY'!H13</f>
        <v>3.4546696934459255E-2</v>
      </c>
      <c r="L20" s="110">
        <f>'LINE HAUL CLASS 23 TOTAL BY CTY'!I13</f>
        <v>8.3281247167398594E-3</v>
      </c>
      <c r="M20" s="110">
        <f>'LINE HAUL CLASS 23 TOTAL BY CTY'!K13</f>
        <v>5.4939649635319678E-4</v>
      </c>
      <c r="N20" s="110">
        <f>'LINE HAUL CLASS 23 TOTAL BY CTY'!L13</f>
        <v>67.385185677619361</v>
      </c>
      <c r="O20">
        <f t="shared" si="0"/>
        <v>2.2261909068201882E-4</v>
      </c>
      <c r="P20">
        <f t="shared" si="1"/>
        <v>4.2824915781234296E-3</v>
      </c>
      <c r="Q20">
        <f t="shared" si="2"/>
        <v>4.2094904558634362E-4</v>
      </c>
      <c r="R20">
        <f t="shared" si="3"/>
        <v>9.7575757476230083E-5</v>
      </c>
      <c r="S20">
        <f t="shared" si="4"/>
        <v>9.4648484751943168E-5</v>
      </c>
      <c r="T20">
        <f t="shared" si="5"/>
        <v>2.281678004586263E-5</v>
      </c>
      <c r="U20">
        <f t="shared" si="6"/>
        <v>1.5051958804197172E-6</v>
      </c>
      <c r="V20" s="467">
        <f t="shared" si="7"/>
        <v>0.18461694706197085</v>
      </c>
    </row>
    <row r="21" spans="1:22" x14ac:dyDescent="0.25">
      <c r="A21" s="549" t="s">
        <v>1011</v>
      </c>
      <c r="B21" s="360">
        <v>2285002009</v>
      </c>
      <c r="C21" s="360" t="s">
        <v>76</v>
      </c>
      <c r="D21" s="360" t="s">
        <v>124</v>
      </c>
      <c r="E21" s="360" t="s">
        <v>24</v>
      </c>
      <c r="F21" s="110">
        <f>'NJT COMMUTER EMIS CTY'!E13</f>
        <v>946260.25978807651</v>
      </c>
      <c r="G21" s="110">
        <f>'NJT COMMUTER EMIS CTY'!K13</f>
        <v>5.298856903452597</v>
      </c>
      <c r="H21" s="110">
        <f>'NJT COMMUTER EMIS CTY'!F13</f>
        <v>122.52198133421919</v>
      </c>
      <c r="I21" s="110">
        <f>'NJT COMMUTER EMIS CTY'!G13</f>
        <v>29.125225277162965</v>
      </c>
      <c r="J21" s="110">
        <f>'NJT COMMUTER EMIS CTY'!H13</f>
        <v>3.0630495333554797</v>
      </c>
      <c r="K21" s="110">
        <f>'NJT COMMUTER EMIS CTY'!I13</f>
        <v>2.9711580473548151</v>
      </c>
      <c r="L21" s="110">
        <f>'NJT COMMUTER EMIS CTY'!J13</f>
        <v>1.5786800466778035</v>
      </c>
      <c r="M21" s="110">
        <f>'NJT COMMUTER EMIS CTY'!L13</f>
        <v>9.1125691738095538E-2</v>
      </c>
      <c r="N21" s="110">
        <f>'NJT COMMUTER EMIS CTY'!M13</f>
        <v>11176.848957961764</v>
      </c>
      <c r="O21" s="6">
        <f t="shared" si="0"/>
        <v>1.4517416173842732E-2</v>
      </c>
      <c r="P21" s="6">
        <f t="shared" si="1"/>
        <v>0.33567666118964162</v>
      </c>
      <c r="Q21" s="6">
        <f t="shared" si="2"/>
        <v>7.9795137745651959E-2</v>
      </c>
      <c r="R21" s="6">
        <f t="shared" si="3"/>
        <v>8.3919165297410402E-3</v>
      </c>
      <c r="S21" s="6">
        <f t="shared" si="4"/>
        <v>8.1401590338488084E-3</v>
      </c>
      <c r="T21" s="6">
        <f t="shared" si="5"/>
        <v>4.3251508128159004E-3</v>
      </c>
      <c r="U21" s="6">
        <f t="shared" si="6"/>
        <v>2.4965942941943984E-4</v>
      </c>
      <c r="V21" s="467">
        <f t="shared" si="7"/>
        <v>30.621503994415789</v>
      </c>
    </row>
    <row r="22" spans="1:22" x14ac:dyDescent="0.25">
      <c r="A22" s="549" t="s">
        <v>1011</v>
      </c>
      <c r="B22" s="18">
        <v>2285002010</v>
      </c>
      <c r="C22" s="18" t="s">
        <v>78</v>
      </c>
      <c r="D22" s="360" t="s">
        <v>124</v>
      </c>
      <c r="E22" s="360" t="s">
        <v>24</v>
      </c>
      <c r="F22" s="304">
        <f>'2017 YARD EMIS CTY COMPILE 2 '!D13</f>
        <v>0</v>
      </c>
      <c r="G22" s="304">
        <f>'2017 YARD EMIS CTY COMPILE 2 '!J13</f>
        <v>0</v>
      </c>
      <c r="H22" s="304">
        <f>'2017 YARD EMIS CTY COMPILE 2 '!E13</f>
        <v>0</v>
      </c>
      <c r="I22" s="304">
        <f>'2017 YARD EMIS CTY COMPILE 2 '!F13</f>
        <v>0</v>
      </c>
      <c r="J22" s="304">
        <f>'2017 YARD EMIS CTY COMPILE 2 '!G13</f>
        <v>0</v>
      </c>
      <c r="K22" s="304">
        <f>'2017 YARD EMIS CTY COMPILE 2 '!H13</f>
        <v>0</v>
      </c>
      <c r="L22" s="304">
        <f>'2017 YARD EMIS CTY COMPILE 2 '!I13</f>
        <v>0</v>
      </c>
      <c r="M22" s="304">
        <f>'2017 YARD EMIS CTY COMPILE 2 '!K13</f>
        <v>0</v>
      </c>
      <c r="N22" s="304">
        <f>'2017 YARD EMIS CTY COMPILE 2 '!L13</f>
        <v>0</v>
      </c>
      <c r="O22" s="6">
        <f t="shared" si="0"/>
        <v>0</v>
      </c>
      <c r="P22" s="6">
        <f t="shared" si="1"/>
        <v>0</v>
      </c>
      <c r="Q22" s="6">
        <f t="shared" si="2"/>
        <v>0</v>
      </c>
      <c r="R22" s="6">
        <f t="shared" si="3"/>
        <v>0</v>
      </c>
      <c r="S22" s="6">
        <f t="shared" si="4"/>
        <v>0</v>
      </c>
      <c r="T22" s="6">
        <f t="shared" si="5"/>
        <v>0</v>
      </c>
      <c r="U22" s="6">
        <f t="shared" si="6"/>
        <v>0</v>
      </c>
      <c r="V22" s="467">
        <f t="shared" si="7"/>
        <v>0</v>
      </c>
    </row>
    <row r="23" spans="1:22" x14ac:dyDescent="0.25">
      <c r="A23" s="549" t="s">
        <v>1011</v>
      </c>
      <c r="B23" s="360">
        <v>2285002006</v>
      </c>
      <c r="C23" s="360" t="s">
        <v>71</v>
      </c>
      <c r="D23" s="360" t="s">
        <v>116</v>
      </c>
      <c r="E23" s="360" t="s">
        <v>44</v>
      </c>
      <c r="F23" s="360">
        <f>'CLASS 1 LINE HAUL COMPILE EMISS'!E15</f>
        <v>358163.54789715545</v>
      </c>
      <c r="G23" s="360">
        <f>'CLASS 1 LINE HAUL COMPILE EMISS'!K15</f>
        <v>2.005639958677921</v>
      </c>
      <c r="H23" s="360">
        <f>'CLASS 1 LINE HAUL COMPILE EMISS'!F15</f>
        <v>47.203219639391172</v>
      </c>
      <c r="I23" s="360">
        <f>'CLASS 1 LINE HAUL COMPILE EMISS'!G15</f>
        <v>11.024022102448697</v>
      </c>
      <c r="J23" s="360">
        <f>'CLASS 1 LINE HAUL COMPILE EMISS'!H15</f>
        <v>1.2007836574932844</v>
      </c>
      <c r="K23" s="360">
        <f>'CLASS 1 LINE HAUL COMPILE EMISS'!I15</f>
        <v>1.1647601477684859</v>
      </c>
      <c r="L23" s="360">
        <f>'CLASS 1 LINE HAUL COMPILE EMISS'!J15</f>
        <v>0.59753713702317057</v>
      </c>
      <c r="M23" s="360">
        <f>'CLASS 1 LINE HAUL COMPILE EMISS'!L15</f>
        <v>3.4491463336744521E-2</v>
      </c>
      <c r="N23" s="360">
        <f>'CLASS 1 LINE HAUL COMPILE EMISS'!M15</f>
        <v>4230.4850443478927</v>
      </c>
      <c r="O23">
        <f t="shared" si="0"/>
        <v>5.4949039963778654E-3</v>
      </c>
      <c r="P23">
        <f t="shared" si="1"/>
        <v>0.1293238894229895</v>
      </c>
      <c r="Q23">
        <f t="shared" si="2"/>
        <v>3.0202800280681362E-2</v>
      </c>
      <c r="R23">
        <f t="shared" si="3"/>
        <v>3.2898182397076287E-3</v>
      </c>
      <c r="S23">
        <f t="shared" si="4"/>
        <v>3.1911236925163998E-3</v>
      </c>
      <c r="T23">
        <f t="shared" si="5"/>
        <v>1.6370880466388235E-3</v>
      </c>
      <c r="U23">
        <f t="shared" si="6"/>
        <v>9.4497159826697314E-5</v>
      </c>
      <c r="V23">
        <f t="shared" si="7"/>
        <v>11.590369984514775</v>
      </c>
    </row>
    <row r="24" spans="1:22" x14ac:dyDescent="0.25">
      <c r="A24" s="549" t="s">
        <v>1011</v>
      </c>
      <c r="B24" s="360">
        <v>2285002007</v>
      </c>
      <c r="C24" s="360" t="s">
        <v>74</v>
      </c>
      <c r="D24" s="360" t="s">
        <v>116</v>
      </c>
      <c r="E24" s="360" t="s">
        <v>44</v>
      </c>
      <c r="F24" s="110">
        <f>'LINE HAUL CLASS 23 TOTAL BY CTY'!D15</f>
        <v>162527.33958944801</v>
      </c>
      <c r="G24" s="110">
        <f>'LINE HAUL CLASS 23 TOTAL BY CTY'!J15</f>
        <v>2.3148670150543853</v>
      </c>
      <c r="H24" s="110">
        <f>'LINE HAUL CLASS 23 TOTAL BY CTY'!E15</f>
        <v>44.530765380791486</v>
      </c>
      <c r="I24" s="110">
        <f>'LINE HAUL CLASS 23 TOTAL BY CTY'!F15</f>
        <v>4.377167554054509</v>
      </c>
      <c r="J24" s="110">
        <f>'LINE HAUL CLASS 23 TOTAL BY CTY'!G15</f>
        <v>1.0146250339927179</v>
      </c>
      <c r="K24" s="110">
        <f>'LINE HAUL CLASS 23 TOTAL BY CTY'!H15</f>
        <v>0.98418628297293642</v>
      </c>
      <c r="L24" s="110">
        <f>'LINE HAUL CLASS 23 TOTAL BY CTY'!I15</f>
        <v>0.23725643365133295</v>
      </c>
      <c r="M24" s="110">
        <f>'LINE HAUL CLASS 23 TOTAL BY CTY'!K15</f>
        <v>1.5651525141463445E-2</v>
      </c>
      <c r="N24" s="110">
        <f>'LINE HAUL CLASS 23 TOTAL BY CTY'!L15</f>
        <v>1919.7081430191847</v>
      </c>
      <c r="O24">
        <f t="shared" si="0"/>
        <v>6.3421014111079048E-3</v>
      </c>
      <c r="P24">
        <f t="shared" si="1"/>
        <v>0.12200209693367531</v>
      </c>
      <c r="Q24">
        <f t="shared" si="2"/>
        <v>1.1992239874121942E-2</v>
      </c>
      <c r="R24">
        <f t="shared" si="3"/>
        <v>2.779794613678679E-3</v>
      </c>
      <c r="S24">
        <f t="shared" si="4"/>
        <v>2.696400775268319E-3</v>
      </c>
      <c r="T24">
        <f t="shared" si="5"/>
        <v>6.500176264420081E-4</v>
      </c>
      <c r="U24">
        <f t="shared" si="6"/>
        <v>4.2880890798529988E-5</v>
      </c>
      <c r="V24">
        <f t="shared" si="7"/>
        <v>5.2594743644361222</v>
      </c>
    </row>
    <row r="25" spans="1:22" x14ac:dyDescent="0.25">
      <c r="A25" s="549" t="s">
        <v>1011</v>
      </c>
      <c r="B25" s="360">
        <v>2285002009</v>
      </c>
      <c r="C25" s="360" t="s">
        <v>76</v>
      </c>
      <c r="D25" s="360" t="s">
        <v>116</v>
      </c>
      <c r="E25" s="360" t="s">
        <v>44</v>
      </c>
      <c r="F25" s="110">
        <f>'NJT COMMUTER EMIS CTY'!E15</f>
        <v>944985.13007111382</v>
      </c>
      <c r="G25" s="110">
        <f>'NJT COMMUTER EMIS CTY'!K15</f>
        <v>5.2917164472898932</v>
      </c>
      <c r="H25" s="110">
        <f>'NJT COMMUTER EMIS CTY'!F15</f>
        <v>122.35687726505392</v>
      </c>
      <c r="I25" s="110">
        <f>'NJT COMMUTER EMIS CTY'!G15</f>
        <v>29.08597768129281</v>
      </c>
      <c r="J25" s="110">
        <f>'NJT COMMUTER EMIS CTY'!H15</f>
        <v>3.0589219316263474</v>
      </c>
      <c r="K25" s="110">
        <f>'NJT COMMUTER EMIS CTY'!I15</f>
        <v>2.9671542736775569</v>
      </c>
      <c r="L25" s="110">
        <f>'NJT COMMUTER EMIS CTY'!J15</f>
        <v>1.5765527018799295</v>
      </c>
      <c r="M25" s="110">
        <f>'NJT COMMUTER EMIS CTY'!L15</f>
        <v>9.1002895629612585E-2</v>
      </c>
      <c r="N25" s="110">
        <f>'NJT COMMUTER EMIS CTY'!M15</f>
        <v>11161.787634080854</v>
      </c>
      <c r="O25" s="6">
        <f t="shared" si="0"/>
        <v>1.4497853280246283E-2</v>
      </c>
      <c r="P25" s="6">
        <f t="shared" si="1"/>
        <v>0.33522432127412033</v>
      </c>
      <c r="Q25" s="6">
        <f t="shared" si="2"/>
        <v>7.9687610085733732E-2</v>
      </c>
      <c r="R25" s="6">
        <f t="shared" si="3"/>
        <v>8.3806080318530058E-3</v>
      </c>
      <c r="S25" s="6">
        <f t="shared" si="4"/>
        <v>8.1291897908974155E-3</v>
      </c>
      <c r="T25" s="6">
        <f t="shared" si="5"/>
        <v>4.3193224709039161E-3</v>
      </c>
      <c r="U25" s="6">
        <f t="shared" si="6"/>
        <v>2.4932300172496601E-4</v>
      </c>
      <c r="V25" s="6">
        <f t="shared" si="7"/>
        <v>30.580240093372204</v>
      </c>
    </row>
    <row r="26" spans="1:22" x14ac:dyDescent="0.25">
      <c r="A26" s="549" t="s">
        <v>1011</v>
      </c>
      <c r="B26" s="18">
        <v>2285002010</v>
      </c>
      <c r="C26" s="18" t="s">
        <v>78</v>
      </c>
      <c r="D26" s="360" t="s">
        <v>116</v>
      </c>
      <c r="E26" s="360" t="s">
        <v>44</v>
      </c>
      <c r="F26" s="304">
        <f>'2017 YARD EMIS CTY COMPILE 2 '!D15</f>
        <v>327013.66666666663</v>
      </c>
      <c r="G26" s="304">
        <f>'2017 YARD EMIS CTY COMPILE 2 '!J15</f>
        <v>4.6576357697779223</v>
      </c>
      <c r="H26" s="304">
        <f>'2017 YARD EMIS CTY COMPILE 2 '!E15</f>
        <v>89.59827253328848</v>
      </c>
      <c r="I26" s="304">
        <f>'2017 YARD EMIS CTY COMPILE 2 '!F15</f>
        <v>8.8070943330611335</v>
      </c>
      <c r="J26" s="304">
        <f>'2017 YARD EMIS CTY COMPILE 2 '!G15</f>
        <v>2.0414796273407507</v>
      </c>
      <c r="K26" s="304">
        <f>'2017 YARD EMIS CTY COMPILE 2 '!H15</f>
        <v>1.9802352385205286</v>
      </c>
      <c r="L26" s="304">
        <f>'2017 YARD EMIS CTY COMPILE 2 '!I15</f>
        <v>0.47737258546510009</v>
      </c>
      <c r="M26" s="304">
        <f>'2017 YARD EMIS CTY COMPILE 2 '!K15</f>
        <v>3.1491702493650978E-2</v>
      </c>
      <c r="N26" s="304">
        <f>'2017 YARD EMIS CTY COMPILE 2 '!L15</f>
        <v>3862.5550652852685</v>
      </c>
      <c r="O26" s="6">
        <f t="shared" si="0"/>
        <v>1.2760645944597047E-2</v>
      </c>
      <c r="P26" s="6">
        <f t="shared" si="1"/>
        <v>0.24547471926928349</v>
      </c>
      <c r="Q26" s="6">
        <f t="shared" si="2"/>
        <v>2.4129025570030504E-2</v>
      </c>
      <c r="R26" s="6">
        <f t="shared" si="3"/>
        <v>5.5930948694267145E-3</v>
      </c>
      <c r="S26" s="6">
        <f t="shared" si="4"/>
        <v>5.4253020233439144E-3</v>
      </c>
      <c r="T26" s="6">
        <f t="shared" si="5"/>
        <v>1.3078700971646579E-3</v>
      </c>
      <c r="U26" s="6">
        <f t="shared" si="6"/>
        <v>8.6278636968906781E-5</v>
      </c>
      <c r="V26" s="6">
        <f t="shared" si="7"/>
        <v>10.582342644617174</v>
      </c>
    </row>
    <row r="27" spans="1:22" x14ac:dyDescent="0.25">
      <c r="A27" s="549" t="s">
        <v>1011</v>
      </c>
      <c r="B27" s="360">
        <v>2285002006</v>
      </c>
      <c r="C27" s="360" t="s">
        <v>71</v>
      </c>
      <c r="D27" s="360" t="s">
        <v>126</v>
      </c>
      <c r="E27" s="360" t="s">
        <v>45</v>
      </c>
      <c r="F27" s="360">
        <f>'CLASS 1 LINE HAUL COMPILE EMISS'!E16</f>
        <v>127152.80148829066</v>
      </c>
      <c r="G27" s="360">
        <f>'CLASS 1 LINE HAUL COMPILE EMISS'!K16</f>
        <v>0.71202873944052381</v>
      </c>
      <c r="H27" s="360">
        <f>'CLASS 1 LINE HAUL COMPILE EMISS'!F16</f>
        <v>16.757767929357055</v>
      </c>
      <c r="I27" s="360">
        <f>'CLASS 1 LINE HAUL COMPILE EMISS'!G16</f>
        <v>3.9136738013263357</v>
      </c>
      <c r="J27" s="360">
        <f>'CLASS 1 LINE HAUL COMPILE EMISS'!H16</f>
        <v>0.4262940964485567</v>
      </c>
      <c r="K27" s="360">
        <f>'CLASS 1 LINE HAUL COMPILE EMISS'!I16</f>
        <v>0.41350527355509997</v>
      </c>
      <c r="L27" s="360">
        <f>'CLASS 1 LINE HAUL COMPILE EMISS'!J16</f>
        <v>0.21213359486712913</v>
      </c>
      <c r="M27" s="360">
        <f>'CLASS 1 LINE HAUL COMPILE EMISS'!L16</f>
        <v>1.2244926141833557E-2</v>
      </c>
      <c r="N27" s="360">
        <f>'CLASS 1 LINE HAUL COMPILE EMISS'!M16</f>
        <v>1501.8782011775531</v>
      </c>
      <c r="O27">
        <f t="shared" si="0"/>
        <v>1.9507636697000653E-3</v>
      </c>
      <c r="P27">
        <f t="shared" si="1"/>
        <v>4.5911692957142619E-2</v>
      </c>
      <c r="Q27">
        <f t="shared" si="2"/>
        <v>1.0722393976236536E-2</v>
      </c>
      <c r="R27">
        <f t="shared" si="3"/>
        <v>1.1679290313659088E-3</v>
      </c>
      <c r="S27">
        <f t="shared" si="4"/>
        <v>1.1328911604249314E-3</v>
      </c>
      <c r="T27">
        <f t="shared" si="5"/>
        <v>5.8118793114281958E-4</v>
      </c>
      <c r="U27">
        <f t="shared" si="6"/>
        <v>3.354774285433851E-5</v>
      </c>
      <c r="V27">
        <f t="shared" si="7"/>
        <v>4.1147347977467206</v>
      </c>
    </row>
    <row r="28" spans="1:22" x14ac:dyDescent="0.25">
      <c r="A28" s="549" t="s">
        <v>1011</v>
      </c>
      <c r="B28" s="360">
        <v>2285002007</v>
      </c>
      <c r="C28" s="360" t="s">
        <v>74</v>
      </c>
      <c r="D28" s="360" t="s">
        <v>126</v>
      </c>
      <c r="E28" s="360" t="s">
        <v>45</v>
      </c>
      <c r="F28" s="110">
        <f>'LINE HAUL CLASS 23 TOTAL BY CTY'!D16</f>
        <v>14364</v>
      </c>
      <c r="G28" s="110">
        <f>'LINE HAUL CLASS 23 TOTAL BY CTY'!J16</f>
        <v>0.20458557857548279</v>
      </c>
      <c r="H28" s="110">
        <f>'LINE HAUL CLASS 23 TOTAL BY CTY'!E16</f>
        <v>3.9355834873409643</v>
      </c>
      <c r="I28" s="110">
        <f>'LINE HAUL CLASS 23 TOTAL BY CTY'!F16</f>
        <v>0.38684959038436761</v>
      </c>
      <c r="J28" s="110">
        <f>'LINE HAUL CLASS 23 TOTAL BY CTY'!G16</f>
        <v>8.9671522496376443E-2</v>
      </c>
      <c r="K28" s="110">
        <f>'LINE HAUL CLASS 23 TOTAL BY CTY'!H16</f>
        <v>8.6981376821485143E-2</v>
      </c>
      <c r="L28" s="110">
        <f>'LINE HAUL CLASS 23 TOTAL BY CTY'!I16</f>
        <v>2.0968480881902073E-2</v>
      </c>
      <c r="M28" s="110">
        <f>'LINE HAUL CLASS 23 TOTAL BY CTY'!K16</f>
        <v>1.3832657797751655E-3</v>
      </c>
      <c r="N28" s="110">
        <f>'LINE HAUL CLASS 23 TOTAL BY CTY'!L16</f>
        <v>169.66184173064406</v>
      </c>
      <c r="O28">
        <f t="shared" si="0"/>
        <v>5.605084344533775E-4</v>
      </c>
      <c r="P28">
        <f t="shared" si="1"/>
        <v>1.0782420513262916E-2</v>
      </c>
      <c r="Q28">
        <f t="shared" si="2"/>
        <v>1.0598618914640209E-3</v>
      </c>
      <c r="R28">
        <f t="shared" si="3"/>
        <v>2.456754040996615E-4</v>
      </c>
      <c r="S28">
        <f t="shared" si="4"/>
        <v>2.3830514197667162E-4</v>
      </c>
      <c r="T28">
        <f t="shared" si="5"/>
        <v>5.7447892827128968E-5</v>
      </c>
      <c r="U28">
        <f t="shared" si="6"/>
        <v>3.7897692596579876E-6</v>
      </c>
      <c r="V28">
        <f t="shared" si="7"/>
        <v>0.46482696364560017</v>
      </c>
    </row>
    <row r="29" spans="1:22" x14ac:dyDescent="0.25">
      <c r="A29" s="549" t="s">
        <v>1011</v>
      </c>
      <c r="B29" s="360">
        <v>2285002009</v>
      </c>
      <c r="C29" s="360" t="s">
        <v>76</v>
      </c>
      <c r="D29" s="360" t="s">
        <v>126</v>
      </c>
      <c r="E29" s="360" t="s">
        <v>45</v>
      </c>
      <c r="F29" s="110">
        <f>'NJT COMMUTER EMIS CTY'!E16</f>
        <v>2385167.5854352834</v>
      </c>
      <c r="G29" s="110">
        <f>'NJT COMMUTER EMIS CTY'!K16</f>
        <v>13.356432963596776</v>
      </c>
      <c r="H29" s="110">
        <f>'NJT COMMUTER EMIS CTY'!F16</f>
        <v>308.83201038912404</v>
      </c>
      <c r="I29" s="110">
        <f>'NJT COMMUTER EMIS CTY'!G16</f>
        <v>73.413780755357493</v>
      </c>
      <c r="J29" s="110">
        <f>'NJT COMMUTER EMIS CTY'!H16</f>
        <v>7.7208002597281</v>
      </c>
      <c r="K29" s="110">
        <f>'NJT COMMUTER EMIS CTY'!I16</f>
        <v>7.4891762519362572</v>
      </c>
      <c r="L29" s="110">
        <f>'NJT COMMUTER EMIS CTY'!J16</f>
        <v>3.979260923366533</v>
      </c>
      <c r="M29" s="110">
        <f>'NJT COMMUTER EMIS CTY'!L16</f>
        <v>0.22969372737131619</v>
      </c>
      <c r="N29" s="110">
        <f>'NJT COMMUTER EMIS CTY'!M16</f>
        <v>28172.648662015003</v>
      </c>
      <c r="O29" s="6">
        <f t="shared" si="0"/>
        <v>3.659296702355281E-2</v>
      </c>
      <c r="P29" s="6">
        <f t="shared" si="1"/>
        <v>0.84611509695650422</v>
      </c>
      <c r="Q29" s="6">
        <f t="shared" si="2"/>
        <v>0.20113364590508903</v>
      </c>
      <c r="R29" s="6">
        <f t="shared" si="3"/>
        <v>2.1152877423912603E-2</v>
      </c>
      <c r="S29" s="6">
        <f t="shared" si="4"/>
        <v>2.0518291101195227E-2</v>
      </c>
      <c r="T29" s="6">
        <f t="shared" si="5"/>
        <v>1.0902084721552146E-2</v>
      </c>
      <c r="U29" s="6">
        <f t="shared" si="6"/>
        <v>6.2929788320908542E-4</v>
      </c>
      <c r="V29" s="6">
        <f t="shared" si="7"/>
        <v>77.185338800041109</v>
      </c>
    </row>
    <row r="30" spans="1:22" x14ac:dyDescent="0.25">
      <c r="A30" s="549" t="s">
        <v>1011</v>
      </c>
      <c r="B30" s="18">
        <v>2285002010</v>
      </c>
      <c r="C30" s="18" t="s">
        <v>78</v>
      </c>
      <c r="D30" s="360" t="s">
        <v>126</v>
      </c>
      <c r="E30" s="360" t="s">
        <v>45</v>
      </c>
      <c r="F30" s="304">
        <f>'2017 YARD EMIS CTY COMPILE 2 '!D16</f>
        <v>0</v>
      </c>
      <c r="G30" s="304">
        <f>'2017 YARD EMIS CTY COMPILE 2 '!J16</f>
        <v>0</v>
      </c>
      <c r="H30" s="304">
        <f>'2017 YARD EMIS CTY COMPILE 2 '!E16</f>
        <v>0</v>
      </c>
      <c r="I30" s="304">
        <f>'2017 YARD EMIS CTY COMPILE 2 '!F16</f>
        <v>0</v>
      </c>
      <c r="J30" s="304">
        <f>'2017 YARD EMIS CTY COMPILE 2 '!G16</f>
        <v>0</v>
      </c>
      <c r="K30" s="304">
        <f>'2017 YARD EMIS CTY COMPILE 2 '!H16</f>
        <v>0</v>
      </c>
      <c r="L30" s="304">
        <f>'2017 YARD EMIS CTY COMPILE 2 '!I16</f>
        <v>0</v>
      </c>
      <c r="M30" s="304">
        <f>'2017 YARD EMIS CTY COMPILE 2 '!K16</f>
        <v>0</v>
      </c>
      <c r="N30" s="304">
        <f>'2017 YARD EMIS CTY COMPILE 2 '!L16</f>
        <v>0</v>
      </c>
      <c r="O30" s="6">
        <f t="shared" si="0"/>
        <v>0</v>
      </c>
      <c r="P30" s="6">
        <f t="shared" si="1"/>
        <v>0</v>
      </c>
      <c r="Q30" s="6">
        <f t="shared" si="2"/>
        <v>0</v>
      </c>
      <c r="R30" s="6">
        <f t="shared" si="3"/>
        <v>0</v>
      </c>
      <c r="S30" s="6">
        <f t="shared" si="4"/>
        <v>0</v>
      </c>
      <c r="T30" s="6">
        <f t="shared" si="5"/>
        <v>0</v>
      </c>
      <c r="U30" s="6">
        <f t="shared" si="6"/>
        <v>0</v>
      </c>
      <c r="V30" s="6">
        <f t="shared" si="7"/>
        <v>0</v>
      </c>
    </row>
    <row r="31" spans="1:22" x14ac:dyDescent="0.25">
      <c r="A31" s="549" t="s">
        <v>1011</v>
      </c>
      <c r="B31" s="360">
        <v>2285002006</v>
      </c>
      <c r="C31" s="360" t="s">
        <v>71</v>
      </c>
      <c r="D31" s="360" t="s">
        <v>127</v>
      </c>
      <c r="E31" s="360" t="s">
        <v>50</v>
      </c>
      <c r="F31" s="360">
        <f>'CLASS 1 LINE HAUL COMPILE EMISS'!E17</f>
        <v>17758.200651583247</v>
      </c>
      <c r="G31" s="360">
        <f>'CLASS 1 LINE HAUL COMPILE EMISS'!K17</f>
        <v>9.944215995778205E-2</v>
      </c>
      <c r="H31" s="360">
        <f>'CLASS 1 LINE HAUL COMPILE EMISS'!F17</f>
        <v>2.3403951928624536</v>
      </c>
      <c r="I31" s="360">
        <f>'CLASS 1 LINE HAUL COMPILE EMISS'!G17</f>
        <v>0.54658492644535073</v>
      </c>
      <c r="J31" s="360">
        <f>'CLASS 1 LINE HAUL COMPILE EMISS'!H17</f>
        <v>5.9536368941237858E-2</v>
      </c>
      <c r="K31" s="360">
        <f>'CLASS 1 LINE HAUL COMPILE EMISS'!I17</f>
        <v>5.7750277873000737E-2</v>
      </c>
      <c r="L31" s="360">
        <f>'CLASS 1 LINE HAUL COMPILE EMISS'!J17</f>
        <v>2.9626645252791052E-2</v>
      </c>
      <c r="M31" s="360">
        <f>'CLASS 1 LINE HAUL COMPILE EMISS'!L17</f>
        <v>1.7101302751125142E-3</v>
      </c>
      <c r="N31" s="360">
        <f>'CLASS 1 LINE HAUL COMPILE EMISS'!M17</f>
        <v>209.75278671469908</v>
      </c>
      <c r="O31">
        <f t="shared" si="0"/>
        <v>2.7244427385693712E-4</v>
      </c>
      <c r="P31">
        <f t="shared" si="1"/>
        <v>6.4120416242806951E-3</v>
      </c>
      <c r="Q31">
        <f t="shared" si="2"/>
        <v>1.4974929491653444E-3</v>
      </c>
      <c r="R31">
        <f t="shared" si="3"/>
        <v>1.6311333956503524E-4</v>
      </c>
      <c r="S31">
        <f t="shared" si="4"/>
        <v>1.5821993937808421E-4</v>
      </c>
      <c r="T31">
        <f t="shared" si="5"/>
        <v>8.116889110353713E-5</v>
      </c>
      <c r="U31">
        <f t="shared" si="6"/>
        <v>4.6852884249657923E-6</v>
      </c>
      <c r="V31">
        <f t="shared" si="7"/>
        <v>0.57466516908136733</v>
      </c>
    </row>
    <row r="32" spans="1:22" x14ac:dyDescent="0.25">
      <c r="A32" s="549" t="s">
        <v>1011</v>
      </c>
      <c r="B32" s="360">
        <v>2285002007</v>
      </c>
      <c r="C32" s="360" t="s">
        <v>74</v>
      </c>
      <c r="D32" s="360" t="s">
        <v>127</v>
      </c>
      <c r="E32" s="360" t="s">
        <v>50</v>
      </c>
      <c r="F32" s="110">
        <f>'LINE HAUL CLASS 23 TOTAL BY CTY'!D17</f>
        <v>41031.346624972612</v>
      </c>
      <c r="G32" s="110">
        <f>'LINE HAUL CLASS 23 TOTAL BY CTY'!J17</f>
        <v>0.36802568635435873</v>
      </c>
      <c r="H32" s="110">
        <f>'LINE HAUL CLASS 23 TOTAL BY CTY'!E17</f>
        <v>7.6822508910981941</v>
      </c>
      <c r="I32" s="110">
        <f>'LINE HAUL CLASS 23 TOTAL BY CTY'!F17</f>
        <v>1.2013714538210634</v>
      </c>
      <c r="J32" s="110">
        <f>'LINE HAUL CLASS 23 TOTAL BY CTY'!G17</f>
        <v>0.18379458837709545</v>
      </c>
      <c r="K32" s="110">
        <f>'LINE HAUL CLASS 23 TOTAL BY CTY'!H17</f>
        <v>0.17828075072578259</v>
      </c>
      <c r="L32" s="110">
        <f>'LINE HAUL CLASS 23 TOTAL BY CTY'!I17</f>
        <v>6.5118162168610688E-2</v>
      </c>
      <c r="M32" s="110">
        <f>'LINE HAUL CLASS 23 TOTAL BY CTY'!K17</f>
        <v>3.9513546146211255E-3</v>
      </c>
      <c r="N32" s="110">
        <f>'LINE HAUL CLASS 23 TOTAL BY CTY'!L17</f>
        <v>484.64590901429267</v>
      </c>
      <c r="O32">
        <f t="shared" si="0"/>
        <v>1.0082895516557774E-3</v>
      </c>
      <c r="P32">
        <f t="shared" si="1"/>
        <v>2.1047262715337519E-2</v>
      </c>
      <c r="Q32">
        <f t="shared" si="2"/>
        <v>3.291428640605653E-3</v>
      </c>
      <c r="R32">
        <f t="shared" si="3"/>
        <v>5.0354681747149437E-4</v>
      </c>
      <c r="S32">
        <f t="shared" si="4"/>
        <v>4.8844041294734953E-4</v>
      </c>
      <c r="T32">
        <f t="shared" si="5"/>
        <v>1.7840592374961833E-4</v>
      </c>
      <c r="U32">
        <f t="shared" si="6"/>
        <v>1.0825629081153769E-5</v>
      </c>
      <c r="V32">
        <f t="shared" si="7"/>
        <v>1.3277970109980621</v>
      </c>
    </row>
    <row r="33" spans="1:31" x14ac:dyDescent="0.25">
      <c r="A33" s="549" t="s">
        <v>1011</v>
      </c>
      <c r="B33" s="360">
        <v>2285002009</v>
      </c>
      <c r="C33" s="360" t="s">
        <v>76</v>
      </c>
      <c r="D33" s="360" t="s">
        <v>127</v>
      </c>
      <c r="E33" s="360" t="s">
        <v>50</v>
      </c>
      <c r="F33" s="110">
        <f>'NJT COMMUTER EMIS CTY'!E17</f>
        <v>1278816.142878551</v>
      </c>
      <c r="G33" s="110">
        <f>'NJT COMMUTER EMIS CTY'!K17</f>
        <v>7.1610993665275959</v>
      </c>
      <c r="H33" s="110">
        <f>'NJT COMMUTER EMIS CTY'!F17</f>
        <v>165.58138838331286</v>
      </c>
      <c r="I33" s="110">
        <f>'NJT COMMUTER EMIS CTY'!G17</f>
        <v>39.361061467118944</v>
      </c>
      <c r="J33" s="110">
        <f>'NJT COMMUTER EMIS CTY'!H17</f>
        <v>4.1395347095828212</v>
      </c>
      <c r="K33" s="110">
        <f>'NJT COMMUTER EMIS CTY'!I17</f>
        <v>4.0153486682953368</v>
      </c>
      <c r="L33" s="110">
        <f>'NJT COMMUTER EMIS CTY'!J17</f>
        <v>2.1334949949012731</v>
      </c>
      <c r="M33" s="110">
        <f>'NJT COMMUTER EMIS CTY'!L17</f>
        <v>0.123151114527149</v>
      </c>
      <c r="N33" s="110">
        <f>'NJT COMMUTER EMIS CTY'!M17</f>
        <v>15104.866474217031</v>
      </c>
      <c r="O33" s="6">
        <f t="shared" si="0"/>
        <v>1.9619450319253686E-2</v>
      </c>
      <c r="P33" s="6">
        <f t="shared" si="1"/>
        <v>0.45364763940633657</v>
      </c>
      <c r="Q33" s="6">
        <f t="shared" si="2"/>
        <v>0.10783852456744916</v>
      </c>
      <c r="R33" s="6">
        <f t="shared" si="3"/>
        <v>1.1341190985158414E-2</v>
      </c>
      <c r="S33" s="6">
        <f t="shared" si="4"/>
        <v>1.1000955255603663E-2</v>
      </c>
      <c r="T33" s="6">
        <f t="shared" si="5"/>
        <v>5.8451917668528031E-3</v>
      </c>
      <c r="U33" s="6">
        <f t="shared" si="6"/>
        <v>3.3740031377301095E-4</v>
      </c>
      <c r="V33" s="6">
        <f t="shared" si="7"/>
        <v>41.383195819772688</v>
      </c>
    </row>
    <row r="34" spans="1:31" x14ac:dyDescent="0.25">
      <c r="A34" s="549" t="s">
        <v>1011</v>
      </c>
      <c r="B34" s="18">
        <v>2285002010</v>
      </c>
      <c r="C34" s="18" t="s">
        <v>78</v>
      </c>
      <c r="D34" s="360" t="s">
        <v>127</v>
      </c>
      <c r="E34" s="360" t="s">
        <v>50</v>
      </c>
      <c r="F34" s="304">
        <f>'2017 YARD EMIS CTY COMPILE 2 '!D17</f>
        <v>14864.6</v>
      </c>
      <c r="G34" s="304">
        <f>'2017 YARD EMIS CTY COMPILE 2 '!J17</f>
        <v>8.3238609581577166E-2</v>
      </c>
      <c r="H34" s="304">
        <f>'2017 YARD EMIS CTY COMPILE 2 '!E17</f>
        <v>1.9246715952633557</v>
      </c>
      <c r="I34" s="304">
        <f>'2017 YARD EMIS CTY COMPILE 2 '!F17</f>
        <v>0.45752193350260345</v>
      </c>
      <c r="J34" s="304">
        <f>'2017 YARD EMIS CTY COMPILE 2 '!G17</f>
        <v>4.8116789881583889E-2</v>
      </c>
      <c r="K34" s="304">
        <f>'2017 YARD EMIS CTY COMPILE 2 '!H17</f>
        <v>4.6673286185136373E-2</v>
      </c>
      <c r="L34" s="304">
        <f>'2017 YARD EMIS CTY COMPILE 2 '!I17</f>
        <v>2.4799147147004146E-2</v>
      </c>
      <c r="M34" s="304">
        <f>'2017 YARD EMIS CTY COMPILE 2 '!K17</f>
        <v>1.4314739981931164E-3</v>
      </c>
      <c r="N34" s="304">
        <f>'2017 YARD EMIS CTY COMPILE 2 '!L17</f>
        <v>175.57472936433666</v>
      </c>
      <c r="O34" s="6">
        <f t="shared" si="0"/>
        <v>2.2805098515500593E-4</v>
      </c>
      <c r="P34" s="6">
        <f t="shared" si="1"/>
        <v>5.2730728637352215E-3</v>
      </c>
      <c r="Q34" s="6">
        <f t="shared" si="2"/>
        <v>1.2534847493222013E-3</v>
      </c>
      <c r="R34" s="6">
        <f t="shared" si="3"/>
        <v>1.3182682159338052E-4</v>
      </c>
      <c r="S34" s="6">
        <f t="shared" si="4"/>
        <v>1.2787201694557909E-4</v>
      </c>
      <c r="T34" s="6">
        <f t="shared" si="5"/>
        <v>6.794286889590177E-5</v>
      </c>
      <c r="U34" s="6">
        <f t="shared" si="6"/>
        <v>3.9218465703920996E-6</v>
      </c>
      <c r="V34" s="6">
        <f t="shared" si="7"/>
        <v>0.48102665579270321</v>
      </c>
    </row>
    <row r="35" spans="1:31" x14ac:dyDescent="0.25">
      <c r="A35" s="549" t="s">
        <v>1011</v>
      </c>
      <c r="B35" s="360">
        <v>2285002006</v>
      </c>
      <c r="C35" s="360" t="s">
        <v>71</v>
      </c>
      <c r="D35" s="360" t="s">
        <v>129</v>
      </c>
      <c r="E35" s="360" t="s">
        <v>66</v>
      </c>
      <c r="F35" s="360">
        <f>'CLASS 1 LINE HAUL COMPILE EMISS'!E19</f>
        <v>64432.409443797631</v>
      </c>
      <c r="G35" s="360">
        <f>'CLASS 1 LINE HAUL COMPILE EMISS'!K19</f>
        <v>0.3608078370149615</v>
      </c>
      <c r="H35" s="360">
        <f>'CLASS 1 LINE HAUL COMPILE EMISS'!F19</f>
        <v>8.491699372332798</v>
      </c>
      <c r="I35" s="360">
        <f>'CLASS 1 LINE HAUL COMPILE EMISS'!G19</f>
        <v>1.9831842463946354</v>
      </c>
      <c r="J35" s="360">
        <f>'CLASS 1 LINE HAUL COMPILE EMISS'!H19</f>
        <v>0.21601691385758873</v>
      </c>
      <c r="K35" s="360">
        <f>'CLASS 1 LINE HAUL COMPILE EMISS'!I19</f>
        <v>0.20953640644186106</v>
      </c>
      <c r="L35" s="360">
        <f>'CLASS 1 LINE HAUL COMPILE EMISS'!J19</f>
        <v>0.1074949075543746</v>
      </c>
      <c r="M35" s="360">
        <f>'CLASS 1 LINE HAUL COMPILE EMISS'!L19</f>
        <v>6.2048974583728388E-3</v>
      </c>
      <c r="N35" s="360">
        <f>'CLASS 1 LINE HAUL COMPILE EMISS'!M19</f>
        <v>761.04993409758072</v>
      </c>
      <c r="O35">
        <f t="shared" si="0"/>
        <v>9.8851462195879872E-4</v>
      </c>
      <c r="P35">
        <f t="shared" si="1"/>
        <v>2.3264929787213146E-2</v>
      </c>
      <c r="Q35">
        <f t="shared" si="2"/>
        <v>5.4333814969716038E-3</v>
      </c>
      <c r="R35">
        <f t="shared" si="3"/>
        <v>5.9182716125366771E-4</v>
      </c>
      <c r="S35">
        <f t="shared" si="4"/>
        <v>5.7407234641605764E-4</v>
      </c>
      <c r="T35">
        <f t="shared" si="5"/>
        <v>2.945065960393825E-4</v>
      </c>
      <c r="U35">
        <f t="shared" si="6"/>
        <v>1.6999719064035174E-5</v>
      </c>
      <c r="V35">
        <f t="shared" si="7"/>
        <v>2.0850683125961114</v>
      </c>
    </row>
    <row r="36" spans="1:31" x14ac:dyDescent="0.25">
      <c r="A36" s="549" t="s">
        <v>1011</v>
      </c>
      <c r="B36" s="360">
        <v>2285002007</v>
      </c>
      <c r="C36" s="360" t="s">
        <v>74</v>
      </c>
      <c r="D36" s="360" t="s">
        <v>129</v>
      </c>
      <c r="E36" s="360" t="s">
        <v>66</v>
      </c>
      <c r="F36" s="110">
        <f>'LINE HAUL CLASS 23 TOTAL BY CTY'!D19</f>
        <v>60060.06</v>
      </c>
      <c r="G36" s="110">
        <f>'LINE HAUL CLASS 23 TOTAL BY CTY'!J19</f>
        <v>0.47617031075546512</v>
      </c>
      <c r="H36" s="110">
        <f>'LINE HAUL CLASS 23 TOTAL BY CTY'!E19</f>
        <v>10.216213450280515</v>
      </c>
      <c r="I36" s="110">
        <f>'LINE HAUL CLASS 23 TOTAL BY CTY'!F19</f>
        <v>1.7863550472638923</v>
      </c>
      <c r="J36" s="110">
        <f>'LINE HAUL CLASS 23 TOTAL BY CTY'!G19</f>
        <v>0.24812145974292191</v>
      </c>
      <c r="K36" s="110">
        <f>'LINE HAUL CLASS 23 TOTAL BY CTY'!H19</f>
        <v>0.24067781595063426</v>
      </c>
      <c r="L36" s="110">
        <f>'LINE HAUL CLASS 23 TOTAL BY CTY'!I19</f>
        <v>9.6826137568416099E-2</v>
      </c>
      <c r="M36" s="110">
        <f>'LINE HAUL CLASS 23 TOTAL BY CTY'!K19</f>
        <v>5.7838363776972455E-3</v>
      </c>
      <c r="N36" s="110">
        <f>'LINE HAUL CLASS 23 TOTAL BY CTY'!L19</f>
        <v>709.40548552304267</v>
      </c>
      <c r="O36">
        <f t="shared" si="0"/>
        <v>1.3045761938505894E-3</v>
      </c>
      <c r="P36">
        <f t="shared" si="1"/>
        <v>2.7989625891179492E-2</v>
      </c>
      <c r="Q36">
        <f t="shared" si="2"/>
        <v>4.8941234171613491E-3</v>
      </c>
      <c r="R36">
        <f t="shared" si="3"/>
        <v>6.797848212134847E-4</v>
      </c>
      <c r="S36">
        <f t="shared" si="4"/>
        <v>6.593912765770802E-4</v>
      </c>
      <c r="T36">
        <f t="shared" si="5"/>
        <v>2.6527708922853728E-4</v>
      </c>
      <c r="U36">
        <f t="shared" si="6"/>
        <v>1.5846127062184234E-5</v>
      </c>
      <c r="V36">
        <f t="shared" si="7"/>
        <v>1.9435766726658703</v>
      </c>
    </row>
    <row r="37" spans="1:31" ht="15.75" thickBot="1" x14ac:dyDescent="0.3">
      <c r="A37" s="549" t="s">
        <v>1011</v>
      </c>
      <c r="B37" s="183">
        <v>2285002009</v>
      </c>
      <c r="C37" s="183" t="s">
        <v>76</v>
      </c>
      <c r="D37" s="183" t="s">
        <v>129</v>
      </c>
      <c r="E37" s="183" t="s">
        <v>66</v>
      </c>
      <c r="F37" s="469">
        <f>'NJT COMMUTER EMIS CTY'!E19</f>
        <v>1261614.9975380159</v>
      </c>
      <c r="G37" s="469">
        <f>'NJT COMMUTER EMIS CTY'!K19</f>
        <v>7.0647765982488151</v>
      </c>
      <c r="H37" s="469">
        <f>'NJT COMMUTER EMIS CTY'!F19</f>
        <v>163.35418039635562</v>
      </c>
      <c r="I37" s="469">
        <f>'NJT COMMUTER EMIS CTY'!G19</f>
        <v>38.83162231136226</v>
      </c>
      <c r="J37" s="469">
        <f>'NJT COMMUTER EMIS CTY'!H19</f>
        <v>4.0838545099088908</v>
      </c>
      <c r="K37" s="469">
        <f>'NJT COMMUTER EMIS CTY'!I19</f>
        <v>3.9613388746116232</v>
      </c>
      <c r="L37" s="469">
        <f>'NJT COMMUTER EMIS CTY'!J19</f>
        <v>2.1047977050719511</v>
      </c>
      <c r="M37" s="469">
        <f>'NJT COMMUTER EMIS CTY'!L19</f>
        <v>0.12149462916635109</v>
      </c>
      <c r="N37" s="469">
        <f>'NJT COMMUTER EMIS CTY'!M19</f>
        <v>14901.693402763976</v>
      </c>
      <c r="O37" s="6">
        <f t="shared" si="0"/>
        <v>1.9355552323969356E-2</v>
      </c>
      <c r="P37" s="6">
        <f t="shared" si="1"/>
        <v>0.4475456997160428</v>
      </c>
      <c r="Q37" s="6">
        <f t="shared" si="2"/>
        <v>0.10638800633249934</v>
      </c>
      <c r="R37" s="6">
        <f t="shared" si="3"/>
        <v>1.1188642492901071E-2</v>
      </c>
      <c r="S37" s="6">
        <f t="shared" si="4"/>
        <v>1.0852983218114036E-2</v>
      </c>
      <c r="T37" s="6">
        <f t="shared" si="5"/>
        <v>5.7665690549916467E-3</v>
      </c>
      <c r="U37" s="6">
        <f t="shared" si="6"/>
        <v>3.328619977160304E-4</v>
      </c>
      <c r="V37" s="6">
        <f t="shared" si="7"/>
        <v>40.826557267846511</v>
      </c>
      <c r="W37" s="136">
        <f>SUM(F23:F37)</f>
        <v>7057951.8282848774</v>
      </c>
      <c r="X37" s="136">
        <f>SUM(H23:H37)</f>
        <v>992.80529590585297</v>
      </c>
      <c r="Y37" s="136">
        <f>SUM(I23:I37)</f>
        <v>215.17626720383407</v>
      </c>
      <c r="Z37" s="136">
        <f>SUM(J23:J37)</f>
        <v>24.531551469418275</v>
      </c>
      <c r="AA37" s="136">
        <f>SUM(K23:K37)</f>
        <v>23.795604925335724</v>
      </c>
      <c r="AB37" s="136">
        <f>SUM(L23:L37)</f>
        <v>11.663239556799516</v>
      </c>
      <c r="AC37" s="136">
        <f>SUM(G23:G37)</f>
        <v>44.15646704085345</v>
      </c>
      <c r="AD37" s="136">
        <f>SUM(M23:M37)</f>
        <v>0.67968694231189331</v>
      </c>
      <c r="AE37" s="136">
        <f>SUM(N23:N37)</f>
        <v>83365.713313351371</v>
      </c>
    </row>
    <row r="38" spans="1:31" x14ac:dyDescent="0.25">
      <c r="A38" s="549" t="s">
        <v>1011</v>
      </c>
      <c r="B38" s="461">
        <v>2285002010</v>
      </c>
      <c r="C38" s="461" t="s">
        <v>78</v>
      </c>
      <c r="D38" s="477" t="s">
        <v>129</v>
      </c>
      <c r="E38" s="477" t="s">
        <v>66</v>
      </c>
      <c r="F38" s="462">
        <f>'2017 YARD EMIS CTY COMPILE 2 '!D19</f>
        <v>0</v>
      </c>
      <c r="G38" s="462">
        <f>'2017 YARD EMIS CTY COMPILE 2 '!J19</f>
        <v>0</v>
      </c>
      <c r="H38" s="462">
        <f>'2017 YARD EMIS CTY COMPILE 2 '!E19</f>
        <v>0</v>
      </c>
      <c r="I38" s="462">
        <f>'2017 YARD EMIS CTY COMPILE 2 '!F19</f>
        <v>0</v>
      </c>
      <c r="J38" s="462">
        <f>'2017 YARD EMIS CTY COMPILE 2 '!G19</f>
        <v>0</v>
      </c>
      <c r="K38" s="462">
        <f>'2017 YARD EMIS CTY COMPILE 2 '!H19</f>
        <v>0</v>
      </c>
      <c r="L38" s="462">
        <f>'2017 YARD EMIS CTY COMPILE 2 '!I19</f>
        <v>0</v>
      </c>
      <c r="M38" s="462">
        <f>'2017 YARD EMIS CTY COMPILE 2 '!K19</f>
        <v>0</v>
      </c>
      <c r="N38" s="462">
        <f>'2017 YARD EMIS CTY COMPILE 2 '!L19</f>
        <v>0</v>
      </c>
      <c r="O38" s="477">
        <f t="shared" si="0"/>
        <v>0</v>
      </c>
      <c r="P38" s="477">
        <f t="shared" si="1"/>
        <v>0</v>
      </c>
      <c r="Q38" s="477">
        <f t="shared" si="2"/>
        <v>0</v>
      </c>
      <c r="R38" s="477">
        <f t="shared" si="3"/>
        <v>0</v>
      </c>
      <c r="S38" s="477">
        <f t="shared" si="4"/>
        <v>0</v>
      </c>
      <c r="T38" s="477">
        <f t="shared" si="5"/>
        <v>0</v>
      </c>
      <c r="U38" s="477">
        <f t="shared" si="6"/>
        <v>0</v>
      </c>
      <c r="V38" s="477">
        <f t="shared" si="7"/>
        <v>0</v>
      </c>
      <c r="W38" s="10">
        <f>'LINE HAUL CLASS 23 TOTAL BY CTY'!D25</f>
        <v>1618218.6378398326</v>
      </c>
      <c r="X38" s="10">
        <f>'LINE HAUL CLASS 23 TOTAL BY CTY'!E25</f>
        <v>411.80855046862251</v>
      </c>
      <c r="Y38" s="10">
        <f>'LINE HAUL CLASS 23 TOTAL BY CTY'!F25</f>
        <v>44.435760772214806</v>
      </c>
      <c r="Z38" s="10">
        <f>'LINE HAUL CLASS 23 TOTAL BY CTY'!G25</f>
        <v>9.4606200108266414</v>
      </c>
      <c r="AA38" s="10">
        <f>'LINE HAUL CLASS 23 TOTAL BY CTY'!H25</f>
        <v>9.1768014105018416</v>
      </c>
      <c r="AB38" s="10">
        <f>'LINE HAUL CLASS 23 TOTAL BY CTY'!I25</f>
        <v>2.4085598728415047</v>
      </c>
      <c r="AC38" s="10">
        <f>'LINE HAUL CLASS 23 TOTAL BY CTY'!J25</f>
        <v>21.129505183345852</v>
      </c>
      <c r="AD38" s="10">
        <f>'LINE HAUL CLASS 23 TOTAL BY CTY'!K25</f>
        <v>0.15583587203552091</v>
      </c>
      <c r="AE38" s="10">
        <f>'LINE HAUL CLASS 23 TOTAL BY CTY'!L25</f>
        <v>19113.753440459488</v>
      </c>
    </row>
    <row r="39" spans="1:31" x14ac:dyDescent="0.25">
      <c r="A39" s="549" t="s">
        <v>1011</v>
      </c>
      <c r="B39" s="360">
        <v>2285002006</v>
      </c>
      <c r="C39" s="360" t="s">
        <v>71</v>
      </c>
      <c r="D39" s="360" t="s">
        <v>131</v>
      </c>
      <c r="E39" s="360" t="s">
        <v>47</v>
      </c>
      <c r="F39" s="360">
        <f>'CLASS 1 LINE HAUL COMPILE EMISS'!E21</f>
        <v>983907.41844306001</v>
      </c>
      <c r="G39" s="360">
        <f>'CLASS 1 LINE HAUL COMPILE EMISS'!K21</f>
        <v>5.509673012943459</v>
      </c>
      <c r="H39" s="360">
        <f>'CLASS 1 LINE HAUL COMPILE EMISS'!F21</f>
        <v>129.67148178610887</v>
      </c>
      <c r="I39" s="360">
        <f>'CLASS 1 LINE HAUL COMPILE EMISS'!G21</f>
        <v>30.28397834274881</v>
      </c>
      <c r="J39" s="360">
        <f>'CLASS 1 LINE HAUL COMPILE EMISS'!H21</f>
        <v>3.298660501576455</v>
      </c>
      <c r="K39" s="360">
        <f>'CLASS 1 LINE HAUL COMPILE EMISS'!I21</f>
        <v>3.1997006865291611</v>
      </c>
      <c r="L39" s="360">
        <f>'CLASS 1 LINE HAUL COMPILE EMISS'!J21</f>
        <v>1.6414881563579526</v>
      </c>
      <c r="M39" s="360">
        <f>'CLASS 1 LINE HAUL COMPILE EMISS'!L21</f>
        <v>9.4751146087385774E-2</v>
      </c>
      <c r="N39" s="360">
        <f>'CLASS 1 LINE HAUL COMPILE EMISS'!M21</f>
        <v>11621.522187795392</v>
      </c>
      <c r="O39">
        <f t="shared" si="0"/>
        <v>1.5094994556009477E-2</v>
      </c>
      <c r="P39">
        <f t="shared" si="1"/>
        <v>0.35526433366057225</v>
      </c>
      <c r="Q39">
        <f t="shared" si="2"/>
        <v>8.2969803678763859E-2</v>
      </c>
      <c r="R39">
        <f t="shared" si="3"/>
        <v>9.0374260317163148E-3</v>
      </c>
      <c r="S39">
        <f t="shared" si="4"/>
        <v>8.7663032507648252E-3</v>
      </c>
      <c r="T39">
        <f t="shared" si="5"/>
        <v>4.4972278256382265E-3</v>
      </c>
      <c r="U39">
        <f t="shared" si="6"/>
        <v>2.5959218106133086E-4</v>
      </c>
      <c r="V39">
        <f t="shared" si="7"/>
        <v>31.839786815877787</v>
      </c>
    </row>
    <row r="40" spans="1:31" x14ac:dyDescent="0.25">
      <c r="A40" s="549" t="s">
        <v>1011</v>
      </c>
      <c r="B40" s="360">
        <v>2285002007</v>
      </c>
      <c r="C40" s="360" t="s">
        <v>74</v>
      </c>
      <c r="D40" s="360" t="s">
        <v>131</v>
      </c>
      <c r="E40" s="360" t="s">
        <v>47</v>
      </c>
      <c r="F40" s="110">
        <f>'LINE HAUL CLASS 23 TOTAL BY CTY'!D21</f>
        <v>0</v>
      </c>
      <c r="G40" s="110">
        <f>'LINE HAUL CLASS 23 TOTAL BY CTY'!J21</f>
        <v>0</v>
      </c>
      <c r="H40" s="110">
        <f>'LINE HAUL CLASS 23 TOTAL BY CTY'!E21</f>
        <v>0</v>
      </c>
      <c r="I40" s="110">
        <f>'LINE HAUL CLASS 23 TOTAL BY CTY'!F21</f>
        <v>0</v>
      </c>
      <c r="J40" s="110">
        <f>'LINE HAUL CLASS 23 TOTAL BY CTY'!G21</f>
        <v>0</v>
      </c>
      <c r="K40" s="110">
        <f>'LINE HAUL CLASS 23 TOTAL BY CTY'!H21</f>
        <v>0</v>
      </c>
      <c r="L40" s="110">
        <f>'LINE HAUL CLASS 23 TOTAL BY CTY'!I21</f>
        <v>0</v>
      </c>
      <c r="M40" s="110">
        <f>'LINE HAUL CLASS 23 TOTAL BY CTY'!K21</f>
        <v>0</v>
      </c>
      <c r="N40" s="110">
        <f>'LINE HAUL CLASS 23 TOTAL BY CTY'!L21</f>
        <v>0</v>
      </c>
      <c r="O40">
        <f t="shared" si="0"/>
        <v>0</v>
      </c>
      <c r="P40">
        <f t="shared" si="1"/>
        <v>0</v>
      </c>
      <c r="Q40">
        <f t="shared" si="2"/>
        <v>0</v>
      </c>
      <c r="R40">
        <f t="shared" si="3"/>
        <v>0</v>
      </c>
      <c r="S40">
        <f t="shared" si="4"/>
        <v>0</v>
      </c>
      <c r="T40">
        <f t="shared" si="5"/>
        <v>0</v>
      </c>
      <c r="U40">
        <f t="shared" si="6"/>
        <v>0</v>
      </c>
      <c r="V40">
        <f t="shared" si="7"/>
        <v>0</v>
      </c>
    </row>
    <row r="41" spans="1:31" x14ac:dyDescent="0.25">
      <c r="A41" s="549" t="s">
        <v>1011</v>
      </c>
      <c r="B41" s="360">
        <v>2285002009</v>
      </c>
      <c r="C41" s="360" t="s">
        <v>76</v>
      </c>
      <c r="D41" s="360" t="s">
        <v>131</v>
      </c>
      <c r="E41" s="360" t="s">
        <v>47</v>
      </c>
      <c r="F41" s="110">
        <f>'NJT COMMUTER EMIS CTY'!E21</f>
        <v>965656.64002383419</v>
      </c>
      <c r="G41" s="110">
        <f>'NJT COMMUTER EMIS CTY'!K21</f>
        <v>5.4074725218843112</v>
      </c>
      <c r="H41" s="110">
        <f>'NJT COMMUTER EMIS CTY'!F21</f>
        <v>125.0334288061115</v>
      </c>
      <c r="I41" s="110">
        <f>'NJT COMMUTER EMIS CTY'!G21</f>
        <v>29.722232219052795</v>
      </c>
      <c r="J41" s="110">
        <f>'NJT COMMUTER EMIS CTY'!H21</f>
        <v>3.1258357201527871</v>
      </c>
      <c r="K41" s="110">
        <f>'NJT COMMUTER EMIS CTY'!I21</f>
        <v>3.0320606485482036</v>
      </c>
      <c r="L41" s="110">
        <f>'NJT COMMUTER EMIS CTY'!J21</f>
        <v>1.6110397258878595</v>
      </c>
      <c r="M41" s="110">
        <f>'NJT COMMUTER EMIS CTY'!L21</f>
        <v>9.2993580141857088E-2</v>
      </c>
      <c r="N41" s="110">
        <f>'NJT COMMUTER EMIS CTY'!M21</f>
        <v>11405.951268857511</v>
      </c>
      <c r="O41" s="6">
        <f t="shared" si="0"/>
        <v>1.4814993210641949E-2</v>
      </c>
      <c r="P41" s="6">
        <f t="shared" si="1"/>
        <v>0.342557339194826</v>
      </c>
      <c r="Q41" s="6">
        <f t="shared" si="2"/>
        <v>8.1430773202884374E-2</v>
      </c>
      <c r="R41" s="6">
        <f t="shared" si="3"/>
        <v>8.5639334798706494E-3</v>
      </c>
      <c r="S41" s="6">
        <f t="shared" si="4"/>
        <v>8.3070154754745305E-3</v>
      </c>
      <c r="T41" s="6">
        <f t="shared" si="5"/>
        <v>4.4138074681859167E-3</v>
      </c>
      <c r="U41" s="6">
        <f t="shared" si="6"/>
        <v>2.5477693189549888E-4</v>
      </c>
      <c r="V41" s="6">
        <f t="shared" si="7"/>
        <v>31.249181558513726</v>
      </c>
    </row>
    <row r="42" spans="1:31" x14ac:dyDescent="0.25">
      <c r="A42" s="549" t="s">
        <v>1011</v>
      </c>
      <c r="B42" s="18">
        <v>2285002010</v>
      </c>
      <c r="C42" s="18" t="s">
        <v>78</v>
      </c>
      <c r="D42" s="360" t="s">
        <v>131</v>
      </c>
      <c r="E42" s="360" t="s">
        <v>47</v>
      </c>
      <c r="F42" s="304">
        <f>'2017 YARD EMIS CTY COMPILE 2 '!D21</f>
        <v>62151</v>
      </c>
      <c r="G42" s="304">
        <f>'2017 YARD EMIS CTY COMPILE 2 '!J21</f>
        <v>0.87085663978099337</v>
      </c>
      <c r="H42" s="304">
        <f>'2017 YARD EMIS CTY COMPILE 2 '!E21</f>
        <v>16.788684371409779</v>
      </c>
      <c r="I42" s="304">
        <f>'2017 YARD EMIS CTY COMPILE 2 '!F21</f>
        <v>1.6802341112053969</v>
      </c>
      <c r="J42" s="304">
        <f>'2017 YARD EMIS CTY COMPILE 2 '!G21</f>
        <v>0.38300339911220344</v>
      </c>
      <c r="K42" s="304">
        <f>'2017 YARD EMIS CTY COMPILE 2 '!H21</f>
        <v>0.37151329713883735</v>
      </c>
      <c r="L42" s="304">
        <f>'2017 YARD EMIS CTY COMPILE 2 '!I21</f>
        <v>9.1074044573561982E-2</v>
      </c>
      <c r="M42" s="304">
        <f>'2017 YARD EMIS CTY COMPILE 2 '!K21</f>
        <v>5.9851957309110483E-3</v>
      </c>
      <c r="N42" s="304">
        <f>'2017 YARD EMIS CTY COMPILE 2 '!L21</f>
        <v>734.10283524096758</v>
      </c>
      <c r="O42" s="6">
        <f t="shared" si="0"/>
        <v>2.3859086021397078E-3</v>
      </c>
      <c r="P42" s="6">
        <f t="shared" si="1"/>
        <v>4.5996395538108983E-2</v>
      </c>
      <c r="Q42" s="6">
        <f t="shared" si="2"/>
        <v>4.6033811265901283E-3</v>
      </c>
      <c r="R42" s="6">
        <f t="shared" si="3"/>
        <v>1.0493243811293244E-3</v>
      </c>
      <c r="S42" s="6">
        <f t="shared" si="4"/>
        <v>1.0178446496954447E-3</v>
      </c>
      <c r="T42" s="6">
        <f t="shared" si="5"/>
        <v>2.4951793033852599E-4</v>
      </c>
      <c r="U42" s="6">
        <f t="shared" si="6"/>
        <v>1.6397796523043966E-5</v>
      </c>
      <c r="V42" s="6">
        <f t="shared" si="7"/>
        <v>2.0112406444958015</v>
      </c>
    </row>
    <row r="43" spans="1:31" x14ac:dyDescent="0.25">
      <c r="A43" s="549" t="s">
        <v>1011</v>
      </c>
      <c r="B43" s="360">
        <v>2285002006</v>
      </c>
      <c r="C43" s="360" t="s">
        <v>71</v>
      </c>
      <c r="D43" s="360" t="s">
        <v>132</v>
      </c>
      <c r="E43" s="360" t="s">
        <v>67</v>
      </c>
      <c r="F43" s="360">
        <f>'CLASS 1 LINE HAUL COMPILE EMISS'!E22</f>
        <v>0</v>
      </c>
      <c r="G43" s="360">
        <f>'CLASS 1 LINE HAUL COMPILE EMISS'!K22</f>
        <v>0</v>
      </c>
      <c r="H43" s="360">
        <f>'CLASS 1 LINE HAUL COMPILE EMISS'!F22</f>
        <v>0</v>
      </c>
      <c r="I43" s="360">
        <f>'CLASS 1 LINE HAUL COMPILE EMISS'!G22</f>
        <v>0</v>
      </c>
      <c r="J43" s="360">
        <f>'CLASS 1 LINE HAUL COMPILE EMISS'!H22</f>
        <v>0</v>
      </c>
      <c r="K43" s="360">
        <f>'CLASS 1 LINE HAUL COMPILE EMISS'!I22</f>
        <v>0</v>
      </c>
      <c r="L43" s="360">
        <f>'CLASS 1 LINE HAUL COMPILE EMISS'!J22</f>
        <v>0</v>
      </c>
      <c r="M43" s="360">
        <f>'CLASS 1 LINE HAUL COMPILE EMISS'!L22</f>
        <v>0</v>
      </c>
      <c r="N43" s="360">
        <f>'CLASS 1 LINE HAUL COMPILE EMISS'!M22</f>
        <v>0</v>
      </c>
      <c r="O43">
        <f t="shared" si="0"/>
        <v>0</v>
      </c>
      <c r="P43">
        <f t="shared" si="1"/>
        <v>0</v>
      </c>
      <c r="Q43">
        <f t="shared" si="2"/>
        <v>0</v>
      </c>
      <c r="R43">
        <f t="shared" si="3"/>
        <v>0</v>
      </c>
      <c r="S43">
        <f t="shared" si="4"/>
        <v>0</v>
      </c>
      <c r="T43">
        <f t="shared" si="5"/>
        <v>0</v>
      </c>
      <c r="U43">
        <f t="shared" si="6"/>
        <v>0</v>
      </c>
      <c r="V43">
        <f t="shared" si="7"/>
        <v>0</v>
      </c>
    </row>
    <row r="44" spans="1:31" x14ac:dyDescent="0.25">
      <c r="A44" s="549" t="s">
        <v>1011</v>
      </c>
      <c r="B44" s="360">
        <v>2285002007</v>
      </c>
      <c r="C44" s="360" t="s">
        <v>74</v>
      </c>
      <c r="D44" s="360" t="s">
        <v>132</v>
      </c>
      <c r="E44" s="360" t="s">
        <v>67</v>
      </c>
      <c r="F44" s="110">
        <f>'LINE HAUL CLASS 23 TOTAL BY CTY'!D22</f>
        <v>110097</v>
      </c>
      <c r="G44" s="110">
        <f>'LINE HAUL CLASS 23 TOTAL BY CTY'!J22</f>
        <v>0.71181060718806177</v>
      </c>
      <c r="H44" s="110">
        <f>'LINE HAUL CLASS 23 TOTAL BY CTY'!E22</f>
        <v>16.077665739317414</v>
      </c>
      <c r="I44" s="110">
        <f>'LINE HAUL CLASS 23 TOTAL BY CTY'!F22</f>
        <v>3.3462905088753048</v>
      </c>
      <c r="J44" s="110">
        <f>'LINE HAUL CLASS 23 TOTAL BY CTY'!G22</f>
        <v>0.40097687137634064</v>
      </c>
      <c r="K44" s="110">
        <f>'LINE HAUL CLASS 23 TOTAL BY CTY'!H22</f>
        <v>0.38894756523505036</v>
      </c>
      <c r="L44" s="110">
        <f>'LINE HAUL CLASS 23 TOTAL BY CTY'!I22</f>
        <v>0.18137961188203855</v>
      </c>
      <c r="M44" s="110">
        <f>'LINE HAUL CLASS 23 TOTAL BY CTY'!K22</f>
        <v>1.0602437521296741E-2</v>
      </c>
      <c r="N44" s="110">
        <f>'LINE HAUL CLASS 23 TOTAL BY CTY'!L22</f>
        <v>1300.4218733652685</v>
      </c>
      <c r="O44">
        <f t="shared" si="0"/>
        <v>1.9501660470905803E-3</v>
      </c>
      <c r="P44">
        <f t="shared" si="1"/>
        <v>4.4048399285801135E-2</v>
      </c>
      <c r="Q44">
        <f t="shared" si="2"/>
        <v>9.1679192023980949E-3</v>
      </c>
      <c r="R44">
        <f t="shared" si="3"/>
        <v>1.0985667708940839E-3</v>
      </c>
      <c r="S44">
        <f t="shared" si="4"/>
        <v>1.0656097677672614E-3</v>
      </c>
      <c r="T44">
        <f t="shared" si="5"/>
        <v>4.9693044351243438E-4</v>
      </c>
      <c r="U44">
        <f t="shared" si="6"/>
        <v>2.9047774030949976E-5</v>
      </c>
      <c r="V44">
        <f t="shared" si="7"/>
        <v>3.5627996530555301</v>
      </c>
    </row>
    <row r="45" spans="1:31" x14ac:dyDescent="0.25">
      <c r="A45" s="549" t="s">
        <v>1011</v>
      </c>
      <c r="B45" s="360">
        <v>2285002009</v>
      </c>
      <c r="C45" s="360" t="s">
        <v>76</v>
      </c>
      <c r="D45" s="360" t="s">
        <v>132</v>
      </c>
      <c r="E45" s="360" t="s">
        <v>67</v>
      </c>
      <c r="F45" s="110">
        <f>'NJT COMMUTER EMIS CTY'!E22</f>
        <v>0</v>
      </c>
      <c r="G45" s="110">
        <f>'NJT COMMUTER EMIS CTY'!K22</f>
        <v>0</v>
      </c>
      <c r="H45" s="110">
        <f>'NJT COMMUTER EMIS CTY'!F22</f>
        <v>0</v>
      </c>
      <c r="I45" s="110">
        <f>'NJT COMMUTER EMIS CTY'!G22</f>
        <v>0</v>
      </c>
      <c r="J45" s="110">
        <f>'NJT COMMUTER EMIS CTY'!H22</f>
        <v>0</v>
      </c>
      <c r="K45" s="110">
        <f>'NJT COMMUTER EMIS CTY'!I22</f>
        <v>0</v>
      </c>
      <c r="L45" s="110">
        <f>'NJT COMMUTER EMIS CTY'!J22</f>
        <v>0</v>
      </c>
      <c r="M45" s="110">
        <f>'NJT COMMUTER EMIS CTY'!L22</f>
        <v>0</v>
      </c>
      <c r="N45" s="110">
        <f>'NJT COMMUTER EMIS CTY'!M22</f>
        <v>0</v>
      </c>
      <c r="O45" s="6">
        <f t="shared" si="0"/>
        <v>0</v>
      </c>
      <c r="P45" s="6">
        <f t="shared" si="1"/>
        <v>0</v>
      </c>
      <c r="Q45" s="6">
        <f t="shared" si="2"/>
        <v>0</v>
      </c>
      <c r="R45" s="6">
        <f t="shared" si="3"/>
        <v>0</v>
      </c>
      <c r="S45" s="6">
        <f t="shared" si="4"/>
        <v>0</v>
      </c>
      <c r="T45" s="6">
        <f t="shared" si="5"/>
        <v>0</v>
      </c>
      <c r="U45" s="6">
        <f t="shared" si="6"/>
        <v>0</v>
      </c>
      <c r="V45" s="6">
        <f t="shared" si="7"/>
        <v>0</v>
      </c>
    </row>
    <row r="46" spans="1:31" x14ac:dyDescent="0.25">
      <c r="A46" s="549" t="s">
        <v>1011</v>
      </c>
      <c r="B46" s="18">
        <v>2285002010</v>
      </c>
      <c r="C46" s="18" t="s">
        <v>78</v>
      </c>
      <c r="D46" s="360" t="s">
        <v>132</v>
      </c>
      <c r="E46" s="360" t="s">
        <v>67</v>
      </c>
      <c r="F46" s="304">
        <f>'2017 YARD EMIS CTY COMPILE 2 '!D22</f>
        <v>0</v>
      </c>
      <c r="G46" s="304">
        <f>'2017 YARD EMIS CTY COMPILE 2 '!J22</f>
        <v>0</v>
      </c>
      <c r="H46" s="304">
        <f>'2017 YARD EMIS CTY COMPILE 2 '!E22</f>
        <v>0</v>
      </c>
      <c r="I46" s="304">
        <f>'2017 YARD EMIS CTY COMPILE 2 '!F22</f>
        <v>0</v>
      </c>
      <c r="J46" s="304">
        <f>'2017 YARD EMIS CTY COMPILE 2 '!G22</f>
        <v>0</v>
      </c>
      <c r="K46" s="304">
        <f>'2017 YARD EMIS CTY COMPILE 2 '!H22</f>
        <v>0</v>
      </c>
      <c r="L46" s="304">
        <f>'2017 YARD EMIS CTY COMPILE 2 '!I22</f>
        <v>0</v>
      </c>
      <c r="M46" s="304">
        <f>'2017 YARD EMIS CTY COMPILE 2 '!K22</f>
        <v>0</v>
      </c>
      <c r="N46" s="304">
        <f>'2017 YARD EMIS CTY COMPILE 2 '!L22</f>
        <v>0</v>
      </c>
      <c r="O46" s="6">
        <f t="shared" si="0"/>
        <v>0</v>
      </c>
      <c r="P46" s="6">
        <f t="shared" si="1"/>
        <v>0</v>
      </c>
      <c r="Q46" s="6">
        <f t="shared" si="2"/>
        <v>0</v>
      </c>
      <c r="R46" s="6">
        <f t="shared" si="3"/>
        <v>0</v>
      </c>
      <c r="S46" s="6">
        <f t="shared" si="4"/>
        <v>0</v>
      </c>
      <c r="T46" s="6">
        <f t="shared" si="5"/>
        <v>0</v>
      </c>
      <c r="U46" s="6">
        <f t="shared" si="6"/>
        <v>0</v>
      </c>
      <c r="V46" s="6">
        <f t="shared" si="7"/>
        <v>0</v>
      </c>
    </row>
    <row r="47" spans="1:31" x14ac:dyDescent="0.25">
      <c r="A47" s="549" t="s">
        <v>1011</v>
      </c>
      <c r="B47" s="360">
        <v>2285002006</v>
      </c>
      <c r="C47" s="360" t="s">
        <v>71</v>
      </c>
      <c r="D47" s="360" t="s">
        <v>117</v>
      </c>
      <c r="E47" s="360" t="s">
        <v>48</v>
      </c>
      <c r="F47" s="360">
        <f>'CLASS 1 LINE HAUL COMPILE EMISS'!E23</f>
        <v>289405.23921688902</v>
      </c>
      <c r="G47" s="360">
        <f>'CLASS 1 LINE HAUL COMPILE EMISS'!K23</f>
        <v>1.6206080027742131</v>
      </c>
      <c r="H47" s="360">
        <f>'CLASS 1 LINE HAUL COMPILE EMISS'!F23</f>
        <v>38.141399792778458</v>
      </c>
      <c r="I47" s="360">
        <f>'CLASS 1 LINE HAUL COMPILE EMISS'!G23</f>
        <v>8.9076897200257346</v>
      </c>
      <c r="J47" s="360">
        <f>'CLASS 1 LINE HAUL COMPILE EMISS'!H23</f>
        <v>0.97026367893910137</v>
      </c>
      <c r="K47" s="360">
        <f>'CLASS 1 LINE HAUL COMPILE EMISS'!I23</f>
        <v>0.94115576857092809</v>
      </c>
      <c r="L47" s="360">
        <f>'CLASS 1 LINE HAUL COMPILE EMISS'!J23</f>
        <v>0.48282517608637743</v>
      </c>
      <c r="M47" s="360">
        <f>'CLASS 1 LINE HAUL COMPILE EMISS'!L23</f>
        <v>2.786997799334226E-2</v>
      </c>
      <c r="N47" s="360">
        <f>'CLASS 1 LINE HAUL COMPILE EMISS'!M23</f>
        <v>3418.3393130071718</v>
      </c>
      <c r="O47">
        <f t="shared" si="0"/>
        <v>4.4400219254088031E-3</v>
      </c>
      <c r="P47">
        <f t="shared" si="1"/>
        <v>0.10449698573363961</v>
      </c>
      <c r="Q47">
        <f t="shared" si="2"/>
        <v>2.4404629369933518E-2</v>
      </c>
      <c r="R47">
        <f t="shared" si="3"/>
        <v>2.6582566546276749E-3</v>
      </c>
      <c r="S47">
        <f t="shared" si="4"/>
        <v>2.5785089549888443E-3</v>
      </c>
      <c r="T47">
        <f t="shared" si="5"/>
        <v>1.3228087016065135E-3</v>
      </c>
      <c r="U47">
        <f t="shared" si="6"/>
        <v>7.6356104091348658E-5</v>
      </c>
      <c r="V47">
        <f t="shared" si="7"/>
        <v>9.3653131863210177</v>
      </c>
    </row>
    <row r="48" spans="1:31" x14ac:dyDescent="0.25">
      <c r="A48" s="549" t="s">
        <v>1011</v>
      </c>
      <c r="B48" s="360">
        <v>2285002007</v>
      </c>
      <c r="C48" s="360" t="s">
        <v>74</v>
      </c>
      <c r="D48" s="360" t="s">
        <v>117</v>
      </c>
      <c r="E48" s="360" t="s">
        <v>48</v>
      </c>
      <c r="F48" s="110">
        <f>'LINE HAUL CLASS 23 TOTAL BY CTY'!D23</f>
        <v>166546.11908308274</v>
      </c>
      <c r="G48" s="110">
        <f>'LINE HAUL CLASS 23 TOTAL BY CTY'!J23</f>
        <v>2.3721062470143233</v>
      </c>
      <c r="H48" s="110">
        <f>'LINE HAUL CLASS 23 TOTAL BY CTY'!E23</f>
        <v>45.631868291847837</v>
      </c>
      <c r="I48" s="110">
        <f>'LINE HAUL CLASS 23 TOTAL BY CTY'!F23</f>
        <v>4.48540085960712</v>
      </c>
      <c r="J48" s="110">
        <f>'LINE HAUL CLASS 23 TOTAL BY CTY'!G23</f>
        <v>1.0397134547509639</v>
      </c>
      <c r="K48" s="110">
        <f>'LINE HAUL CLASS 23 TOTAL BY CTY'!H23</f>
        <v>1.008522051108435</v>
      </c>
      <c r="L48" s="110">
        <f>'LINE HAUL CLASS 23 TOTAL BY CTY'!I23</f>
        <v>0.24312302380594589</v>
      </c>
      <c r="M48" s="110">
        <f>'LINE HAUL CLASS 23 TOTAL BY CTY'!K23</f>
        <v>1.6038537126287108E-2</v>
      </c>
      <c r="N48" s="110">
        <f>'LINE HAUL CLASS 23 TOTAL BY CTY'!L23</f>
        <v>1967.1763642945546</v>
      </c>
      <c r="O48">
        <f t="shared" si="0"/>
        <v>6.4989212246967763E-3</v>
      </c>
      <c r="P48">
        <f t="shared" si="1"/>
        <v>0.12501881723793928</v>
      </c>
      <c r="Q48">
        <f t="shared" si="2"/>
        <v>1.228876947837567E-2</v>
      </c>
      <c r="R48">
        <f t="shared" si="3"/>
        <v>2.8485300130163395E-3</v>
      </c>
      <c r="S48">
        <f t="shared" si="4"/>
        <v>2.7630741126258491E-3</v>
      </c>
      <c r="T48">
        <f t="shared" si="5"/>
        <v>6.6609047618067371E-4</v>
      </c>
      <c r="U48">
        <f t="shared" si="6"/>
        <v>4.3941197606266052E-5</v>
      </c>
      <c r="V48">
        <f t="shared" si="7"/>
        <v>5.3895242857385055</v>
      </c>
    </row>
    <row r="49" spans="1:31" x14ac:dyDescent="0.25">
      <c r="A49" s="549" t="s">
        <v>1011</v>
      </c>
      <c r="B49" s="360">
        <v>2285002009</v>
      </c>
      <c r="C49" s="360" t="s">
        <v>76</v>
      </c>
      <c r="D49" s="360" t="s">
        <v>117</v>
      </c>
      <c r="E49" s="360" t="s">
        <v>48</v>
      </c>
      <c r="F49" s="110">
        <f>'NJT COMMUTER EMIS CTY'!E23</f>
        <v>1448566.7864631081</v>
      </c>
      <c r="G49" s="110">
        <f>'NJT COMMUTER EMIS CTY'!K23</f>
        <v>8.1116669934772894</v>
      </c>
      <c r="H49" s="110">
        <f>'NJT COMMUTER EMIS CTY'!F23</f>
        <v>187.56073811252662</v>
      </c>
      <c r="I49" s="110">
        <f>'NJT COMMUTER EMIS CTY'!G23</f>
        <v>44.585866888463478</v>
      </c>
      <c r="J49" s="110">
        <f>'NJT COMMUTER EMIS CTY'!H23</f>
        <v>4.6890184528131655</v>
      </c>
      <c r="K49" s="110">
        <f>'NJT COMMUTER EMIS CTY'!I23</f>
        <v>4.5483478992287694</v>
      </c>
      <c r="L49" s="110">
        <f>'NJT COMMUTER EMIS CTY'!J23</f>
        <v>2.4166961028054272</v>
      </c>
      <c r="M49" s="110">
        <f>'NJT COMMUTER EMIS CTY'!L23</f>
        <v>0.13949825016940245</v>
      </c>
      <c r="N49" s="110">
        <f>'NJT COMMUTER EMIS CTY'!M23</f>
        <v>17109.893404425755</v>
      </c>
      <c r="O49" s="6">
        <f t="shared" si="0"/>
        <v>2.2223745187609011E-2</v>
      </c>
      <c r="P49" s="6">
        <f t="shared" si="1"/>
        <v>0.51386503592473043</v>
      </c>
      <c r="Q49" s="6">
        <f t="shared" si="2"/>
        <v>0.1221530599683931</v>
      </c>
      <c r="R49" s="6">
        <f t="shared" si="3"/>
        <v>1.2846625898118262E-2</v>
      </c>
      <c r="S49" s="6">
        <f t="shared" si="4"/>
        <v>1.2461227121174711E-2</v>
      </c>
      <c r="T49" s="6">
        <f t="shared" si="5"/>
        <v>6.6210852131655543E-3</v>
      </c>
      <c r="U49" s="6">
        <f t="shared" si="6"/>
        <v>3.8218698676548618E-4</v>
      </c>
      <c r="V49" s="6">
        <f t="shared" si="7"/>
        <v>46.876420286097961</v>
      </c>
    </row>
    <row r="50" spans="1:31" x14ac:dyDescent="0.25">
      <c r="A50" s="549" t="s">
        <v>1011</v>
      </c>
      <c r="B50" s="18">
        <v>2285002010</v>
      </c>
      <c r="C50" s="18" t="s">
        <v>78</v>
      </c>
      <c r="D50" s="360" t="s">
        <v>117</v>
      </c>
      <c r="E50" s="360" t="s">
        <v>48</v>
      </c>
      <c r="F50" s="304">
        <f>'2017 YARD EMIS CTY COMPILE 2 '!D23</f>
        <v>214207.49729596908</v>
      </c>
      <c r="G50" s="304">
        <f>'2017 YARD EMIS CTY COMPILE 2 '!J23</f>
        <v>4.8809075162351192</v>
      </c>
      <c r="H50" s="304">
        <f>'2017 YARD EMIS CTY COMPILE 2 '!E23</f>
        <v>52.142409969714883</v>
      </c>
      <c r="I50" s="304">
        <f>'2017 YARD EMIS CTY COMPILE 2 '!F23</f>
        <v>8.6939796950620636</v>
      </c>
      <c r="J50" s="304">
        <f>'2017 YARD EMIS CTY COMPILE 2 '!G23</f>
        <v>2.0882913037177406</v>
      </c>
      <c r="K50" s="304">
        <f>'2017 YARD EMIS CTY COMPILE 2 '!H23</f>
        <v>1.9329332420185328</v>
      </c>
      <c r="L50" s="304">
        <f>'2017 YARD EMIS CTY COMPILE 2 '!I23</f>
        <v>0.29347362299453961</v>
      </c>
      <c r="M50" s="304">
        <f>'2017 YARD EMIS CTY COMPILE 2 '!K23</f>
        <v>4.3335394103231999E-3</v>
      </c>
      <c r="N50" s="304">
        <f>'2017 YARD EMIS CTY COMPILE 2 '!L23</f>
        <v>20777.668435724343</v>
      </c>
      <c r="O50" s="6">
        <f t="shared" si="0"/>
        <v>1.3372349359548272E-2</v>
      </c>
      <c r="P50" s="6">
        <f t="shared" si="1"/>
        <v>0.14285591772524625</v>
      </c>
      <c r="Q50" s="6">
        <f t="shared" si="2"/>
        <v>2.3819122452224832E-2</v>
      </c>
      <c r="R50" s="6">
        <f t="shared" si="3"/>
        <v>5.7213460375828513E-3</v>
      </c>
      <c r="S50" s="6">
        <f t="shared" si="4"/>
        <v>5.2957075123795418E-3</v>
      </c>
      <c r="T50" s="6">
        <f t="shared" si="5"/>
        <v>8.0403732327271129E-4</v>
      </c>
      <c r="U50" s="6">
        <f t="shared" si="6"/>
        <v>1.1872710713214247E-5</v>
      </c>
      <c r="V50" s="6">
        <f t="shared" si="7"/>
        <v>56.925119001984498</v>
      </c>
    </row>
    <row r="51" spans="1:31" x14ac:dyDescent="0.25">
      <c r="A51" s="549" t="s">
        <v>1011</v>
      </c>
      <c r="B51" s="360">
        <v>2285002006</v>
      </c>
      <c r="C51" s="360" t="s">
        <v>71</v>
      </c>
      <c r="D51" s="360" t="s">
        <v>133</v>
      </c>
      <c r="E51" s="360" t="s">
        <v>25</v>
      </c>
      <c r="F51" s="360">
        <f>'CLASS 1 LINE HAUL COMPILE EMISS'!E24</f>
        <v>182087.03676962649</v>
      </c>
      <c r="G51" s="360">
        <f>'CLASS 1 LINE HAUL COMPILE EMISS'!K24</f>
        <v>1.0196488141983793</v>
      </c>
      <c r="H51" s="360">
        <f>'CLASS 1 LINE HAUL COMPILE EMISS'!F24</f>
        <v>23.997680502625048</v>
      </c>
      <c r="I51" s="360">
        <f>'CLASS 1 LINE HAUL COMPILE EMISS'!G24</f>
        <v>5.6045109272095575</v>
      </c>
      <c r="J51" s="360">
        <f>'CLASS 1 LINE HAUL COMPILE EMISS'!H24</f>
        <v>0.61046731103168994</v>
      </c>
      <c r="K51" s="360">
        <f>'CLASS 1 LINE HAUL COMPILE EMISS'!I24</f>
        <v>0.59215329170073905</v>
      </c>
      <c r="L51" s="360">
        <f>'CLASS 1 LINE HAUL COMPILE EMISS'!J24</f>
        <v>0.30378235663333841</v>
      </c>
      <c r="M51" s="360">
        <f>'CLASS 1 LINE HAUL COMPILE EMISS'!L24</f>
        <v>1.7535141110003243E-2</v>
      </c>
      <c r="N51" s="360">
        <f>'CLASS 1 LINE HAUL COMPILE EMISS'!M24</f>
        <v>2150.7394885554395</v>
      </c>
      <c r="O51">
        <f t="shared" si="0"/>
        <v>2.7935583950640529E-3</v>
      </c>
      <c r="P51">
        <f t="shared" si="1"/>
        <v>6.5747069870205607E-2</v>
      </c>
      <c r="Q51">
        <f t="shared" si="2"/>
        <v>1.5354824458108377E-2</v>
      </c>
      <c r="R51">
        <f t="shared" si="3"/>
        <v>1.6725131809087396E-3</v>
      </c>
      <c r="S51">
        <f t="shared" si="4"/>
        <v>1.6223377854814769E-3</v>
      </c>
      <c r="T51">
        <f t="shared" si="5"/>
        <v>8.3228042913243404E-4</v>
      </c>
      <c r="U51">
        <f t="shared" si="6"/>
        <v>4.8041482493159571E-5</v>
      </c>
      <c r="V51">
        <f t="shared" si="7"/>
        <v>5.89243695494641</v>
      </c>
    </row>
    <row r="52" spans="1:31" x14ac:dyDescent="0.25">
      <c r="A52" s="549" t="s">
        <v>1011</v>
      </c>
      <c r="B52" s="360">
        <v>2285002007</v>
      </c>
      <c r="C52" s="360" t="s">
        <v>74</v>
      </c>
      <c r="D52" s="360" t="s">
        <v>133</v>
      </c>
      <c r="E52" s="360" t="s">
        <v>25</v>
      </c>
      <c r="F52" s="110">
        <f>'LINE HAUL CLASS 23 TOTAL BY CTY'!D24</f>
        <v>5556</v>
      </c>
      <c r="G52" s="110">
        <f>'LINE HAUL CLASS 23 TOTAL BY CTY'!J24</f>
        <v>7.9133770159104874E-2</v>
      </c>
      <c r="H52" s="110">
        <f>'LINE HAUL CLASS 23 TOTAL BY CTY'!E24</f>
        <v>1.5222850080525201</v>
      </c>
      <c r="I52" s="110">
        <f>'LINE HAUL CLASS 23 TOTAL BY CTY'!F24</f>
        <v>0.14963355083371946</v>
      </c>
      <c r="J52" s="110">
        <f>'LINE HAUL CLASS 23 TOTAL BY CTY'!G24</f>
        <v>3.4684974867019457E-2</v>
      </c>
      <c r="K52" s="110">
        <f>'LINE HAUL CLASS 23 TOTAL BY CTY'!H24</f>
        <v>3.3644425621008868E-2</v>
      </c>
      <c r="L52" s="110">
        <f>'LINE HAUL CLASS 23 TOTAL BY CTY'!I24</f>
        <v>8.1106154121308779E-3</v>
      </c>
      <c r="M52" s="110">
        <f>'LINE HAUL CLASS 23 TOTAL BY CTY'!K24</f>
        <v>5.3504766586123776E-4</v>
      </c>
      <c r="N52" s="110">
        <f>'LINE HAUL CLASS 23 TOTAL BY CTY'!L24</f>
        <v>65.625257077099576</v>
      </c>
      <c r="O52">
        <f t="shared" si="0"/>
        <v>2.1680484975097227E-4</v>
      </c>
      <c r="P52">
        <f t="shared" si="1"/>
        <v>4.1706438576781376E-3</v>
      </c>
      <c r="Q52">
        <f t="shared" si="2"/>
        <v>4.0995493379101221E-4</v>
      </c>
      <c r="R52">
        <f t="shared" si="3"/>
        <v>9.5027328402793034E-5</v>
      </c>
      <c r="S52">
        <f t="shared" si="4"/>
        <v>9.2176508550709227E-5</v>
      </c>
      <c r="T52">
        <f t="shared" si="5"/>
        <v>2.2220864142824321E-5</v>
      </c>
      <c r="U52">
        <f t="shared" si="6"/>
        <v>1.4658840160581857E-6</v>
      </c>
      <c r="V52">
        <f t="shared" si="7"/>
        <v>0.17979522486876595</v>
      </c>
    </row>
    <row r="53" spans="1:31" x14ac:dyDescent="0.25">
      <c r="A53" s="549" t="s">
        <v>1011</v>
      </c>
      <c r="B53" s="360">
        <v>2285002009</v>
      </c>
      <c r="C53" s="360" t="s">
        <v>76</v>
      </c>
      <c r="D53" s="360" t="s">
        <v>133</v>
      </c>
      <c r="E53" s="360" t="s">
        <v>25</v>
      </c>
      <c r="F53" s="110">
        <f>'NJT COMMUTER EMIS CTY'!E24</f>
        <v>64425.803411954592</v>
      </c>
      <c r="G53" s="110">
        <f>'NJT COMMUTER EMIS CTY'!K24</f>
        <v>0.36077084463672948</v>
      </c>
      <c r="H53" s="110">
        <f>'NJT COMMUTER EMIS CTY'!F24</f>
        <v>8.3418668399425471</v>
      </c>
      <c r="I53" s="110">
        <f>'NJT COMMUTER EMIS CTY'!G24</f>
        <v>1.9829809173806283</v>
      </c>
      <c r="J53" s="110">
        <f>'NJT COMMUTER EMIS CTY'!H24</f>
        <v>0.20854667099856367</v>
      </c>
      <c r="K53" s="110">
        <f>'NJT COMMUTER EMIS CTY'!I24</f>
        <v>0.20229027086860674</v>
      </c>
      <c r="L53" s="110">
        <f>'NJT COMMUTER EMIS CTY'!J24</f>
        <v>0.10748388647370422</v>
      </c>
      <c r="M53" s="110">
        <f>'NJT COMMUTER EMIS CTY'!L24</f>
        <v>6.2042612917208913E-3</v>
      </c>
      <c r="N53" s="110">
        <f>'NJT COMMUTER EMIS CTY'!M24</f>
        <v>760.97190628297335</v>
      </c>
      <c r="O53" s="6">
        <f t="shared" si="0"/>
        <v>9.8841327297734109E-4</v>
      </c>
      <c r="P53" s="6">
        <f t="shared" si="1"/>
        <v>2.285442969847273E-2</v>
      </c>
      <c r="Q53" s="6">
        <f t="shared" si="2"/>
        <v>5.4328244311798038E-3</v>
      </c>
      <c r="R53" s="6">
        <f t="shared" si="3"/>
        <v>5.7136074246181829E-4</v>
      </c>
      <c r="S53" s="6">
        <f t="shared" si="4"/>
        <v>5.542199201879637E-4</v>
      </c>
      <c r="T53" s="6">
        <f t="shared" si="5"/>
        <v>2.9447640129781979E-4</v>
      </c>
      <c r="U53" s="6">
        <f t="shared" si="6"/>
        <v>1.6997976141701073E-5</v>
      </c>
      <c r="V53" s="6">
        <f t="shared" si="7"/>
        <v>2.0848545377615708</v>
      </c>
    </row>
    <row r="54" spans="1:31" ht="15.75" thickBot="1" x14ac:dyDescent="0.3">
      <c r="A54" s="572" t="s">
        <v>1011</v>
      </c>
      <c r="B54" s="18">
        <v>2285002010</v>
      </c>
      <c r="C54" s="18" t="s">
        <v>78</v>
      </c>
      <c r="D54" s="360" t="s">
        <v>133</v>
      </c>
      <c r="E54" s="360" t="s">
        <v>25</v>
      </c>
      <c r="F54" s="304">
        <f>'2017 YARD EMIS CTY COMPILE 2 '!D24</f>
        <v>0</v>
      </c>
      <c r="G54" s="304">
        <f>'2017 YARD EMIS CTY COMPILE 2 '!J24</f>
        <v>0</v>
      </c>
      <c r="H54" s="304">
        <f>'2017 YARD EMIS CTY COMPILE 2 '!E24</f>
        <v>0</v>
      </c>
      <c r="I54" s="304">
        <f>'2017 YARD EMIS CTY COMPILE 2 '!F24</f>
        <v>0</v>
      </c>
      <c r="J54" s="304">
        <f>'2017 YARD EMIS CTY COMPILE 2 '!G24</f>
        <v>0</v>
      </c>
      <c r="K54" s="304">
        <f>'2017 YARD EMIS CTY COMPILE 2 '!H24</f>
        <v>0</v>
      </c>
      <c r="L54" s="304">
        <f>'2017 YARD EMIS CTY COMPILE 2 '!I24</f>
        <v>0</v>
      </c>
      <c r="M54" s="304">
        <f>'2017 YARD EMIS CTY COMPILE 2 '!K24</f>
        <v>0</v>
      </c>
      <c r="N54" s="304">
        <f>'2017 YARD EMIS CTY COMPILE 2 '!L24</f>
        <v>0</v>
      </c>
      <c r="O54" s="6">
        <f t="shared" si="0"/>
        <v>0</v>
      </c>
      <c r="P54" s="6">
        <f t="shared" si="1"/>
        <v>0</v>
      </c>
      <c r="Q54" s="6">
        <f t="shared" si="2"/>
        <v>0</v>
      </c>
      <c r="R54" s="6">
        <f t="shared" si="3"/>
        <v>0</v>
      </c>
      <c r="S54" s="6">
        <f t="shared" si="4"/>
        <v>0</v>
      </c>
      <c r="T54" s="6">
        <f t="shared" si="5"/>
        <v>0</v>
      </c>
      <c r="U54" s="6">
        <f t="shared" si="6"/>
        <v>0</v>
      </c>
      <c r="V54" s="6">
        <f t="shared" si="7"/>
        <v>0</v>
      </c>
      <c r="W54">
        <f>SUM(F38:F54)</f>
        <v>4492606.5407075249</v>
      </c>
      <c r="X54">
        <f>SUM(H38:H54)</f>
        <v>644.90950922043555</v>
      </c>
      <c r="Y54">
        <f>SUM(I38:I54)</f>
        <v>139.44279774046461</v>
      </c>
      <c r="Z54">
        <f>SUM(J38:J54)</f>
        <v>16.849462339336032</v>
      </c>
      <c r="AA54">
        <f>SUM(K38:K54)</f>
        <v>16.251269146568273</v>
      </c>
      <c r="AB54">
        <f>SUM(L38:L54)</f>
        <v>7.3804763229128767</v>
      </c>
      <c r="AC54">
        <f>SUM(G38:G54)</f>
        <v>30.944654970291982</v>
      </c>
      <c r="AD54">
        <f>SUM(M38:M54)</f>
        <v>0.4163471142483911</v>
      </c>
      <c r="AE54">
        <f>SUM(N38:N54)</f>
        <v>71312.412334626468</v>
      </c>
    </row>
    <row r="55" spans="1:31" x14ac:dyDescent="0.25">
      <c r="F55" s="1">
        <f t="shared" ref="F55:V55" si="8">SUM(F7:F54)</f>
        <v>23117636.56308252</v>
      </c>
      <c r="G55" s="1">
        <f t="shared" si="8"/>
        <v>158.08188823022655</v>
      </c>
      <c r="H55" s="1">
        <f t="shared" si="8"/>
        <v>3334.790827091032</v>
      </c>
      <c r="I55" s="1">
        <f t="shared" si="8"/>
        <v>708.61385943278697</v>
      </c>
      <c r="J55" s="1">
        <f t="shared" si="8"/>
        <v>85.440896402985601</v>
      </c>
      <c r="K55" s="1">
        <f t="shared" si="8"/>
        <v>82.527946205358404</v>
      </c>
      <c r="L55" s="1">
        <f t="shared" si="8"/>
        <v>37.191907936078771</v>
      </c>
      <c r="M55" s="1">
        <f t="shared" si="8"/>
        <v>2.1567403208309317</v>
      </c>
      <c r="N55" s="1">
        <f t="shared" si="8"/>
        <v>290647.9935991682</v>
      </c>
      <c r="O55" s="512">
        <f t="shared" si="8"/>
        <v>0.43310106364445627</v>
      </c>
      <c r="P55" s="7">
        <f t="shared" si="8"/>
        <v>9.1364132249069385</v>
      </c>
      <c r="Q55" s="7">
        <f t="shared" si="8"/>
        <v>1.9414078340624301</v>
      </c>
      <c r="R55" s="7">
        <f t="shared" si="8"/>
        <v>0.23408464767941267</v>
      </c>
      <c r="S55" s="7">
        <f t="shared" si="8"/>
        <v>0.2261039622064614</v>
      </c>
      <c r="T55" s="7">
        <f t="shared" si="8"/>
        <v>0.10189563818103775</v>
      </c>
      <c r="U55" s="7">
        <f t="shared" si="8"/>
        <v>5.9088775913176232E-3</v>
      </c>
      <c r="V55" s="7">
        <f t="shared" si="8"/>
        <v>796.29587287443337</v>
      </c>
      <c r="W55">
        <f>'CLASS 1 LINE HAUL COMPILE EMISS'!E25</f>
        <v>5313400.0000000009</v>
      </c>
      <c r="X55">
        <f>'CLASS 1 LINE HAUL COMPILE EMISS'!F25</f>
        <v>700.26553149948029</v>
      </c>
      <c r="Y55">
        <f>'CLASS 1 LINE HAUL COMPILE EMISS'!G25</f>
        <v>163.54271500563306</v>
      </c>
      <c r="Z55">
        <f>'CLASS 1 LINE HAUL COMPILE EMISS'!H25</f>
        <v>17.81377229253064</v>
      </c>
      <c r="AA55">
        <f>'CLASS 1 LINE HAUL COMPILE EMISS'!I25</f>
        <v>17.279359123754723</v>
      </c>
      <c r="AB55">
        <f>'CLASS 1 LINE HAUL COMPILE EMISS'!J25</f>
        <v>8.8645364457093905</v>
      </c>
      <c r="AC55">
        <f>'CLASS 1 LINE HAUL COMPILE EMISS'!K25</f>
        <v>29.753913872606869</v>
      </c>
      <c r="AD55">
        <f>'CLASS 1 LINE HAUL COMPILE EMISS'!L25</f>
        <v>0.51168507339580627</v>
      </c>
      <c r="AE55">
        <f>'CLASS 1 LINE HAUL COMPILE EMISS'!M25</f>
        <v>62759.762590615726</v>
      </c>
    </row>
    <row r="56" spans="1:31" x14ac:dyDescent="0.25">
      <c r="J56" s="1">
        <f>'TOT RAIL SCC cty 2 '!I91</f>
        <v>100.42097528712652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I14" sqref="I14"/>
    </sheetView>
  </sheetViews>
  <sheetFormatPr defaultRowHeight="15" x14ac:dyDescent="0.25"/>
  <cols>
    <col min="2" max="2" width="11.42578125" customWidth="1"/>
    <col min="11" max="11" width="11.85546875" customWidth="1"/>
    <col min="15" max="15" width="9.85546875" customWidth="1"/>
    <col min="16" max="16" width="10.5703125" customWidth="1"/>
  </cols>
  <sheetData>
    <row r="1" spans="1:19" x14ac:dyDescent="0.25">
      <c r="A1" s="566" t="s">
        <v>1029</v>
      </c>
    </row>
    <row r="2" spans="1:19" x14ac:dyDescent="0.25">
      <c r="A2" s="139" t="s">
        <v>1022</v>
      </c>
    </row>
    <row r="3" spans="1:19" x14ac:dyDescent="0.25">
      <c r="A3" s="139" t="s">
        <v>1023</v>
      </c>
    </row>
    <row r="4" spans="1:19" x14ac:dyDescent="0.25">
      <c r="A4" s="568" t="s">
        <v>1034</v>
      </c>
    </row>
    <row r="5" spans="1:19" ht="15.75" thickBot="1" x14ac:dyDescent="0.3">
      <c r="A5" s="569" t="s">
        <v>1059</v>
      </c>
    </row>
    <row r="6" spans="1:19" x14ac:dyDescent="0.25">
      <c r="A6" s="506" t="s">
        <v>68</v>
      </c>
      <c r="B6" s="16" t="s">
        <v>4</v>
      </c>
      <c r="C6" s="484" t="s">
        <v>823</v>
      </c>
      <c r="D6" s="477" t="s">
        <v>969</v>
      </c>
      <c r="E6" s="477" t="s">
        <v>979</v>
      </c>
      <c r="F6" s="477" t="s">
        <v>965</v>
      </c>
      <c r="G6" s="477" t="s">
        <v>966</v>
      </c>
      <c r="H6" s="477" t="s">
        <v>967</v>
      </c>
      <c r="I6" s="477" t="s">
        <v>968</v>
      </c>
      <c r="J6" s="477" t="s">
        <v>970</v>
      </c>
      <c r="K6" s="485" t="s">
        <v>971</v>
      </c>
      <c r="L6" s="541" t="s">
        <v>976</v>
      </c>
      <c r="M6" s="507" t="s">
        <v>980</v>
      </c>
      <c r="N6" s="477" t="s">
        <v>972</v>
      </c>
      <c r="O6" s="477" t="s">
        <v>973</v>
      </c>
      <c r="P6" s="477" t="s">
        <v>974</v>
      </c>
      <c r="Q6" s="477" t="s">
        <v>975</v>
      </c>
      <c r="R6" s="477" t="s">
        <v>977</v>
      </c>
      <c r="S6" s="485" t="s">
        <v>978</v>
      </c>
    </row>
    <row r="7" spans="1:19" x14ac:dyDescent="0.25">
      <c r="A7" s="303"/>
      <c r="B7" s="360"/>
      <c r="C7" s="304">
        <f>DSUM('TOT RAIL SCC cty 2 '!$D$6:$M$90,'TOT RAIL SCC cty 2 '!E6,'TOT RAIL cty'!$B$29:$B$30)</f>
        <v>563255.61156598758</v>
      </c>
      <c r="D7" s="304">
        <f>DSUM('TOT RAIL SCC cty 2 '!$D$6:$M$90,'TOT RAIL SCC cty 2 '!F6,'TOT RAIL cty'!$B$29:$B$30)</f>
        <v>3.1725876476682324</v>
      </c>
      <c r="E7" s="304">
        <f>DSUM('TOT RAIL SCC cty 2 '!$D$6:$M$90,'TOT RAIL SCC cty 2 '!G6,'TOT RAIL cty'!$B$29:$B$30)</f>
        <v>73.2968247057984</v>
      </c>
      <c r="F7" s="304">
        <f>DSUM('TOT RAIL SCC cty 2 '!$D$6:$M$90,'TOT RAIL SCC cty 2 '!H6,'TOT RAIL cty'!$B$29:$B$30)</f>
        <v>17.328387349759169</v>
      </c>
      <c r="G7" s="304">
        <f>DSUM('TOT RAIL SCC cty 2 '!$D$6:$M$90,'TOT RAIL SCC cty 2 '!I6,'TOT RAIL cty'!$B$29:$B$30)</f>
        <v>1.8325598396431213</v>
      </c>
      <c r="H7" s="304">
        <f>DSUM('TOT RAIL SCC cty 2 '!$D$6:$M$90,'TOT RAIL SCC cty 2 '!J6,'TOT RAIL cty'!$B$29:$B$30)</f>
        <v>1.7775830444538272</v>
      </c>
      <c r="I7" s="304">
        <f>DSUM('TOT RAIL SCC cty 2 '!$D$6:$M$90,'TOT RAIL SCC cty 2 '!K6,'TOT RAIL cty'!$B$29:$B$30)</f>
        <v>0.93925382859162432</v>
      </c>
      <c r="J7" s="304">
        <f>DSUM('TOT RAIL SCC cty 2 '!$D$6:$M$90,'TOT RAIL SCC cty 2 '!L6,'TOT RAIL cty'!$B$29:$B$30)</f>
        <v>5.4242008684597852E-2</v>
      </c>
      <c r="K7" s="304">
        <f>DSUM('TOT RAIL SCC cty 2 '!$D$6:$M$90,'TOT RAIL SCC cty 2 '!M6,'TOT RAIL cty'!$B$29:$B$30)</f>
        <v>6652.9507395854735</v>
      </c>
      <c r="L7" s="318"/>
      <c r="M7" s="360"/>
      <c r="N7" s="360"/>
      <c r="O7" s="360"/>
      <c r="P7" s="360"/>
      <c r="Q7" s="360"/>
      <c r="R7" s="360"/>
      <c r="S7" s="298"/>
    </row>
    <row r="8" spans="1:19" x14ac:dyDescent="0.25">
      <c r="A8" s="451" t="s">
        <v>120</v>
      </c>
      <c r="B8" s="18">
        <v>34001</v>
      </c>
      <c r="C8" s="304">
        <f t="dataTable" ref="C8:K28" dt2D="0" dtr="0" r1="B30"/>
        <v>563255.61156598758</v>
      </c>
      <c r="D8" s="181">
        <v>3.1725876476682324</v>
      </c>
      <c r="E8" s="181">
        <v>73.2968247057984</v>
      </c>
      <c r="F8" s="181">
        <v>17.328387349759169</v>
      </c>
      <c r="G8" s="181">
        <v>1.8325598396431213</v>
      </c>
      <c r="H8" s="181">
        <v>1.7775830444538272</v>
      </c>
      <c r="I8" s="181">
        <v>0.93925382859162432</v>
      </c>
      <c r="J8" s="181">
        <v>5.4242008684597852E-2</v>
      </c>
      <c r="K8" s="104">
        <v>6652.9507395854735</v>
      </c>
      <c r="L8" s="445">
        <f t="shared" ref="L8:L28" si="0">D8/365</f>
        <v>8.6920209525157052E-3</v>
      </c>
      <c r="M8" s="181">
        <f t="shared" ref="M8:S23" si="1">E8/365</f>
        <v>0.20081321837205041</v>
      </c>
      <c r="N8" s="181">
        <f t="shared" si="1"/>
        <v>4.7475033834956624E-2</v>
      </c>
      <c r="O8" s="181">
        <f t="shared" si="1"/>
        <v>5.0207118894332091E-3</v>
      </c>
      <c r="P8" s="181">
        <f t="shared" si="1"/>
        <v>4.8700905327502117E-3</v>
      </c>
      <c r="Q8" s="181">
        <f t="shared" si="1"/>
        <v>2.5732981605249981E-3</v>
      </c>
      <c r="R8" s="181">
        <f t="shared" si="1"/>
        <v>1.4860824297150096E-4</v>
      </c>
      <c r="S8" s="104">
        <f t="shared" si="1"/>
        <v>18.227262300234173</v>
      </c>
    </row>
    <row r="9" spans="1:19" x14ac:dyDescent="0.25">
      <c r="A9" s="68" t="s">
        <v>113</v>
      </c>
      <c r="B9" s="18">
        <v>34003</v>
      </c>
      <c r="C9" s="304">
        <v>5221542.3840435483</v>
      </c>
      <c r="D9" s="181">
        <v>29.579811897539237</v>
      </c>
      <c r="E9" s="181">
        <v>684.79307390127792</v>
      </c>
      <c r="F9" s="181">
        <v>160.56392942363323</v>
      </c>
      <c r="G9" s="181">
        <v>17.1713645216564</v>
      </c>
      <c r="H9" s="181">
        <v>16.656223586006703</v>
      </c>
      <c r="I9" s="181">
        <v>8.703076772285959</v>
      </c>
      <c r="J9" s="181">
        <v>0.50283910453168168</v>
      </c>
      <c r="K9" s="104">
        <v>61674.777050365257</v>
      </c>
      <c r="L9" s="445">
        <f t="shared" si="0"/>
        <v>8.1040580541203389E-2</v>
      </c>
      <c r="M9" s="181">
        <f t="shared" si="1"/>
        <v>1.8761454079487065</v>
      </c>
      <c r="N9" s="181">
        <f t="shared" si="1"/>
        <v>0.43990117650310473</v>
      </c>
      <c r="O9" s="181">
        <f t="shared" si="1"/>
        <v>4.7044834305907945E-2</v>
      </c>
      <c r="P9" s="181">
        <f t="shared" si="1"/>
        <v>4.5633489276730693E-2</v>
      </c>
      <c r="Q9" s="181">
        <f t="shared" si="1"/>
        <v>2.3844045951468381E-2</v>
      </c>
      <c r="R9" s="181">
        <f t="shared" si="1"/>
        <v>1.3776413822785799E-3</v>
      </c>
      <c r="S9" s="104">
        <f t="shared" si="1"/>
        <v>168.97199191880892</v>
      </c>
    </row>
    <row r="10" spans="1:19" x14ac:dyDescent="0.25">
      <c r="A10" s="451" t="s">
        <v>88</v>
      </c>
      <c r="B10" s="18">
        <v>34005</v>
      </c>
      <c r="C10" s="304">
        <v>123285.94679769727</v>
      </c>
      <c r="D10" s="181">
        <v>1.3341598251374278</v>
      </c>
      <c r="E10" s="181">
        <v>26.839683577988684</v>
      </c>
      <c r="F10" s="181">
        <v>3.5080804490612891</v>
      </c>
      <c r="G10" s="181">
        <v>0.62860518394910159</v>
      </c>
      <c r="H10" s="181">
        <v>0.60974702843062856</v>
      </c>
      <c r="I10" s="181">
        <v>0.19014914234555319</v>
      </c>
      <c r="J10" s="181">
        <v>1.1872544648596231E-2</v>
      </c>
      <c r="K10" s="104">
        <v>1456.2044551102422</v>
      </c>
      <c r="L10" s="445">
        <f t="shared" si="0"/>
        <v>3.6552323976367885E-3</v>
      </c>
      <c r="M10" s="181">
        <f t="shared" si="1"/>
        <v>7.3533379665722418E-2</v>
      </c>
      <c r="N10" s="181">
        <f t="shared" si="1"/>
        <v>9.6111793124966823E-3</v>
      </c>
      <c r="O10" s="181">
        <f t="shared" si="1"/>
        <v>1.7222059834221962E-3</v>
      </c>
      <c r="P10" s="181">
        <f t="shared" si="1"/>
        <v>1.6705398039195303E-3</v>
      </c>
      <c r="Q10" s="181">
        <f t="shared" si="1"/>
        <v>5.209565543713786E-4</v>
      </c>
      <c r="R10" s="181">
        <f t="shared" si="1"/>
        <v>3.2527519585195156E-5</v>
      </c>
      <c r="S10" s="104">
        <f t="shared" si="1"/>
        <v>3.9896012468773758</v>
      </c>
    </row>
    <row r="11" spans="1:19" x14ac:dyDescent="0.25">
      <c r="A11" s="451" t="s">
        <v>87</v>
      </c>
      <c r="B11" s="18">
        <v>34007</v>
      </c>
      <c r="C11" s="304">
        <v>1151227.4491124928</v>
      </c>
      <c r="D11" s="181">
        <v>10.904565994434765</v>
      </c>
      <c r="E11" s="181">
        <v>223.88000578048872</v>
      </c>
      <c r="F11" s="181">
        <v>33.449565564581391</v>
      </c>
      <c r="G11" s="181">
        <v>5.2910644352119203</v>
      </c>
      <c r="H11" s="181">
        <v>5.1323325021555624</v>
      </c>
      <c r="I11" s="181">
        <v>1.8130730740905485</v>
      </c>
      <c r="J11" s="181">
        <v>0.11086421157721851</v>
      </c>
      <c r="K11" s="104">
        <v>13597.839687224787</v>
      </c>
      <c r="L11" s="445">
        <f t="shared" si="0"/>
        <v>2.9875523272424015E-2</v>
      </c>
      <c r="M11" s="181">
        <f t="shared" si="1"/>
        <v>0.61336987885065397</v>
      </c>
      <c r="N11" s="181">
        <f t="shared" si="1"/>
        <v>9.1642645382414775E-2</v>
      </c>
      <c r="O11" s="181">
        <f t="shared" si="1"/>
        <v>1.4496066945786083E-2</v>
      </c>
      <c r="P11" s="181">
        <f t="shared" si="1"/>
        <v>1.4061184937412499E-2</v>
      </c>
      <c r="Q11" s="181">
        <f t="shared" si="1"/>
        <v>4.9673234906590369E-3</v>
      </c>
      <c r="R11" s="181">
        <f t="shared" si="1"/>
        <v>3.0373756596498223E-4</v>
      </c>
      <c r="S11" s="104">
        <f t="shared" si="1"/>
        <v>37.254355307465168</v>
      </c>
    </row>
    <row r="12" spans="1:19" x14ac:dyDescent="0.25">
      <c r="A12" s="451" t="s">
        <v>121</v>
      </c>
      <c r="B12" s="18">
        <v>34009</v>
      </c>
      <c r="C12" s="304">
        <v>16970.928564093425</v>
      </c>
      <c r="D12" s="181">
        <v>0.16072155174543051</v>
      </c>
      <c r="E12" s="181">
        <v>3.3173361066869296</v>
      </c>
      <c r="F12" s="181">
        <v>0.49311291344207792</v>
      </c>
      <c r="G12" s="181">
        <v>7.8862344064091622E-2</v>
      </c>
      <c r="H12" s="181">
        <v>7.6496473742168863E-2</v>
      </c>
      <c r="I12" s="181">
        <v>2.6728291705972219E-2</v>
      </c>
      <c r="J12" s="181">
        <v>1.6343152836061903E-3</v>
      </c>
      <c r="K12" s="104">
        <v>200.45384266661688</v>
      </c>
      <c r="L12" s="445">
        <f t="shared" si="0"/>
        <v>4.4033301848063152E-4</v>
      </c>
      <c r="M12" s="181">
        <f t="shared" si="1"/>
        <v>9.0885920731148748E-3</v>
      </c>
      <c r="N12" s="181">
        <f t="shared" si="1"/>
        <v>1.3509942834029531E-3</v>
      </c>
      <c r="O12" s="181">
        <f t="shared" si="1"/>
        <v>2.1606121661394965E-4</v>
      </c>
      <c r="P12" s="181">
        <f t="shared" si="1"/>
        <v>2.0957938011553114E-4</v>
      </c>
      <c r="Q12" s="181">
        <f t="shared" si="1"/>
        <v>7.3228196454718403E-5</v>
      </c>
      <c r="R12" s="181">
        <f t="shared" si="1"/>
        <v>4.4775761194690144E-6</v>
      </c>
      <c r="S12" s="104">
        <f t="shared" si="1"/>
        <v>0.54918861004552566</v>
      </c>
    </row>
    <row r="13" spans="1:19" x14ac:dyDescent="0.25">
      <c r="A13" s="451" t="s">
        <v>122</v>
      </c>
      <c r="B13" s="18">
        <v>34011</v>
      </c>
      <c r="C13" s="304">
        <v>205460.14914667601</v>
      </c>
      <c r="D13" s="181">
        <v>2.926356410984245</v>
      </c>
      <c r="E13" s="181">
        <v>56.293899351731397</v>
      </c>
      <c r="F13" s="181">
        <v>5.5334290265735655</v>
      </c>
      <c r="G13" s="181">
        <v>1.2826458080141336</v>
      </c>
      <c r="H13" s="181">
        <v>1.2441664337737095</v>
      </c>
      <c r="I13" s="181">
        <v>0.29992949104530947</v>
      </c>
      <c r="J13" s="181">
        <v>1.9785992301733404E-2</v>
      </c>
      <c r="K13" s="104">
        <v>2426.8133741630377</v>
      </c>
      <c r="L13" s="445">
        <f t="shared" si="0"/>
        <v>8.0174148246143703E-3</v>
      </c>
      <c r="M13" s="181">
        <f t="shared" si="1"/>
        <v>0.15422986123762028</v>
      </c>
      <c r="N13" s="181">
        <f t="shared" si="1"/>
        <v>1.5160079524859083E-2</v>
      </c>
      <c r="O13" s="181">
        <f t="shared" si="1"/>
        <v>3.5140981041483113E-3</v>
      </c>
      <c r="P13" s="181">
        <f t="shared" si="1"/>
        <v>3.4086751610238617E-3</v>
      </c>
      <c r="Q13" s="181">
        <f t="shared" si="1"/>
        <v>8.2172463300084783E-4</v>
      </c>
      <c r="R13" s="181">
        <f t="shared" si="1"/>
        <v>5.4208198086940832E-5</v>
      </c>
      <c r="S13" s="104">
        <f t="shared" si="1"/>
        <v>6.64880376483024</v>
      </c>
    </row>
    <row r="14" spans="1:19" x14ac:dyDescent="0.25">
      <c r="A14" s="68" t="s">
        <v>114</v>
      </c>
      <c r="B14" s="18">
        <v>34013</v>
      </c>
      <c r="C14" s="304">
        <v>2152830.0363586168</v>
      </c>
      <c r="D14" s="181">
        <v>26.959569228244067</v>
      </c>
      <c r="E14" s="181">
        <v>427.35582146310315</v>
      </c>
      <c r="F14" s="181">
        <v>68.130911583902801</v>
      </c>
      <c r="G14" s="181">
        <v>12.337236848337284</v>
      </c>
      <c r="H14" s="181">
        <v>11.718285153304709</v>
      </c>
      <c r="I14" s="181">
        <v>2.5999119380231459</v>
      </c>
      <c r="J14" s="181">
        <v>0.15475906397394606</v>
      </c>
      <c r="K14" s="104">
        <v>24706.133902368874</v>
      </c>
      <c r="L14" s="445">
        <f t="shared" si="0"/>
        <v>7.3861833502038537E-2</v>
      </c>
      <c r="M14" s="181">
        <f t="shared" si="1"/>
        <v>1.1708378670222004</v>
      </c>
      <c r="N14" s="181">
        <f t="shared" si="1"/>
        <v>0.18666003173671999</v>
      </c>
      <c r="O14" s="181">
        <f t="shared" si="1"/>
        <v>3.3800648899554205E-2</v>
      </c>
      <c r="P14" s="181">
        <f t="shared" si="1"/>
        <v>3.2104890830971809E-2</v>
      </c>
      <c r="Q14" s="181">
        <f t="shared" si="1"/>
        <v>7.1230464055428658E-3</v>
      </c>
      <c r="R14" s="181">
        <f t="shared" si="1"/>
        <v>4.2399743554505772E-4</v>
      </c>
      <c r="S14" s="104">
        <f t="shared" si="1"/>
        <v>67.68803808868185</v>
      </c>
    </row>
    <row r="15" spans="1:19" x14ac:dyDescent="0.25">
      <c r="A15" s="451" t="s">
        <v>123</v>
      </c>
      <c r="B15" s="18">
        <v>34015</v>
      </c>
      <c r="C15" s="304">
        <v>509978.25578338827</v>
      </c>
      <c r="D15" s="181">
        <v>5.8906485504065937</v>
      </c>
      <c r="E15" s="181">
        <v>117.14102237412577</v>
      </c>
      <c r="F15" s="181">
        <v>14.345826339034819</v>
      </c>
      <c r="G15" s="181">
        <v>2.7245925811538281</v>
      </c>
      <c r="H15" s="181">
        <v>2.6428548037192128</v>
      </c>
      <c r="I15" s="181">
        <v>0.77758951489714279</v>
      </c>
      <c r="J15" s="181">
        <v>4.911135266322663E-2</v>
      </c>
      <c r="K15" s="104">
        <v>6023.6598523246394</v>
      </c>
      <c r="L15" s="445">
        <f t="shared" si="0"/>
        <v>1.6138763151798886E-2</v>
      </c>
      <c r="M15" s="181">
        <f t="shared" si="1"/>
        <v>0.32093430787431715</v>
      </c>
      <c r="N15" s="181">
        <f t="shared" si="1"/>
        <v>3.9303633805574847E-2</v>
      </c>
      <c r="O15" s="181">
        <f t="shared" si="1"/>
        <v>7.4646372086406253E-3</v>
      </c>
      <c r="P15" s="181">
        <f t="shared" si="1"/>
        <v>7.2406980923814049E-3</v>
      </c>
      <c r="Q15" s="181">
        <f t="shared" si="1"/>
        <v>2.1303822325949118E-3</v>
      </c>
      <c r="R15" s="181">
        <f t="shared" si="1"/>
        <v>1.3455165113212774E-4</v>
      </c>
      <c r="S15" s="104">
        <f t="shared" si="1"/>
        <v>16.503177677601752</v>
      </c>
    </row>
    <row r="16" spans="1:19" x14ac:dyDescent="0.25">
      <c r="A16" s="68" t="s">
        <v>115</v>
      </c>
      <c r="B16" s="18">
        <v>34017</v>
      </c>
      <c r="C16" s="304">
        <v>2585795.5487182112</v>
      </c>
      <c r="D16" s="181">
        <v>17.393719226430182</v>
      </c>
      <c r="E16" s="181">
        <v>374.52529248449076</v>
      </c>
      <c r="F16" s="181">
        <v>75.862336406531909</v>
      </c>
      <c r="G16" s="181">
        <v>9.2568397347423712</v>
      </c>
      <c r="H16" s="181">
        <v>8.9709551493325961</v>
      </c>
      <c r="I16" s="181">
        <v>4.16552691821928</v>
      </c>
      <c r="J16" s="181">
        <v>0.24836123379262709</v>
      </c>
      <c r="K16" s="104">
        <v>30608.774022671616</v>
      </c>
      <c r="L16" s="445">
        <f t="shared" si="0"/>
        <v>4.7654025277890907E-2</v>
      </c>
      <c r="M16" s="181">
        <f t="shared" si="1"/>
        <v>1.026096691738331</v>
      </c>
      <c r="N16" s="181">
        <f t="shared" si="1"/>
        <v>0.20784201755214221</v>
      </c>
      <c r="O16" s="181">
        <f t="shared" si="1"/>
        <v>2.5361204752718827E-2</v>
      </c>
      <c r="P16" s="181">
        <f t="shared" si="1"/>
        <v>2.4577959313239989E-2</v>
      </c>
      <c r="Q16" s="181">
        <f t="shared" si="1"/>
        <v>1.1412402515669261E-2</v>
      </c>
      <c r="R16" s="181">
        <f t="shared" si="1"/>
        <v>6.8044173641815643E-4</v>
      </c>
      <c r="S16" s="104">
        <f t="shared" si="1"/>
        <v>83.859654856634563</v>
      </c>
    </row>
    <row r="17" spans="1:19" x14ac:dyDescent="0.25">
      <c r="A17" s="68" t="s">
        <v>124</v>
      </c>
      <c r="B17" s="18">
        <v>34019</v>
      </c>
      <c r="C17" s="304">
        <v>1606910.2249697358</v>
      </c>
      <c r="D17" s="181">
        <v>9.0476658668676393</v>
      </c>
      <c r="E17" s="181">
        <v>210.40183411587154</v>
      </c>
      <c r="F17" s="181">
        <v>49.437617074420295</v>
      </c>
      <c r="G17" s="181">
        <v>5.2944414894952532</v>
      </c>
      <c r="H17" s="181">
        <v>5.1356082448103955</v>
      </c>
      <c r="I17" s="181">
        <v>2.6796764278380047</v>
      </c>
      <c r="J17" s="181">
        <v>0.15474686197239265</v>
      </c>
      <c r="K17" s="104">
        <v>18980.182975784526</v>
      </c>
      <c r="L17" s="445">
        <f t="shared" si="0"/>
        <v>2.4788125662651067E-2</v>
      </c>
      <c r="M17" s="181">
        <f t="shared" si="1"/>
        <v>0.5764433811393741</v>
      </c>
      <c r="N17" s="181">
        <f t="shared" si="1"/>
        <v>0.13544552623128847</v>
      </c>
      <c r="O17" s="181">
        <f t="shared" si="1"/>
        <v>1.4505319149302063E-2</v>
      </c>
      <c r="P17" s="181">
        <f t="shared" si="1"/>
        <v>1.4070159574823E-2</v>
      </c>
      <c r="Q17" s="181">
        <f t="shared" si="1"/>
        <v>7.3415792543506976E-3</v>
      </c>
      <c r="R17" s="181">
        <f t="shared" si="1"/>
        <v>4.2396400540381551E-4</v>
      </c>
      <c r="S17" s="104">
        <f t="shared" si="1"/>
        <v>52.00050130351925</v>
      </c>
    </row>
    <row r="18" spans="1:19" x14ac:dyDescent="0.25">
      <c r="A18" s="451" t="s">
        <v>125</v>
      </c>
      <c r="B18" s="18">
        <v>34021</v>
      </c>
      <c r="C18" s="304">
        <v>781037.67157498468</v>
      </c>
      <c r="D18" s="181">
        <v>4.3736454269024554</v>
      </c>
      <c r="E18" s="181">
        <v>102.35989263132558</v>
      </c>
      <c r="F18" s="181">
        <v>24.039790215502496</v>
      </c>
      <c r="G18" s="181">
        <v>2.5897715019311014</v>
      </c>
      <c r="H18" s="181">
        <v>2.5120783568731682</v>
      </c>
      <c r="I18" s="181">
        <v>1.303033256511547</v>
      </c>
      <c r="J18" s="181">
        <v>7.5214611793716982E-2</v>
      </c>
      <c r="K18" s="104">
        <v>9225.3056126723623</v>
      </c>
      <c r="L18" s="445">
        <f t="shared" si="0"/>
        <v>1.1982590210691658E-2</v>
      </c>
      <c r="M18" s="181">
        <f t="shared" si="1"/>
        <v>0.28043806200363175</v>
      </c>
      <c r="N18" s="181">
        <f t="shared" si="1"/>
        <v>6.5862438946582183E-2</v>
      </c>
      <c r="O18" s="181">
        <f t="shared" si="1"/>
        <v>7.0952643888523327E-3</v>
      </c>
      <c r="P18" s="181">
        <f t="shared" si="1"/>
        <v>6.8824064571867622E-3</v>
      </c>
      <c r="Q18" s="181">
        <f t="shared" si="1"/>
        <v>3.5699541274288957E-3</v>
      </c>
      <c r="R18" s="181">
        <f t="shared" si="1"/>
        <v>2.0606742957182735E-4</v>
      </c>
      <c r="S18" s="104">
        <f t="shared" si="1"/>
        <v>25.274809897732499</v>
      </c>
    </row>
    <row r="19" spans="1:19" x14ac:dyDescent="0.25">
      <c r="A19" s="68" t="s">
        <v>116</v>
      </c>
      <c r="B19" s="18">
        <v>34023</v>
      </c>
      <c r="C19" s="304">
        <v>1792689.6842243837</v>
      </c>
      <c r="D19" s="181">
        <v>14.269859190800123</v>
      </c>
      <c r="E19" s="181">
        <v>303.68913481852508</v>
      </c>
      <c r="F19" s="181">
        <v>53.294261670857153</v>
      </c>
      <c r="G19" s="181">
        <v>7.3158102504531</v>
      </c>
      <c r="H19" s="181">
        <v>7.0963359429395085</v>
      </c>
      <c r="I19" s="181">
        <v>2.8887188580195331</v>
      </c>
      <c r="J19" s="181">
        <v>0.17263758660147152</v>
      </c>
      <c r="K19" s="104">
        <v>21174.535886733203</v>
      </c>
      <c r="L19" s="445">
        <f t="shared" si="0"/>
        <v>3.9095504632329102E-2</v>
      </c>
      <c r="M19" s="181">
        <f t="shared" si="1"/>
        <v>0.83202502690006874</v>
      </c>
      <c r="N19" s="181">
        <f t="shared" si="1"/>
        <v>0.14601167581056754</v>
      </c>
      <c r="O19" s="181">
        <f t="shared" si="1"/>
        <v>2.0043315754666027E-2</v>
      </c>
      <c r="P19" s="181">
        <f t="shared" si="1"/>
        <v>1.9442016282026051E-2</v>
      </c>
      <c r="Q19" s="181">
        <f t="shared" si="1"/>
        <v>7.9142982411494062E-3</v>
      </c>
      <c r="R19" s="181">
        <f t="shared" si="1"/>
        <v>4.7297968931910006E-4</v>
      </c>
      <c r="S19" s="104">
        <f t="shared" si="1"/>
        <v>58.012427086940285</v>
      </c>
    </row>
    <row r="20" spans="1:19" x14ac:dyDescent="0.25">
      <c r="A20" s="68" t="s">
        <v>126</v>
      </c>
      <c r="B20" s="18">
        <v>34025</v>
      </c>
      <c r="C20" s="304">
        <v>2526684.3869235739</v>
      </c>
      <c r="D20" s="181">
        <v>14.273047281612781</v>
      </c>
      <c r="E20" s="181">
        <v>329.52536180582206</v>
      </c>
      <c r="F20" s="181">
        <v>77.714304147068205</v>
      </c>
      <c r="G20" s="181">
        <v>8.2367658786730331</v>
      </c>
      <c r="H20" s="181">
        <v>7.9896629023128423</v>
      </c>
      <c r="I20" s="181">
        <v>4.2123629991155642</v>
      </c>
      <c r="J20" s="181">
        <v>0.2433219192929249</v>
      </c>
      <c r="K20" s="104">
        <v>29844.188704923203</v>
      </c>
      <c r="L20" s="445">
        <f t="shared" si="0"/>
        <v>3.9104239127706247E-2</v>
      </c>
      <c r="M20" s="181">
        <f t="shared" si="1"/>
        <v>0.90280921042690976</v>
      </c>
      <c r="N20" s="181">
        <f t="shared" si="1"/>
        <v>0.2129159017727896</v>
      </c>
      <c r="O20" s="181">
        <f t="shared" si="1"/>
        <v>2.2566481859378172E-2</v>
      </c>
      <c r="P20" s="181">
        <f t="shared" si="1"/>
        <v>2.1889487403596829E-2</v>
      </c>
      <c r="Q20" s="181">
        <f t="shared" si="1"/>
        <v>1.1540720545522094E-2</v>
      </c>
      <c r="R20" s="181">
        <f t="shared" si="1"/>
        <v>6.6663539532308194E-4</v>
      </c>
      <c r="S20" s="104">
        <f t="shared" si="1"/>
        <v>81.764900561433436</v>
      </c>
    </row>
    <row r="21" spans="1:19" x14ac:dyDescent="0.25">
      <c r="A21" s="68" t="s">
        <v>127</v>
      </c>
      <c r="B21" s="18">
        <v>34027</v>
      </c>
      <c r="C21" s="304">
        <v>1352470.2901551069</v>
      </c>
      <c r="D21" s="181">
        <v>7.7118058224213133</v>
      </c>
      <c r="E21" s="181">
        <v>177.52870606253686</v>
      </c>
      <c r="F21" s="181">
        <v>41.566539780887958</v>
      </c>
      <c r="G21" s="181">
        <v>4.4309824567827381</v>
      </c>
      <c r="H21" s="181">
        <v>4.2980529830792564</v>
      </c>
      <c r="I21" s="181">
        <v>2.253038949469679</v>
      </c>
      <c r="J21" s="181">
        <v>0.13024407341507577</v>
      </c>
      <c r="K21" s="104">
        <v>15974.839899310358</v>
      </c>
      <c r="L21" s="445">
        <f t="shared" si="0"/>
        <v>2.1128235129921406E-2</v>
      </c>
      <c r="M21" s="181">
        <f t="shared" si="1"/>
        <v>0.48638001660968999</v>
      </c>
      <c r="N21" s="181">
        <f t="shared" si="1"/>
        <v>0.11388093090654235</v>
      </c>
      <c r="O21" s="181">
        <f t="shared" si="1"/>
        <v>1.2139677963788323E-2</v>
      </c>
      <c r="P21" s="181">
        <f t="shared" si="1"/>
        <v>1.1775487624874676E-2</v>
      </c>
      <c r="Q21" s="181">
        <f t="shared" si="1"/>
        <v>6.1727094506018598E-3</v>
      </c>
      <c r="R21" s="181">
        <f t="shared" si="1"/>
        <v>3.5683307784952265E-4</v>
      </c>
      <c r="S21" s="104">
        <f t="shared" si="1"/>
        <v>43.766684655644816</v>
      </c>
    </row>
    <row r="22" spans="1:19" x14ac:dyDescent="0.25">
      <c r="A22" s="451" t="s">
        <v>128</v>
      </c>
      <c r="B22" s="18">
        <v>34029</v>
      </c>
      <c r="C22" s="304">
        <v>102373.06687443743</v>
      </c>
      <c r="D22" s="181">
        <v>0.5732674774450699</v>
      </c>
      <c r="E22" s="181">
        <v>13.26437379658994</v>
      </c>
      <c r="F22" s="181">
        <v>3.1509709978730629</v>
      </c>
      <c r="G22" s="181">
        <v>0.33183652358683702</v>
      </c>
      <c r="H22" s="181">
        <v>0.32188142787923185</v>
      </c>
      <c r="I22" s="181">
        <v>0.1707926718047757</v>
      </c>
      <c r="J22" s="181">
        <v>9.8586159968006015E-3</v>
      </c>
      <c r="K22" s="104">
        <v>1209.1898544647343</v>
      </c>
      <c r="L22" s="445">
        <f t="shared" si="0"/>
        <v>1.5705958286166299E-3</v>
      </c>
      <c r="M22" s="181">
        <f t="shared" si="1"/>
        <v>3.6340750127643671E-2</v>
      </c>
      <c r="N22" s="181">
        <f t="shared" si="1"/>
        <v>8.6327972544467477E-3</v>
      </c>
      <c r="O22" s="181">
        <f t="shared" si="1"/>
        <v>9.0914116051188224E-4</v>
      </c>
      <c r="P22" s="181">
        <f t="shared" si="1"/>
        <v>8.8186692569652565E-4</v>
      </c>
      <c r="Q22" s="181">
        <f t="shared" si="1"/>
        <v>4.6792512823226216E-4</v>
      </c>
      <c r="R22" s="181">
        <f t="shared" si="1"/>
        <v>2.7009906840549595E-5</v>
      </c>
      <c r="S22" s="104">
        <f t="shared" si="1"/>
        <v>3.3128489163417378</v>
      </c>
    </row>
    <row r="23" spans="1:19" x14ac:dyDescent="0.25">
      <c r="A23" s="68" t="s">
        <v>129</v>
      </c>
      <c r="B23" s="18">
        <v>34031</v>
      </c>
      <c r="C23" s="304">
        <v>1386107.4669818135</v>
      </c>
      <c r="D23" s="181">
        <v>7.9017547460192414</v>
      </c>
      <c r="E23" s="181">
        <v>182.06209321896893</v>
      </c>
      <c r="F23" s="181">
        <v>42.601161605020785</v>
      </c>
      <c r="G23" s="181">
        <v>4.5479928835094015</v>
      </c>
      <c r="H23" s="181">
        <v>4.411553097004119</v>
      </c>
      <c r="I23" s="181">
        <v>2.3091187501947421</v>
      </c>
      <c r="J23" s="181">
        <v>0.13348336300242117</v>
      </c>
      <c r="K23" s="104">
        <v>16372.148822384599</v>
      </c>
      <c r="L23" s="445">
        <f t="shared" si="0"/>
        <v>2.1648643139778743E-2</v>
      </c>
      <c r="M23" s="181">
        <f t="shared" si="1"/>
        <v>0.4988002553944354</v>
      </c>
      <c r="N23" s="181">
        <f t="shared" si="1"/>
        <v>0.11671551124663229</v>
      </c>
      <c r="O23" s="181">
        <f t="shared" si="1"/>
        <v>1.2460254475368223E-2</v>
      </c>
      <c r="P23" s="181">
        <f t="shared" si="1"/>
        <v>1.2086446841107176E-2</v>
      </c>
      <c r="Q23" s="181">
        <f t="shared" si="1"/>
        <v>6.3263527402595676E-3</v>
      </c>
      <c r="R23" s="181">
        <f t="shared" si="1"/>
        <v>3.6570784384224977E-4</v>
      </c>
      <c r="S23" s="104">
        <f t="shared" si="1"/>
        <v>44.855202253108487</v>
      </c>
    </row>
    <row r="24" spans="1:19" x14ac:dyDescent="0.25">
      <c r="A24" s="451" t="s">
        <v>130</v>
      </c>
      <c r="B24" s="18">
        <v>34033</v>
      </c>
      <c r="C24" s="304">
        <v>44101.617022246355</v>
      </c>
      <c r="D24" s="181">
        <v>0.46312952283222558</v>
      </c>
      <c r="E24" s="181">
        <v>9.368679490395138</v>
      </c>
      <c r="F24" s="181">
        <v>1.2611909286707186</v>
      </c>
      <c r="G24" s="181">
        <v>0.22014066658678275</v>
      </c>
      <c r="H24" s="181">
        <v>0.21353644658917928</v>
      </c>
      <c r="I24" s="181">
        <v>6.8360568380038095E-2</v>
      </c>
      <c r="J24" s="181">
        <v>4.2470243427752243E-3</v>
      </c>
      <c r="K24" s="104">
        <v>520.91071897060988</v>
      </c>
      <c r="L24" s="445">
        <f t="shared" si="0"/>
        <v>1.2688480077595221E-3</v>
      </c>
      <c r="M24" s="181">
        <f t="shared" ref="M24:S28" si="2">E24/365</f>
        <v>2.566761504217846E-2</v>
      </c>
      <c r="N24" s="181">
        <f t="shared" si="2"/>
        <v>3.4553176127964892E-3</v>
      </c>
      <c r="O24" s="181">
        <f t="shared" si="2"/>
        <v>6.0312511393639107E-4</v>
      </c>
      <c r="P24" s="181">
        <f t="shared" si="2"/>
        <v>5.8503136051829942E-4</v>
      </c>
      <c r="Q24" s="181">
        <f t="shared" si="2"/>
        <v>1.8728922843846055E-4</v>
      </c>
      <c r="R24" s="181">
        <f t="shared" si="2"/>
        <v>1.1635683130891025E-5</v>
      </c>
      <c r="S24" s="104">
        <f t="shared" si="2"/>
        <v>1.4271526547139997</v>
      </c>
    </row>
    <row r="25" spans="1:19" x14ac:dyDescent="0.25">
      <c r="A25" s="68" t="s">
        <v>131</v>
      </c>
      <c r="B25" s="18">
        <v>34035</v>
      </c>
      <c r="C25" s="304">
        <v>2011715.0584668941</v>
      </c>
      <c r="D25" s="181">
        <v>11.788002174608764</v>
      </c>
      <c r="E25" s="181">
        <v>271.49359496363013</v>
      </c>
      <c r="F25" s="181">
        <v>61.686444673007003</v>
      </c>
      <c r="G25" s="181">
        <v>6.8074996208414458</v>
      </c>
      <c r="H25" s="181">
        <v>6.6032746322162019</v>
      </c>
      <c r="I25" s="181">
        <v>3.3436019268193742</v>
      </c>
      <c r="J25" s="181">
        <v>0.19372992196015393</v>
      </c>
      <c r="K25" s="104">
        <v>23761.576291893871</v>
      </c>
      <c r="L25" s="445">
        <f t="shared" si="0"/>
        <v>3.2295896368791134E-2</v>
      </c>
      <c r="M25" s="181">
        <f t="shared" si="2"/>
        <v>0.74381806839350717</v>
      </c>
      <c r="N25" s="181">
        <f t="shared" si="2"/>
        <v>0.16900395800823836</v>
      </c>
      <c r="O25" s="181">
        <f t="shared" si="2"/>
        <v>1.8650683892716291E-2</v>
      </c>
      <c r="P25" s="181">
        <f t="shared" si="2"/>
        <v>1.8091163375934801E-2</v>
      </c>
      <c r="Q25" s="181">
        <f t="shared" si="2"/>
        <v>9.1605532241626694E-3</v>
      </c>
      <c r="R25" s="181">
        <f t="shared" si="2"/>
        <v>5.307669094798738E-4</v>
      </c>
      <c r="S25" s="104">
        <f t="shared" si="2"/>
        <v>65.100209018887313</v>
      </c>
    </row>
    <row r="26" spans="1:19" x14ac:dyDescent="0.25">
      <c r="A26" s="68" t="s">
        <v>132</v>
      </c>
      <c r="B26" s="18">
        <v>34037</v>
      </c>
      <c r="C26" s="304">
        <v>110097</v>
      </c>
      <c r="D26" s="181">
        <v>0.71181060718806177</v>
      </c>
      <c r="E26" s="181">
        <v>16.077665739317414</v>
      </c>
      <c r="F26" s="181">
        <v>3.3462905088753048</v>
      </c>
      <c r="G26" s="181">
        <v>0.40097687137634064</v>
      </c>
      <c r="H26" s="181">
        <v>0.38894756523505036</v>
      </c>
      <c r="I26" s="181">
        <v>0.18137961188203855</v>
      </c>
      <c r="J26" s="181">
        <v>1.0602437521296741E-2</v>
      </c>
      <c r="K26" s="104">
        <v>1300.4218733652685</v>
      </c>
      <c r="L26" s="445">
        <f t="shared" si="0"/>
        <v>1.9501660470905803E-3</v>
      </c>
      <c r="M26" s="181">
        <f t="shared" si="2"/>
        <v>4.4048399285801135E-2</v>
      </c>
      <c r="N26" s="181">
        <f t="shared" si="2"/>
        <v>9.1679192023980949E-3</v>
      </c>
      <c r="O26" s="181">
        <f t="shared" si="2"/>
        <v>1.0985667708940839E-3</v>
      </c>
      <c r="P26" s="181">
        <f t="shared" si="2"/>
        <v>1.0656097677672614E-3</v>
      </c>
      <c r="Q26" s="181">
        <f t="shared" si="2"/>
        <v>4.9693044351243438E-4</v>
      </c>
      <c r="R26" s="181">
        <f t="shared" si="2"/>
        <v>2.9047774030949976E-5</v>
      </c>
      <c r="S26" s="104">
        <f t="shared" si="2"/>
        <v>3.5627996530555301</v>
      </c>
    </row>
    <row r="27" spans="1:19" x14ac:dyDescent="0.25">
      <c r="A27" s="68" t="s">
        <v>117</v>
      </c>
      <c r="B27" s="18">
        <v>34039</v>
      </c>
      <c r="C27" s="304">
        <v>2118725.6420590491</v>
      </c>
      <c r="D27" s="181">
        <v>16.985288759500943</v>
      </c>
      <c r="E27" s="181">
        <v>323.47641616686781</v>
      </c>
      <c r="F27" s="181">
        <v>66.672937163158394</v>
      </c>
      <c r="G27" s="181">
        <v>8.7872868902209706</v>
      </c>
      <c r="H27" s="181">
        <v>8.4309589609266649</v>
      </c>
      <c r="I27" s="181">
        <v>3.4361179256922902</v>
      </c>
      <c r="J27" s="181">
        <v>0.18774030469935502</v>
      </c>
      <c r="K27" s="104">
        <v>43273.07751745182</v>
      </c>
      <c r="L27" s="445">
        <f t="shared" si="0"/>
        <v>4.653503769726286E-2</v>
      </c>
      <c r="M27" s="181">
        <f t="shared" si="2"/>
        <v>0.88623675662155565</v>
      </c>
      <c r="N27" s="181">
        <f t="shared" si="2"/>
        <v>0.1826655812689271</v>
      </c>
      <c r="O27" s="181">
        <f t="shared" si="2"/>
        <v>2.4074758603345126E-2</v>
      </c>
      <c r="P27" s="181">
        <f t="shared" si="2"/>
        <v>2.3098517701168945E-2</v>
      </c>
      <c r="Q27" s="181">
        <f t="shared" si="2"/>
        <v>9.4140217142254529E-3</v>
      </c>
      <c r="R27" s="181">
        <f t="shared" si="2"/>
        <v>5.1435699917631514E-4</v>
      </c>
      <c r="S27" s="104">
        <f t="shared" si="2"/>
        <v>118.55637676014197</v>
      </c>
    </row>
    <row r="28" spans="1:19" ht="15.75" thickBot="1" x14ac:dyDescent="0.3">
      <c r="A28" s="68" t="s">
        <v>133</v>
      </c>
      <c r="B28" s="18">
        <v>34041</v>
      </c>
      <c r="C28" s="508">
        <v>252068.84018158109</v>
      </c>
      <c r="D28" s="184">
        <v>1.4595534289942136</v>
      </c>
      <c r="E28" s="184">
        <v>33.861832350620119</v>
      </c>
      <c r="F28" s="184">
        <v>7.7371253954239059</v>
      </c>
      <c r="G28" s="184">
        <v>0.85369895689727304</v>
      </c>
      <c r="H28" s="184">
        <v>0.82808798819035467</v>
      </c>
      <c r="I28" s="184">
        <v>0.4193768585191735</v>
      </c>
      <c r="J28" s="184">
        <v>2.4274450067585371E-2</v>
      </c>
      <c r="K28" s="254">
        <v>2977.3366519155124</v>
      </c>
      <c r="L28" s="509">
        <f t="shared" si="0"/>
        <v>3.9987765177923662E-3</v>
      </c>
      <c r="M28" s="184">
        <f t="shared" si="2"/>
        <v>9.2772143426356493E-2</v>
      </c>
      <c r="N28" s="184">
        <f t="shared" si="2"/>
        <v>2.1197603823079194E-2</v>
      </c>
      <c r="O28" s="184">
        <f t="shared" si="2"/>
        <v>2.3389012517733509E-3</v>
      </c>
      <c r="P28" s="184">
        <f t="shared" si="2"/>
        <v>2.26873421422015E-3</v>
      </c>
      <c r="Q28" s="184">
        <f t="shared" si="2"/>
        <v>1.1489776945730781E-3</v>
      </c>
      <c r="R28" s="184">
        <f t="shared" si="2"/>
        <v>6.650534265091883E-5</v>
      </c>
      <c r="S28" s="254">
        <f t="shared" si="2"/>
        <v>8.1570867175767461</v>
      </c>
    </row>
    <row r="29" spans="1:19" ht="15.75" thickBot="1" x14ac:dyDescent="0.3">
      <c r="A29" s="513" t="s">
        <v>119</v>
      </c>
      <c r="B29" s="514" t="s">
        <v>4</v>
      </c>
      <c r="C29" s="517">
        <f>SUM(C8:C28)</f>
        <v>26615327.259524513</v>
      </c>
      <c r="D29" s="58">
        <f t="shared" ref="D29:S29" si="3">SUM(D8:D28)</f>
        <v>187.88097063778298</v>
      </c>
      <c r="E29" s="58">
        <f t="shared" si="3"/>
        <v>3960.5525449061624</v>
      </c>
      <c r="F29" s="58">
        <f t="shared" si="3"/>
        <v>811.72421321728575</v>
      </c>
      <c r="G29" s="58">
        <f t="shared" si="3"/>
        <v>100.42097528712655</v>
      </c>
      <c r="H29" s="58">
        <f t="shared" si="3"/>
        <v>97.058622722975088</v>
      </c>
      <c r="I29" s="58">
        <f t="shared" si="3"/>
        <v>42.780817775451283</v>
      </c>
      <c r="J29" s="58">
        <f t="shared" si="3"/>
        <v>2.4935709981232033</v>
      </c>
      <c r="K29" s="59">
        <f t="shared" si="3"/>
        <v>331961.3217363506</v>
      </c>
      <c r="L29" s="518">
        <f t="shared" si="3"/>
        <v>0.51474238530899452</v>
      </c>
      <c r="M29" s="58">
        <f t="shared" si="3"/>
        <v>10.850828890153871</v>
      </c>
      <c r="N29" s="58">
        <f t="shared" si="3"/>
        <v>2.22390195401996</v>
      </c>
      <c r="O29" s="58">
        <f t="shared" si="3"/>
        <v>0.27512595969075765</v>
      </c>
      <c r="P29" s="58">
        <f t="shared" si="3"/>
        <v>0.26591403485746601</v>
      </c>
      <c r="Q29" s="58">
        <f t="shared" si="3"/>
        <v>0.11720771993274325</v>
      </c>
      <c r="R29" s="58">
        <f t="shared" si="3"/>
        <v>6.8317013647211048E-3</v>
      </c>
      <c r="S29" s="59">
        <f t="shared" si="3"/>
        <v>909.48307325027554</v>
      </c>
    </row>
    <row r="30" spans="1:19" x14ac:dyDescent="0.25">
      <c r="A30" s="515"/>
      <c r="B30" s="516">
        <v>34001</v>
      </c>
      <c r="C30" s="510"/>
      <c r="D30" s="511"/>
      <c r="E30" s="511"/>
      <c r="F30" s="511"/>
      <c r="G30" s="511"/>
      <c r="H30" s="511"/>
      <c r="I30" s="511"/>
      <c r="J30" s="511"/>
      <c r="K30" s="511"/>
      <c r="L30" s="511"/>
      <c r="M30" s="561">
        <f>M9+M14+M16+M17+M19+M20+M21+M23+M26+M27+M28+M25</f>
        <v>9.1364132249069367</v>
      </c>
      <c r="N30" s="511"/>
      <c r="O30" s="511"/>
      <c r="P30" s="511"/>
      <c r="Q30" s="511">
        <f>'TOT RAIL SCC cty 2 '!N89</f>
        <v>4.4400219254088031E-3</v>
      </c>
      <c r="R30" s="511"/>
      <c r="S30" s="511"/>
    </row>
    <row r="31" spans="1:19" x14ac:dyDescent="0.25">
      <c r="M31" s="512">
        <f>'TOT RAIL SCC cty 2 '!O91</f>
        <v>10.850828890153871</v>
      </c>
    </row>
    <row r="32" spans="1:19" x14ac:dyDescent="0.25">
      <c r="A32" s="566" t="s">
        <v>1021</v>
      </c>
      <c r="B32" s="567"/>
      <c r="C32" s="567"/>
      <c r="D32" s="567"/>
      <c r="E32" s="567"/>
      <c r="F32" s="567"/>
      <c r="G32" s="567"/>
      <c r="M32" t="str">
        <f>'TOT RAIL cty'!A5</f>
        <v>CONTROLLED 2017</v>
      </c>
    </row>
    <row r="33" spans="1:13" x14ac:dyDescent="0.25">
      <c r="A33" s="139" t="s">
        <v>1022</v>
      </c>
      <c r="B33" s="567"/>
      <c r="C33" s="567"/>
      <c r="D33" s="567"/>
      <c r="E33" s="567"/>
      <c r="F33" s="567"/>
      <c r="G33" s="567"/>
      <c r="M33">
        <f>'TOT RAIL cty NAA'!E20</f>
        <v>3334.790827091032</v>
      </c>
    </row>
    <row r="34" spans="1:13" x14ac:dyDescent="0.25">
      <c r="A34" s="139" t="s">
        <v>1023</v>
      </c>
      <c r="B34" s="567"/>
      <c r="C34" s="567"/>
      <c r="D34" s="567"/>
      <c r="E34" s="567"/>
      <c r="F34" s="567"/>
      <c r="G34" s="567"/>
    </row>
    <row r="35" spans="1:13" x14ac:dyDescent="0.25">
      <c r="A35" s="568" t="s">
        <v>1024</v>
      </c>
      <c r="B35" s="567"/>
      <c r="C35" s="567"/>
      <c r="D35" s="567"/>
      <c r="E35" s="567"/>
      <c r="F35" s="567"/>
      <c r="G35" s="567"/>
    </row>
    <row r="36" spans="1:13" x14ac:dyDescent="0.25">
      <c r="A36" s="569" t="s">
        <v>1025</v>
      </c>
      <c r="B36" s="570"/>
      <c r="C36" s="570"/>
      <c r="D36" s="570"/>
      <c r="E36" s="570"/>
      <c r="F36" s="570"/>
      <c r="G36" s="56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workbookViewId="0">
      <selection activeCell="A5" sqref="A5"/>
    </sheetView>
  </sheetViews>
  <sheetFormatPr defaultRowHeight="15" x14ac:dyDescent="0.25"/>
  <cols>
    <col min="1" max="1" width="13.42578125" customWidth="1"/>
    <col min="2" max="2" width="35.5703125" customWidth="1"/>
    <col min="5" max="6" width="11.85546875" customWidth="1"/>
    <col min="15" max="15" width="14.42578125" customWidth="1"/>
    <col min="16" max="16" width="12.42578125" customWidth="1"/>
    <col min="22" max="22" width="14.42578125" customWidth="1"/>
  </cols>
  <sheetData>
    <row r="1" spans="1:26" x14ac:dyDescent="0.25">
      <c r="A1" s="566" t="s">
        <v>1032</v>
      </c>
    </row>
    <row r="2" spans="1:26" x14ac:dyDescent="0.25">
      <c r="A2" s="139" t="s">
        <v>1027</v>
      </c>
    </row>
    <row r="3" spans="1:26" x14ac:dyDescent="0.25">
      <c r="A3" s="139" t="s">
        <v>1023</v>
      </c>
    </row>
    <row r="4" spans="1:26" x14ac:dyDescent="0.25">
      <c r="A4" s="568" t="s">
        <v>1033</v>
      </c>
      <c r="B4" s="31"/>
    </row>
    <row r="5" spans="1:26" ht="15.75" thickBot="1" x14ac:dyDescent="0.3">
      <c r="A5" s="569" t="s">
        <v>1059</v>
      </c>
      <c r="B5" s="31"/>
    </row>
    <row r="6" spans="1:26" ht="30.75" thickBot="1" x14ac:dyDescent="0.3">
      <c r="A6" s="457" t="s">
        <v>80</v>
      </c>
      <c r="B6" s="457" t="s">
        <v>118</v>
      </c>
      <c r="C6" s="183" t="s">
        <v>68</v>
      </c>
      <c r="D6" s="458" t="s">
        <v>4</v>
      </c>
      <c r="E6" s="459" t="s">
        <v>823</v>
      </c>
      <c r="F6" s="477" t="s">
        <v>969</v>
      </c>
      <c r="G6" s="477" t="s">
        <v>979</v>
      </c>
      <c r="H6" s="477" t="s">
        <v>965</v>
      </c>
      <c r="I6" s="477" t="s">
        <v>966</v>
      </c>
      <c r="J6" s="477" t="s">
        <v>967</v>
      </c>
      <c r="K6" s="477" t="s">
        <v>968</v>
      </c>
      <c r="L6" s="477" t="s">
        <v>970</v>
      </c>
      <c r="M6" s="485" t="s">
        <v>971</v>
      </c>
      <c r="N6" s="477" t="s">
        <v>976</v>
      </c>
      <c r="O6" s="507" t="s">
        <v>980</v>
      </c>
      <c r="P6" s="477" t="s">
        <v>972</v>
      </c>
      <c r="Q6" s="477" t="s">
        <v>973</v>
      </c>
      <c r="R6" s="477" t="s">
        <v>974</v>
      </c>
      <c r="S6" s="477" t="s">
        <v>975</v>
      </c>
      <c r="T6" s="477" t="s">
        <v>977</v>
      </c>
      <c r="U6" s="485" t="s">
        <v>978</v>
      </c>
    </row>
    <row r="7" spans="1:26" x14ac:dyDescent="0.25">
      <c r="A7" s="476">
        <v>2285002006</v>
      </c>
      <c r="B7" s="477" t="s">
        <v>71</v>
      </c>
      <c r="C7" s="477" t="s">
        <v>120</v>
      </c>
      <c r="D7" s="477" t="s">
        <v>37</v>
      </c>
      <c r="E7" s="477">
        <f>'CLASS 1 LINE HAUL COMPILE EMISS'!E4</f>
        <v>24853.332278682559</v>
      </c>
      <c r="F7" s="477">
        <f>'CLASS 1 LINE HAUL COMPILE EMISS'!K4</f>
        <v>0.1391733933201342</v>
      </c>
      <c r="G7" s="477">
        <f>'CLASS 1 LINE HAUL COMPILE EMISS'!F4</f>
        <v>3.2754793423542052</v>
      </c>
      <c r="H7" s="477">
        <f>'CLASS 1 LINE HAUL COMPILE EMISS'!G4</f>
        <v>0.76496808781437176</v>
      </c>
      <c r="I7" s="477">
        <f>'CLASS 1 LINE HAUL COMPILE EMISS'!H4</f>
        <v>8.332359730550172E-2</v>
      </c>
      <c r="J7" s="477">
        <f>'CLASS 1 LINE HAUL COMPILE EMISS'!I4</f>
        <v>8.0823889386336653E-2</v>
      </c>
      <c r="K7" s="477">
        <f>'CLASS 1 LINE HAUL COMPILE EMISS'!J4</f>
        <v>4.1463708695318853E-2</v>
      </c>
      <c r="L7" s="477">
        <f>'CLASS 1 LINE HAUL COMPILE EMISS'!L4</f>
        <v>2.3933976646117456E-3</v>
      </c>
      <c r="M7" s="477">
        <f>'CLASS 1 LINE HAUL COMPILE EMISS'!M4</f>
        <v>293.5576529897624</v>
      </c>
      <c r="N7" s="477">
        <f t="shared" ref="N7:N38" si="0">F7/365</f>
        <v>3.8129696800036768E-4</v>
      </c>
      <c r="O7" s="477">
        <f t="shared" ref="O7:O38" si="1">G7/365</f>
        <v>8.9739160064498773E-3</v>
      </c>
      <c r="P7" s="477">
        <f t="shared" ref="P7:P38" si="2">H7/365</f>
        <v>2.0958029803133473E-3</v>
      </c>
      <c r="Q7" s="477">
        <f t="shared" ref="Q7:Q38" si="3">I7/365</f>
        <v>2.2828382823425128E-4</v>
      </c>
      <c r="R7" s="477">
        <f t="shared" ref="R7:R38" si="4">J7/365</f>
        <v>2.2143531338722372E-4</v>
      </c>
      <c r="S7" s="477">
        <f t="shared" ref="S7:S38" si="5">K7/365</f>
        <v>1.1359920190498316E-4</v>
      </c>
      <c r="T7" s="477">
        <f t="shared" ref="T7:T38" si="6">L7/365</f>
        <v>6.5572538756486184E-6</v>
      </c>
      <c r="U7" s="485">
        <f t="shared" ref="U7:U38" si="7">M7/365</f>
        <v>0.80426754243770526</v>
      </c>
    </row>
    <row r="8" spans="1:26" x14ac:dyDescent="0.25">
      <c r="A8" s="303">
        <v>2285002007</v>
      </c>
      <c r="B8" s="360" t="s">
        <v>74</v>
      </c>
      <c r="C8" s="360" t="s">
        <v>120</v>
      </c>
      <c r="D8" s="360" t="s">
        <v>37</v>
      </c>
      <c r="E8" s="110">
        <f>'LINE HAUL CLASS 23 TOTAL BY CTY'!D4</f>
        <v>2137.6</v>
      </c>
      <c r="F8" s="110">
        <f>'LINE HAUL CLASS 23 TOTAL BY CTY'!J4</f>
        <v>3.0445706820032861E-2</v>
      </c>
      <c r="G8" s="110">
        <f>'LINE HAUL CLASS 23 TOTAL BY CTY'!E4</f>
        <v>0.58567970360206389</v>
      </c>
      <c r="H8" s="110">
        <f>'LINE HAUL CLASS 23 TOTAL BY CTY'!F4</f>
        <v>5.7569596519467012E-2</v>
      </c>
      <c r="I8" s="110">
        <f>'LINE HAUL CLASS 23 TOTAL BY CTY'!G4</f>
        <v>1.3344600841566016E-2</v>
      </c>
      <c r="J8" s="110">
        <f>'LINE HAUL CLASS 23 TOTAL BY CTY'!H4</f>
        <v>1.2944262816319038E-2</v>
      </c>
      <c r="K8" s="110">
        <f>'LINE HAUL CLASS 23 TOTAL BY CTY'!I4</f>
        <v>3.1204556344440176E-3</v>
      </c>
      <c r="L8" s="110">
        <f>'LINE HAUL CLASS 23 TOTAL BY CTY'!K4</f>
        <v>2.058527520779305E-4</v>
      </c>
      <c r="M8" s="110">
        <f>'LINE HAUL CLASS 23 TOTAL BY CTY'!L4</f>
        <v>25.248479036718518</v>
      </c>
      <c r="N8" s="360">
        <f t="shared" si="0"/>
        <v>8.3412895397350306E-5</v>
      </c>
      <c r="O8" s="360">
        <f t="shared" si="1"/>
        <v>1.6046019276768873E-3</v>
      </c>
      <c r="P8" s="360">
        <f t="shared" si="2"/>
        <v>1.5772492197114251E-4</v>
      </c>
      <c r="Q8" s="360">
        <f t="shared" si="3"/>
        <v>3.6560550250865796E-5</v>
      </c>
      <c r="R8" s="360">
        <f t="shared" si="4"/>
        <v>3.5463733743339832E-5</v>
      </c>
      <c r="S8" s="360">
        <f t="shared" si="5"/>
        <v>8.5491935190247055E-6</v>
      </c>
      <c r="T8" s="360">
        <f t="shared" si="6"/>
        <v>5.6398014267926164E-7</v>
      </c>
      <c r="U8" s="298">
        <f t="shared" si="7"/>
        <v>6.9173915169091826E-2</v>
      </c>
    </row>
    <row r="9" spans="1:26" x14ac:dyDescent="0.25">
      <c r="A9" s="303">
        <v>2285002009</v>
      </c>
      <c r="B9" s="360" t="s">
        <v>76</v>
      </c>
      <c r="C9" s="360" t="s">
        <v>120</v>
      </c>
      <c r="D9" s="360" t="s">
        <v>37</v>
      </c>
      <c r="E9" s="110">
        <f>'NJT COMMUTER EMIS CTY'!E4</f>
        <v>531545.6792873051</v>
      </c>
      <c r="F9" s="110">
        <f>'NJT COMMUTER EMIS CTY'!K4</f>
        <v>2.9765431476777184</v>
      </c>
      <c r="G9" s="110">
        <f>'NJT COMMUTER EMIS CTY'!F4</f>
        <v>68.824648527995478</v>
      </c>
      <c r="H9" s="110">
        <f>'NJT COMMUTER EMIS CTY'!G4</f>
        <v>16.360602164369212</v>
      </c>
      <c r="I9" s="110">
        <f>'NJT COMMUTER EMIS CTY'!H4</f>
        <v>1.720616213199887</v>
      </c>
      <c r="J9" s="110">
        <f>'NJT COMMUTER EMIS CTY'!I4</f>
        <v>1.6689977268038902</v>
      </c>
      <c r="K9" s="110">
        <f>'NJT COMMUTER EMIS CTY'!J4</f>
        <v>0.88679678672821016</v>
      </c>
      <c r="L9" s="110">
        <f>'NJT COMMUTER EMIS CTY'!L4</f>
        <v>5.1188314435078951E-2</v>
      </c>
      <c r="M9" s="110">
        <f>'NJT COMMUTER EMIS CTY'!M4</f>
        <v>6278.4056608083019</v>
      </c>
      <c r="N9" s="360">
        <f t="shared" si="0"/>
        <v>8.1549127333636114E-3</v>
      </c>
      <c r="O9" s="360">
        <f t="shared" si="1"/>
        <v>0.18856068089861774</v>
      </c>
      <c r="P9" s="360">
        <f t="shared" si="2"/>
        <v>4.4823567573614276E-2</v>
      </c>
      <c r="Q9" s="360">
        <f t="shared" si="3"/>
        <v>4.7140170224654436E-3</v>
      </c>
      <c r="R9" s="360">
        <f t="shared" si="4"/>
        <v>4.5725965117914798E-3</v>
      </c>
      <c r="S9" s="360">
        <f t="shared" si="5"/>
        <v>2.4295802376115348E-3</v>
      </c>
      <c r="T9" s="360">
        <f t="shared" si="6"/>
        <v>1.4024195735638068E-4</v>
      </c>
      <c r="U9" s="298">
        <f t="shared" si="7"/>
        <v>17.201111399474801</v>
      </c>
    </row>
    <row r="10" spans="1:26" x14ac:dyDescent="0.25">
      <c r="A10" s="451">
        <v>2285002010</v>
      </c>
      <c r="B10" s="18" t="s">
        <v>78</v>
      </c>
      <c r="C10" s="360" t="s">
        <v>120</v>
      </c>
      <c r="D10" s="360" t="s">
        <v>37</v>
      </c>
      <c r="E10" s="304">
        <f>'2017 YARD EMIS CTY COMPILE 2 '!D4</f>
        <v>4719</v>
      </c>
      <c r="F10" s="304">
        <f>'2017 YARD EMIS CTY COMPILE 2 '!J4</f>
        <v>2.6425399850346636E-2</v>
      </c>
      <c r="G10" s="304">
        <f>'2017 YARD EMIS CTY COMPILE 2 '!E4</f>
        <v>0.61101713184665418</v>
      </c>
      <c r="H10" s="304">
        <f>'2017 YARD EMIS CTY COMPILE 2 '!F4</f>
        <v>0.14524750105611894</v>
      </c>
      <c r="I10" s="304">
        <f>'2017 YARD EMIS CTY COMPILE 2 '!G4</f>
        <v>1.5275428296166354E-2</v>
      </c>
      <c r="J10" s="304">
        <f>'2017 YARD EMIS CTY COMPILE 2 '!H4</f>
        <v>1.4817165447281361E-2</v>
      </c>
      <c r="K10" s="304">
        <f>'2017 YARD EMIS CTY COMPILE 2 '!I4</f>
        <v>7.8728775336512624E-3</v>
      </c>
      <c r="L10" s="304">
        <f>'2017 YARD EMIS CTY COMPILE 2 '!K4</f>
        <v>4.5444383282922622E-4</v>
      </c>
      <c r="M10" s="304">
        <f>'2017 YARD EMIS CTY COMPILE 2 '!L4</f>
        <v>55.73894675068987</v>
      </c>
      <c r="N10" s="360">
        <f t="shared" si="0"/>
        <v>7.2398355754374344E-5</v>
      </c>
      <c r="O10" s="360">
        <f t="shared" si="1"/>
        <v>1.6740195393059019E-3</v>
      </c>
      <c r="P10" s="360">
        <f t="shared" si="2"/>
        <v>3.9793835905786013E-4</v>
      </c>
      <c r="Q10" s="360">
        <f t="shared" si="3"/>
        <v>4.1850488482647548E-5</v>
      </c>
      <c r="R10" s="360">
        <f t="shared" si="4"/>
        <v>4.0594973828168114E-5</v>
      </c>
      <c r="S10" s="360">
        <f t="shared" si="5"/>
        <v>2.1569527489455513E-5</v>
      </c>
      <c r="T10" s="360">
        <f t="shared" si="6"/>
        <v>1.2450515967924007E-6</v>
      </c>
      <c r="U10" s="298">
        <f t="shared" si="7"/>
        <v>0.15270944315257498</v>
      </c>
    </row>
    <row r="11" spans="1:26" x14ac:dyDescent="0.25">
      <c r="A11" s="303">
        <v>2285002006</v>
      </c>
      <c r="B11" s="360" t="s">
        <v>71</v>
      </c>
      <c r="C11" s="360" t="s">
        <v>113</v>
      </c>
      <c r="D11" s="360" t="s">
        <v>65</v>
      </c>
      <c r="E11" s="360">
        <f>'CLASS 1 LINE HAUL COMPILE EMISS'!E5</f>
        <v>1250982.1137166743</v>
      </c>
      <c r="F11" s="360">
        <f>'CLASS 1 LINE HAUL COMPILE EMISS'!K5</f>
        <v>7.0052347023934995</v>
      </c>
      <c r="G11" s="360">
        <f>'CLASS 1 LINE HAUL COMPILE EMISS'!F5</f>
        <v>164.86988646782669</v>
      </c>
      <c r="H11" s="360">
        <f>'CLASS 1 LINE HAUL COMPILE EMISS'!G5</f>
        <v>38.504349625608938</v>
      </c>
      <c r="I11" s="360">
        <f>'CLASS 1 LINE HAUL COMPILE EMISS'!H5</f>
        <v>4.1940585154096262</v>
      </c>
      <c r="J11" s="360">
        <f>'CLASS 1 LINE HAUL COMPILE EMISS'!I5</f>
        <v>4.0682367599473377</v>
      </c>
      <c r="K11" s="360">
        <f>'CLASS 1 LINE HAUL COMPILE EMISS'!J5</f>
        <v>2.0870584823224356</v>
      </c>
      <c r="L11" s="360">
        <f>'CLASS 1 LINE HAUL COMPILE EMISS'!L5</f>
        <v>0.12047067314223617</v>
      </c>
      <c r="M11" s="360">
        <f>'CLASS 1 LINE HAUL COMPILE EMISS'!M5</f>
        <v>14776.1020179104</v>
      </c>
      <c r="N11" s="360">
        <f t="shared" si="0"/>
        <v>1.9192423842173973E-2</v>
      </c>
      <c r="O11" s="360">
        <f t="shared" si="1"/>
        <v>0.45169831908993613</v>
      </c>
      <c r="P11" s="360">
        <f t="shared" si="2"/>
        <v>0.10549136883728476</v>
      </c>
      <c r="Q11" s="360">
        <f t="shared" si="3"/>
        <v>1.1490571275094867E-2</v>
      </c>
      <c r="R11" s="360">
        <f t="shared" si="4"/>
        <v>1.1145854136842021E-2</v>
      </c>
      <c r="S11" s="360">
        <f t="shared" si="5"/>
        <v>5.7179684447190016E-3</v>
      </c>
      <c r="T11" s="360">
        <f t="shared" si="6"/>
        <v>3.300566387458525E-4</v>
      </c>
      <c r="U11" s="298">
        <f t="shared" si="7"/>
        <v>40.482471281946303</v>
      </c>
    </row>
    <row r="12" spans="1:26" x14ac:dyDescent="0.25">
      <c r="A12" s="303">
        <v>2285002007</v>
      </c>
      <c r="B12" s="360" t="s">
        <v>74</v>
      </c>
      <c r="C12" s="360" t="s">
        <v>113</v>
      </c>
      <c r="D12" s="360" t="s">
        <v>65</v>
      </c>
      <c r="E12" s="110">
        <f>'LINE HAUL CLASS 23 TOTAL BY CTY'!D5</f>
        <v>84184.540000000008</v>
      </c>
      <c r="F12" s="110">
        <f>'LINE HAUL CLASS 23 TOTAL BY CTY'!J5</f>
        <v>0.73228783668675101</v>
      </c>
      <c r="G12" s="110">
        <f>'LINE HAUL CLASS 23 TOTAL BY CTY'!E5</f>
        <v>15.386746575245551</v>
      </c>
      <c r="H12" s="110">
        <f>'LINE HAUL CLASS 23 TOTAL BY CTY'!F5</f>
        <v>2.4750162637726412</v>
      </c>
      <c r="I12" s="110">
        <f>'LINE HAUL CLASS 23 TOTAL BY CTY'!G5</f>
        <v>0.36947123230717027</v>
      </c>
      <c r="J12" s="110">
        <f>'LINE HAUL CLASS 23 TOTAL BY CTY'!H5</f>
        <v>0.35838709533795521</v>
      </c>
      <c r="K12" s="110">
        <f>'LINE HAUL CLASS 23 TOTAL BY CTY'!I5</f>
        <v>0.1341537706108179</v>
      </c>
      <c r="L12" s="110">
        <f>'LINE HAUL CLASS 23 TOTAL BY CTY'!K5</f>
        <v>8.107044929553997E-3</v>
      </c>
      <c r="M12" s="110">
        <f>'LINE HAUL CLASS 23 TOTAL BY CTY'!L5</f>
        <v>994.35422595705063</v>
      </c>
      <c r="N12" s="360">
        <f t="shared" si="0"/>
        <v>2.0062680457171261E-3</v>
      </c>
      <c r="O12" s="360">
        <f t="shared" si="1"/>
        <v>4.2155470069165896E-2</v>
      </c>
      <c r="P12" s="360">
        <f t="shared" si="2"/>
        <v>6.7808664760894283E-3</v>
      </c>
      <c r="Q12" s="360">
        <f t="shared" si="3"/>
        <v>1.0122499515264939E-3</v>
      </c>
      <c r="R12" s="360">
        <f t="shared" si="4"/>
        <v>9.8188245298069928E-4</v>
      </c>
      <c r="S12" s="360">
        <f t="shared" si="5"/>
        <v>3.6754457701593945E-4</v>
      </c>
      <c r="T12" s="360">
        <f t="shared" si="6"/>
        <v>2.2211081998778073E-5</v>
      </c>
      <c r="U12" s="298">
        <f t="shared" si="7"/>
        <v>2.7242581533069878</v>
      </c>
    </row>
    <row r="13" spans="1:26" x14ac:dyDescent="0.25">
      <c r="A13" s="303">
        <v>2285002009</v>
      </c>
      <c r="B13" s="360" t="s">
        <v>76</v>
      </c>
      <c r="C13" s="360" t="s">
        <v>113</v>
      </c>
      <c r="D13" s="360" t="s">
        <v>65</v>
      </c>
      <c r="E13" s="110">
        <f>'NJT COMMUTER EMIS CTY'!E5</f>
        <v>3877188.2303268742</v>
      </c>
      <c r="F13" s="110">
        <f>'NJT COMMUTER EMIS CTY'!K5</f>
        <v>21.711432354618672</v>
      </c>
      <c r="G13" s="110">
        <f>'NJT COMMUTER EMIS CTY'!F5</f>
        <v>502.01916340833475</v>
      </c>
      <c r="H13" s="110">
        <f>'NJT COMMUTER EMIS CTY'!G5</f>
        <v>119.33712684449557</v>
      </c>
      <c r="I13" s="110">
        <f>'NJT COMMUTER EMIS CTY'!H5</f>
        <v>12.550479085208368</v>
      </c>
      <c r="J13" s="110">
        <f>'NJT COMMUTER EMIS CTY'!I5</f>
        <v>12.173964712652115</v>
      </c>
      <c r="K13" s="110">
        <f>'NJT COMMUTER EMIS CTY'!J5</f>
        <v>6.4684526620634761</v>
      </c>
      <c r="L13" s="110">
        <f>'NJT COMMUTER EMIS CTY'!L5</f>
        <v>0.37337662216361717</v>
      </c>
      <c r="M13" s="110">
        <f>'NJT COMMUTER EMIS CTY'!M5</f>
        <v>45795.801719133538</v>
      </c>
      <c r="N13" s="360">
        <f t="shared" si="0"/>
        <v>5.9483376314023763E-2</v>
      </c>
      <c r="O13" s="360">
        <f t="shared" si="1"/>
        <v>1.375394968242013</v>
      </c>
      <c r="P13" s="360">
        <f t="shared" si="2"/>
        <v>0.32695103245067281</v>
      </c>
      <c r="Q13" s="360">
        <f t="shared" si="3"/>
        <v>3.4384874206050325E-2</v>
      </c>
      <c r="R13" s="360">
        <f t="shared" si="4"/>
        <v>3.3353327979868806E-2</v>
      </c>
      <c r="S13" s="360">
        <f t="shared" si="5"/>
        <v>1.7721788115242401E-2</v>
      </c>
      <c r="T13" s="360">
        <f t="shared" si="6"/>
        <v>1.0229496497633347E-3</v>
      </c>
      <c r="U13" s="298">
        <f t="shared" si="7"/>
        <v>125.46794991543435</v>
      </c>
    </row>
    <row r="14" spans="1:26" x14ac:dyDescent="0.25">
      <c r="A14" s="451">
        <v>2285002010</v>
      </c>
      <c r="B14" s="18" t="s">
        <v>78</v>
      </c>
      <c r="C14" s="360" t="s">
        <v>113</v>
      </c>
      <c r="D14" s="360" t="s">
        <v>65</v>
      </c>
      <c r="E14" s="304">
        <f>'2017 YARD EMIS CTY COMPILE 2 '!D5</f>
        <v>9187.5</v>
      </c>
      <c r="F14" s="304">
        <f>'2017 YARD EMIS CTY COMPILE 2 '!J5</f>
        <v>0.13085700384031249</v>
      </c>
      <c r="G14" s="304">
        <f>'2017 YARD EMIS CTY COMPILE 2 '!E5</f>
        <v>2.5172774498708654</v>
      </c>
      <c r="H14" s="304">
        <f>'2017 YARD EMIS CTY COMPILE 2 '!F5</f>
        <v>0.24743668975608307</v>
      </c>
      <c r="I14" s="304">
        <f>'2017 YARD EMIS CTY COMPILE 2 '!G5</f>
        <v>5.7355688731234929E-2</v>
      </c>
      <c r="J14" s="304">
        <f>'2017 YARD EMIS CTY COMPILE 2 '!H5</f>
        <v>5.5635018069297888E-2</v>
      </c>
      <c r="K14" s="304">
        <f>'2017 YARD EMIS CTY COMPILE 2 '!I5</f>
        <v>1.34118572892283E-2</v>
      </c>
      <c r="L14" s="304">
        <f>'2017 YARD EMIS CTY COMPILE 2 '!K5</f>
        <v>8.8476429627431998E-4</v>
      </c>
      <c r="M14" s="304">
        <f>'2017 YARD EMIS CTY COMPILE 2 '!L5</f>
        <v>108.51908736426429</v>
      </c>
      <c r="N14" s="360">
        <f t="shared" si="0"/>
        <v>3.5851233928852735E-4</v>
      </c>
      <c r="O14" s="360">
        <f t="shared" si="1"/>
        <v>6.8966505475914121E-3</v>
      </c>
      <c r="P14" s="360">
        <f t="shared" si="2"/>
        <v>6.7790873905776189E-4</v>
      </c>
      <c r="Q14" s="360">
        <f t="shared" si="3"/>
        <v>1.5713887323626007E-4</v>
      </c>
      <c r="R14" s="360">
        <f t="shared" si="4"/>
        <v>1.5242470703917229E-4</v>
      </c>
      <c r="S14" s="360">
        <f t="shared" si="5"/>
        <v>3.6744814491036437E-5</v>
      </c>
      <c r="T14" s="360">
        <f t="shared" si="6"/>
        <v>2.4240117706145755E-6</v>
      </c>
      <c r="U14" s="298">
        <f t="shared" si="7"/>
        <v>0.29731256812127205</v>
      </c>
    </row>
    <row r="15" spans="1:26" x14ac:dyDescent="0.25">
      <c r="A15" s="303">
        <v>2285002006</v>
      </c>
      <c r="B15" s="360" t="s">
        <v>71</v>
      </c>
      <c r="C15" s="360" t="s">
        <v>88</v>
      </c>
      <c r="D15" s="360" t="s">
        <v>21</v>
      </c>
      <c r="E15" s="360">
        <f>'CLASS 1 LINE HAUL COMPILE EMISS'!E6</f>
        <v>48801</v>
      </c>
      <c r="F15" s="360">
        <f>'CLASS 1 LINE HAUL COMPILE EMISS'!K6</f>
        <v>0.27327525706648997</v>
      </c>
      <c r="G15" s="360">
        <f>'CLASS 1 LINE HAUL COMPILE EMISS'!F6</f>
        <v>6.4315990143234352</v>
      </c>
      <c r="H15" s="360">
        <f>'CLASS 1 LINE HAUL COMPILE EMISS'!G6</f>
        <v>1.5020604575205894</v>
      </c>
      <c r="I15" s="360">
        <f>'CLASS 1 LINE HAUL COMPILE EMISS'!H6</f>
        <v>0.16361085211875406</v>
      </c>
      <c r="J15" s="360">
        <f>'CLASS 1 LINE HAUL COMPILE EMISS'!I6</f>
        <v>0.15870252655519143</v>
      </c>
      <c r="K15" s="360">
        <f>'CLASS 1 LINE HAUL COMPILE EMISS'!J6</f>
        <v>8.1416464615324272E-2</v>
      </c>
      <c r="L15" s="360">
        <f>'CLASS 1 LINE HAUL COMPILE EMISS'!L6</f>
        <v>4.6995790391818329E-3</v>
      </c>
      <c r="M15" s="360">
        <f>'CLASS 1 LINE HAUL COMPILE EMISS'!M6</f>
        <v>576.41795727493468</v>
      </c>
      <c r="N15" s="360">
        <f t="shared" si="0"/>
        <v>7.4869933442873961E-4</v>
      </c>
      <c r="O15" s="360">
        <f t="shared" si="1"/>
        <v>1.7620819217324481E-2</v>
      </c>
      <c r="P15" s="360">
        <f t="shared" si="2"/>
        <v>4.1152341301933957E-3</v>
      </c>
      <c r="Q15" s="360">
        <f t="shared" si="3"/>
        <v>4.4824890991439469E-4</v>
      </c>
      <c r="R15" s="360">
        <f t="shared" si="4"/>
        <v>4.3480144261696284E-4</v>
      </c>
      <c r="S15" s="360">
        <f t="shared" si="5"/>
        <v>2.2305880716527198E-4</v>
      </c>
      <c r="T15" s="360">
        <f t="shared" si="6"/>
        <v>1.2875559011457076E-5</v>
      </c>
      <c r="U15" s="298">
        <f t="shared" si="7"/>
        <v>1.5792272802053005</v>
      </c>
    </row>
    <row r="16" spans="1:26" x14ac:dyDescent="0.25">
      <c r="A16" s="303">
        <v>2285002007</v>
      </c>
      <c r="B16" s="360" t="s">
        <v>74</v>
      </c>
      <c r="C16" s="360" t="s">
        <v>88</v>
      </c>
      <c r="D16" s="360" t="s">
        <v>21</v>
      </c>
      <c r="E16" s="110">
        <f>'LINE HAUL CLASS 23 TOTAL BY CTY'!D6</f>
        <v>52674.146797697264</v>
      </c>
      <c r="F16" s="110">
        <f>'LINE HAUL CLASS 23 TOTAL BY CTY'!J6</f>
        <v>0.7502346699092739</v>
      </c>
      <c r="G16" s="110">
        <f>'LINE HAUL CLASS 23 TOTAL BY CTY'!E6</f>
        <v>14.43215694422106</v>
      </c>
      <c r="H16" s="110">
        <f>'LINE HAUL CLASS 23 TOTAL BY CTY'!F6</f>
        <v>1.4186140429222527</v>
      </c>
      <c r="I16" s="110">
        <f>'LINE HAUL CLASS 23 TOTAL BY CTY'!G6</f>
        <v>0.32883395569111284</v>
      </c>
      <c r="J16" s="110">
        <f>'LINE HAUL CLASS 23 TOTAL BY CTY'!H6</f>
        <v>0.31896893702037948</v>
      </c>
      <c r="K16" s="110">
        <f>'LINE HAUL CLASS 23 TOTAL BY CTY'!I6</f>
        <v>7.6893402958647897E-2</v>
      </c>
      <c r="L16" s="110">
        <f>'LINE HAUL CLASS 23 TOTAL BY CTY'!K6</f>
        <v>5.0725664678437929E-3</v>
      </c>
      <c r="M16" s="110">
        <f>'LINE HAUL CLASS 23 TOTAL BY CTY'!L6</f>
        <v>622.16602320298148</v>
      </c>
      <c r="N16" s="360">
        <f t="shared" si="0"/>
        <v>2.0554374518062298E-3</v>
      </c>
      <c r="O16" s="360">
        <f t="shared" si="1"/>
        <v>3.9540156011564548E-2</v>
      </c>
      <c r="P16" s="360">
        <f t="shared" si="2"/>
        <v>3.88661381622535E-3</v>
      </c>
      <c r="Q16" s="360">
        <f t="shared" si="3"/>
        <v>9.0091494709893926E-4</v>
      </c>
      <c r="R16" s="360">
        <f t="shared" si="4"/>
        <v>8.7388749868597116E-4</v>
      </c>
      <c r="S16" s="360">
        <f t="shared" si="5"/>
        <v>2.1066685742095314E-4</v>
      </c>
      <c r="T16" s="360">
        <f t="shared" si="6"/>
        <v>1.3897442377654227E-5</v>
      </c>
      <c r="U16" s="298">
        <f t="shared" si="7"/>
        <v>1.7045644471314561</v>
      </c>
      <c r="Z16">
        <f>480+60+45+30+45+250+80+100</f>
        <v>1090</v>
      </c>
    </row>
    <row r="17" spans="1:33" x14ac:dyDescent="0.25">
      <c r="A17" s="303">
        <v>2285002009</v>
      </c>
      <c r="B17" s="360" t="s">
        <v>76</v>
      </c>
      <c r="C17" s="360" t="s">
        <v>88</v>
      </c>
      <c r="D17" s="360" t="s">
        <v>21</v>
      </c>
      <c r="E17" s="110">
        <f>'NJT COMMUTER EMIS CTY'!E6</f>
        <v>0</v>
      </c>
      <c r="F17" s="110">
        <f>'NJT COMMUTER EMIS CTY'!K6</f>
        <v>0</v>
      </c>
      <c r="G17" s="110">
        <f>'NJT COMMUTER EMIS CTY'!F6</f>
        <v>0</v>
      </c>
      <c r="H17" s="110">
        <f>'NJT COMMUTER EMIS CTY'!G6</f>
        <v>0</v>
      </c>
      <c r="I17" s="110">
        <f>'NJT COMMUTER EMIS CTY'!H6</f>
        <v>0</v>
      </c>
      <c r="J17" s="110">
        <f>'NJT COMMUTER EMIS CTY'!I6</f>
        <v>0</v>
      </c>
      <c r="K17" s="110">
        <f>'NJT COMMUTER EMIS CTY'!J6</f>
        <v>0</v>
      </c>
      <c r="L17" s="110">
        <f>'NJT COMMUTER EMIS CTY'!L6</f>
        <v>0</v>
      </c>
      <c r="M17" s="110">
        <f>'NJT COMMUTER EMIS CTY'!M6</f>
        <v>0</v>
      </c>
      <c r="N17" s="360">
        <f t="shared" si="0"/>
        <v>0</v>
      </c>
      <c r="O17" s="360">
        <f t="shared" si="1"/>
        <v>0</v>
      </c>
      <c r="P17" s="360">
        <f t="shared" si="2"/>
        <v>0</v>
      </c>
      <c r="Q17" s="360">
        <f t="shared" si="3"/>
        <v>0</v>
      </c>
      <c r="R17" s="360">
        <f t="shared" si="4"/>
        <v>0</v>
      </c>
      <c r="S17" s="360">
        <f t="shared" si="5"/>
        <v>0</v>
      </c>
      <c r="T17" s="360">
        <f t="shared" si="6"/>
        <v>0</v>
      </c>
      <c r="U17" s="298">
        <f t="shared" si="7"/>
        <v>0</v>
      </c>
      <c r="Z17">
        <f>1100*12</f>
        <v>13200</v>
      </c>
      <c r="AA17">
        <f>14*35*52</f>
        <v>25480</v>
      </c>
    </row>
    <row r="18" spans="1:33" x14ac:dyDescent="0.25">
      <c r="A18" s="451">
        <v>2285002010</v>
      </c>
      <c r="B18" s="18" t="s">
        <v>78</v>
      </c>
      <c r="C18" s="360" t="s">
        <v>88</v>
      </c>
      <c r="D18" s="360" t="s">
        <v>21</v>
      </c>
      <c r="E18" s="304">
        <f>'2017 YARD EMIS CTY COMPILE 2 '!D6</f>
        <v>21810.800000000003</v>
      </c>
      <c r="F18" s="304">
        <f>'2017 YARD EMIS CTY COMPILE 2 '!J6</f>
        <v>0.31064989816166394</v>
      </c>
      <c r="G18" s="304">
        <f>'2017 YARD EMIS CTY COMPILE 2 '!E6</f>
        <v>5.9759276194441879</v>
      </c>
      <c r="H18" s="304">
        <f>'2017 YARD EMIS CTY COMPILE 2 '!F6</f>
        <v>0.58740594861844664</v>
      </c>
      <c r="I18" s="304">
        <f>'2017 YARD EMIS CTY COMPILE 2 '!G6</f>
        <v>0.13616037613923473</v>
      </c>
      <c r="J18" s="304">
        <f>'2017 YARD EMIS CTY COMPILE 2 '!H6</f>
        <v>0.13207556485505767</v>
      </c>
      <c r="K18" s="304">
        <f>'2017 YARD EMIS CTY COMPILE 2 '!I6</f>
        <v>3.1839274771581022E-2</v>
      </c>
      <c r="L18" s="304">
        <f>'2017 YARD EMIS CTY COMPILE 2 '!K6</f>
        <v>2.1003991415706057E-3</v>
      </c>
      <c r="M18" s="304">
        <f>'2017 YARD EMIS CTY COMPILE 2 '!L6</f>
        <v>257.62047463232608</v>
      </c>
      <c r="N18" s="360">
        <f t="shared" si="0"/>
        <v>8.5109561140181899E-4</v>
      </c>
      <c r="O18" s="360">
        <f t="shared" si="1"/>
        <v>1.6372404436833392E-2</v>
      </c>
      <c r="P18" s="360">
        <f t="shared" si="2"/>
        <v>1.6093313660779361E-3</v>
      </c>
      <c r="Q18" s="360">
        <f t="shared" si="3"/>
        <v>3.730421264088623E-4</v>
      </c>
      <c r="R18" s="360">
        <f t="shared" si="4"/>
        <v>3.6185086261659636E-4</v>
      </c>
      <c r="S18" s="360">
        <f t="shared" si="5"/>
        <v>8.7230889785153479E-5</v>
      </c>
      <c r="T18" s="360">
        <f t="shared" si="6"/>
        <v>5.7545181960838512E-6</v>
      </c>
      <c r="U18" s="298">
        <f t="shared" si="7"/>
        <v>0.70580951954061943</v>
      </c>
      <c r="AA18">
        <f>AA17*0.8</f>
        <v>20384</v>
      </c>
    </row>
    <row r="19" spans="1:33" x14ac:dyDescent="0.25">
      <c r="A19" s="303">
        <v>2285002006</v>
      </c>
      <c r="B19" s="360" t="s">
        <v>71</v>
      </c>
      <c r="C19" s="360" t="s">
        <v>87</v>
      </c>
      <c r="D19" s="360" t="s">
        <v>38</v>
      </c>
      <c r="E19" s="360">
        <f>'CLASS 1 LINE HAUL COMPILE EMISS'!E7</f>
        <v>122986.16183807084</v>
      </c>
      <c r="F19" s="360">
        <f>'CLASS 1 LINE HAUL COMPILE EMISS'!K7</f>
        <v>0.68869644048113243</v>
      </c>
      <c r="G19" s="360">
        <f>'CLASS 1 LINE HAUL COMPILE EMISS'!F7</f>
        <v>16.208636651977599</v>
      </c>
      <c r="H19" s="360">
        <f>'CLASS 1 LINE HAUL COMPILE EMISS'!G7</f>
        <v>3.7854275633530849</v>
      </c>
      <c r="I19" s="360">
        <f>'CLASS 1 LINE HAUL COMPILE EMISS'!H7</f>
        <v>0.41232496746258807</v>
      </c>
      <c r="J19" s="360">
        <f>'CLASS 1 LINE HAUL COMPILE EMISS'!I7</f>
        <v>0.39995521843871046</v>
      </c>
      <c r="K19" s="360">
        <f>'CLASS 1 LINE HAUL COMPILE EMISS'!J7</f>
        <v>0.20518223998409538</v>
      </c>
      <c r="L19" s="360">
        <f>'CLASS 1 LINE HAUL COMPILE EMISS'!L7</f>
        <v>1.1843675094437046E-2</v>
      </c>
      <c r="M19" s="360">
        <f>'CLASS 1 LINE HAUL COMPILE EMISS'!M7</f>
        <v>1452.6635146776769</v>
      </c>
      <c r="N19" s="360">
        <f t="shared" si="0"/>
        <v>1.8868395629620066E-3</v>
      </c>
      <c r="O19" s="360">
        <f t="shared" si="1"/>
        <v>4.4407223704048218E-2</v>
      </c>
      <c r="P19" s="360">
        <f t="shared" si="2"/>
        <v>1.0371034420145439E-2</v>
      </c>
      <c r="Q19" s="360">
        <f t="shared" si="3"/>
        <v>1.129657445102981E-3</v>
      </c>
      <c r="R19" s="360">
        <f t="shared" si="4"/>
        <v>1.0957677217498917E-3</v>
      </c>
      <c r="S19" s="360">
        <f t="shared" si="5"/>
        <v>5.6214312324409698E-4</v>
      </c>
      <c r="T19" s="360">
        <f t="shared" si="6"/>
        <v>3.2448424916265881E-5</v>
      </c>
      <c r="U19" s="298">
        <f t="shared" si="7"/>
        <v>3.9799000402128133</v>
      </c>
    </row>
    <row r="20" spans="1:33" x14ac:dyDescent="0.25">
      <c r="A20" s="303">
        <v>2285002007</v>
      </c>
      <c r="B20" s="360" t="s">
        <v>74</v>
      </c>
      <c r="C20" s="360" t="s">
        <v>87</v>
      </c>
      <c r="D20" s="360" t="s">
        <v>38</v>
      </c>
      <c r="E20" s="110">
        <f>'LINE HAUL CLASS 23 TOTAL BY CTY'!D7</f>
        <v>145978.11424623677</v>
      </c>
      <c r="F20" s="110">
        <f>'LINE HAUL CLASS 23 TOTAL BY CTY'!J7</f>
        <v>2.0791574047914421</v>
      </c>
      <c r="G20" s="110">
        <f>'LINE HAUL CLASS 23 TOTAL BY CTY'!E7</f>
        <v>39.996453351480241</v>
      </c>
      <c r="H20" s="110">
        <f>'LINE HAUL CLASS 23 TOTAL BY CTY'!F7</f>
        <v>3.9314657269033071</v>
      </c>
      <c r="I20" s="110">
        <f>'LINE HAUL CLASS 23 TOTAL BY CTY'!G7</f>
        <v>0.91131159535018302</v>
      </c>
      <c r="J20" s="110">
        <f>'LINE HAUL CLASS 23 TOTAL BY CTY'!H7</f>
        <v>0.88397224748967751</v>
      </c>
      <c r="K20" s="110">
        <f>'LINE HAUL CLASS 23 TOTAL BY CTY'!I7</f>
        <v>0.21309797394516378</v>
      </c>
      <c r="L20" s="110">
        <f>'LINE HAUL CLASS 23 TOTAL BY CTY'!K7</f>
        <v>1.4057820247349546E-2</v>
      </c>
      <c r="M20" s="110">
        <f>'LINE HAUL CLASS 23 TOTAL BY CTY'!L7</f>
        <v>1724.2352906838555</v>
      </c>
      <c r="N20" s="360">
        <f t="shared" si="0"/>
        <v>5.6963216569628546E-3</v>
      </c>
      <c r="O20" s="360">
        <f t="shared" si="1"/>
        <v>0.1095793242506308</v>
      </c>
      <c r="P20" s="360">
        <f t="shared" si="2"/>
        <v>1.077113897781728E-2</v>
      </c>
      <c r="Q20" s="360">
        <f t="shared" si="3"/>
        <v>2.4967440968498163E-3</v>
      </c>
      <c r="R20" s="360">
        <f t="shared" si="4"/>
        <v>2.4218417739443219E-3</v>
      </c>
      <c r="S20" s="360">
        <f t="shared" si="5"/>
        <v>5.8383006560318838E-4</v>
      </c>
      <c r="T20" s="360">
        <f t="shared" si="6"/>
        <v>3.8514576020135742E-5</v>
      </c>
      <c r="U20" s="298">
        <f t="shared" si="7"/>
        <v>4.7239323032434397</v>
      </c>
    </row>
    <row r="21" spans="1:33" x14ac:dyDescent="0.25">
      <c r="A21" s="303">
        <v>2285002009</v>
      </c>
      <c r="B21" s="360" t="s">
        <v>76</v>
      </c>
      <c r="C21" s="360" t="s">
        <v>87</v>
      </c>
      <c r="D21" s="360" t="s">
        <v>38</v>
      </c>
      <c r="E21" s="110">
        <f>'NJT COMMUTER EMIS CTY'!E7</f>
        <v>512464.55233853002</v>
      </c>
      <c r="F21" s="110">
        <f>'NJT COMMUTER EMIS CTY'!K7</f>
        <v>2.8696928808380053</v>
      </c>
      <c r="G21" s="110">
        <f>'NJT COMMUTER EMIS CTY'!F7</f>
        <v>66.354020119298212</v>
      </c>
      <c r="H21" s="110">
        <f>'NJT COMMUTER EMIS CTY'!G7</f>
        <v>15.773298496930316</v>
      </c>
      <c r="I21" s="110">
        <f>'NJT COMMUTER EMIS CTY'!H7</f>
        <v>1.6588505029824547</v>
      </c>
      <c r="J21" s="110">
        <f>'NJT COMMUTER EMIS CTY'!I7</f>
        <v>1.6090849878929812</v>
      </c>
      <c r="K21" s="110">
        <f>'NJT COMMUTER EMIS CTY'!J7</f>
        <v>0.85496305592258204</v>
      </c>
      <c r="L21" s="110">
        <f>'NJT COMMUTER EMIS CTY'!L7</f>
        <v>4.9350785198947908E-2</v>
      </c>
      <c r="M21" s="110">
        <f>'NJT COMMUTER EMIS CTY'!M7</f>
        <v>6053.0269960613368</v>
      </c>
      <c r="N21" s="360">
        <f t="shared" si="0"/>
        <v>7.8621722762685069E-3</v>
      </c>
      <c r="O21" s="360">
        <f t="shared" si="1"/>
        <v>0.18179183594328277</v>
      </c>
      <c r="P21" s="360">
        <f t="shared" si="2"/>
        <v>4.3214516429946073E-2</v>
      </c>
      <c r="Q21" s="360">
        <f t="shared" si="3"/>
        <v>4.544795898582068E-3</v>
      </c>
      <c r="R21" s="360">
        <f t="shared" si="4"/>
        <v>4.408452021624606E-3</v>
      </c>
      <c r="S21" s="360">
        <f t="shared" si="5"/>
        <v>2.3423645367741976E-3</v>
      </c>
      <c r="T21" s="360">
        <f t="shared" si="6"/>
        <v>1.3520763068204907E-4</v>
      </c>
      <c r="U21" s="298">
        <f t="shared" si="7"/>
        <v>16.583635605647498</v>
      </c>
    </row>
    <row r="22" spans="1:33" x14ac:dyDescent="0.25">
      <c r="A22" s="451">
        <v>2285002010</v>
      </c>
      <c r="B22" s="18" t="s">
        <v>78</v>
      </c>
      <c r="C22" s="360" t="s">
        <v>87</v>
      </c>
      <c r="D22" s="360" t="s">
        <v>38</v>
      </c>
      <c r="E22" s="304">
        <f>'2017 YARD EMIS CTY COMPILE 2 '!D7</f>
        <v>369798.62068965519</v>
      </c>
      <c r="F22" s="304">
        <f>'2017 YARD EMIS CTY COMPILE 2 '!J7</f>
        <v>5.2670192683241854</v>
      </c>
      <c r="G22" s="304">
        <f>'2017 YARD EMIS CTY COMPILE 2 '!E7</f>
        <v>101.32089565773265</v>
      </c>
      <c r="H22" s="304">
        <f>'2017 YARD EMIS CTY COMPILE 2 '!F7</f>
        <v>9.9593737773946831</v>
      </c>
      <c r="I22" s="304">
        <f>'2017 YARD EMIS CTY COMPILE 2 '!G7</f>
        <v>2.3085773694166942</v>
      </c>
      <c r="J22" s="304">
        <f>'2017 YARD EMIS CTY COMPILE 2 '!H7</f>
        <v>2.2393200483341933</v>
      </c>
      <c r="K22" s="304">
        <f>'2017 YARD EMIS CTY COMPILE 2 '!I7</f>
        <v>0.5398298042387073</v>
      </c>
      <c r="L22" s="304">
        <f>'2017 YARD EMIS CTY COMPILE 2 '!K7</f>
        <v>3.5611931036484024E-2</v>
      </c>
      <c r="M22" s="304">
        <f>'2017 YARD EMIS CTY COMPILE 2 '!L7</f>
        <v>4367.9138858019187</v>
      </c>
      <c r="N22" s="360">
        <f t="shared" si="0"/>
        <v>1.4430189776230645E-2</v>
      </c>
      <c r="O22" s="360">
        <f t="shared" si="1"/>
        <v>0.2775914949526922</v>
      </c>
      <c r="P22" s="360">
        <f t="shared" si="2"/>
        <v>2.728595555450598E-2</v>
      </c>
      <c r="Q22" s="360">
        <f t="shared" si="3"/>
        <v>6.3248695052512171E-3</v>
      </c>
      <c r="R22" s="360">
        <f t="shared" si="4"/>
        <v>6.1351234200936805E-3</v>
      </c>
      <c r="S22" s="360">
        <f t="shared" si="5"/>
        <v>1.4789857650375543E-3</v>
      </c>
      <c r="T22" s="360">
        <f t="shared" si="6"/>
        <v>9.7566934346531576E-5</v>
      </c>
      <c r="U22" s="298">
        <f t="shared" si="7"/>
        <v>11.96688735836142</v>
      </c>
    </row>
    <row r="23" spans="1:33" x14ac:dyDescent="0.25">
      <c r="A23" s="303">
        <v>2285002006</v>
      </c>
      <c r="B23" s="360" t="s">
        <v>71</v>
      </c>
      <c r="C23" s="360" t="s">
        <v>121</v>
      </c>
      <c r="D23" s="360" t="s">
        <v>35</v>
      </c>
      <c r="E23" s="360">
        <f>'CLASS 1 LINE HAUL COMPILE EMISS'!E8</f>
        <v>9370.9285640934231</v>
      </c>
      <c r="F23" s="360">
        <f>'CLASS 1 LINE HAUL COMPILE EMISS'!K8</f>
        <v>5.2475213874804701E-2</v>
      </c>
      <c r="G23" s="360">
        <f>'CLASS 1 LINE HAUL COMPILE EMISS'!F8</f>
        <v>1.2350168012155198</v>
      </c>
      <c r="H23" s="360">
        <f>'CLASS 1 LINE HAUL COMPILE EMISS'!G8</f>
        <v>0.28843059048738606</v>
      </c>
      <c r="I23" s="360">
        <f>'CLASS 1 LINE HAUL COMPILE EMISS'!H8</f>
        <v>3.1417094066008844E-2</v>
      </c>
      <c r="J23" s="360">
        <f>'CLASS 1 LINE HAUL COMPILE EMISS'!I8</f>
        <v>3.0474581244028576E-2</v>
      </c>
      <c r="K23" s="360">
        <f>'CLASS 1 LINE HAUL COMPILE EMISS'!J8</f>
        <v>1.56338573769235E-2</v>
      </c>
      <c r="L23" s="360">
        <f>'CLASS 1 LINE HAUL COMPILE EMISS'!L8</f>
        <v>9.0242862764049431E-4</v>
      </c>
      <c r="M23" s="360">
        <f>'CLASS 1 LINE HAUL COMPILE EMISS'!M8</f>
        <v>110.68567243876288</v>
      </c>
      <c r="N23" s="360">
        <f t="shared" si="0"/>
        <v>1.4376770924604028E-4</v>
      </c>
      <c r="O23" s="360">
        <f t="shared" si="1"/>
        <v>3.383607674563068E-3</v>
      </c>
      <c r="P23" s="360">
        <f t="shared" si="2"/>
        <v>7.9022079585585226E-4</v>
      </c>
      <c r="Q23" s="360">
        <f t="shared" si="3"/>
        <v>8.6074230317832449E-5</v>
      </c>
      <c r="R23" s="360">
        <f t="shared" si="4"/>
        <v>8.3492003408297468E-5</v>
      </c>
      <c r="S23" s="360">
        <f t="shared" si="5"/>
        <v>4.2832485964173971E-5</v>
      </c>
      <c r="T23" s="360">
        <f t="shared" si="6"/>
        <v>2.4724071990150528E-6</v>
      </c>
      <c r="U23" s="298">
        <f t="shared" si="7"/>
        <v>0.30324841764044624</v>
      </c>
    </row>
    <row r="24" spans="1:33" x14ac:dyDescent="0.25">
      <c r="A24" s="303">
        <v>2285002007</v>
      </c>
      <c r="B24" s="360" t="s">
        <v>74</v>
      </c>
      <c r="C24" s="360" t="s">
        <v>121</v>
      </c>
      <c r="D24" s="360" t="s">
        <v>35</v>
      </c>
      <c r="E24" s="110">
        <f>'LINE HAUL CLASS 23 TOTAL BY CTY'!D8</f>
        <v>7600</v>
      </c>
      <c r="F24" s="110">
        <f>'LINE HAUL CLASS 23 TOTAL BY CTY'!J8</f>
        <v>0.10824633787062582</v>
      </c>
      <c r="G24" s="110">
        <f>'LINE HAUL CLASS 23 TOTAL BY CTY'!E8</f>
        <v>2.0823193054714095</v>
      </c>
      <c r="H24" s="110">
        <f>'LINE HAUL CLASS 23 TOTAL BY CTY'!F8</f>
        <v>0.20468232295469185</v>
      </c>
      <c r="I24" s="110">
        <f>'LINE HAUL CLASS 23 TOTAL BY CTY'!G8</f>
        <v>4.7445249998082771E-2</v>
      </c>
      <c r="J24" s="110">
        <f>'LINE HAUL CLASS 23 TOTAL BY CTY'!H8</f>
        <v>4.6021892498140288E-2</v>
      </c>
      <c r="K24" s="110">
        <f>'LINE HAUL CLASS 23 TOTAL BY CTY'!I8</f>
        <v>1.1094434329048717E-2</v>
      </c>
      <c r="L24" s="110">
        <f>'LINE HAUL CLASS 23 TOTAL BY CTY'!K8</f>
        <v>7.3188665596569599E-4</v>
      </c>
      <c r="M24" s="110">
        <f>'LINE HAUL CLASS 23 TOTAL BY CTY'!L8</f>
        <v>89.768170227854</v>
      </c>
      <c r="N24" s="360">
        <f t="shared" si="0"/>
        <v>2.9656530923459127E-4</v>
      </c>
      <c r="O24" s="360">
        <f t="shared" si="1"/>
        <v>5.7049843985518068E-3</v>
      </c>
      <c r="P24" s="360">
        <f t="shared" si="2"/>
        <v>5.6077348754710098E-4</v>
      </c>
      <c r="Q24" s="360">
        <f t="shared" si="3"/>
        <v>1.2998698629611719E-4</v>
      </c>
      <c r="R24" s="360">
        <f t="shared" si="4"/>
        <v>1.2608737670723367E-4</v>
      </c>
      <c r="S24" s="360">
        <f t="shared" si="5"/>
        <v>3.0395710490544432E-5</v>
      </c>
      <c r="T24" s="360">
        <f t="shared" si="6"/>
        <v>2.0051689204539616E-6</v>
      </c>
      <c r="U24" s="298">
        <f t="shared" si="7"/>
        <v>0.24594019240507944</v>
      </c>
    </row>
    <row r="25" spans="1:33" x14ac:dyDescent="0.25">
      <c r="A25" s="303">
        <v>2285002009</v>
      </c>
      <c r="B25" s="360" t="s">
        <v>76</v>
      </c>
      <c r="C25" s="360" t="s">
        <v>121</v>
      </c>
      <c r="D25" s="360" t="s">
        <v>35</v>
      </c>
      <c r="E25" s="110">
        <f>'NJT COMMUTER EMIS CTY'!E8</f>
        <v>0</v>
      </c>
      <c r="F25" s="110">
        <f>'NJT COMMUTER EMIS CTY'!K8</f>
        <v>0</v>
      </c>
      <c r="G25" s="110">
        <f>'NJT COMMUTER EMIS CTY'!F8</f>
        <v>0</v>
      </c>
      <c r="H25" s="110">
        <f>'NJT COMMUTER EMIS CTY'!G8</f>
        <v>0</v>
      </c>
      <c r="I25" s="110">
        <f>'NJT COMMUTER EMIS CTY'!H8</f>
        <v>0</v>
      </c>
      <c r="J25" s="110">
        <f>'NJT COMMUTER EMIS CTY'!I8</f>
        <v>0</v>
      </c>
      <c r="K25" s="110">
        <f>'NJT COMMUTER EMIS CTY'!J8</f>
        <v>0</v>
      </c>
      <c r="L25" s="110">
        <f>'NJT COMMUTER EMIS CTY'!L8</f>
        <v>0</v>
      </c>
      <c r="M25" s="110">
        <f>'NJT COMMUTER EMIS CTY'!M8</f>
        <v>0</v>
      </c>
      <c r="N25" s="360">
        <f t="shared" si="0"/>
        <v>0</v>
      </c>
      <c r="O25" s="360">
        <f t="shared" si="1"/>
        <v>0</v>
      </c>
      <c r="P25" s="360">
        <f t="shared" si="2"/>
        <v>0</v>
      </c>
      <c r="Q25" s="360">
        <f t="shared" si="3"/>
        <v>0</v>
      </c>
      <c r="R25" s="360">
        <f t="shared" si="4"/>
        <v>0</v>
      </c>
      <c r="S25" s="360">
        <f t="shared" si="5"/>
        <v>0</v>
      </c>
      <c r="T25" s="360">
        <f t="shared" si="6"/>
        <v>0</v>
      </c>
      <c r="U25" s="298">
        <f t="shared" si="7"/>
        <v>0</v>
      </c>
    </row>
    <row r="26" spans="1:33" x14ac:dyDescent="0.25">
      <c r="A26" s="451">
        <v>2285002010</v>
      </c>
      <c r="B26" s="18" t="s">
        <v>78</v>
      </c>
      <c r="C26" s="360" t="s">
        <v>121</v>
      </c>
      <c r="D26" s="360" t="s">
        <v>35</v>
      </c>
      <c r="E26" s="304">
        <f>'2017 YARD EMIS CTY COMPILE 2 '!D8</f>
        <v>0</v>
      </c>
      <c r="F26" s="304">
        <f>'2017 YARD EMIS CTY COMPILE 2 '!J8</f>
        <v>0</v>
      </c>
      <c r="G26" s="304">
        <f>'2017 YARD EMIS CTY COMPILE 2 '!E8</f>
        <v>0</v>
      </c>
      <c r="H26" s="304">
        <f>'2017 YARD EMIS CTY COMPILE 2 '!F8</f>
        <v>0</v>
      </c>
      <c r="I26" s="304">
        <f>'2017 YARD EMIS CTY COMPILE 2 '!G8</f>
        <v>0</v>
      </c>
      <c r="J26" s="304">
        <f>'2017 YARD EMIS CTY COMPILE 2 '!H8</f>
        <v>0</v>
      </c>
      <c r="K26" s="304">
        <f>'2017 YARD EMIS CTY COMPILE 2 '!I8</f>
        <v>0</v>
      </c>
      <c r="L26" s="304">
        <f>'2017 YARD EMIS CTY COMPILE 2 '!K8</f>
        <v>0</v>
      </c>
      <c r="M26" s="304">
        <f>'2017 YARD EMIS CTY COMPILE 2 '!L8</f>
        <v>0</v>
      </c>
      <c r="N26" s="360">
        <f t="shared" si="0"/>
        <v>0</v>
      </c>
      <c r="O26" s="360">
        <f t="shared" si="1"/>
        <v>0</v>
      </c>
      <c r="P26" s="360">
        <f t="shared" si="2"/>
        <v>0</v>
      </c>
      <c r="Q26" s="360">
        <f t="shared" si="3"/>
        <v>0</v>
      </c>
      <c r="R26" s="360">
        <f t="shared" si="4"/>
        <v>0</v>
      </c>
      <c r="S26" s="360">
        <f t="shared" si="5"/>
        <v>0</v>
      </c>
      <c r="T26" s="360">
        <f t="shared" si="6"/>
        <v>0</v>
      </c>
      <c r="U26" s="298">
        <f t="shared" si="7"/>
        <v>0</v>
      </c>
    </row>
    <row r="27" spans="1:33" ht="15.75" thickBot="1" x14ac:dyDescent="0.3">
      <c r="A27" s="228">
        <v>2285002006</v>
      </c>
      <c r="B27" s="299" t="s">
        <v>71</v>
      </c>
      <c r="C27" s="299" t="s">
        <v>122</v>
      </c>
      <c r="D27" s="299" t="s">
        <v>39</v>
      </c>
      <c r="E27" s="299">
        <f>'CLASS 1 LINE HAUL COMPILE EMISS'!E9</f>
        <v>0</v>
      </c>
      <c r="F27" s="299">
        <f>'CLASS 1 LINE HAUL COMPILE EMISS'!K9</f>
        <v>0</v>
      </c>
      <c r="G27" s="299">
        <f>'CLASS 1 LINE HAUL COMPILE EMISS'!F9</f>
        <v>0</v>
      </c>
      <c r="H27" s="299">
        <f>'CLASS 1 LINE HAUL COMPILE EMISS'!G9</f>
        <v>0</v>
      </c>
      <c r="I27" s="299">
        <f>'CLASS 1 LINE HAUL COMPILE EMISS'!H9</f>
        <v>0</v>
      </c>
      <c r="J27" s="299">
        <f>'CLASS 1 LINE HAUL COMPILE EMISS'!I9</f>
        <v>0</v>
      </c>
      <c r="K27" s="299">
        <f>'CLASS 1 LINE HAUL COMPILE EMISS'!J9</f>
        <v>0</v>
      </c>
      <c r="L27" s="299">
        <f>'CLASS 1 LINE HAUL COMPILE EMISS'!L9</f>
        <v>0</v>
      </c>
      <c r="M27" s="299">
        <f>'CLASS 1 LINE HAUL COMPILE EMISS'!M9</f>
        <v>0</v>
      </c>
      <c r="N27" s="299">
        <f t="shared" si="0"/>
        <v>0</v>
      </c>
      <c r="O27" s="299">
        <f t="shared" si="1"/>
        <v>0</v>
      </c>
      <c r="P27" s="299">
        <f t="shared" si="2"/>
        <v>0</v>
      </c>
      <c r="Q27" s="299">
        <f t="shared" si="3"/>
        <v>0</v>
      </c>
      <c r="R27" s="299">
        <f t="shared" si="4"/>
        <v>0</v>
      </c>
      <c r="S27" s="299">
        <f t="shared" si="5"/>
        <v>0</v>
      </c>
      <c r="T27" s="299">
        <f t="shared" si="6"/>
        <v>0</v>
      </c>
      <c r="U27" s="300">
        <f t="shared" si="7"/>
        <v>0</v>
      </c>
      <c r="V27" s="1">
        <f>SUM(E7:E27)</f>
        <v>7076282.3200838203</v>
      </c>
      <c r="W27" s="1">
        <f>SUM(G7:G27)</f>
        <v>1012.1269240722405</v>
      </c>
      <c r="X27" s="1">
        <f>SUM(H7:H27)</f>
        <v>215.34307570047721</v>
      </c>
      <c r="Y27" s="1">
        <f>SUM(I7:I27)</f>
        <v>25.00245632452463</v>
      </c>
      <c r="Z27" s="1">
        <f>SUM(J7:J27)</f>
        <v>24.252382634788891</v>
      </c>
      <c r="AA27" s="1">
        <f>SUM(K7:K27)</f>
        <v>11.672281109019657</v>
      </c>
      <c r="AB27" s="1">
        <f>SUM(F7:F27)</f>
        <v>45.151846916525088</v>
      </c>
      <c r="AC27" s="1">
        <f>SUM(L7:L27)</f>
        <v>0.68145218472570035</v>
      </c>
      <c r="AD27" s="1">
        <f>SUM(M7:M27)</f>
        <v>83582.225774952371</v>
      </c>
      <c r="AE27" s="1">
        <f>SUM(O7:O27)</f>
        <v>2.7729504769102484</v>
      </c>
      <c r="AF27" s="1">
        <f>SUM(P7:P27)</f>
        <v>0.58998102931637586</v>
      </c>
    </row>
    <row r="28" spans="1:33" x14ac:dyDescent="0.25">
      <c r="A28" s="477">
        <v>2285002007</v>
      </c>
      <c r="B28" s="477" t="s">
        <v>74</v>
      </c>
      <c r="C28" s="477" t="s">
        <v>122</v>
      </c>
      <c r="D28" s="477" t="s">
        <v>39</v>
      </c>
      <c r="E28" s="464">
        <f>'LINE HAUL CLASS 23 TOTAL BY CTY'!D9</f>
        <v>172434.14914667601</v>
      </c>
      <c r="F28" s="464">
        <f>'LINE HAUL CLASS 23 TOTAL BY CTY'!J9</f>
        <v>2.4559691011796021</v>
      </c>
      <c r="G28" s="464">
        <f>'LINE HAUL CLASS 23 TOTAL BY CTY'!E9</f>
        <v>47.245126011928932</v>
      </c>
      <c r="H28" s="464">
        <f>'LINE HAUL CLASS 23 TOTAL BY CTY'!F9</f>
        <v>4.6439766057970324</v>
      </c>
      <c r="I28" s="464">
        <f>'LINE HAUL CLASS 23 TOTAL BY CTY'!G9</f>
        <v>1.0764712255882545</v>
      </c>
      <c r="J28" s="464">
        <f>'LINE HAUL CLASS 23 TOTAL BY CTY'!H9</f>
        <v>1.0441770888206068</v>
      </c>
      <c r="K28" s="464">
        <f>'LINE HAUL CLASS 23 TOTAL BY CTY'!I9</f>
        <v>0.25171833470963012</v>
      </c>
      <c r="L28" s="464">
        <f>'LINE HAUL CLASS 23 TOTAL BY CTY'!K9</f>
        <v>1.6605559578059315E-2</v>
      </c>
      <c r="M28" s="464">
        <f>'LINE HAUL CLASS 23 TOTAL BY CTY'!L9</f>
        <v>2036.7234281176288</v>
      </c>
      <c r="N28" s="465">
        <f t="shared" si="0"/>
        <v>6.7286824689852115E-3</v>
      </c>
      <c r="O28" s="465">
        <f t="shared" si="1"/>
        <v>0.12943870140254501</v>
      </c>
      <c r="P28" s="465">
        <f t="shared" si="2"/>
        <v>1.2723223577526116E-2</v>
      </c>
      <c r="Q28" s="465">
        <f t="shared" si="3"/>
        <v>2.9492362344883684E-3</v>
      </c>
      <c r="R28" s="465">
        <f t="shared" si="4"/>
        <v>2.8607591474537173E-3</v>
      </c>
      <c r="S28" s="465">
        <f t="shared" si="5"/>
        <v>6.8963927317706878E-4</v>
      </c>
      <c r="T28" s="465">
        <f t="shared" si="6"/>
        <v>4.5494683775504969E-5</v>
      </c>
      <c r="U28" s="466">
        <f t="shared" si="7"/>
        <v>5.5800641866236402</v>
      </c>
      <c r="V28" s="1">
        <f>'2017 YARD EMIS CTY COMPILE 2 '!D25</f>
        <v>2786425.8107356066</v>
      </c>
      <c r="W28" s="1">
        <f>'2017 YARD EMIS CTY COMPILE 2 '!E25</f>
        <v>660.61466146573957</v>
      </c>
      <c r="X28" s="1">
        <f>'2017 YARD EMIS CTY COMPILE 2 '!F25</f>
        <v>83.659256632303268</v>
      </c>
      <c r="Y28" s="1">
        <f>'2017 YARD EMIS CTY COMPILE 2 '!G25</f>
        <v>18.449987946961258</v>
      </c>
      <c r="Z28" s="1">
        <f>'2017 YARD EMIS CTY COMPILE 2 '!H25</f>
        <v>17.546765003014784</v>
      </c>
      <c r="AA28" s="1">
        <f>'2017 YARD EMIS CTY COMPILE 2 '!I25</f>
        <v>3.3173764214961472</v>
      </c>
      <c r="AB28" s="1">
        <f>'2017 YARD EMIS CTY COMPILE 2 '!J25</f>
        <v>42.376349067797946</v>
      </c>
      <c r="AC28" s="1">
        <f>'2017 YARD EMIS CTY COMPILE 2 '!K25</f>
        <v>0.19882691961132914</v>
      </c>
      <c r="AD28" s="1">
        <f>'2017 YARD EMIS CTY COMPILE 2 '!L25</f>
        <v>50503.8373156085</v>
      </c>
      <c r="AE28" s="1">
        <f>'2017 YARD EMIS CTY COMPILE 2 '!M25</f>
        <v>0</v>
      </c>
      <c r="AF28" s="1">
        <f>'2017 YARD EMIS CTY COMPILE 2 '!N25</f>
        <v>0</v>
      </c>
      <c r="AG28" s="1">
        <f>'2017 YARD EMIS CTY COMPILE 2 '!O25</f>
        <v>0</v>
      </c>
    </row>
    <row r="29" spans="1:33" x14ac:dyDescent="0.25">
      <c r="A29" s="360">
        <v>2285002009</v>
      </c>
      <c r="B29" s="360" t="s">
        <v>76</v>
      </c>
      <c r="C29" s="360" t="s">
        <v>122</v>
      </c>
      <c r="D29" s="360" t="s">
        <v>39</v>
      </c>
      <c r="E29" s="110">
        <f>'NJT COMMUTER EMIS CTY'!E9</f>
        <v>0</v>
      </c>
      <c r="F29" s="110">
        <f>'NJT COMMUTER EMIS CTY'!K9</f>
        <v>0</v>
      </c>
      <c r="G29" s="110">
        <f>'NJT COMMUTER EMIS CTY'!F9</f>
        <v>0</v>
      </c>
      <c r="H29" s="110">
        <f>'NJT COMMUTER EMIS CTY'!G9</f>
        <v>0</v>
      </c>
      <c r="I29" s="110">
        <f>'NJT COMMUTER EMIS CTY'!H9</f>
        <v>0</v>
      </c>
      <c r="J29" s="110">
        <f>'NJT COMMUTER EMIS CTY'!I9</f>
        <v>0</v>
      </c>
      <c r="K29" s="110">
        <f>'NJT COMMUTER EMIS CTY'!J9</f>
        <v>0</v>
      </c>
      <c r="L29" s="110">
        <f>'NJT COMMUTER EMIS CTY'!L9</f>
        <v>0</v>
      </c>
      <c r="M29" s="110">
        <f>'NJT COMMUTER EMIS CTY'!M9</f>
        <v>0</v>
      </c>
      <c r="N29" s="6">
        <f t="shared" si="0"/>
        <v>0</v>
      </c>
      <c r="O29" s="6">
        <f t="shared" si="1"/>
        <v>0</v>
      </c>
      <c r="P29" s="6">
        <f t="shared" si="2"/>
        <v>0</v>
      </c>
      <c r="Q29" s="6">
        <f t="shared" si="3"/>
        <v>0</v>
      </c>
      <c r="R29" s="6">
        <f t="shared" si="4"/>
        <v>0</v>
      </c>
      <c r="S29" s="6">
        <f t="shared" si="5"/>
        <v>0</v>
      </c>
      <c r="T29" s="6">
        <f t="shared" si="6"/>
        <v>0</v>
      </c>
      <c r="U29" s="467">
        <f t="shared" si="7"/>
        <v>0</v>
      </c>
    </row>
    <row r="30" spans="1:33" x14ac:dyDescent="0.25">
      <c r="A30" s="18">
        <v>2285002010</v>
      </c>
      <c r="B30" s="18" t="s">
        <v>78</v>
      </c>
      <c r="C30" s="360" t="s">
        <v>122</v>
      </c>
      <c r="D30" s="360" t="s">
        <v>39</v>
      </c>
      <c r="E30" s="304">
        <f>'2017 YARD EMIS CTY COMPILE 2 '!D9</f>
        <v>33026</v>
      </c>
      <c r="F30" s="304">
        <f>'2017 YARD EMIS CTY COMPILE 2 '!J9</f>
        <v>0.47038730980464316</v>
      </c>
      <c r="G30" s="304">
        <f>'2017 YARD EMIS CTY COMPILE 2 '!E9</f>
        <v>9.0487733398024695</v>
      </c>
      <c r="H30" s="304">
        <f>'2017 YARD EMIS CTY COMPILE 2 '!F9</f>
        <v>0.8894524207765333</v>
      </c>
      <c r="I30" s="304">
        <f>'2017 YARD EMIS CTY COMPILE 2 '!G9</f>
        <v>0.20617458242587916</v>
      </c>
      <c r="J30" s="304">
        <f>'2017 YARD EMIS CTY COMPILE 2 '!H9</f>
        <v>0.1999893449531028</v>
      </c>
      <c r="K30" s="304">
        <f>'2017 YARD EMIS CTY COMPILE 2 '!I9</f>
        <v>4.821115633567933E-2</v>
      </c>
      <c r="L30" s="304">
        <f>'2017 YARD EMIS CTY COMPILE 2 '!K9</f>
        <v>3.1804327236740889E-3</v>
      </c>
      <c r="M30" s="304">
        <f>'2017 YARD EMIS CTY COMPILE 2 '!L9</f>
        <v>390.08994604540874</v>
      </c>
      <c r="N30" s="6">
        <f t="shared" si="0"/>
        <v>1.2887323556291593E-3</v>
      </c>
      <c r="O30" s="6">
        <f t="shared" si="1"/>
        <v>2.4791159835075259E-2</v>
      </c>
      <c r="P30" s="6">
        <f t="shared" si="2"/>
        <v>2.4368559473329681E-3</v>
      </c>
      <c r="Q30" s="6">
        <f t="shared" si="3"/>
        <v>5.6486186965994285E-4</v>
      </c>
      <c r="R30" s="6">
        <f t="shared" si="4"/>
        <v>5.4791601357014465E-4</v>
      </c>
      <c r="S30" s="6">
        <f t="shared" si="5"/>
        <v>1.3208535982377897E-4</v>
      </c>
      <c r="T30" s="6">
        <f t="shared" si="6"/>
        <v>8.7135143114358599E-6</v>
      </c>
      <c r="U30" s="467">
        <f t="shared" si="7"/>
        <v>1.0687395782065994</v>
      </c>
    </row>
    <row r="31" spans="1:33" x14ac:dyDescent="0.25">
      <c r="A31" s="360">
        <v>2285002006</v>
      </c>
      <c r="B31" s="360" t="s">
        <v>71</v>
      </c>
      <c r="C31" s="360" t="s">
        <v>114</v>
      </c>
      <c r="D31" s="360" t="s">
        <v>40</v>
      </c>
      <c r="E31" s="360">
        <f>'CLASS 1 LINE HAUL COMPILE EMISS'!E10</f>
        <v>140849.13063509113</v>
      </c>
      <c r="F31" s="360">
        <f>'CLASS 1 LINE HAUL COMPILE EMISS'!K10</f>
        <v>0.788725279848695</v>
      </c>
      <c r="G31" s="360">
        <f>'CLASS 1 LINE HAUL COMPILE EMISS'!F10</f>
        <v>18.562839486095879</v>
      </c>
      <c r="H31" s="360">
        <f>'CLASS 1 LINE HAUL COMPILE EMISS'!G10</f>
        <v>4.3352371796299716</v>
      </c>
      <c r="I31" s="360">
        <f>'CLASS 1 LINE HAUL COMPILE EMISS'!H10</f>
        <v>0.47221258341822853</v>
      </c>
      <c r="J31" s="360">
        <f>'CLASS 1 LINE HAUL COMPILE EMISS'!I10</f>
        <v>0.45804620591568163</v>
      </c>
      <c r="K31" s="360">
        <f>'CLASS 1 LINE HAUL COMPILE EMISS'!J10</f>
        <v>0.23498367370445458</v>
      </c>
      <c r="L31" s="360">
        <f>'CLASS 1 LINE HAUL COMPILE EMISS'!L10</f>
        <v>1.3563894633709517E-2</v>
      </c>
      <c r="M31" s="360">
        <f>'CLASS 1 LINE HAUL COMPILE EMISS'!M10</f>
        <v>1663.6537809600143</v>
      </c>
      <c r="N31">
        <f t="shared" si="0"/>
        <v>2.1608911776676573E-3</v>
      </c>
      <c r="O31">
        <f t="shared" si="1"/>
        <v>5.0857094482454464E-2</v>
      </c>
      <c r="P31">
        <f t="shared" si="2"/>
        <v>1.1877362135972526E-2</v>
      </c>
      <c r="Q31">
        <f t="shared" si="3"/>
        <v>1.2937331052554205E-3</v>
      </c>
      <c r="R31">
        <f t="shared" si="4"/>
        <v>1.2549211120977579E-3</v>
      </c>
      <c r="S31">
        <f t="shared" si="5"/>
        <v>6.4379088686151943E-4</v>
      </c>
      <c r="T31">
        <f t="shared" si="6"/>
        <v>3.7161355160847989E-5</v>
      </c>
      <c r="U31" s="467">
        <f t="shared" si="7"/>
        <v>4.5579555642740113</v>
      </c>
    </row>
    <row r="32" spans="1:33" x14ac:dyDescent="0.25">
      <c r="A32" s="360">
        <v>2285002007</v>
      </c>
      <c r="B32" s="360" t="s">
        <v>74</v>
      </c>
      <c r="C32" s="360" t="s">
        <v>114</v>
      </c>
      <c r="D32" s="360" t="s">
        <v>40</v>
      </c>
      <c r="E32" s="110">
        <f>'LINE HAUL CLASS 23 TOTAL BY CTY'!D10</f>
        <v>86640.860896438913</v>
      </c>
      <c r="F32" s="110">
        <f>'LINE HAUL CLASS 23 TOTAL BY CTY'!J10</f>
        <v>1.2340205134207658</v>
      </c>
      <c r="G32" s="110">
        <f>'LINE HAUL CLASS 23 TOTAL BY CTY'!E10</f>
        <v>23.738675958857595</v>
      </c>
      <c r="H32" s="110">
        <f>'LINE HAUL CLASS 23 TOTAL BY CTY'!F10</f>
        <v>2.3334016672470321</v>
      </c>
      <c r="I32" s="110">
        <f>'LINE HAUL CLASS 23 TOTAL BY CTY'!G10</f>
        <v>0.54088122437903396</v>
      </c>
      <c r="J32" s="110">
        <f>'LINE HAUL CLASS 23 TOTAL BY CTY'!H10</f>
        <v>0.52465478764766293</v>
      </c>
      <c r="K32" s="110">
        <f>'LINE HAUL CLASS 23 TOTAL BY CTY'!I10</f>
        <v>0.1264778080826035</v>
      </c>
      <c r="L32" s="110">
        <f>'LINE HAUL CLASS 23 TOTAL BY CTY'!K10</f>
        <v>8.3435907830899624E-3</v>
      </c>
      <c r="M32" s="110">
        <f>'LINE HAUL CLASS 23 TOTAL BY CTY'!L10</f>
        <v>1023.3673091630722</v>
      </c>
      <c r="N32">
        <f t="shared" si="0"/>
        <v>3.380878118961002E-3</v>
      </c>
      <c r="O32">
        <f t="shared" si="1"/>
        <v>6.503746838043177E-2</v>
      </c>
      <c r="P32">
        <f t="shared" si="2"/>
        <v>6.3928812801288554E-3</v>
      </c>
      <c r="Q32">
        <f t="shared" si="3"/>
        <v>1.4818663681617369E-3</v>
      </c>
      <c r="R32">
        <f t="shared" si="4"/>
        <v>1.4374103771168847E-3</v>
      </c>
      <c r="S32">
        <f t="shared" si="5"/>
        <v>3.4651454269206438E-4</v>
      </c>
      <c r="T32">
        <f t="shared" si="6"/>
        <v>2.2859152830383459E-5</v>
      </c>
      <c r="U32" s="467">
        <f t="shared" si="7"/>
        <v>2.8037460525015674</v>
      </c>
    </row>
    <row r="33" spans="1:30" x14ac:dyDescent="0.25">
      <c r="A33" s="360">
        <v>2285002009</v>
      </c>
      <c r="B33" s="360" t="s">
        <v>76</v>
      </c>
      <c r="C33" s="360" t="s">
        <v>114</v>
      </c>
      <c r="D33" s="360" t="s">
        <v>40</v>
      </c>
      <c r="E33" s="110">
        <f>'NJT COMMUTER EMIS CTY'!E10</f>
        <v>753471.94050554989</v>
      </c>
      <c r="F33" s="110">
        <f>'NJT COMMUTER EMIS CTY'!K10</f>
        <v>4.2192831752226629</v>
      </c>
      <c r="G33" s="110">
        <f>'NJT COMMUTER EMIS CTY'!F10</f>
        <v>97.559708415900403</v>
      </c>
      <c r="H33" s="110">
        <f>'NJT COMMUTER EMIS CTY'!G10</f>
        <v>23.19133640057975</v>
      </c>
      <c r="I33" s="110">
        <f>'NJT COMMUTER EMIS CTY'!H10</f>
        <v>2.4389927103975095</v>
      </c>
      <c r="J33" s="110">
        <f>'NJT COMMUTER EMIS CTY'!I10</f>
        <v>2.3658229290855841</v>
      </c>
      <c r="K33" s="110">
        <f>'NJT COMMUTER EMIS CTY'!J10</f>
        <v>1.2570443552961992</v>
      </c>
      <c r="L33" s="110">
        <f>'NJT COMMUTER EMIS CTY'!L10</f>
        <v>7.2560007750077732E-2</v>
      </c>
      <c r="M33" s="110">
        <f>'NJT COMMUTER EMIS CTY'!M10</f>
        <v>8899.7101864754841</v>
      </c>
      <c r="N33" s="6">
        <f t="shared" si="0"/>
        <v>1.1559679932116885E-2</v>
      </c>
      <c r="O33" s="6">
        <f t="shared" si="1"/>
        <v>0.2672868723723299</v>
      </c>
      <c r="P33" s="6">
        <f t="shared" si="2"/>
        <v>6.3537907946793842E-2</v>
      </c>
      <c r="Q33" s="6">
        <f t="shared" si="3"/>
        <v>6.6821718093082452E-3</v>
      </c>
      <c r="R33" s="6">
        <f t="shared" si="4"/>
        <v>6.4817066550289975E-3</v>
      </c>
      <c r="S33" s="6">
        <f t="shared" si="5"/>
        <v>3.4439571377978058E-3</v>
      </c>
      <c r="T33" s="6">
        <f t="shared" si="6"/>
        <v>1.9879454178103488E-4</v>
      </c>
      <c r="U33" s="467">
        <f t="shared" si="7"/>
        <v>24.382767634179409</v>
      </c>
    </row>
    <row r="34" spans="1:30" x14ac:dyDescent="0.25">
      <c r="A34" s="18">
        <v>2285002010</v>
      </c>
      <c r="B34" s="18" t="s">
        <v>78</v>
      </c>
      <c r="C34" s="360" t="s">
        <v>114</v>
      </c>
      <c r="D34" s="360" t="s">
        <v>40</v>
      </c>
      <c r="E34" s="304">
        <f>'2017 YARD EMIS CTY COMPILE 2 '!D10</f>
        <v>1171868.1043215371</v>
      </c>
      <c r="F34" s="304">
        <f>'2017 YARD EMIS CTY COMPILE 2 '!J10</f>
        <v>20.717540259751942</v>
      </c>
      <c r="G34" s="304">
        <f>'2017 YARD EMIS CTY COMPILE 2 '!E10</f>
        <v>287.49459760224931</v>
      </c>
      <c r="H34" s="304">
        <f>'2017 YARD EMIS CTY COMPILE 2 '!F10</f>
        <v>38.270936336446042</v>
      </c>
      <c r="I34" s="304">
        <f>'2017 YARD EMIS CTY COMPILE 2 '!G10</f>
        <v>8.8851503301425119</v>
      </c>
      <c r="J34" s="304">
        <f>'2017 YARD EMIS CTY COMPILE 2 '!H10</f>
        <v>8.3697612306557811</v>
      </c>
      <c r="K34" s="304">
        <f>'2017 YARD EMIS CTY COMPILE 2 '!I10</f>
        <v>0.98140610093988867</v>
      </c>
      <c r="L34" s="304">
        <f>'2017 YARD EMIS CTY COMPILE 2 '!K10</f>
        <v>6.0291570807068838E-2</v>
      </c>
      <c r="M34" s="304">
        <f>'2017 YARD EMIS CTY COMPILE 2 '!L10</f>
        <v>13119.402625770301</v>
      </c>
      <c r="N34" s="6">
        <f t="shared" si="0"/>
        <v>5.6760384273292989E-2</v>
      </c>
      <c r="O34" s="6">
        <f t="shared" si="1"/>
        <v>0.78765643178698441</v>
      </c>
      <c r="P34" s="6">
        <f t="shared" si="2"/>
        <v>0.10485188037382477</v>
      </c>
      <c r="Q34" s="6">
        <f t="shared" si="3"/>
        <v>2.4342877616828799E-2</v>
      </c>
      <c r="R34" s="6">
        <f t="shared" si="4"/>
        <v>2.2930852686728169E-2</v>
      </c>
      <c r="S34" s="6">
        <f t="shared" si="5"/>
        <v>2.688783838191476E-3</v>
      </c>
      <c r="T34" s="6">
        <f t="shared" si="6"/>
        <v>1.6518238577279133E-4</v>
      </c>
      <c r="U34" s="467">
        <f t="shared" si="7"/>
        <v>35.943568837726851</v>
      </c>
    </row>
    <row r="35" spans="1:30" x14ac:dyDescent="0.25">
      <c r="A35" s="360">
        <v>2285002006</v>
      </c>
      <c r="B35" s="360" t="s">
        <v>71</v>
      </c>
      <c r="C35" s="360" t="s">
        <v>123</v>
      </c>
      <c r="D35" s="360" t="s">
        <v>41</v>
      </c>
      <c r="E35" s="360">
        <f>'CLASS 1 LINE HAUL COMPILE EMISS'!E11</f>
        <v>158847.24394577043</v>
      </c>
      <c r="F35" s="360">
        <f>'CLASS 1 LINE HAUL COMPILE EMISS'!K11</f>
        <v>0.88951089985008203</v>
      </c>
      <c r="G35" s="360">
        <f>'CLASS 1 LINE HAUL COMPILE EMISS'!F11</f>
        <v>20.934853334759765</v>
      </c>
      <c r="H35" s="360">
        <f>'CLASS 1 LINE HAUL COMPILE EMISS'!G11</f>
        <v>4.889206448988106</v>
      </c>
      <c r="I35" s="360">
        <f>'CLASS 1 LINE HAUL COMPILE EMISS'!H11</f>
        <v>0.5325532865859941</v>
      </c>
      <c r="J35" s="360">
        <f>'CLASS 1 LINE HAUL COMPILE EMISS'!I11</f>
        <v>0.51657668798841416</v>
      </c>
      <c r="K35" s="360">
        <f>'CLASS 1 LINE HAUL COMPILE EMISS'!J11</f>
        <v>0.26501057388071148</v>
      </c>
      <c r="L35" s="360">
        <f>'CLASS 1 LINE HAUL COMPILE EMISS'!L11</f>
        <v>1.5297128708004877E-2</v>
      </c>
      <c r="M35" s="360">
        <f>'CLASS 1 LINE HAUL COMPILE EMISS'!M11</f>
        <v>1876.2403203617591</v>
      </c>
      <c r="N35">
        <f t="shared" si="0"/>
        <v>2.4370161639728277E-3</v>
      </c>
      <c r="O35">
        <f t="shared" si="1"/>
        <v>5.7355762560985658E-2</v>
      </c>
      <c r="P35">
        <f t="shared" si="2"/>
        <v>1.3395086161611249E-2</v>
      </c>
      <c r="Q35">
        <f t="shared" si="3"/>
        <v>1.4590501002356003E-3</v>
      </c>
      <c r="R35">
        <f t="shared" si="4"/>
        <v>1.4152785972285319E-3</v>
      </c>
      <c r="S35">
        <f t="shared" si="5"/>
        <v>7.2605636679646981E-4</v>
      </c>
      <c r="T35">
        <f t="shared" si="6"/>
        <v>4.1909941665766787E-5</v>
      </c>
      <c r="U35" s="467">
        <f t="shared" si="7"/>
        <v>5.1403844393472857</v>
      </c>
    </row>
    <row r="36" spans="1:30" x14ac:dyDescent="0.25">
      <c r="A36" s="360">
        <v>2285002007</v>
      </c>
      <c r="B36" s="360" t="s">
        <v>74</v>
      </c>
      <c r="C36" s="360" t="s">
        <v>123</v>
      </c>
      <c r="D36" s="360" t="s">
        <v>41</v>
      </c>
      <c r="E36" s="110">
        <f>'LINE HAUL CLASS 23 TOTAL BY CTY'!D11</f>
        <v>317511.01183761784</v>
      </c>
      <c r="F36" s="110">
        <f>'LINE HAUL CLASS 23 TOTAL BY CTY'!J11</f>
        <v>4.5222900348709274</v>
      </c>
      <c r="G36" s="110">
        <f>'LINE HAUL CLASS 23 TOTAL BY CTY'!E11</f>
        <v>86.994646006478007</v>
      </c>
      <c r="H36" s="110">
        <f>'LINE HAUL CLASS 23 TOTAL BY CTY'!F11</f>
        <v>8.5511699298181938</v>
      </c>
      <c r="I36" s="110">
        <f>'LINE HAUL CLASS 23 TOTAL BY CTY'!G11</f>
        <v>1.9821564912868417</v>
      </c>
      <c r="J36" s="110">
        <f>'LINE HAUL CLASS 23 TOTAL BY CTY'!H11</f>
        <v>1.9226917965482362</v>
      </c>
      <c r="K36" s="110">
        <f>'LINE HAUL CLASS 23 TOTAL BY CTY'!I11</f>
        <v>0.46350066705029741</v>
      </c>
      <c r="L36" s="110">
        <f>'LINE HAUL CLASS 23 TOTAL BY CTY'!K11</f>
        <v>3.0576588511331396E-2</v>
      </c>
      <c r="M36" s="110">
        <f>'LINE HAUL CLASS 23 TOTAL BY CTY'!L11</f>
        <v>3750.3134947180847</v>
      </c>
      <c r="N36">
        <f t="shared" si="0"/>
        <v>1.2389835711975144E-2</v>
      </c>
      <c r="O36">
        <f t="shared" si="1"/>
        <v>0.23834149590815892</v>
      </c>
      <c r="P36">
        <f t="shared" si="2"/>
        <v>2.3427862821419711E-2</v>
      </c>
      <c r="Q36">
        <f t="shared" si="3"/>
        <v>5.430565729552991E-3</v>
      </c>
      <c r="R36">
        <f t="shared" si="4"/>
        <v>5.2676487576664007E-3</v>
      </c>
      <c r="S36">
        <f t="shared" si="5"/>
        <v>1.2698648412336915E-3</v>
      </c>
      <c r="T36">
        <f t="shared" si="6"/>
        <v>8.3771475373510678E-5</v>
      </c>
      <c r="U36" s="467">
        <f t="shared" si="7"/>
        <v>10.274831492378315</v>
      </c>
    </row>
    <row r="37" spans="1:30" x14ac:dyDescent="0.25">
      <c r="A37" s="360">
        <v>2285002009</v>
      </c>
      <c r="B37" s="360" t="s">
        <v>76</v>
      </c>
      <c r="C37" s="360" t="s">
        <v>123</v>
      </c>
      <c r="D37" s="360" t="s">
        <v>41</v>
      </c>
      <c r="E37" s="110">
        <f>'NJT COMMUTER EMIS CTY'!E11</f>
        <v>0</v>
      </c>
      <c r="F37" s="110">
        <f>'NJT COMMUTER EMIS CTY'!K11</f>
        <v>0</v>
      </c>
      <c r="G37" s="110">
        <f>'NJT COMMUTER EMIS CTY'!F11</f>
        <v>0</v>
      </c>
      <c r="H37" s="110">
        <f>'NJT COMMUTER EMIS CTY'!G11</f>
        <v>0</v>
      </c>
      <c r="I37" s="110">
        <f>'NJT COMMUTER EMIS CTY'!H11</f>
        <v>0</v>
      </c>
      <c r="J37" s="110">
        <f>'NJT COMMUTER EMIS CTY'!I11</f>
        <v>0</v>
      </c>
      <c r="K37" s="110">
        <f>'NJT COMMUTER EMIS CTY'!J11</f>
        <v>0</v>
      </c>
      <c r="L37" s="110">
        <f>'NJT COMMUTER EMIS CTY'!L11</f>
        <v>0</v>
      </c>
      <c r="M37" s="110">
        <f>'NJT COMMUTER EMIS CTY'!M11</f>
        <v>0</v>
      </c>
      <c r="N37" s="6">
        <f t="shared" si="0"/>
        <v>0</v>
      </c>
      <c r="O37" s="6">
        <f t="shared" si="1"/>
        <v>0</v>
      </c>
      <c r="P37" s="6">
        <f t="shared" si="2"/>
        <v>0</v>
      </c>
      <c r="Q37" s="6">
        <f t="shared" si="3"/>
        <v>0</v>
      </c>
      <c r="R37" s="6">
        <f t="shared" si="4"/>
        <v>0</v>
      </c>
      <c r="S37" s="6">
        <f t="shared" si="5"/>
        <v>0</v>
      </c>
      <c r="T37" s="6">
        <f t="shared" si="6"/>
        <v>0</v>
      </c>
      <c r="U37" s="467">
        <f t="shared" si="7"/>
        <v>0</v>
      </c>
    </row>
    <row r="38" spans="1:30" x14ac:dyDescent="0.25">
      <c r="A38" s="18">
        <v>2285002010</v>
      </c>
      <c r="B38" s="18" t="s">
        <v>78</v>
      </c>
      <c r="C38" s="360" t="s">
        <v>123</v>
      </c>
      <c r="D38" s="360" t="s">
        <v>41</v>
      </c>
      <c r="E38" s="304">
        <f>'2017 YARD EMIS CTY COMPILE 2 '!D11</f>
        <v>33620</v>
      </c>
      <c r="F38" s="304">
        <f>'2017 YARD EMIS CTY COMPILE 2 '!J11</f>
        <v>0.4788476156855842</v>
      </c>
      <c r="G38" s="304">
        <f>'2017 YARD EMIS CTY COMPILE 2 '!E11</f>
        <v>9.2115230328879996</v>
      </c>
      <c r="H38" s="304">
        <f>'2017 YARD EMIS CTY COMPILE 2 '!F11</f>
        <v>0.90544996022851842</v>
      </c>
      <c r="I38" s="304">
        <f>'2017 YARD EMIS CTY COMPILE 2 '!G11</f>
        <v>0.20988280328099249</v>
      </c>
      <c r="J38" s="304">
        <f>'2017 YARD EMIS CTY COMPILE 2 '!H11</f>
        <v>0.2035863191825627</v>
      </c>
      <c r="K38" s="304">
        <f>'2017 YARD EMIS CTY COMPILE 2 '!I11</f>
        <v>4.9078273966133928E-2</v>
      </c>
      <c r="L38" s="304">
        <f>'2017 YARD EMIS CTY COMPILE 2 '!K11</f>
        <v>3.237635443890355E-3</v>
      </c>
      <c r="M38" s="304">
        <f>'2017 YARD EMIS CTY COMPILE 2 '!L11</f>
        <v>397.10603724479631</v>
      </c>
      <c r="N38" s="6">
        <f t="shared" si="0"/>
        <v>1.3119112758509157E-3</v>
      </c>
      <c r="O38" s="6">
        <f t="shared" si="1"/>
        <v>2.5237049405172601E-2</v>
      </c>
      <c r="P38" s="6">
        <f t="shared" si="2"/>
        <v>2.4806848225438862E-3</v>
      </c>
      <c r="Q38" s="6">
        <f t="shared" si="3"/>
        <v>5.7502137885203416E-4</v>
      </c>
      <c r="R38" s="6">
        <f t="shared" si="4"/>
        <v>5.5777073748647312E-4</v>
      </c>
      <c r="S38" s="6">
        <f t="shared" si="5"/>
        <v>1.3446102456475049E-4</v>
      </c>
      <c r="T38" s="6">
        <f t="shared" si="6"/>
        <v>8.8702340928502879E-6</v>
      </c>
      <c r="U38" s="467">
        <f t="shared" si="7"/>
        <v>1.0879617458761544</v>
      </c>
    </row>
    <row r="39" spans="1:30" x14ac:dyDescent="0.25">
      <c r="A39" s="360">
        <v>2285002006</v>
      </c>
      <c r="B39" s="360" t="s">
        <v>71</v>
      </c>
      <c r="C39" s="360" t="s">
        <v>115</v>
      </c>
      <c r="D39" s="360" t="s">
        <v>42</v>
      </c>
      <c r="E39" s="360">
        <f>'CLASS 1 LINE HAUL COMPILE EMISS'!E12</f>
        <v>323445.62013438344</v>
      </c>
      <c r="F39" s="360">
        <f>'CLASS 1 LINE HAUL COMPILE EMISS'!K12</f>
        <v>1.8112269213592733</v>
      </c>
      <c r="G39" s="360">
        <f>'CLASS 1 LINE HAUL COMPILE EMISS'!F12</f>
        <v>42.627661966835362</v>
      </c>
      <c r="H39" s="360">
        <f>'CLASS 1 LINE HAUL COMPILE EMISS'!G12</f>
        <v>9.955428703552851</v>
      </c>
      <c r="I39" s="360">
        <f>'CLASS 1 LINE HAUL COMPILE EMISS'!H12</f>
        <v>1.0843878921387944</v>
      </c>
      <c r="J39" s="360">
        <f>'CLASS 1 LINE HAUL COMPILE EMISS'!I12</f>
        <v>1.0518562553746307</v>
      </c>
      <c r="K39" s="360">
        <f>'CLASS 1 LINE HAUL COMPILE EMISS'!J12</f>
        <v>0.53961596866155703</v>
      </c>
      <c r="L39" s="360">
        <f>'CLASS 1 LINE HAUL COMPILE EMISS'!L12</f>
        <v>3.1148096487750614E-2</v>
      </c>
      <c r="M39" s="360">
        <f>'CLASS 1 LINE HAUL COMPILE EMISS'!M12</f>
        <v>3820.4107220627807</v>
      </c>
      <c r="N39">
        <f t="shared" ref="N39:N70" si="8">F39/365</f>
        <v>4.9622655379706121E-3</v>
      </c>
      <c r="O39">
        <f t="shared" ref="O39:O70" si="9">G39/365</f>
        <v>0.11678811497763113</v>
      </c>
      <c r="P39">
        <f t="shared" ref="P39:P70" si="10">H39/365</f>
        <v>2.727514713302151E-2</v>
      </c>
      <c r="Q39">
        <f t="shared" ref="Q39:Q70" si="11">I39/365</f>
        <v>2.9709257318871079E-3</v>
      </c>
      <c r="R39">
        <f t="shared" ref="R39:R70" si="12">J39/365</f>
        <v>2.8817979599304951E-3</v>
      </c>
      <c r="S39">
        <f t="shared" ref="S39:S70" si="13">K39/365</f>
        <v>1.4783999141412521E-3</v>
      </c>
      <c r="T39">
        <f t="shared" ref="T39:T70" si="14">L39/365</f>
        <v>8.5337250651371552E-5</v>
      </c>
      <c r="U39" s="467">
        <f t="shared" ref="U39:U70" si="15">M39/365</f>
        <v>10.466878690582961</v>
      </c>
    </row>
    <row r="40" spans="1:30" x14ac:dyDescent="0.25">
      <c r="A40" s="360">
        <v>2285002007</v>
      </c>
      <c r="B40" s="360" t="s">
        <v>74</v>
      </c>
      <c r="C40" s="360" t="s">
        <v>115</v>
      </c>
      <c r="D40" s="360" t="s">
        <v>42</v>
      </c>
      <c r="E40" s="110">
        <f>'LINE HAUL CLASS 23 TOTAL BY CTY'!D12</f>
        <v>158160.81687505986</v>
      </c>
      <c r="F40" s="110">
        <f>'LINE HAUL CLASS 23 TOTAL BY CTY'!J12</f>
        <v>2.2526748975463038</v>
      </c>
      <c r="G40" s="110">
        <f>'LINE HAUL CLASS 23 TOTAL BY CTY'!E12</f>
        <v>43.334384519482299</v>
      </c>
      <c r="H40" s="110">
        <f>'LINE HAUL CLASS 23 TOTAL BY CTY'!F12</f>
        <v>4.2595688682103798</v>
      </c>
      <c r="I40" s="110">
        <f>'LINE HAUL CLASS 23 TOTAL BY CTY'!G12</f>
        <v>0.98736572322871108</v>
      </c>
      <c r="J40" s="110">
        <f>'LINE HAUL CLASS 23 TOTAL BY CTY'!H12</f>
        <v>0.95774475153184957</v>
      </c>
      <c r="K40" s="110">
        <f>'LINE HAUL CLASS 23 TOTAL BY CTY'!I12</f>
        <v>0.23088221003276999</v>
      </c>
      <c r="L40" s="110">
        <f>'LINE HAUL CLASS 23 TOTAL BY CTY'!K12</f>
        <v>1.5231025179932946E-2</v>
      </c>
      <c r="M40" s="110">
        <f>'LINE HAUL CLASS 23 TOTAL BY CTY'!L12</f>
        <v>1868.1325174495814</v>
      </c>
      <c r="N40">
        <f t="shared" si="8"/>
        <v>6.1717120480720648E-3</v>
      </c>
      <c r="O40">
        <f t="shared" si="9"/>
        <v>0.11872434114926657</v>
      </c>
      <c r="P40">
        <f t="shared" si="10"/>
        <v>1.1670051693727068E-2</v>
      </c>
      <c r="Q40">
        <f t="shared" si="11"/>
        <v>2.7051115704896196E-3</v>
      </c>
      <c r="R40">
        <f t="shared" si="12"/>
        <v>2.6239582233749301E-3</v>
      </c>
      <c r="S40">
        <f t="shared" si="13"/>
        <v>6.3255400008978074E-4</v>
      </c>
      <c r="T40">
        <f t="shared" si="14"/>
        <v>4.1728836109405328E-5</v>
      </c>
      <c r="U40" s="467">
        <f t="shared" si="15"/>
        <v>5.1181712806837849</v>
      </c>
    </row>
    <row r="41" spans="1:30" x14ac:dyDescent="0.25">
      <c r="A41" s="360">
        <v>2285002009</v>
      </c>
      <c r="B41" s="360" t="s">
        <v>76</v>
      </c>
      <c r="C41" s="360" t="s">
        <v>115</v>
      </c>
      <c r="D41" s="360" t="s">
        <v>42</v>
      </c>
      <c r="E41" s="110">
        <f>'NJT COMMUTER EMIS CTY'!E12</f>
        <v>1580030.0899469894</v>
      </c>
      <c r="F41" s="110">
        <f>'NJT COMMUTER EMIS CTY'!K12</f>
        <v>8.8478336305209488</v>
      </c>
      <c r="G41" s="110">
        <f>'NJT COMMUTER EMIS CTY'!F12</f>
        <v>204.58263483594422</v>
      </c>
      <c r="H41" s="110">
        <f>'NJT COMMUTER EMIS CTY'!G12</f>
        <v>48.632214909573023</v>
      </c>
      <c r="I41" s="110">
        <f>'NJT COMMUTER EMIS CTY'!H12</f>
        <v>5.1145658708986037</v>
      </c>
      <c r="J41" s="110">
        <f>'NJT COMMUTER EMIS CTY'!I12</f>
        <v>4.9611288947716456</v>
      </c>
      <c r="K41" s="110">
        <f>'NJT COMMUTER EMIS CTY'!J12</f>
        <v>2.6360210632838821</v>
      </c>
      <c r="L41" s="110">
        <f>'NJT COMMUTER EMIS CTY'!L12</f>
        <v>0.15215828142848423</v>
      </c>
      <c r="M41" s="110">
        <f>'NJT COMMUTER EMIS CTY'!M12</f>
        <v>18662.685536775371</v>
      </c>
      <c r="N41" s="6">
        <f t="shared" si="8"/>
        <v>2.424064008361904E-2</v>
      </c>
      <c r="O41" s="6">
        <f t="shared" si="9"/>
        <v>0.56050036941354575</v>
      </c>
      <c r="P41" s="6">
        <f t="shared" si="10"/>
        <v>0.13323894495773431</v>
      </c>
      <c r="Q41" s="6">
        <f t="shared" si="11"/>
        <v>1.401250923533864E-2</v>
      </c>
      <c r="R41" s="6">
        <f t="shared" si="12"/>
        <v>1.3592133958278482E-2</v>
      </c>
      <c r="S41" s="6">
        <f t="shared" si="13"/>
        <v>7.2219755158462523E-3</v>
      </c>
      <c r="T41" s="6">
        <f t="shared" si="14"/>
        <v>4.1687200391365541E-4</v>
      </c>
      <c r="U41" s="467">
        <f t="shared" si="15"/>
        <v>51.130645306233895</v>
      </c>
    </row>
    <row r="42" spans="1:30" ht="14.25" customHeight="1" x14ac:dyDescent="0.25">
      <c r="A42" s="18">
        <v>2285002010</v>
      </c>
      <c r="B42" s="18" t="s">
        <v>78</v>
      </c>
      <c r="C42" s="360" t="s">
        <v>115</v>
      </c>
      <c r="D42" s="360" t="s">
        <v>42</v>
      </c>
      <c r="E42" s="304">
        <f>'2017 YARD EMIS CTY COMPILE 2 '!D12</f>
        <v>524159.02176177863</v>
      </c>
      <c r="F42" s="304">
        <f>'2017 YARD EMIS CTY COMPILE 2 '!J12</f>
        <v>4.4819837770036548</v>
      </c>
      <c r="G42" s="304">
        <f>'2017 YARD EMIS CTY COMPILE 2 '!E12</f>
        <v>83.980611162228911</v>
      </c>
      <c r="H42" s="304">
        <f>'2017 YARD EMIS CTY COMPILE 2 '!F12</f>
        <v>13.015123925195644</v>
      </c>
      <c r="I42" s="304">
        <f>'2017 YARD EMIS CTY COMPILE 2 '!G12</f>
        <v>2.0705202484762619</v>
      </c>
      <c r="J42" s="304">
        <f>'2017 YARD EMIS CTY COMPILE 2 '!H12</f>
        <v>2.0002252476544706</v>
      </c>
      <c r="K42" s="304">
        <f>'2017 YARD EMIS CTY COMPILE 2 '!I12</f>
        <v>0.75900767624107124</v>
      </c>
      <c r="L42" s="304">
        <f>'2017 YARD EMIS CTY COMPILE 2 '!K12</f>
        <v>4.9823830696459313E-2</v>
      </c>
      <c r="M42" s="304">
        <f>'2017 YARD EMIS CTY COMPILE 2 '!L12</f>
        <v>6257.5452463838819</v>
      </c>
      <c r="N42" s="6">
        <f t="shared" si="8"/>
        <v>1.2279407608229192E-2</v>
      </c>
      <c r="O42" s="6">
        <f t="shared" si="9"/>
        <v>0.23008386619788743</v>
      </c>
      <c r="P42" s="6">
        <f t="shared" si="10"/>
        <v>3.5657873767659297E-2</v>
      </c>
      <c r="Q42" s="6">
        <f t="shared" si="11"/>
        <v>5.6726582150034574E-3</v>
      </c>
      <c r="R42" s="6">
        <f t="shared" si="12"/>
        <v>5.4800691716560841E-3</v>
      </c>
      <c r="S42" s="6">
        <f t="shared" si="13"/>
        <v>2.0794730855919759E-3</v>
      </c>
      <c r="T42" s="6">
        <f t="shared" si="14"/>
        <v>1.3650364574372415E-4</v>
      </c>
      <c r="U42" s="467">
        <f t="shared" si="15"/>
        <v>17.143959579133924</v>
      </c>
    </row>
    <row r="43" spans="1:30" x14ac:dyDescent="0.25">
      <c r="A43" s="360">
        <v>2285002006</v>
      </c>
      <c r="B43" s="360" t="s">
        <v>71</v>
      </c>
      <c r="C43" s="360" t="s">
        <v>124</v>
      </c>
      <c r="D43" s="360" t="s">
        <v>24</v>
      </c>
      <c r="E43" s="360">
        <f>'CLASS 1 LINE HAUL COMPILE EMISS'!E13</f>
        <v>654944.96518165921</v>
      </c>
      <c r="F43" s="360">
        <f>'CLASS 1 LINE HAUL COMPILE EMISS'!K13</f>
        <v>3.6675529953161057</v>
      </c>
      <c r="G43" s="360">
        <f>'CLASS 1 LINE HAUL COMPILE EMISS'!F13</f>
        <v>86.3167433556373</v>
      </c>
      <c r="H43" s="360">
        <f>'CLASS 1 LINE HAUL COMPILE EMISS'!G13</f>
        <v>20.158745395618315</v>
      </c>
      <c r="I43" s="360">
        <f>'CLASS 1 LINE HAUL COMPILE EMISS'!H13</f>
        <v>2.1957768046609494</v>
      </c>
      <c r="J43" s="360">
        <f>'CLASS 1 LINE HAUL COMPILE EMISS'!I13</f>
        <v>2.1299035005211207</v>
      </c>
      <c r="K43" s="360">
        <f>'CLASS 1 LINE HAUL COMPILE EMISS'!J13</f>
        <v>1.0926682564434611</v>
      </c>
      <c r="L43" s="360">
        <f>'CLASS 1 LINE HAUL COMPILE EMISS'!L13</f>
        <v>6.3071773737943912E-2</v>
      </c>
      <c r="M43" s="360">
        <f>'CLASS 1 LINE HAUL COMPILE EMISS'!M13</f>
        <v>7735.9488321451445</v>
      </c>
      <c r="N43">
        <f t="shared" si="8"/>
        <v>1.0048090398126317E-2</v>
      </c>
      <c r="O43">
        <f t="shared" si="9"/>
        <v>0.23648422837160904</v>
      </c>
      <c r="P43">
        <f t="shared" si="10"/>
        <v>5.5229439440050175E-2</v>
      </c>
      <c r="Q43">
        <f t="shared" si="11"/>
        <v>6.0158268620847926E-3</v>
      </c>
      <c r="R43">
        <f t="shared" si="12"/>
        <v>5.8353520562222485E-3</v>
      </c>
      <c r="S43">
        <f t="shared" si="13"/>
        <v>2.9936116614889346E-3</v>
      </c>
      <c r="T43">
        <f t="shared" si="14"/>
        <v>1.7279938010395592E-4</v>
      </c>
      <c r="U43" s="467">
        <f t="shared" si="15"/>
        <v>21.194380362041493</v>
      </c>
    </row>
    <row r="44" spans="1:30" x14ac:dyDescent="0.25">
      <c r="A44" s="360">
        <v>2285002007</v>
      </c>
      <c r="B44" s="360" t="s">
        <v>74</v>
      </c>
      <c r="C44" s="360" t="s">
        <v>124</v>
      </c>
      <c r="D44" s="360" t="s">
        <v>24</v>
      </c>
      <c r="E44" s="110">
        <f>'LINE HAUL CLASS 23 TOTAL BY CTY'!D13</f>
        <v>5705</v>
      </c>
      <c r="F44" s="110">
        <f>'LINE HAUL CLASS 23 TOTAL BY CTY'!J13</f>
        <v>8.125596809893687E-2</v>
      </c>
      <c r="G44" s="110">
        <f>'LINE HAUL CLASS 23 TOTAL BY CTY'!E13</f>
        <v>1.5631094260150518</v>
      </c>
      <c r="H44" s="110">
        <f>'LINE HAUL CLASS 23 TOTAL BY CTY'!F13</f>
        <v>0.15364640163901541</v>
      </c>
      <c r="I44" s="110">
        <f>'LINE HAUL CLASS 23 TOTAL BY CTY'!G13</f>
        <v>3.5615151478823978E-2</v>
      </c>
      <c r="J44" s="110">
        <f>'LINE HAUL CLASS 23 TOTAL BY CTY'!H13</f>
        <v>3.4546696934459255E-2</v>
      </c>
      <c r="K44" s="110">
        <f>'LINE HAUL CLASS 23 TOTAL BY CTY'!I13</f>
        <v>8.3281247167398594E-3</v>
      </c>
      <c r="L44" s="110">
        <f>'LINE HAUL CLASS 23 TOTAL BY CTY'!K13</f>
        <v>5.4939649635319678E-4</v>
      </c>
      <c r="M44" s="110">
        <f>'LINE HAUL CLASS 23 TOTAL BY CTY'!L13</f>
        <v>67.385185677619361</v>
      </c>
      <c r="N44">
        <f t="shared" si="8"/>
        <v>2.2261909068201882E-4</v>
      </c>
      <c r="O44">
        <f t="shared" si="9"/>
        <v>4.2824915781234296E-3</v>
      </c>
      <c r="P44">
        <f t="shared" si="10"/>
        <v>4.2094904558634362E-4</v>
      </c>
      <c r="Q44">
        <f t="shared" si="11"/>
        <v>9.7575757476230083E-5</v>
      </c>
      <c r="R44">
        <f t="shared" si="12"/>
        <v>9.4648484751943168E-5</v>
      </c>
      <c r="S44">
        <f t="shared" si="13"/>
        <v>2.281678004586263E-5</v>
      </c>
      <c r="T44">
        <f t="shared" si="14"/>
        <v>1.5051958804197172E-6</v>
      </c>
      <c r="U44" s="467">
        <f t="shared" si="15"/>
        <v>0.18461694706197085</v>
      </c>
    </row>
    <row r="45" spans="1:30" x14ac:dyDescent="0.25">
      <c r="A45" s="360">
        <v>2285002009</v>
      </c>
      <c r="B45" s="360" t="s">
        <v>76</v>
      </c>
      <c r="C45" s="360" t="s">
        <v>124</v>
      </c>
      <c r="D45" s="360" t="s">
        <v>24</v>
      </c>
      <c r="E45" s="110">
        <f>'NJT COMMUTER EMIS CTY'!E13</f>
        <v>946260.25978807651</v>
      </c>
      <c r="F45" s="110">
        <f>'NJT COMMUTER EMIS CTY'!K13</f>
        <v>5.298856903452597</v>
      </c>
      <c r="G45" s="110">
        <f>'NJT COMMUTER EMIS CTY'!F13</f>
        <v>122.52198133421919</v>
      </c>
      <c r="H45" s="110">
        <f>'NJT COMMUTER EMIS CTY'!G13</f>
        <v>29.125225277162965</v>
      </c>
      <c r="I45" s="110">
        <f>'NJT COMMUTER EMIS CTY'!H13</f>
        <v>3.0630495333554797</v>
      </c>
      <c r="J45" s="110">
        <f>'NJT COMMUTER EMIS CTY'!I13</f>
        <v>2.9711580473548151</v>
      </c>
      <c r="K45" s="110">
        <f>'NJT COMMUTER EMIS CTY'!J13</f>
        <v>1.5786800466778035</v>
      </c>
      <c r="L45" s="110">
        <f>'NJT COMMUTER EMIS CTY'!L13</f>
        <v>9.1125691738095538E-2</v>
      </c>
      <c r="M45" s="110">
        <f>'NJT COMMUTER EMIS CTY'!M13</f>
        <v>11176.848957961764</v>
      </c>
      <c r="N45" s="6">
        <f t="shared" si="8"/>
        <v>1.4517416173842732E-2</v>
      </c>
      <c r="O45" s="6">
        <f t="shared" si="9"/>
        <v>0.33567666118964162</v>
      </c>
      <c r="P45" s="6">
        <f t="shared" si="10"/>
        <v>7.9795137745651959E-2</v>
      </c>
      <c r="Q45" s="6">
        <f t="shared" si="11"/>
        <v>8.3919165297410402E-3</v>
      </c>
      <c r="R45" s="6">
        <f t="shared" si="12"/>
        <v>8.1401590338488084E-3</v>
      </c>
      <c r="S45" s="6">
        <f t="shared" si="13"/>
        <v>4.3251508128159004E-3</v>
      </c>
      <c r="T45" s="6">
        <f t="shared" si="14"/>
        <v>2.4965942941943984E-4</v>
      </c>
      <c r="U45" s="467">
        <f t="shared" si="15"/>
        <v>30.621503994415789</v>
      </c>
    </row>
    <row r="46" spans="1:30" x14ac:dyDescent="0.25">
      <c r="A46" s="18">
        <v>2285002010</v>
      </c>
      <c r="B46" s="18" t="s">
        <v>78</v>
      </c>
      <c r="C46" s="360" t="s">
        <v>124</v>
      </c>
      <c r="D46" s="360" t="s">
        <v>24</v>
      </c>
      <c r="E46" s="304">
        <f>'2017 YARD EMIS CTY COMPILE 2 '!D13</f>
        <v>0</v>
      </c>
      <c r="F46" s="304">
        <f>'2017 YARD EMIS CTY COMPILE 2 '!J13</f>
        <v>0</v>
      </c>
      <c r="G46" s="304">
        <f>'2017 YARD EMIS CTY COMPILE 2 '!E13</f>
        <v>0</v>
      </c>
      <c r="H46" s="304">
        <f>'2017 YARD EMIS CTY COMPILE 2 '!F13</f>
        <v>0</v>
      </c>
      <c r="I46" s="304">
        <f>'2017 YARD EMIS CTY COMPILE 2 '!G13</f>
        <v>0</v>
      </c>
      <c r="J46" s="304">
        <f>'2017 YARD EMIS CTY COMPILE 2 '!H13</f>
        <v>0</v>
      </c>
      <c r="K46" s="304">
        <f>'2017 YARD EMIS CTY COMPILE 2 '!I13</f>
        <v>0</v>
      </c>
      <c r="L46" s="304">
        <f>'2017 YARD EMIS CTY COMPILE 2 '!K13</f>
        <v>0</v>
      </c>
      <c r="M46" s="304">
        <f>'2017 YARD EMIS CTY COMPILE 2 '!L13</f>
        <v>0</v>
      </c>
      <c r="N46" s="6">
        <f t="shared" si="8"/>
        <v>0</v>
      </c>
      <c r="O46" s="6">
        <f t="shared" si="9"/>
        <v>0</v>
      </c>
      <c r="P46" s="6">
        <f t="shared" si="10"/>
        <v>0</v>
      </c>
      <c r="Q46" s="6">
        <f t="shared" si="11"/>
        <v>0</v>
      </c>
      <c r="R46" s="6">
        <f t="shared" si="12"/>
        <v>0</v>
      </c>
      <c r="S46" s="6">
        <f t="shared" si="13"/>
        <v>0</v>
      </c>
      <c r="T46" s="6">
        <f t="shared" si="14"/>
        <v>0</v>
      </c>
      <c r="U46" s="467">
        <f t="shared" si="15"/>
        <v>0</v>
      </c>
    </row>
    <row r="47" spans="1:30" x14ac:dyDescent="0.25">
      <c r="A47" s="360">
        <v>2285002006</v>
      </c>
      <c r="B47" s="360" t="s">
        <v>71</v>
      </c>
      <c r="C47" s="360" t="s">
        <v>125</v>
      </c>
      <c r="D47" s="360" t="s">
        <v>43</v>
      </c>
      <c r="E47" s="360">
        <f>'CLASS 1 LINE HAUL COMPILE EMISS'!E14</f>
        <v>532391.58801498124</v>
      </c>
      <c r="F47" s="360">
        <f>'CLASS 1 LINE HAUL COMPILE EMISS'!K14</f>
        <v>2.9812800572699505</v>
      </c>
      <c r="G47" s="360">
        <f>'CLASS 1 LINE HAUL COMPILE EMISS'!F14</f>
        <v>70.165144417352948</v>
      </c>
      <c r="H47" s="360">
        <f>'CLASS 1 LINE HAUL COMPILE EMISS'!G14</f>
        <v>16.386638640066717</v>
      </c>
      <c r="I47" s="360">
        <f>'CLASS 1 LINE HAUL COMPILE EMISS'!H14</f>
        <v>1.7849027965817861</v>
      </c>
      <c r="J47" s="360">
        <f>'CLASS 1 LINE HAUL COMPILE EMISS'!I14</f>
        <v>1.7313557126843324</v>
      </c>
      <c r="K47" s="360">
        <f>'CLASS 1 LINE HAUL COMPILE EMISS'!J14</f>
        <v>0.88820804670228115</v>
      </c>
      <c r="L47" s="360">
        <f>'CLASS 1 LINE HAUL COMPILE EMISS'!L14</f>
        <v>5.1269776186388311E-2</v>
      </c>
      <c r="M47" s="360">
        <f>'CLASS 1 LINE HAUL COMPILE EMISS'!M14</f>
        <v>6288.39719747452</v>
      </c>
      <c r="N47">
        <f t="shared" si="8"/>
        <v>8.1678905678628788E-3</v>
      </c>
      <c r="O47">
        <f t="shared" si="9"/>
        <v>0.19223327237630944</v>
      </c>
      <c r="P47">
        <f t="shared" si="10"/>
        <v>4.4894900383744434E-2</v>
      </c>
      <c r="Q47">
        <f t="shared" si="11"/>
        <v>4.8901446481692768E-3</v>
      </c>
      <c r="R47">
        <f t="shared" si="12"/>
        <v>4.7434403087241988E-3</v>
      </c>
      <c r="S47">
        <f t="shared" si="13"/>
        <v>2.4334467032939211E-3</v>
      </c>
      <c r="T47">
        <f t="shared" si="14"/>
        <v>1.404651402366803E-4</v>
      </c>
      <c r="U47" s="467">
        <f t="shared" si="15"/>
        <v>17.228485472532931</v>
      </c>
    </row>
    <row r="48" spans="1:30" ht="15.75" thickBot="1" x14ac:dyDescent="0.3">
      <c r="A48" s="299">
        <v>2285002007</v>
      </c>
      <c r="B48" s="299" t="s">
        <v>74</v>
      </c>
      <c r="C48" s="299" t="s">
        <v>125</v>
      </c>
      <c r="D48" s="299" t="s">
        <v>43</v>
      </c>
      <c r="E48" s="340">
        <f>'LINE HAUL CLASS 23 TOTAL BY CTY'!D14</f>
        <v>0</v>
      </c>
      <c r="F48" s="340">
        <f>'LINE HAUL CLASS 23 TOTAL BY CTY'!J14</f>
        <v>0</v>
      </c>
      <c r="G48" s="340">
        <f>'LINE HAUL CLASS 23 TOTAL BY CTY'!E14</f>
        <v>0</v>
      </c>
      <c r="H48" s="340">
        <f>'LINE HAUL CLASS 23 TOTAL BY CTY'!F14</f>
        <v>0</v>
      </c>
      <c r="I48" s="340">
        <f>'LINE HAUL CLASS 23 TOTAL BY CTY'!G14</f>
        <v>0</v>
      </c>
      <c r="J48" s="340">
        <f>'LINE HAUL CLASS 23 TOTAL BY CTY'!H14</f>
        <v>0</v>
      </c>
      <c r="K48" s="340">
        <f>'LINE HAUL CLASS 23 TOTAL BY CTY'!I14</f>
        <v>0</v>
      </c>
      <c r="L48" s="340">
        <f>'LINE HAUL CLASS 23 TOTAL BY CTY'!K14</f>
        <v>0</v>
      </c>
      <c r="M48" s="340">
        <f>'LINE HAUL CLASS 23 TOTAL BY CTY'!L14</f>
        <v>0</v>
      </c>
      <c r="N48" s="463">
        <f t="shared" si="8"/>
        <v>0</v>
      </c>
      <c r="O48" s="463">
        <f t="shared" si="9"/>
        <v>0</v>
      </c>
      <c r="P48" s="463">
        <f t="shared" si="10"/>
        <v>0</v>
      </c>
      <c r="Q48" s="463">
        <f t="shared" si="11"/>
        <v>0</v>
      </c>
      <c r="R48" s="463">
        <f t="shared" si="12"/>
        <v>0</v>
      </c>
      <c r="S48" s="463">
        <f t="shared" si="13"/>
        <v>0</v>
      </c>
      <c r="T48" s="463">
        <f t="shared" si="14"/>
        <v>0</v>
      </c>
      <c r="U48" s="468">
        <f t="shared" si="15"/>
        <v>0</v>
      </c>
      <c r="V48" s="136">
        <f>SUM(E28:E48)</f>
        <v>7593365.80299161</v>
      </c>
      <c r="W48" s="136">
        <f>SUM(G28:G48)</f>
        <v>1255.8830142066754</v>
      </c>
      <c r="X48" s="136">
        <f>SUM(H28:H48)</f>
        <v>229.69675907053008</v>
      </c>
      <c r="Y48" s="136">
        <f>SUM(I28:I48)</f>
        <v>32.680659258324653</v>
      </c>
      <c r="Z48" s="136">
        <f>SUM(J28:J48)</f>
        <v>31.443225497624955</v>
      </c>
      <c r="AA48" s="136">
        <f>SUM(K28:K48)</f>
        <v>11.410842336725166</v>
      </c>
      <c r="AB48" s="136">
        <f>SUM(F28:F48)</f>
        <v>65.199239340202681</v>
      </c>
      <c r="AC48" s="136">
        <f>SUM(L28:L48)</f>
        <v>0.67803428089031414</v>
      </c>
      <c r="AD48" s="136">
        <f>SUM(M28:M48)</f>
        <v>89033.961324787189</v>
      </c>
    </row>
    <row r="49" spans="1:30" x14ac:dyDescent="0.25">
      <c r="A49" s="106">
        <v>2285002009</v>
      </c>
      <c r="B49" s="106" t="s">
        <v>76</v>
      </c>
      <c r="C49" s="106" t="s">
        <v>125</v>
      </c>
      <c r="D49" s="106" t="s">
        <v>43</v>
      </c>
      <c r="E49" s="441">
        <f>'NJT COMMUTER EMIS CTY'!E14</f>
        <v>248646.0835600034</v>
      </c>
      <c r="F49" s="441">
        <f>'NJT COMMUTER EMIS CTY'!K14</f>
        <v>1.3923653696325049</v>
      </c>
      <c r="G49" s="441">
        <f>'NJT COMMUTER EMIS CTY'!F14</f>
        <v>32.194748213972623</v>
      </c>
      <c r="H49" s="441">
        <f>'NJT COMMUTER EMIS CTY'!G14</f>
        <v>7.6531515754357775</v>
      </c>
      <c r="I49" s="441">
        <f>'NJT COMMUTER EMIS CTY'!H14</f>
        <v>0.80486870534931543</v>
      </c>
      <c r="J49" s="441">
        <f>'NJT COMMUTER EMIS CTY'!I14</f>
        <v>0.78072264418883597</v>
      </c>
      <c r="K49" s="441">
        <f>'NJT COMMUTER EMIS CTY'!J14</f>
        <v>0.41482520980926579</v>
      </c>
      <c r="L49" s="441">
        <f>'NJT COMMUTER EMIS CTY'!L14</f>
        <v>2.3944835607328671E-2</v>
      </c>
      <c r="M49" s="441">
        <f>'NJT COMMUTER EMIS CTY'!M14</f>
        <v>2936.9084151978418</v>
      </c>
      <c r="N49" s="6">
        <f t="shared" si="8"/>
        <v>3.8146996428287806E-3</v>
      </c>
      <c r="O49" s="6">
        <f t="shared" si="9"/>
        <v>8.8204789627322255E-2</v>
      </c>
      <c r="P49" s="6">
        <f t="shared" si="10"/>
        <v>2.0967538562837746E-2</v>
      </c>
      <c r="Q49" s="6">
        <f t="shared" si="11"/>
        <v>2.2051197406830559E-3</v>
      </c>
      <c r="R49" s="6">
        <f t="shared" si="12"/>
        <v>2.1389661484625642E-3</v>
      </c>
      <c r="S49" s="6">
        <f t="shared" si="13"/>
        <v>1.1365074241349747E-3</v>
      </c>
      <c r="T49" s="6">
        <f t="shared" si="14"/>
        <v>6.5602289335147041E-5</v>
      </c>
      <c r="U49" s="6">
        <f t="shared" si="15"/>
        <v>8.0463244251995665</v>
      </c>
      <c r="V49" s="136">
        <f>'NJT COMMUTER EMIS CTY'!E25</f>
        <v>16897282.81094908</v>
      </c>
      <c r="W49" s="136">
        <f>'NJT COMMUTER EMIS CTY'!F25</f>
        <v>2187.8638014723201</v>
      </c>
      <c r="X49" s="136">
        <f>'NJT COMMUTER EMIS CTY'!G25</f>
        <v>520.08648080713431</v>
      </c>
      <c r="Y49" s="136">
        <f>'NJT COMMUTER EMIS CTY'!H25</f>
        <v>54.696595036807992</v>
      </c>
      <c r="Z49" s="136">
        <f>'NJT COMMUTER EMIS CTY'!I25</f>
        <v>53.055697185703757</v>
      </c>
      <c r="AA49" s="136">
        <f>'NJT COMMUTER EMIS CTY'!J25</f>
        <v>28.190345035404256</v>
      </c>
      <c r="AB49" s="136">
        <f>'NJT COMMUTER EMIS CTY'!K25</f>
        <v>94.621202514032348</v>
      </c>
      <c r="AC49" s="136">
        <f>'NJT COMMUTER EMIS CTY'!L25</f>
        <v>1.6272231330805469</v>
      </c>
      <c r="AD49" s="136">
        <f>'NJT COMMUTER EMIS CTY'!M25</f>
        <v>199583.9683896669</v>
      </c>
    </row>
    <row r="50" spans="1:30" x14ac:dyDescent="0.25">
      <c r="A50" s="18">
        <v>2285002010</v>
      </c>
      <c r="B50" s="18" t="s">
        <v>78</v>
      </c>
      <c r="C50" s="360" t="s">
        <v>125</v>
      </c>
      <c r="D50" s="360" t="s">
        <v>43</v>
      </c>
      <c r="E50" s="304">
        <f>'2017 YARD EMIS CTY COMPILE 2 '!D14</f>
        <v>0</v>
      </c>
      <c r="F50" s="304">
        <f>'2017 YARD EMIS CTY COMPILE 2 '!J14</f>
        <v>0</v>
      </c>
      <c r="G50" s="304">
        <f>'2017 YARD EMIS CTY COMPILE 2 '!E14</f>
        <v>0</v>
      </c>
      <c r="H50" s="304">
        <f>'2017 YARD EMIS CTY COMPILE 2 '!F14</f>
        <v>0</v>
      </c>
      <c r="I50" s="304">
        <f>'2017 YARD EMIS CTY COMPILE 2 '!G14</f>
        <v>0</v>
      </c>
      <c r="J50" s="304">
        <f>'2017 YARD EMIS CTY COMPILE 2 '!H14</f>
        <v>0</v>
      </c>
      <c r="K50" s="304">
        <f>'2017 YARD EMIS CTY COMPILE 2 '!I14</f>
        <v>0</v>
      </c>
      <c r="L50" s="304">
        <f>'2017 YARD EMIS CTY COMPILE 2 '!K14</f>
        <v>0</v>
      </c>
      <c r="M50" s="304">
        <f>'2017 YARD EMIS CTY COMPILE 2 '!L14</f>
        <v>0</v>
      </c>
      <c r="N50" s="6">
        <f t="shared" si="8"/>
        <v>0</v>
      </c>
      <c r="O50" s="6">
        <f t="shared" si="9"/>
        <v>0</v>
      </c>
      <c r="P50" s="6">
        <f t="shared" si="10"/>
        <v>0</v>
      </c>
      <c r="Q50" s="6">
        <f t="shared" si="11"/>
        <v>0</v>
      </c>
      <c r="R50" s="6">
        <f t="shared" si="12"/>
        <v>0</v>
      </c>
      <c r="S50" s="6">
        <f t="shared" si="13"/>
        <v>0</v>
      </c>
      <c r="T50" s="6">
        <f t="shared" si="14"/>
        <v>0</v>
      </c>
      <c r="U50" s="6">
        <f t="shared" si="15"/>
        <v>0</v>
      </c>
    </row>
    <row r="51" spans="1:30" x14ac:dyDescent="0.25">
      <c r="A51" s="360">
        <v>2285002006</v>
      </c>
      <c r="B51" s="360" t="s">
        <v>71</v>
      </c>
      <c r="C51" s="360" t="s">
        <v>116</v>
      </c>
      <c r="D51" s="360" t="s">
        <v>44</v>
      </c>
      <c r="E51" s="360">
        <f>'CLASS 1 LINE HAUL COMPILE EMISS'!E15</f>
        <v>358163.54789715545</v>
      </c>
      <c r="F51" s="360">
        <f>'CLASS 1 LINE HAUL COMPILE EMISS'!K15</f>
        <v>2.005639958677921</v>
      </c>
      <c r="G51" s="360">
        <f>'CLASS 1 LINE HAUL COMPILE EMISS'!F15</f>
        <v>47.203219639391172</v>
      </c>
      <c r="H51" s="360">
        <f>'CLASS 1 LINE HAUL COMPILE EMISS'!G15</f>
        <v>11.024022102448697</v>
      </c>
      <c r="I51" s="360">
        <f>'CLASS 1 LINE HAUL COMPILE EMISS'!H15</f>
        <v>1.2007836574932844</v>
      </c>
      <c r="J51" s="360">
        <f>'CLASS 1 LINE HAUL COMPILE EMISS'!I15</f>
        <v>1.1647601477684859</v>
      </c>
      <c r="K51" s="360">
        <f>'CLASS 1 LINE HAUL COMPILE EMISS'!J15</f>
        <v>0.59753713702317057</v>
      </c>
      <c r="L51" s="360">
        <f>'CLASS 1 LINE HAUL COMPILE EMISS'!L15</f>
        <v>3.4491463336744521E-2</v>
      </c>
      <c r="M51" s="360">
        <f>'CLASS 1 LINE HAUL COMPILE EMISS'!M15</f>
        <v>4230.4850443478927</v>
      </c>
      <c r="N51">
        <f t="shared" si="8"/>
        <v>5.4949039963778654E-3</v>
      </c>
      <c r="O51">
        <f t="shared" si="9"/>
        <v>0.1293238894229895</v>
      </c>
      <c r="P51">
        <f t="shared" si="10"/>
        <v>3.0202800280681362E-2</v>
      </c>
      <c r="Q51">
        <f t="shared" si="11"/>
        <v>3.2898182397076287E-3</v>
      </c>
      <c r="R51">
        <f t="shared" si="12"/>
        <v>3.1911236925163998E-3</v>
      </c>
      <c r="S51">
        <f t="shared" si="13"/>
        <v>1.6370880466388235E-3</v>
      </c>
      <c r="T51">
        <f t="shared" si="14"/>
        <v>9.4497159826697314E-5</v>
      </c>
      <c r="U51">
        <f t="shared" si="15"/>
        <v>11.590369984514775</v>
      </c>
    </row>
    <row r="52" spans="1:30" x14ac:dyDescent="0.25">
      <c r="A52" s="360">
        <v>2285002007</v>
      </c>
      <c r="B52" s="360" t="s">
        <v>74</v>
      </c>
      <c r="C52" s="360" t="s">
        <v>116</v>
      </c>
      <c r="D52" s="360" t="s">
        <v>44</v>
      </c>
      <c r="E52" s="110">
        <f>'LINE HAUL CLASS 23 TOTAL BY CTY'!D15</f>
        <v>162527.33958944801</v>
      </c>
      <c r="F52" s="110">
        <f>'LINE HAUL CLASS 23 TOTAL BY CTY'!J15</f>
        <v>2.3148670150543853</v>
      </c>
      <c r="G52" s="110">
        <f>'LINE HAUL CLASS 23 TOTAL BY CTY'!E15</f>
        <v>44.530765380791486</v>
      </c>
      <c r="H52" s="110">
        <f>'LINE HAUL CLASS 23 TOTAL BY CTY'!F15</f>
        <v>4.377167554054509</v>
      </c>
      <c r="I52" s="110">
        <f>'LINE HAUL CLASS 23 TOTAL BY CTY'!G15</f>
        <v>1.0146250339927179</v>
      </c>
      <c r="J52" s="110">
        <f>'LINE HAUL CLASS 23 TOTAL BY CTY'!H15</f>
        <v>0.98418628297293642</v>
      </c>
      <c r="K52" s="110">
        <f>'LINE HAUL CLASS 23 TOTAL BY CTY'!I15</f>
        <v>0.23725643365133295</v>
      </c>
      <c r="L52" s="110">
        <f>'LINE HAUL CLASS 23 TOTAL BY CTY'!K15</f>
        <v>1.5651525141463445E-2</v>
      </c>
      <c r="M52" s="110">
        <f>'LINE HAUL CLASS 23 TOTAL BY CTY'!L15</f>
        <v>1919.7081430191847</v>
      </c>
      <c r="N52">
        <f t="shared" si="8"/>
        <v>6.3421014111079048E-3</v>
      </c>
      <c r="O52">
        <f t="shared" si="9"/>
        <v>0.12200209693367531</v>
      </c>
      <c r="P52">
        <f t="shared" si="10"/>
        <v>1.1992239874121942E-2</v>
      </c>
      <c r="Q52">
        <f t="shared" si="11"/>
        <v>2.779794613678679E-3</v>
      </c>
      <c r="R52">
        <f t="shared" si="12"/>
        <v>2.696400775268319E-3</v>
      </c>
      <c r="S52">
        <f t="shared" si="13"/>
        <v>6.500176264420081E-4</v>
      </c>
      <c r="T52">
        <f t="shared" si="14"/>
        <v>4.2880890798529988E-5</v>
      </c>
      <c r="U52">
        <f t="shared" si="15"/>
        <v>5.2594743644361222</v>
      </c>
    </row>
    <row r="53" spans="1:30" x14ac:dyDescent="0.25">
      <c r="A53" s="360">
        <v>2285002009</v>
      </c>
      <c r="B53" s="360" t="s">
        <v>76</v>
      </c>
      <c r="C53" s="360" t="s">
        <v>116</v>
      </c>
      <c r="D53" s="360" t="s">
        <v>44</v>
      </c>
      <c r="E53" s="110">
        <f>'NJT COMMUTER EMIS CTY'!E15</f>
        <v>944985.13007111382</v>
      </c>
      <c r="F53" s="110">
        <f>'NJT COMMUTER EMIS CTY'!K15</f>
        <v>5.2917164472898932</v>
      </c>
      <c r="G53" s="110">
        <f>'NJT COMMUTER EMIS CTY'!F15</f>
        <v>122.35687726505392</v>
      </c>
      <c r="H53" s="110">
        <f>'NJT COMMUTER EMIS CTY'!G15</f>
        <v>29.08597768129281</v>
      </c>
      <c r="I53" s="110">
        <f>'NJT COMMUTER EMIS CTY'!H15</f>
        <v>3.0589219316263474</v>
      </c>
      <c r="J53" s="110">
        <f>'NJT COMMUTER EMIS CTY'!I15</f>
        <v>2.9671542736775569</v>
      </c>
      <c r="K53" s="110">
        <f>'NJT COMMUTER EMIS CTY'!J15</f>
        <v>1.5765527018799295</v>
      </c>
      <c r="L53" s="110">
        <f>'NJT COMMUTER EMIS CTY'!L15</f>
        <v>9.1002895629612585E-2</v>
      </c>
      <c r="M53" s="110">
        <f>'NJT COMMUTER EMIS CTY'!M15</f>
        <v>11161.787634080854</v>
      </c>
      <c r="N53" s="6">
        <f t="shared" si="8"/>
        <v>1.4497853280246283E-2</v>
      </c>
      <c r="O53" s="6">
        <f t="shared" si="9"/>
        <v>0.33522432127412033</v>
      </c>
      <c r="P53" s="6">
        <f t="shared" si="10"/>
        <v>7.9687610085733732E-2</v>
      </c>
      <c r="Q53" s="6">
        <f t="shared" si="11"/>
        <v>8.3806080318530058E-3</v>
      </c>
      <c r="R53" s="6">
        <f t="shared" si="12"/>
        <v>8.1291897908974155E-3</v>
      </c>
      <c r="S53" s="6">
        <f t="shared" si="13"/>
        <v>4.3193224709039161E-3</v>
      </c>
      <c r="T53" s="6">
        <f t="shared" si="14"/>
        <v>2.4932300172496601E-4</v>
      </c>
      <c r="U53" s="6">
        <f t="shared" si="15"/>
        <v>30.580240093372204</v>
      </c>
    </row>
    <row r="54" spans="1:30" x14ac:dyDescent="0.25">
      <c r="A54" s="18">
        <v>2285002010</v>
      </c>
      <c r="B54" s="18" t="s">
        <v>78</v>
      </c>
      <c r="C54" s="360" t="s">
        <v>116</v>
      </c>
      <c r="D54" s="360" t="s">
        <v>44</v>
      </c>
      <c r="E54" s="304">
        <f>'2017 YARD EMIS CTY COMPILE 2 '!D15</f>
        <v>327013.66666666663</v>
      </c>
      <c r="F54" s="304">
        <f>'2017 YARD EMIS CTY COMPILE 2 '!J15</f>
        <v>4.6576357697779223</v>
      </c>
      <c r="G54" s="304">
        <f>'2017 YARD EMIS CTY COMPILE 2 '!E15</f>
        <v>89.59827253328848</v>
      </c>
      <c r="H54" s="304">
        <f>'2017 YARD EMIS CTY COMPILE 2 '!F15</f>
        <v>8.8070943330611335</v>
      </c>
      <c r="I54" s="304">
        <f>'2017 YARD EMIS CTY COMPILE 2 '!G15</f>
        <v>2.0414796273407507</v>
      </c>
      <c r="J54" s="304">
        <f>'2017 YARD EMIS CTY COMPILE 2 '!H15</f>
        <v>1.9802352385205286</v>
      </c>
      <c r="K54" s="304">
        <f>'2017 YARD EMIS CTY COMPILE 2 '!I15</f>
        <v>0.47737258546510009</v>
      </c>
      <c r="L54" s="304">
        <f>'2017 YARD EMIS CTY COMPILE 2 '!K15</f>
        <v>3.1491702493650978E-2</v>
      </c>
      <c r="M54" s="304">
        <f>'2017 YARD EMIS CTY COMPILE 2 '!L15</f>
        <v>3862.5550652852685</v>
      </c>
      <c r="N54" s="6">
        <f t="shared" si="8"/>
        <v>1.2760645944597047E-2</v>
      </c>
      <c r="O54" s="6">
        <f t="shared" si="9"/>
        <v>0.24547471926928349</v>
      </c>
      <c r="P54" s="6">
        <f t="shared" si="10"/>
        <v>2.4129025570030504E-2</v>
      </c>
      <c r="Q54" s="6">
        <f t="shared" si="11"/>
        <v>5.5930948694267145E-3</v>
      </c>
      <c r="R54" s="6">
        <f t="shared" si="12"/>
        <v>5.4253020233439144E-3</v>
      </c>
      <c r="S54" s="6">
        <f t="shared" si="13"/>
        <v>1.3078700971646579E-3</v>
      </c>
      <c r="T54" s="6">
        <f t="shared" si="14"/>
        <v>8.6278636968906781E-5</v>
      </c>
      <c r="U54" s="6">
        <f t="shared" si="15"/>
        <v>10.582342644617174</v>
      </c>
    </row>
    <row r="55" spans="1:30" x14ac:dyDescent="0.25">
      <c r="A55" s="360">
        <v>2285002006</v>
      </c>
      <c r="B55" s="360" t="s">
        <v>71</v>
      </c>
      <c r="C55" s="360" t="s">
        <v>126</v>
      </c>
      <c r="D55" s="360" t="s">
        <v>45</v>
      </c>
      <c r="E55" s="360">
        <f>'CLASS 1 LINE HAUL COMPILE EMISS'!E16</f>
        <v>127152.80148829066</v>
      </c>
      <c r="F55" s="360">
        <f>'CLASS 1 LINE HAUL COMPILE EMISS'!K16</f>
        <v>0.71202873944052381</v>
      </c>
      <c r="G55" s="360">
        <f>'CLASS 1 LINE HAUL COMPILE EMISS'!F16</f>
        <v>16.757767929357055</v>
      </c>
      <c r="H55" s="360">
        <f>'CLASS 1 LINE HAUL COMPILE EMISS'!G16</f>
        <v>3.9136738013263357</v>
      </c>
      <c r="I55" s="360">
        <f>'CLASS 1 LINE HAUL COMPILE EMISS'!H16</f>
        <v>0.4262940964485567</v>
      </c>
      <c r="J55" s="360">
        <f>'CLASS 1 LINE HAUL COMPILE EMISS'!I16</f>
        <v>0.41350527355509997</v>
      </c>
      <c r="K55" s="360">
        <f>'CLASS 1 LINE HAUL COMPILE EMISS'!J16</f>
        <v>0.21213359486712913</v>
      </c>
      <c r="L55" s="360">
        <f>'CLASS 1 LINE HAUL COMPILE EMISS'!L16</f>
        <v>1.2244926141833557E-2</v>
      </c>
      <c r="M55" s="360">
        <f>'CLASS 1 LINE HAUL COMPILE EMISS'!M16</f>
        <v>1501.8782011775531</v>
      </c>
      <c r="N55">
        <f t="shared" si="8"/>
        <v>1.9507636697000653E-3</v>
      </c>
      <c r="O55">
        <f t="shared" si="9"/>
        <v>4.5911692957142619E-2</v>
      </c>
      <c r="P55">
        <f t="shared" si="10"/>
        <v>1.0722393976236536E-2</v>
      </c>
      <c r="Q55">
        <f t="shared" si="11"/>
        <v>1.1679290313659088E-3</v>
      </c>
      <c r="R55">
        <f t="shared" si="12"/>
        <v>1.1328911604249314E-3</v>
      </c>
      <c r="S55">
        <f t="shared" si="13"/>
        <v>5.8118793114281958E-4</v>
      </c>
      <c r="T55">
        <f t="shared" si="14"/>
        <v>3.354774285433851E-5</v>
      </c>
      <c r="U55">
        <f t="shared" si="15"/>
        <v>4.1147347977467206</v>
      </c>
    </row>
    <row r="56" spans="1:30" x14ac:dyDescent="0.25">
      <c r="A56" s="360">
        <v>2285002007</v>
      </c>
      <c r="B56" s="360" t="s">
        <v>74</v>
      </c>
      <c r="C56" s="360" t="s">
        <v>126</v>
      </c>
      <c r="D56" s="360" t="s">
        <v>45</v>
      </c>
      <c r="E56" s="110">
        <f>'LINE HAUL CLASS 23 TOTAL BY CTY'!D16</f>
        <v>14364</v>
      </c>
      <c r="F56" s="110">
        <f>'LINE HAUL CLASS 23 TOTAL BY CTY'!J16</f>
        <v>0.20458557857548279</v>
      </c>
      <c r="G56" s="110">
        <f>'LINE HAUL CLASS 23 TOTAL BY CTY'!E16</f>
        <v>3.9355834873409643</v>
      </c>
      <c r="H56" s="110">
        <f>'LINE HAUL CLASS 23 TOTAL BY CTY'!F16</f>
        <v>0.38684959038436761</v>
      </c>
      <c r="I56" s="110">
        <f>'LINE HAUL CLASS 23 TOTAL BY CTY'!G16</f>
        <v>8.9671522496376443E-2</v>
      </c>
      <c r="J56" s="110">
        <f>'LINE HAUL CLASS 23 TOTAL BY CTY'!H16</f>
        <v>8.6981376821485143E-2</v>
      </c>
      <c r="K56" s="110">
        <f>'LINE HAUL CLASS 23 TOTAL BY CTY'!I16</f>
        <v>2.0968480881902073E-2</v>
      </c>
      <c r="L56" s="110">
        <f>'LINE HAUL CLASS 23 TOTAL BY CTY'!K16</f>
        <v>1.3832657797751655E-3</v>
      </c>
      <c r="M56" s="110">
        <f>'LINE HAUL CLASS 23 TOTAL BY CTY'!L16</f>
        <v>169.66184173064406</v>
      </c>
      <c r="N56">
        <f t="shared" si="8"/>
        <v>5.605084344533775E-4</v>
      </c>
      <c r="O56">
        <f t="shared" si="9"/>
        <v>1.0782420513262916E-2</v>
      </c>
      <c r="P56">
        <f t="shared" si="10"/>
        <v>1.0598618914640209E-3</v>
      </c>
      <c r="Q56">
        <f t="shared" si="11"/>
        <v>2.456754040996615E-4</v>
      </c>
      <c r="R56">
        <f t="shared" si="12"/>
        <v>2.3830514197667162E-4</v>
      </c>
      <c r="S56">
        <f t="shared" si="13"/>
        <v>5.7447892827128968E-5</v>
      </c>
      <c r="T56">
        <f t="shared" si="14"/>
        <v>3.7897692596579876E-6</v>
      </c>
      <c r="U56">
        <f t="shared" si="15"/>
        <v>0.46482696364560017</v>
      </c>
    </row>
    <row r="57" spans="1:30" x14ac:dyDescent="0.25">
      <c r="A57" s="360">
        <v>2285002009</v>
      </c>
      <c r="B57" s="360" t="s">
        <v>76</v>
      </c>
      <c r="C57" s="360" t="s">
        <v>126</v>
      </c>
      <c r="D57" s="360" t="s">
        <v>45</v>
      </c>
      <c r="E57" s="110">
        <f>'NJT COMMUTER EMIS CTY'!E16</f>
        <v>2385167.5854352834</v>
      </c>
      <c r="F57" s="110">
        <f>'NJT COMMUTER EMIS CTY'!K16</f>
        <v>13.356432963596776</v>
      </c>
      <c r="G57" s="110">
        <f>'NJT COMMUTER EMIS CTY'!F16</f>
        <v>308.83201038912404</v>
      </c>
      <c r="H57" s="110">
        <f>'NJT COMMUTER EMIS CTY'!G16</f>
        <v>73.413780755357493</v>
      </c>
      <c r="I57" s="110">
        <f>'NJT COMMUTER EMIS CTY'!H16</f>
        <v>7.7208002597281</v>
      </c>
      <c r="J57" s="110">
        <f>'NJT COMMUTER EMIS CTY'!I16</f>
        <v>7.4891762519362572</v>
      </c>
      <c r="K57" s="110">
        <f>'NJT COMMUTER EMIS CTY'!J16</f>
        <v>3.979260923366533</v>
      </c>
      <c r="L57" s="110">
        <f>'NJT COMMUTER EMIS CTY'!L16</f>
        <v>0.22969372737131619</v>
      </c>
      <c r="M57" s="110">
        <f>'NJT COMMUTER EMIS CTY'!M16</f>
        <v>28172.648662015003</v>
      </c>
      <c r="N57" s="6">
        <f t="shared" si="8"/>
        <v>3.659296702355281E-2</v>
      </c>
      <c r="O57" s="6">
        <f t="shared" si="9"/>
        <v>0.84611509695650422</v>
      </c>
      <c r="P57" s="6">
        <f t="shared" si="10"/>
        <v>0.20113364590508903</v>
      </c>
      <c r="Q57" s="6">
        <f t="shared" si="11"/>
        <v>2.1152877423912603E-2</v>
      </c>
      <c r="R57" s="6">
        <f t="shared" si="12"/>
        <v>2.0518291101195227E-2</v>
      </c>
      <c r="S57" s="6">
        <f t="shared" si="13"/>
        <v>1.0902084721552146E-2</v>
      </c>
      <c r="T57" s="6">
        <f t="shared" si="14"/>
        <v>6.2929788320908542E-4</v>
      </c>
      <c r="U57" s="6">
        <f t="shared" si="15"/>
        <v>77.185338800041109</v>
      </c>
    </row>
    <row r="58" spans="1:30" x14ac:dyDescent="0.25">
      <c r="A58" s="18">
        <v>2285002010</v>
      </c>
      <c r="B58" s="18" t="s">
        <v>78</v>
      </c>
      <c r="C58" s="360" t="s">
        <v>126</v>
      </c>
      <c r="D58" s="360" t="s">
        <v>45</v>
      </c>
      <c r="E58" s="304">
        <f>'2017 YARD EMIS CTY COMPILE 2 '!D16</f>
        <v>0</v>
      </c>
      <c r="F58" s="304">
        <f>'2017 YARD EMIS CTY COMPILE 2 '!J16</f>
        <v>0</v>
      </c>
      <c r="G58" s="304">
        <f>'2017 YARD EMIS CTY COMPILE 2 '!E16</f>
        <v>0</v>
      </c>
      <c r="H58" s="304">
        <f>'2017 YARD EMIS CTY COMPILE 2 '!F16</f>
        <v>0</v>
      </c>
      <c r="I58" s="304">
        <f>'2017 YARD EMIS CTY COMPILE 2 '!G16</f>
        <v>0</v>
      </c>
      <c r="J58" s="304">
        <f>'2017 YARD EMIS CTY COMPILE 2 '!H16</f>
        <v>0</v>
      </c>
      <c r="K58" s="304">
        <f>'2017 YARD EMIS CTY COMPILE 2 '!I16</f>
        <v>0</v>
      </c>
      <c r="L58" s="304">
        <f>'2017 YARD EMIS CTY COMPILE 2 '!K16</f>
        <v>0</v>
      </c>
      <c r="M58" s="304">
        <f>'2017 YARD EMIS CTY COMPILE 2 '!L16</f>
        <v>0</v>
      </c>
      <c r="N58" s="6">
        <f t="shared" si="8"/>
        <v>0</v>
      </c>
      <c r="O58" s="6">
        <f t="shared" si="9"/>
        <v>0</v>
      </c>
      <c r="P58" s="6">
        <f t="shared" si="10"/>
        <v>0</v>
      </c>
      <c r="Q58" s="6">
        <f t="shared" si="11"/>
        <v>0</v>
      </c>
      <c r="R58" s="6">
        <f t="shared" si="12"/>
        <v>0</v>
      </c>
      <c r="S58" s="6">
        <f t="shared" si="13"/>
        <v>0</v>
      </c>
      <c r="T58" s="6">
        <f t="shared" si="14"/>
        <v>0</v>
      </c>
      <c r="U58" s="6">
        <f t="shared" si="15"/>
        <v>0</v>
      </c>
    </row>
    <row r="59" spans="1:30" x14ac:dyDescent="0.25">
      <c r="A59" s="360">
        <v>2285002006</v>
      </c>
      <c r="B59" s="360" t="s">
        <v>71</v>
      </c>
      <c r="C59" s="360" t="s">
        <v>127</v>
      </c>
      <c r="D59" s="360" t="s">
        <v>50</v>
      </c>
      <c r="E59" s="360">
        <f>'CLASS 1 LINE HAUL COMPILE EMISS'!E17</f>
        <v>17758.200651583247</v>
      </c>
      <c r="F59" s="360">
        <f>'CLASS 1 LINE HAUL COMPILE EMISS'!K17</f>
        <v>9.944215995778205E-2</v>
      </c>
      <c r="G59" s="360">
        <f>'CLASS 1 LINE HAUL COMPILE EMISS'!F17</f>
        <v>2.3403951928624536</v>
      </c>
      <c r="H59" s="360">
        <f>'CLASS 1 LINE HAUL COMPILE EMISS'!G17</f>
        <v>0.54658492644535073</v>
      </c>
      <c r="I59" s="360">
        <f>'CLASS 1 LINE HAUL COMPILE EMISS'!H17</f>
        <v>5.9536368941237858E-2</v>
      </c>
      <c r="J59" s="360">
        <f>'CLASS 1 LINE HAUL COMPILE EMISS'!I17</f>
        <v>5.7750277873000737E-2</v>
      </c>
      <c r="K59" s="360">
        <f>'CLASS 1 LINE HAUL COMPILE EMISS'!J17</f>
        <v>2.9626645252791052E-2</v>
      </c>
      <c r="L59" s="360">
        <f>'CLASS 1 LINE HAUL COMPILE EMISS'!L17</f>
        <v>1.7101302751125142E-3</v>
      </c>
      <c r="M59" s="360">
        <f>'CLASS 1 LINE HAUL COMPILE EMISS'!M17</f>
        <v>209.75278671469908</v>
      </c>
      <c r="N59">
        <f t="shared" si="8"/>
        <v>2.7244427385693712E-4</v>
      </c>
      <c r="O59">
        <f t="shared" si="9"/>
        <v>6.4120416242806951E-3</v>
      </c>
      <c r="P59">
        <f t="shared" si="10"/>
        <v>1.4974929491653444E-3</v>
      </c>
      <c r="Q59">
        <f t="shared" si="11"/>
        <v>1.6311333956503524E-4</v>
      </c>
      <c r="R59">
        <f t="shared" si="12"/>
        <v>1.5821993937808421E-4</v>
      </c>
      <c r="S59">
        <f t="shared" si="13"/>
        <v>8.116889110353713E-5</v>
      </c>
      <c r="T59">
        <f t="shared" si="14"/>
        <v>4.6852884249657923E-6</v>
      </c>
      <c r="U59">
        <f t="shared" si="15"/>
        <v>0.57466516908136733</v>
      </c>
    </row>
    <row r="60" spans="1:30" x14ac:dyDescent="0.25">
      <c r="A60" s="360">
        <v>2285002007</v>
      </c>
      <c r="B60" s="360" t="s">
        <v>74</v>
      </c>
      <c r="C60" s="360" t="s">
        <v>127</v>
      </c>
      <c r="D60" s="360" t="s">
        <v>50</v>
      </c>
      <c r="E60" s="110">
        <f>'LINE HAUL CLASS 23 TOTAL BY CTY'!D17</f>
        <v>41031.346624972612</v>
      </c>
      <c r="F60" s="110">
        <f>'LINE HAUL CLASS 23 TOTAL BY CTY'!J17</f>
        <v>0.36802568635435873</v>
      </c>
      <c r="G60" s="110">
        <f>'LINE HAUL CLASS 23 TOTAL BY CTY'!E17</f>
        <v>7.6822508910981941</v>
      </c>
      <c r="H60" s="110">
        <f>'LINE HAUL CLASS 23 TOTAL BY CTY'!F17</f>
        <v>1.2013714538210634</v>
      </c>
      <c r="I60" s="110">
        <f>'LINE HAUL CLASS 23 TOTAL BY CTY'!G17</f>
        <v>0.18379458837709545</v>
      </c>
      <c r="J60" s="110">
        <f>'LINE HAUL CLASS 23 TOTAL BY CTY'!H17</f>
        <v>0.17828075072578259</v>
      </c>
      <c r="K60" s="110">
        <f>'LINE HAUL CLASS 23 TOTAL BY CTY'!I17</f>
        <v>6.5118162168610688E-2</v>
      </c>
      <c r="L60" s="110">
        <f>'LINE HAUL CLASS 23 TOTAL BY CTY'!K17</f>
        <v>3.9513546146211255E-3</v>
      </c>
      <c r="M60" s="110">
        <f>'LINE HAUL CLASS 23 TOTAL BY CTY'!L17</f>
        <v>484.64590901429267</v>
      </c>
      <c r="N60">
        <f t="shared" si="8"/>
        <v>1.0082895516557774E-3</v>
      </c>
      <c r="O60">
        <f t="shared" si="9"/>
        <v>2.1047262715337519E-2</v>
      </c>
      <c r="P60">
        <f t="shared" si="10"/>
        <v>3.291428640605653E-3</v>
      </c>
      <c r="Q60">
        <f t="shared" si="11"/>
        <v>5.0354681747149437E-4</v>
      </c>
      <c r="R60">
        <f t="shared" si="12"/>
        <v>4.8844041294734953E-4</v>
      </c>
      <c r="S60">
        <f t="shared" si="13"/>
        <v>1.7840592374961833E-4</v>
      </c>
      <c r="T60">
        <f t="shared" si="14"/>
        <v>1.0825629081153769E-5</v>
      </c>
      <c r="U60">
        <f t="shared" si="15"/>
        <v>1.3277970109980621</v>
      </c>
    </row>
    <row r="61" spans="1:30" x14ac:dyDescent="0.25">
      <c r="A61" s="360">
        <v>2285002009</v>
      </c>
      <c r="B61" s="360" t="s">
        <v>76</v>
      </c>
      <c r="C61" s="360" t="s">
        <v>127</v>
      </c>
      <c r="D61" s="360" t="s">
        <v>50</v>
      </c>
      <c r="E61" s="110">
        <f>'NJT COMMUTER EMIS CTY'!E17</f>
        <v>1278816.142878551</v>
      </c>
      <c r="F61" s="110">
        <f>'NJT COMMUTER EMIS CTY'!K17</f>
        <v>7.1610993665275959</v>
      </c>
      <c r="G61" s="110">
        <f>'NJT COMMUTER EMIS CTY'!F17</f>
        <v>165.58138838331286</v>
      </c>
      <c r="H61" s="110">
        <f>'NJT COMMUTER EMIS CTY'!G17</f>
        <v>39.361061467118944</v>
      </c>
      <c r="I61" s="110">
        <f>'NJT COMMUTER EMIS CTY'!H17</f>
        <v>4.1395347095828212</v>
      </c>
      <c r="J61" s="110">
        <f>'NJT COMMUTER EMIS CTY'!I17</f>
        <v>4.0153486682953368</v>
      </c>
      <c r="K61" s="110">
        <f>'NJT COMMUTER EMIS CTY'!J17</f>
        <v>2.1334949949012731</v>
      </c>
      <c r="L61" s="110">
        <f>'NJT COMMUTER EMIS CTY'!L17</f>
        <v>0.123151114527149</v>
      </c>
      <c r="M61" s="110">
        <f>'NJT COMMUTER EMIS CTY'!M17</f>
        <v>15104.866474217031</v>
      </c>
      <c r="N61" s="6">
        <f t="shared" si="8"/>
        <v>1.9619450319253686E-2</v>
      </c>
      <c r="O61" s="6">
        <f t="shared" si="9"/>
        <v>0.45364763940633657</v>
      </c>
      <c r="P61" s="6">
        <f t="shared" si="10"/>
        <v>0.10783852456744916</v>
      </c>
      <c r="Q61" s="6">
        <f t="shared" si="11"/>
        <v>1.1341190985158414E-2</v>
      </c>
      <c r="R61" s="6">
        <f t="shared" si="12"/>
        <v>1.1000955255603663E-2</v>
      </c>
      <c r="S61" s="6">
        <f t="shared" si="13"/>
        <v>5.8451917668528031E-3</v>
      </c>
      <c r="T61" s="6">
        <f t="shared" si="14"/>
        <v>3.3740031377301095E-4</v>
      </c>
      <c r="U61" s="6">
        <f t="shared" si="15"/>
        <v>41.383195819772688</v>
      </c>
    </row>
    <row r="62" spans="1:30" x14ac:dyDescent="0.25">
      <c r="A62" s="18">
        <v>2285002010</v>
      </c>
      <c r="B62" s="18" t="s">
        <v>78</v>
      </c>
      <c r="C62" s="360" t="s">
        <v>127</v>
      </c>
      <c r="D62" s="360" t="s">
        <v>50</v>
      </c>
      <c r="E62" s="304">
        <f>'2017 YARD EMIS CTY COMPILE 2 '!D17</f>
        <v>14864.6</v>
      </c>
      <c r="F62" s="304">
        <f>'2017 YARD EMIS CTY COMPILE 2 '!J17</f>
        <v>8.3238609581577166E-2</v>
      </c>
      <c r="G62" s="304">
        <f>'2017 YARD EMIS CTY COMPILE 2 '!E17</f>
        <v>1.9246715952633557</v>
      </c>
      <c r="H62" s="304">
        <f>'2017 YARD EMIS CTY COMPILE 2 '!F17</f>
        <v>0.45752193350260345</v>
      </c>
      <c r="I62" s="304">
        <f>'2017 YARD EMIS CTY COMPILE 2 '!G17</f>
        <v>4.8116789881583889E-2</v>
      </c>
      <c r="J62" s="304">
        <f>'2017 YARD EMIS CTY COMPILE 2 '!H17</f>
        <v>4.6673286185136373E-2</v>
      </c>
      <c r="K62" s="304">
        <f>'2017 YARD EMIS CTY COMPILE 2 '!I17</f>
        <v>2.4799147147004146E-2</v>
      </c>
      <c r="L62" s="304">
        <f>'2017 YARD EMIS CTY COMPILE 2 '!K17</f>
        <v>1.4314739981931164E-3</v>
      </c>
      <c r="M62" s="304">
        <f>'2017 YARD EMIS CTY COMPILE 2 '!L17</f>
        <v>175.57472936433666</v>
      </c>
      <c r="N62" s="6">
        <f t="shared" si="8"/>
        <v>2.2805098515500593E-4</v>
      </c>
      <c r="O62" s="6">
        <f t="shared" si="9"/>
        <v>5.2730728637352215E-3</v>
      </c>
      <c r="P62" s="6">
        <f t="shared" si="10"/>
        <v>1.2534847493222013E-3</v>
      </c>
      <c r="Q62" s="6">
        <f t="shared" si="11"/>
        <v>1.3182682159338052E-4</v>
      </c>
      <c r="R62" s="6">
        <f t="shared" si="12"/>
        <v>1.2787201694557909E-4</v>
      </c>
      <c r="S62" s="6">
        <f t="shared" si="13"/>
        <v>6.794286889590177E-5</v>
      </c>
      <c r="T62" s="6">
        <f t="shared" si="14"/>
        <v>3.9218465703920996E-6</v>
      </c>
      <c r="U62" s="6">
        <f t="shared" si="15"/>
        <v>0.48102665579270321</v>
      </c>
    </row>
    <row r="63" spans="1:30" x14ac:dyDescent="0.25">
      <c r="A63" s="360">
        <v>2285002006</v>
      </c>
      <c r="B63" s="360" t="s">
        <v>71</v>
      </c>
      <c r="C63" s="360" t="s">
        <v>128</v>
      </c>
      <c r="D63" s="360" t="s">
        <v>22</v>
      </c>
      <c r="E63" s="360">
        <f>'CLASS 1 LINE HAUL COMPILE EMISS'!E18</f>
        <v>3930.1775005471659</v>
      </c>
      <c r="F63" s="360">
        <f>'CLASS 1 LINE HAUL COMPILE EMISS'!K18</f>
        <v>2.2008161037252554E-2</v>
      </c>
      <c r="G63" s="360">
        <f>'CLASS 1 LINE HAUL COMPILE EMISS'!F18</f>
        <v>0.51796737236194534</v>
      </c>
      <c r="H63" s="360">
        <f>'CLASS 1 LINE HAUL COMPILE EMISS'!G18</f>
        <v>0.12096809931372313</v>
      </c>
      <c r="I63" s="360">
        <f>'CLASS 1 LINE HAUL COMPILE EMISS'!H18</f>
        <v>1.3176362981137207E-2</v>
      </c>
      <c r="J63" s="360">
        <f>'CLASS 1 LINE HAUL COMPILE EMISS'!I18</f>
        <v>1.2781072091703091E-2</v>
      </c>
      <c r="K63" s="360">
        <f>'CLASS 1 LINE HAUL COMPILE EMISS'!J18</f>
        <v>6.5568565686203546E-3</v>
      </c>
      <c r="L63" s="360">
        <f>'CLASS 1 LINE HAUL COMPILE EMISS'!L18</f>
        <v>3.7847953529303714E-4</v>
      </c>
      <c r="M63" s="360">
        <f>'CLASS 1 LINE HAUL COMPILE EMISS'!M18</f>
        <v>46.421689854578915</v>
      </c>
      <c r="N63">
        <f t="shared" si="8"/>
        <v>6.0296331608911107E-5</v>
      </c>
      <c r="O63">
        <f t="shared" si="9"/>
        <v>1.4190886914025899E-3</v>
      </c>
      <c r="P63">
        <f t="shared" si="10"/>
        <v>3.3141945017458392E-4</v>
      </c>
      <c r="Q63">
        <f t="shared" si="11"/>
        <v>3.609962460585536E-5</v>
      </c>
      <c r="R63">
        <f t="shared" si="12"/>
        <v>3.5016635867679703E-5</v>
      </c>
      <c r="S63">
        <f t="shared" si="13"/>
        <v>1.7963990598959876E-5</v>
      </c>
      <c r="T63">
        <f t="shared" si="14"/>
        <v>1.0369302336795538E-6</v>
      </c>
      <c r="U63">
        <f t="shared" si="15"/>
        <v>0.12718271193035319</v>
      </c>
    </row>
    <row r="64" spans="1:30" x14ac:dyDescent="0.25">
      <c r="A64" s="360">
        <v>2285002007</v>
      </c>
      <c r="B64" s="360" t="s">
        <v>74</v>
      </c>
      <c r="C64" s="360" t="s">
        <v>128</v>
      </c>
      <c r="D64" s="360" t="s">
        <v>22</v>
      </c>
      <c r="E64" s="110">
        <f>'LINE HAUL CLASS 23 TOTAL BY CTY'!D18</f>
        <v>0</v>
      </c>
      <c r="F64" s="110">
        <f>'LINE HAUL CLASS 23 TOTAL BY CTY'!J18</f>
        <v>0</v>
      </c>
      <c r="G64" s="110">
        <f>'LINE HAUL CLASS 23 TOTAL BY CTY'!E18</f>
        <v>0</v>
      </c>
      <c r="H64" s="110">
        <f>'LINE HAUL CLASS 23 TOTAL BY CTY'!F18</f>
        <v>0</v>
      </c>
      <c r="I64" s="110">
        <f>'LINE HAUL CLASS 23 TOTAL BY CTY'!G18</f>
        <v>0</v>
      </c>
      <c r="J64" s="110">
        <f>'LINE HAUL CLASS 23 TOTAL BY CTY'!H18</f>
        <v>0</v>
      </c>
      <c r="K64" s="110">
        <f>'LINE HAUL CLASS 23 TOTAL BY CTY'!I18</f>
        <v>0</v>
      </c>
      <c r="L64" s="110">
        <f>'LINE HAUL CLASS 23 TOTAL BY CTY'!K18</f>
        <v>0</v>
      </c>
      <c r="M64" s="110">
        <f>'LINE HAUL CLASS 23 TOTAL BY CTY'!L18</f>
        <v>0</v>
      </c>
      <c r="N64">
        <f t="shared" si="8"/>
        <v>0</v>
      </c>
      <c r="O64">
        <f t="shared" si="9"/>
        <v>0</v>
      </c>
      <c r="P64">
        <f t="shared" si="10"/>
        <v>0</v>
      </c>
      <c r="Q64">
        <f t="shared" si="11"/>
        <v>0</v>
      </c>
      <c r="R64">
        <f t="shared" si="12"/>
        <v>0</v>
      </c>
      <c r="S64">
        <f t="shared" si="13"/>
        <v>0</v>
      </c>
      <c r="T64">
        <f t="shared" si="14"/>
        <v>0</v>
      </c>
      <c r="U64">
        <f t="shared" si="15"/>
        <v>0</v>
      </c>
    </row>
    <row r="65" spans="1:30" x14ac:dyDescent="0.25">
      <c r="A65" s="360">
        <v>2285002009</v>
      </c>
      <c r="B65" s="360" t="s">
        <v>76</v>
      </c>
      <c r="C65" s="360" t="s">
        <v>128</v>
      </c>
      <c r="D65" s="360" t="s">
        <v>22</v>
      </c>
      <c r="E65" s="110">
        <f>'NJT COMMUTER EMIS CTY'!E18</f>
        <v>98442.889373890255</v>
      </c>
      <c r="F65" s="110">
        <f>'NJT COMMUTER EMIS CTY'!K18</f>
        <v>0.55125931640781733</v>
      </c>
      <c r="G65" s="110">
        <f>'NJT COMMUTER EMIS CTY'!F18</f>
        <v>12.746406424227994</v>
      </c>
      <c r="H65" s="110">
        <f>'NJT COMMUTER EMIS CTY'!G18</f>
        <v>3.0300028985593399</v>
      </c>
      <c r="I65" s="110">
        <f>'NJT COMMUTER EMIS CTY'!H18</f>
        <v>0.31866016060569979</v>
      </c>
      <c r="J65" s="110">
        <f>'NJT COMMUTER EMIS CTY'!I18</f>
        <v>0.30910035578752876</v>
      </c>
      <c r="K65" s="110">
        <f>'NJT COMMUTER EMIS CTY'!J18</f>
        <v>0.16423581523615535</v>
      </c>
      <c r="L65" s="110">
        <f>'NJT COMMUTER EMIS CTY'!L18</f>
        <v>9.4801364615075649E-3</v>
      </c>
      <c r="M65" s="110">
        <f>'NJT COMMUTER EMIS CTY'!M18</f>
        <v>1162.7681646101553</v>
      </c>
      <c r="N65" s="6">
        <f t="shared" si="8"/>
        <v>1.5102994970077187E-3</v>
      </c>
      <c r="O65" s="6">
        <f t="shared" si="9"/>
        <v>3.4921661436241078E-2</v>
      </c>
      <c r="P65" s="6">
        <f t="shared" si="10"/>
        <v>8.3013778042721649E-3</v>
      </c>
      <c r="Q65" s="6">
        <f t="shared" si="11"/>
        <v>8.7304153590602688E-4</v>
      </c>
      <c r="R65" s="6">
        <f t="shared" si="12"/>
        <v>8.4685028982884594E-4</v>
      </c>
      <c r="S65" s="6">
        <f t="shared" si="13"/>
        <v>4.4996113763330235E-4</v>
      </c>
      <c r="T65" s="6">
        <f t="shared" si="14"/>
        <v>2.5972976606870041E-5</v>
      </c>
      <c r="U65" s="6">
        <f t="shared" si="15"/>
        <v>3.1856662044113842</v>
      </c>
    </row>
    <row r="66" spans="1:30" x14ac:dyDescent="0.25">
      <c r="A66" s="18">
        <v>2285002010</v>
      </c>
      <c r="B66" s="18" t="s">
        <v>78</v>
      </c>
      <c r="C66" s="360" t="s">
        <v>128</v>
      </c>
      <c r="D66" s="360" t="s">
        <v>22</v>
      </c>
      <c r="E66" s="304">
        <f>'2017 YARD EMIS CTY COMPILE 2 '!D18</f>
        <v>0</v>
      </c>
      <c r="F66" s="304">
        <f>'2017 YARD EMIS CTY COMPILE 2 '!J18</f>
        <v>0</v>
      </c>
      <c r="G66" s="304">
        <f>'2017 YARD EMIS CTY COMPILE 2 '!E18</f>
        <v>0</v>
      </c>
      <c r="H66" s="304">
        <f>'2017 YARD EMIS CTY COMPILE 2 '!F18</f>
        <v>0</v>
      </c>
      <c r="I66" s="304">
        <f>'2017 YARD EMIS CTY COMPILE 2 '!G18</f>
        <v>0</v>
      </c>
      <c r="J66" s="304">
        <f>'2017 YARD EMIS CTY COMPILE 2 '!H18</f>
        <v>0</v>
      </c>
      <c r="K66" s="304">
        <f>'2017 YARD EMIS CTY COMPILE 2 '!I18</f>
        <v>0</v>
      </c>
      <c r="L66" s="304">
        <f>'2017 YARD EMIS CTY COMPILE 2 '!K18</f>
        <v>0</v>
      </c>
      <c r="M66" s="304">
        <f>'2017 YARD EMIS CTY COMPILE 2 '!L18</f>
        <v>0</v>
      </c>
      <c r="N66" s="6">
        <f t="shared" si="8"/>
        <v>0</v>
      </c>
      <c r="O66" s="6">
        <f t="shared" si="9"/>
        <v>0</v>
      </c>
      <c r="P66" s="6">
        <f t="shared" si="10"/>
        <v>0</v>
      </c>
      <c r="Q66" s="6">
        <f t="shared" si="11"/>
        <v>0</v>
      </c>
      <c r="R66" s="6">
        <f t="shared" si="12"/>
        <v>0</v>
      </c>
      <c r="S66" s="6">
        <f t="shared" si="13"/>
        <v>0</v>
      </c>
      <c r="T66" s="6">
        <f t="shared" si="14"/>
        <v>0</v>
      </c>
      <c r="U66" s="6">
        <f t="shared" si="15"/>
        <v>0</v>
      </c>
    </row>
    <row r="67" spans="1:30" x14ac:dyDescent="0.25">
      <c r="A67" s="360">
        <v>2285002006</v>
      </c>
      <c r="B67" s="360" t="s">
        <v>71</v>
      </c>
      <c r="C67" s="360" t="s">
        <v>129</v>
      </c>
      <c r="D67" s="360" t="s">
        <v>66</v>
      </c>
      <c r="E67" s="360">
        <f>'CLASS 1 LINE HAUL COMPILE EMISS'!E19</f>
        <v>64432.409443797631</v>
      </c>
      <c r="F67" s="360">
        <f>'CLASS 1 LINE HAUL COMPILE EMISS'!K19</f>
        <v>0.3608078370149615</v>
      </c>
      <c r="G67" s="360">
        <f>'CLASS 1 LINE HAUL COMPILE EMISS'!F19</f>
        <v>8.491699372332798</v>
      </c>
      <c r="H67" s="360">
        <f>'CLASS 1 LINE HAUL COMPILE EMISS'!G19</f>
        <v>1.9831842463946354</v>
      </c>
      <c r="I67" s="360">
        <f>'CLASS 1 LINE HAUL COMPILE EMISS'!H19</f>
        <v>0.21601691385758873</v>
      </c>
      <c r="J67" s="360">
        <f>'CLASS 1 LINE HAUL COMPILE EMISS'!I19</f>
        <v>0.20953640644186106</v>
      </c>
      <c r="K67" s="360">
        <f>'CLASS 1 LINE HAUL COMPILE EMISS'!J19</f>
        <v>0.1074949075543746</v>
      </c>
      <c r="L67" s="360">
        <f>'CLASS 1 LINE HAUL COMPILE EMISS'!L19</f>
        <v>6.2048974583728388E-3</v>
      </c>
      <c r="M67" s="360">
        <f>'CLASS 1 LINE HAUL COMPILE EMISS'!M19</f>
        <v>761.04993409758072</v>
      </c>
      <c r="N67">
        <f t="shared" si="8"/>
        <v>9.8851462195879872E-4</v>
      </c>
      <c r="O67">
        <f t="shared" si="9"/>
        <v>2.3264929787213146E-2</v>
      </c>
      <c r="P67">
        <f t="shared" si="10"/>
        <v>5.4333814969716038E-3</v>
      </c>
      <c r="Q67">
        <f t="shared" si="11"/>
        <v>5.9182716125366771E-4</v>
      </c>
      <c r="R67">
        <f t="shared" si="12"/>
        <v>5.7407234641605764E-4</v>
      </c>
      <c r="S67">
        <f t="shared" si="13"/>
        <v>2.945065960393825E-4</v>
      </c>
      <c r="T67">
        <f t="shared" si="14"/>
        <v>1.6999719064035174E-5</v>
      </c>
      <c r="U67">
        <f t="shared" si="15"/>
        <v>2.0850683125961114</v>
      </c>
    </row>
    <row r="68" spans="1:30" x14ac:dyDescent="0.25">
      <c r="A68" s="360">
        <v>2285002007</v>
      </c>
      <c r="B68" s="360" t="s">
        <v>74</v>
      </c>
      <c r="C68" s="360" t="s">
        <v>129</v>
      </c>
      <c r="D68" s="360" t="s">
        <v>66</v>
      </c>
      <c r="E68" s="110">
        <f>'LINE HAUL CLASS 23 TOTAL BY CTY'!D19</f>
        <v>60060.06</v>
      </c>
      <c r="F68" s="110">
        <f>'LINE HAUL CLASS 23 TOTAL BY CTY'!J19</f>
        <v>0.47617031075546512</v>
      </c>
      <c r="G68" s="110">
        <f>'LINE HAUL CLASS 23 TOTAL BY CTY'!E19</f>
        <v>10.216213450280515</v>
      </c>
      <c r="H68" s="110">
        <f>'LINE HAUL CLASS 23 TOTAL BY CTY'!F19</f>
        <v>1.7863550472638923</v>
      </c>
      <c r="I68" s="110">
        <f>'LINE HAUL CLASS 23 TOTAL BY CTY'!G19</f>
        <v>0.24812145974292191</v>
      </c>
      <c r="J68" s="110">
        <f>'LINE HAUL CLASS 23 TOTAL BY CTY'!H19</f>
        <v>0.24067781595063426</v>
      </c>
      <c r="K68" s="110">
        <f>'LINE HAUL CLASS 23 TOTAL BY CTY'!I19</f>
        <v>9.6826137568416099E-2</v>
      </c>
      <c r="L68" s="110">
        <f>'LINE HAUL CLASS 23 TOTAL BY CTY'!K19</f>
        <v>5.7838363776972455E-3</v>
      </c>
      <c r="M68" s="110">
        <f>'LINE HAUL CLASS 23 TOTAL BY CTY'!L19</f>
        <v>709.40548552304267</v>
      </c>
      <c r="N68">
        <f t="shared" si="8"/>
        <v>1.3045761938505894E-3</v>
      </c>
      <c r="O68">
        <f t="shared" si="9"/>
        <v>2.7989625891179492E-2</v>
      </c>
      <c r="P68">
        <f t="shared" si="10"/>
        <v>4.8941234171613491E-3</v>
      </c>
      <c r="Q68">
        <f t="shared" si="11"/>
        <v>6.797848212134847E-4</v>
      </c>
      <c r="R68">
        <f t="shared" si="12"/>
        <v>6.593912765770802E-4</v>
      </c>
      <c r="S68">
        <f t="shared" si="13"/>
        <v>2.6527708922853728E-4</v>
      </c>
      <c r="T68">
        <f t="shared" si="14"/>
        <v>1.5846127062184234E-5</v>
      </c>
      <c r="U68">
        <f t="shared" si="15"/>
        <v>1.9435766726658703</v>
      </c>
    </row>
    <row r="69" spans="1:30" ht="15.75" thickBot="1" x14ac:dyDescent="0.3">
      <c r="A69" s="183">
        <v>2285002009</v>
      </c>
      <c r="B69" s="183" t="s">
        <v>76</v>
      </c>
      <c r="C69" s="183" t="s">
        <v>129</v>
      </c>
      <c r="D69" s="183" t="s">
        <v>66</v>
      </c>
      <c r="E69" s="469">
        <f>'NJT COMMUTER EMIS CTY'!E19</f>
        <v>1261614.9975380159</v>
      </c>
      <c r="F69" s="469">
        <f>'NJT COMMUTER EMIS CTY'!K19</f>
        <v>7.0647765982488151</v>
      </c>
      <c r="G69" s="469">
        <f>'NJT COMMUTER EMIS CTY'!F19</f>
        <v>163.35418039635562</v>
      </c>
      <c r="H69" s="469">
        <f>'NJT COMMUTER EMIS CTY'!G19</f>
        <v>38.83162231136226</v>
      </c>
      <c r="I69" s="469">
        <f>'NJT COMMUTER EMIS CTY'!H19</f>
        <v>4.0838545099088908</v>
      </c>
      <c r="J69" s="469">
        <f>'NJT COMMUTER EMIS CTY'!I19</f>
        <v>3.9613388746116232</v>
      </c>
      <c r="K69" s="469">
        <f>'NJT COMMUTER EMIS CTY'!J19</f>
        <v>2.1047977050719511</v>
      </c>
      <c r="L69" s="469">
        <f>'NJT COMMUTER EMIS CTY'!L19</f>
        <v>0.12149462916635109</v>
      </c>
      <c r="M69" s="469">
        <f>'NJT COMMUTER EMIS CTY'!M19</f>
        <v>14901.693402763976</v>
      </c>
      <c r="N69" s="6">
        <f t="shared" si="8"/>
        <v>1.9355552323969356E-2</v>
      </c>
      <c r="O69" s="6">
        <f t="shared" si="9"/>
        <v>0.4475456997160428</v>
      </c>
      <c r="P69" s="6">
        <f t="shared" si="10"/>
        <v>0.10638800633249934</v>
      </c>
      <c r="Q69" s="6">
        <f t="shared" si="11"/>
        <v>1.1188642492901071E-2</v>
      </c>
      <c r="R69" s="6">
        <f t="shared" si="12"/>
        <v>1.0852983218114036E-2</v>
      </c>
      <c r="S69" s="6">
        <f t="shared" si="13"/>
        <v>5.7665690549916467E-3</v>
      </c>
      <c r="T69" s="6">
        <f t="shared" si="14"/>
        <v>3.328619977160304E-4</v>
      </c>
      <c r="U69" s="6">
        <f t="shared" si="15"/>
        <v>40.826557267846511</v>
      </c>
      <c r="V69" s="136">
        <f>SUM(E49:E69)</f>
        <v>7408970.9787193174</v>
      </c>
      <c r="W69" s="136">
        <f>SUM(G49:G69)</f>
        <v>1038.2644179164156</v>
      </c>
      <c r="X69" s="136">
        <f>SUM(H49:H69)</f>
        <v>225.98038977714293</v>
      </c>
      <c r="Y69" s="136">
        <f>SUM(I49:I69)</f>
        <v>25.668256698354426</v>
      </c>
      <c r="Z69" s="136">
        <f>SUM(J49:J69)</f>
        <v>24.898208997403792</v>
      </c>
      <c r="AA69" s="136">
        <f>SUM(K49:K69)</f>
        <v>12.248857438413557</v>
      </c>
      <c r="AB69" s="136">
        <f>SUM(F49:F69)</f>
        <v>46.122099887931029</v>
      </c>
      <c r="AC69" s="136">
        <f>SUM(L49:L69)</f>
        <v>0.71349039391602254</v>
      </c>
      <c r="AD69" s="136">
        <f>SUM(M49:M69)</f>
        <v>87511.811583013958</v>
      </c>
    </row>
    <row r="70" spans="1:30" x14ac:dyDescent="0.25">
      <c r="A70" s="461">
        <v>2285002010</v>
      </c>
      <c r="B70" s="461" t="s">
        <v>78</v>
      </c>
      <c r="C70" s="477" t="s">
        <v>129</v>
      </c>
      <c r="D70" s="477" t="s">
        <v>66</v>
      </c>
      <c r="E70" s="462">
        <f>'2017 YARD EMIS CTY COMPILE 2 '!D19</f>
        <v>0</v>
      </c>
      <c r="F70" s="462">
        <f>'2017 YARD EMIS CTY COMPILE 2 '!J19</f>
        <v>0</v>
      </c>
      <c r="G70" s="462">
        <f>'2017 YARD EMIS CTY COMPILE 2 '!E19</f>
        <v>0</v>
      </c>
      <c r="H70" s="462">
        <f>'2017 YARD EMIS CTY COMPILE 2 '!F19</f>
        <v>0</v>
      </c>
      <c r="I70" s="462">
        <f>'2017 YARD EMIS CTY COMPILE 2 '!G19</f>
        <v>0</v>
      </c>
      <c r="J70" s="462">
        <f>'2017 YARD EMIS CTY COMPILE 2 '!H19</f>
        <v>0</v>
      </c>
      <c r="K70" s="462">
        <f>'2017 YARD EMIS CTY COMPILE 2 '!I19</f>
        <v>0</v>
      </c>
      <c r="L70" s="462">
        <f>'2017 YARD EMIS CTY COMPILE 2 '!K19</f>
        <v>0</v>
      </c>
      <c r="M70" s="462">
        <f>'2017 YARD EMIS CTY COMPILE 2 '!L19</f>
        <v>0</v>
      </c>
      <c r="N70" s="477">
        <f t="shared" si="8"/>
        <v>0</v>
      </c>
      <c r="O70" s="477">
        <f t="shared" si="9"/>
        <v>0</v>
      </c>
      <c r="P70" s="477">
        <f t="shared" si="10"/>
        <v>0</v>
      </c>
      <c r="Q70" s="477">
        <f t="shared" si="11"/>
        <v>0</v>
      </c>
      <c r="R70" s="477">
        <f t="shared" si="12"/>
        <v>0</v>
      </c>
      <c r="S70" s="477">
        <f t="shared" si="13"/>
        <v>0</v>
      </c>
      <c r="T70" s="477">
        <f t="shared" si="14"/>
        <v>0</v>
      </c>
      <c r="U70" s="477">
        <f t="shared" si="15"/>
        <v>0</v>
      </c>
      <c r="V70" s="10">
        <f>'LINE HAUL CLASS 23 TOTAL BY CTY'!D25</f>
        <v>1618218.6378398326</v>
      </c>
      <c r="W70" s="10">
        <f>'LINE HAUL CLASS 23 TOTAL BY CTY'!E25</f>
        <v>411.80855046862251</v>
      </c>
      <c r="X70" s="10">
        <f>'LINE HAUL CLASS 23 TOTAL BY CTY'!F25</f>
        <v>44.435760772214806</v>
      </c>
      <c r="Y70" s="10">
        <f>'LINE HAUL CLASS 23 TOTAL BY CTY'!G25</f>
        <v>9.4606200108266414</v>
      </c>
      <c r="Z70" s="10">
        <f>'LINE HAUL CLASS 23 TOTAL BY CTY'!H25</f>
        <v>9.1768014105018416</v>
      </c>
      <c r="AA70" s="10">
        <f>'LINE HAUL CLASS 23 TOTAL BY CTY'!I25</f>
        <v>2.4085598728415047</v>
      </c>
      <c r="AB70" s="10">
        <f>'LINE HAUL CLASS 23 TOTAL BY CTY'!J25</f>
        <v>21.129505183345852</v>
      </c>
      <c r="AC70" s="10">
        <f>'LINE HAUL CLASS 23 TOTAL BY CTY'!K25</f>
        <v>0.15583587203552091</v>
      </c>
      <c r="AD70" s="10">
        <f>'LINE HAUL CLASS 23 TOTAL BY CTY'!L25</f>
        <v>19113.753440459488</v>
      </c>
    </row>
    <row r="71" spans="1:30" x14ac:dyDescent="0.25">
      <c r="A71" s="106">
        <v>2285002006</v>
      </c>
      <c r="B71" s="106" t="s">
        <v>71</v>
      </c>
      <c r="C71" s="106" t="s">
        <v>130</v>
      </c>
      <c r="D71" s="106" t="s">
        <v>46</v>
      </c>
      <c r="E71" s="106">
        <f>'CLASS 1 LINE HAUL COMPILE EMISS'!E20</f>
        <v>19091.084279643743</v>
      </c>
      <c r="F71" s="106">
        <f>'CLASS 1 LINE HAUL COMPILE EMISS'!K20</f>
        <v>0.1069060257822108</v>
      </c>
      <c r="G71" s="106">
        <f>'CLASS 1 LINE HAUL COMPILE EMISS'!F20</f>
        <v>2.5160590732837917</v>
      </c>
      <c r="H71" s="106">
        <f>'CLASS 1 LINE HAUL COMPILE EMISS'!G20</f>
        <v>0.58761014707989201</v>
      </c>
      <c r="I71" s="106">
        <f>'CLASS 1 LINE HAUL COMPILE EMISS'!H20</f>
        <v>6.4005011513359633E-2</v>
      </c>
      <c r="J71" s="106">
        <f>'CLASS 1 LINE HAUL COMPILE EMISS'!I20</f>
        <v>6.2084861167958832E-2</v>
      </c>
      <c r="K71" s="106">
        <f>'CLASS 1 LINE HAUL COMPILE EMISS'!J20</f>
        <v>3.1850342979073965E-2</v>
      </c>
      <c r="L71" s="106">
        <f>'CLASS 1 LINE HAUL COMPILE EMISS'!L20</f>
        <v>1.8384881358141747E-3</v>
      </c>
      <c r="M71" s="106">
        <f>'CLASS 1 LINE HAUL COMPILE EMISS'!M20</f>
        <v>225.49627676965355</v>
      </c>
      <c r="N71">
        <f t="shared" ref="N71:N90" si="16">F71/365</f>
        <v>2.9289322132112545E-4</v>
      </c>
      <c r="O71">
        <f t="shared" ref="O71:O90" si="17">G71/365</f>
        <v>6.8933125295446351E-3</v>
      </c>
      <c r="P71">
        <f t="shared" ref="P71:P90" si="18">H71/365</f>
        <v>1.6098908139175123E-3</v>
      </c>
      <c r="Q71">
        <f t="shared" ref="Q71:Q90" si="19">I71/365</f>
        <v>1.753561959270127E-4</v>
      </c>
      <c r="R71">
        <f t="shared" ref="R71:R90" si="20">J71/365</f>
        <v>1.7009551004920227E-4</v>
      </c>
      <c r="S71">
        <f t="shared" ref="S71:S90" si="21">K71/365</f>
        <v>8.726121364129853E-5</v>
      </c>
      <c r="T71">
        <f t="shared" ref="T71:T90" si="22">L71/365</f>
        <v>5.0369537967511631E-6</v>
      </c>
      <c r="U71">
        <f t="shared" ref="U71:U90" si="23">M71/365</f>
        <v>0.61779801854699601</v>
      </c>
    </row>
    <row r="72" spans="1:30" x14ac:dyDescent="0.25">
      <c r="A72" s="360">
        <v>2285002007</v>
      </c>
      <c r="B72" s="360" t="s">
        <v>74</v>
      </c>
      <c r="C72" s="360" t="s">
        <v>130</v>
      </c>
      <c r="D72" s="360" t="s">
        <v>46</v>
      </c>
      <c r="E72" s="110">
        <f>'LINE HAUL CLASS 23 TOTAL BY CTY'!D20</f>
        <v>25010.532742602616</v>
      </c>
      <c r="F72" s="110">
        <f>'LINE HAUL CLASS 23 TOTAL BY CTY'!J20</f>
        <v>0.35622349705001477</v>
      </c>
      <c r="G72" s="110">
        <f>'LINE HAUL CLASS 23 TOTAL BY CTY'!E20</f>
        <v>6.8526204171113463</v>
      </c>
      <c r="H72" s="110">
        <f>'LINE HAUL CLASS 23 TOTAL BY CTY'!F20</f>
        <v>0.67358078159082668</v>
      </c>
      <c r="I72" s="110">
        <f>'LINE HAUL CLASS 23 TOTAL BY CTY'!G20</f>
        <v>0.15613565507342311</v>
      </c>
      <c r="J72" s="110">
        <f>'LINE HAUL CLASS 23 TOTAL BY CTY'!H20</f>
        <v>0.15145158542122045</v>
      </c>
      <c r="K72" s="110">
        <f>'LINE HAUL CLASS 23 TOTAL BY CTY'!I20</f>
        <v>3.6510225400964123E-2</v>
      </c>
      <c r="L72" s="110">
        <f>'LINE HAUL CLASS 23 TOTAL BY CTY'!K20</f>
        <v>2.4085362069610496E-3</v>
      </c>
      <c r="M72" s="110">
        <f>'LINE HAUL CLASS 23 TOTAL BY CTY'!L20</f>
        <v>295.41444220095633</v>
      </c>
      <c r="N72">
        <f t="shared" si="16"/>
        <v>9.7595478643839662E-4</v>
      </c>
      <c r="O72">
        <f t="shared" si="17"/>
        <v>1.8774302512633824E-2</v>
      </c>
      <c r="P72">
        <f t="shared" si="18"/>
        <v>1.8454267988789771E-3</v>
      </c>
      <c r="Q72">
        <f t="shared" si="19"/>
        <v>4.277689180093784E-4</v>
      </c>
      <c r="R72">
        <f t="shared" si="20"/>
        <v>4.1493585046909712E-4</v>
      </c>
      <c r="S72">
        <f t="shared" si="21"/>
        <v>1.0002801479716198E-4</v>
      </c>
      <c r="T72">
        <f t="shared" si="22"/>
        <v>6.598729334139862E-6</v>
      </c>
      <c r="U72">
        <f t="shared" si="23"/>
        <v>0.80935463616700365</v>
      </c>
    </row>
    <row r="73" spans="1:30" x14ac:dyDescent="0.25">
      <c r="A73" s="360">
        <v>2285002009</v>
      </c>
      <c r="B73" s="360" t="s">
        <v>76</v>
      </c>
      <c r="C73" s="360" t="s">
        <v>130</v>
      </c>
      <c r="D73" s="360" t="s">
        <v>46</v>
      </c>
      <c r="E73" s="110">
        <f>'NJT COMMUTER EMIS CTY'!E20</f>
        <v>0</v>
      </c>
      <c r="F73" s="110">
        <f>'NJT COMMUTER EMIS CTY'!K20</f>
        <v>0</v>
      </c>
      <c r="G73" s="110">
        <f>'NJT COMMUTER EMIS CTY'!F20</f>
        <v>0</v>
      </c>
      <c r="H73" s="110">
        <f>'NJT COMMUTER EMIS CTY'!G20</f>
        <v>0</v>
      </c>
      <c r="I73" s="110">
        <f>'NJT COMMUTER EMIS CTY'!H20</f>
        <v>0</v>
      </c>
      <c r="J73" s="110">
        <f>'NJT COMMUTER EMIS CTY'!I20</f>
        <v>0</v>
      </c>
      <c r="K73" s="110">
        <f>'NJT COMMUTER EMIS CTY'!J20</f>
        <v>0</v>
      </c>
      <c r="L73" s="110">
        <f>'NJT COMMUTER EMIS CTY'!L20</f>
        <v>0</v>
      </c>
      <c r="M73" s="110">
        <f>'NJT COMMUTER EMIS CTY'!M20</f>
        <v>0</v>
      </c>
      <c r="N73" s="6">
        <f t="shared" si="16"/>
        <v>0</v>
      </c>
      <c r="O73" s="6">
        <f t="shared" si="17"/>
        <v>0</v>
      </c>
      <c r="P73" s="6">
        <f t="shared" si="18"/>
        <v>0</v>
      </c>
      <c r="Q73" s="6">
        <f t="shared" si="19"/>
        <v>0</v>
      </c>
      <c r="R73" s="6">
        <f t="shared" si="20"/>
        <v>0</v>
      </c>
      <c r="S73" s="6">
        <f t="shared" si="21"/>
        <v>0</v>
      </c>
      <c r="T73" s="6">
        <f t="shared" si="22"/>
        <v>0</v>
      </c>
      <c r="U73" s="6">
        <f t="shared" si="23"/>
        <v>0</v>
      </c>
    </row>
    <row r="74" spans="1:30" x14ac:dyDescent="0.25">
      <c r="A74" s="18">
        <v>2285002010</v>
      </c>
      <c r="B74" s="18" t="s">
        <v>78</v>
      </c>
      <c r="C74" s="360" t="s">
        <v>130</v>
      </c>
      <c r="D74" s="360" t="s">
        <v>46</v>
      </c>
      <c r="E74" s="304">
        <f>'2017 YARD EMIS CTY COMPILE 2 '!D20</f>
        <v>0</v>
      </c>
      <c r="F74" s="304">
        <f>'2017 YARD EMIS CTY COMPILE 2 '!J20</f>
        <v>0</v>
      </c>
      <c r="G74" s="304">
        <f>'2017 YARD EMIS CTY COMPILE 2 '!E20</f>
        <v>0</v>
      </c>
      <c r="H74" s="304">
        <f>'2017 YARD EMIS CTY COMPILE 2 '!F20</f>
        <v>0</v>
      </c>
      <c r="I74" s="304">
        <f>'2017 YARD EMIS CTY COMPILE 2 '!G20</f>
        <v>0</v>
      </c>
      <c r="J74" s="304">
        <f>'2017 YARD EMIS CTY COMPILE 2 '!H20</f>
        <v>0</v>
      </c>
      <c r="K74" s="304">
        <f>'2017 YARD EMIS CTY COMPILE 2 '!I20</f>
        <v>0</v>
      </c>
      <c r="L74" s="304">
        <f>'2017 YARD EMIS CTY COMPILE 2 '!K20</f>
        <v>0</v>
      </c>
      <c r="M74" s="304">
        <f>'2017 YARD EMIS CTY COMPILE 2 '!L20</f>
        <v>0</v>
      </c>
      <c r="N74" s="6">
        <f t="shared" si="16"/>
        <v>0</v>
      </c>
      <c r="O74" s="6">
        <f t="shared" si="17"/>
        <v>0</v>
      </c>
      <c r="P74" s="6">
        <f t="shared" si="18"/>
        <v>0</v>
      </c>
      <c r="Q74" s="6">
        <f t="shared" si="19"/>
        <v>0</v>
      </c>
      <c r="R74" s="6">
        <f t="shared" si="20"/>
        <v>0</v>
      </c>
      <c r="S74" s="6">
        <f t="shared" si="21"/>
        <v>0</v>
      </c>
      <c r="T74" s="6">
        <f t="shared" si="22"/>
        <v>0</v>
      </c>
      <c r="U74" s="6">
        <f t="shared" si="23"/>
        <v>0</v>
      </c>
    </row>
    <row r="75" spans="1:30" x14ac:dyDescent="0.25">
      <c r="A75" s="360">
        <v>2285002006</v>
      </c>
      <c r="B75" s="360" t="s">
        <v>71</v>
      </c>
      <c r="C75" s="360" t="s">
        <v>131</v>
      </c>
      <c r="D75" s="360" t="s">
        <v>47</v>
      </c>
      <c r="E75" s="360">
        <f>'CLASS 1 LINE HAUL COMPILE EMISS'!E21</f>
        <v>983907.41844306001</v>
      </c>
      <c r="F75" s="360">
        <f>'CLASS 1 LINE HAUL COMPILE EMISS'!K21</f>
        <v>5.509673012943459</v>
      </c>
      <c r="G75" s="360">
        <f>'CLASS 1 LINE HAUL COMPILE EMISS'!F21</f>
        <v>129.67148178610887</v>
      </c>
      <c r="H75" s="360">
        <f>'CLASS 1 LINE HAUL COMPILE EMISS'!G21</f>
        <v>30.28397834274881</v>
      </c>
      <c r="I75" s="360">
        <f>'CLASS 1 LINE HAUL COMPILE EMISS'!H21</f>
        <v>3.298660501576455</v>
      </c>
      <c r="J75" s="360">
        <f>'CLASS 1 LINE HAUL COMPILE EMISS'!I21</f>
        <v>3.1997006865291611</v>
      </c>
      <c r="K75" s="360">
        <f>'CLASS 1 LINE HAUL COMPILE EMISS'!J21</f>
        <v>1.6414881563579526</v>
      </c>
      <c r="L75" s="360">
        <f>'CLASS 1 LINE HAUL COMPILE EMISS'!L21</f>
        <v>9.4751146087385774E-2</v>
      </c>
      <c r="M75" s="360">
        <f>'CLASS 1 LINE HAUL COMPILE EMISS'!M21</f>
        <v>11621.522187795392</v>
      </c>
      <c r="N75">
        <f t="shared" si="16"/>
        <v>1.5094994556009477E-2</v>
      </c>
      <c r="O75">
        <f t="shared" si="17"/>
        <v>0.35526433366057225</v>
      </c>
      <c r="P75">
        <f t="shared" si="18"/>
        <v>8.2969803678763859E-2</v>
      </c>
      <c r="Q75">
        <f t="shared" si="19"/>
        <v>9.0374260317163148E-3</v>
      </c>
      <c r="R75">
        <f t="shared" si="20"/>
        <v>8.7663032507648252E-3</v>
      </c>
      <c r="S75">
        <f t="shared" si="21"/>
        <v>4.4972278256382265E-3</v>
      </c>
      <c r="T75">
        <f t="shared" si="22"/>
        <v>2.5959218106133086E-4</v>
      </c>
      <c r="U75">
        <f t="shared" si="23"/>
        <v>31.839786815877787</v>
      </c>
    </row>
    <row r="76" spans="1:30" x14ac:dyDescent="0.25">
      <c r="A76" s="360">
        <v>2285002007</v>
      </c>
      <c r="B76" s="360" t="s">
        <v>74</v>
      </c>
      <c r="C76" s="360" t="s">
        <v>131</v>
      </c>
      <c r="D76" s="360" t="s">
        <v>47</v>
      </c>
      <c r="E76" s="110">
        <f>'LINE HAUL CLASS 23 TOTAL BY CTY'!D21</f>
        <v>0</v>
      </c>
      <c r="F76" s="110">
        <f>'LINE HAUL CLASS 23 TOTAL BY CTY'!J21</f>
        <v>0</v>
      </c>
      <c r="G76" s="110">
        <f>'LINE HAUL CLASS 23 TOTAL BY CTY'!E21</f>
        <v>0</v>
      </c>
      <c r="H76" s="110">
        <f>'LINE HAUL CLASS 23 TOTAL BY CTY'!F21</f>
        <v>0</v>
      </c>
      <c r="I76" s="110">
        <f>'LINE HAUL CLASS 23 TOTAL BY CTY'!G21</f>
        <v>0</v>
      </c>
      <c r="J76" s="110">
        <f>'LINE HAUL CLASS 23 TOTAL BY CTY'!H21</f>
        <v>0</v>
      </c>
      <c r="K76" s="110">
        <f>'LINE HAUL CLASS 23 TOTAL BY CTY'!I21</f>
        <v>0</v>
      </c>
      <c r="L76" s="110">
        <f>'LINE HAUL CLASS 23 TOTAL BY CTY'!K21</f>
        <v>0</v>
      </c>
      <c r="M76" s="110">
        <f>'LINE HAUL CLASS 23 TOTAL BY CTY'!L21</f>
        <v>0</v>
      </c>
      <c r="N76">
        <f t="shared" si="16"/>
        <v>0</v>
      </c>
      <c r="O76">
        <f t="shared" si="17"/>
        <v>0</v>
      </c>
      <c r="P76">
        <f t="shared" si="18"/>
        <v>0</v>
      </c>
      <c r="Q76">
        <f t="shared" si="19"/>
        <v>0</v>
      </c>
      <c r="R76">
        <f t="shared" si="20"/>
        <v>0</v>
      </c>
      <c r="S76">
        <f t="shared" si="21"/>
        <v>0</v>
      </c>
      <c r="T76">
        <f t="shared" si="22"/>
        <v>0</v>
      </c>
      <c r="U76">
        <f t="shared" si="23"/>
        <v>0</v>
      </c>
    </row>
    <row r="77" spans="1:30" x14ac:dyDescent="0.25">
      <c r="A77" s="360">
        <v>2285002009</v>
      </c>
      <c r="B77" s="360" t="s">
        <v>76</v>
      </c>
      <c r="C77" s="360" t="s">
        <v>131</v>
      </c>
      <c r="D77" s="360" t="s">
        <v>47</v>
      </c>
      <c r="E77" s="110">
        <f>'NJT COMMUTER EMIS CTY'!E21</f>
        <v>965656.64002383419</v>
      </c>
      <c r="F77" s="110">
        <f>'NJT COMMUTER EMIS CTY'!K21</f>
        <v>5.4074725218843112</v>
      </c>
      <c r="G77" s="110">
        <f>'NJT COMMUTER EMIS CTY'!F21</f>
        <v>125.0334288061115</v>
      </c>
      <c r="H77" s="110">
        <f>'NJT COMMUTER EMIS CTY'!G21</f>
        <v>29.722232219052795</v>
      </c>
      <c r="I77" s="110">
        <f>'NJT COMMUTER EMIS CTY'!H21</f>
        <v>3.1258357201527871</v>
      </c>
      <c r="J77" s="110">
        <f>'NJT COMMUTER EMIS CTY'!I21</f>
        <v>3.0320606485482036</v>
      </c>
      <c r="K77" s="110">
        <f>'NJT COMMUTER EMIS CTY'!J21</f>
        <v>1.6110397258878595</v>
      </c>
      <c r="L77" s="110">
        <f>'NJT COMMUTER EMIS CTY'!L21</f>
        <v>9.2993580141857088E-2</v>
      </c>
      <c r="M77" s="110">
        <f>'NJT COMMUTER EMIS CTY'!M21</f>
        <v>11405.951268857511</v>
      </c>
      <c r="N77" s="6">
        <f t="shared" si="16"/>
        <v>1.4814993210641949E-2</v>
      </c>
      <c r="O77" s="6">
        <f t="shared" si="17"/>
        <v>0.342557339194826</v>
      </c>
      <c r="P77" s="6">
        <f t="shared" si="18"/>
        <v>8.1430773202884374E-2</v>
      </c>
      <c r="Q77" s="6">
        <f t="shared" si="19"/>
        <v>8.5639334798706494E-3</v>
      </c>
      <c r="R77" s="6">
        <f t="shared" si="20"/>
        <v>8.3070154754745305E-3</v>
      </c>
      <c r="S77" s="6">
        <f t="shared" si="21"/>
        <v>4.4138074681859167E-3</v>
      </c>
      <c r="T77" s="6">
        <f t="shared" si="22"/>
        <v>2.5477693189549888E-4</v>
      </c>
      <c r="U77" s="6">
        <f t="shared" si="23"/>
        <v>31.249181558513726</v>
      </c>
    </row>
    <row r="78" spans="1:30" x14ac:dyDescent="0.25">
      <c r="A78" s="18">
        <v>2285002010</v>
      </c>
      <c r="B78" s="18" t="s">
        <v>78</v>
      </c>
      <c r="C78" s="360" t="s">
        <v>131</v>
      </c>
      <c r="D78" s="360" t="s">
        <v>47</v>
      </c>
      <c r="E78" s="304">
        <f>'2017 YARD EMIS CTY COMPILE 2 '!D21</f>
        <v>62151</v>
      </c>
      <c r="F78" s="304">
        <f>'2017 YARD EMIS CTY COMPILE 2 '!J21</f>
        <v>0.87085663978099337</v>
      </c>
      <c r="G78" s="304">
        <f>'2017 YARD EMIS CTY COMPILE 2 '!E21</f>
        <v>16.788684371409779</v>
      </c>
      <c r="H78" s="304">
        <f>'2017 YARD EMIS CTY COMPILE 2 '!F21</f>
        <v>1.6802341112053969</v>
      </c>
      <c r="I78" s="304">
        <f>'2017 YARD EMIS CTY COMPILE 2 '!G21</f>
        <v>0.38300339911220344</v>
      </c>
      <c r="J78" s="304">
        <f>'2017 YARD EMIS CTY COMPILE 2 '!H21</f>
        <v>0.37151329713883735</v>
      </c>
      <c r="K78" s="304">
        <f>'2017 YARD EMIS CTY COMPILE 2 '!I21</f>
        <v>9.1074044573561982E-2</v>
      </c>
      <c r="L78" s="304">
        <f>'2017 YARD EMIS CTY COMPILE 2 '!K21</f>
        <v>5.9851957309110483E-3</v>
      </c>
      <c r="M78" s="304">
        <f>'2017 YARD EMIS CTY COMPILE 2 '!L21</f>
        <v>734.10283524096758</v>
      </c>
      <c r="N78" s="6">
        <f t="shared" si="16"/>
        <v>2.3859086021397078E-3</v>
      </c>
      <c r="O78" s="6">
        <f t="shared" si="17"/>
        <v>4.5996395538108983E-2</v>
      </c>
      <c r="P78" s="6">
        <f t="shared" si="18"/>
        <v>4.6033811265901283E-3</v>
      </c>
      <c r="Q78" s="6">
        <f t="shared" si="19"/>
        <v>1.0493243811293244E-3</v>
      </c>
      <c r="R78" s="6">
        <f t="shared" si="20"/>
        <v>1.0178446496954447E-3</v>
      </c>
      <c r="S78" s="6">
        <f t="shared" si="21"/>
        <v>2.4951793033852599E-4</v>
      </c>
      <c r="T78" s="6">
        <f t="shared" si="22"/>
        <v>1.6397796523043966E-5</v>
      </c>
      <c r="U78" s="6">
        <f t="shared" si="23"/>
        <v>2.0112406444958015</v>
      </c>
    </row>
    <row r="79" spans="1:30" x14ac:dyDescent="0.25">
      <c r="A79" s="360">
        <v>2285002006</v>
      </c>
      <c r="B79" s="360" t="s">
        <v>71</v>
      </c>
      <c r="C79" s="360" t="s">
        <v>132</v>
      </c>
      <c r="D79" s="360" t="s">
        <v>67</v>
      </c>
      <c r="E79" s="360">
        <f>'CLASS 1 LINE HAUL COMPILE EMISS'!E22</f>
        <v>0</v>
      </c>
      <c r="F79" s="360">
        <f>'CLASS 1 LINE HAUL COMPILE EMISS'!K22</f>
        <v>0</v>
      </c>
      <c r="G79" s="360">
        <f>'CLASS 1 LINE HAUL COMPILE EMISS'!F22</f>
        <v>0</v>
      </c>
      <c r="H79" s="360">
        <f>'CLASS 1 LINE HAUL COMPILE EMISS'!G22</f>
        <v>0</v>
      </c>
      <c r="I79" s="360">
        <f>'CLASS 1 LINE HAUL COMPILE EMISS'!H22</f>
        <v>0</v>
      </c>
      <c r="J79" s="360">
        <f>'CLASS 1 LINE HAUL COMPILE EMISS'!I22</f>
        <v>0</v>
      </c>
      <c r="K79" s="360">
        <f>'CLASS 1 LINE HAUL COMPILE EMISS'!J22</f>
        <v>0</v>
      </c>
      <c r="L79" s="360">
        <f>'CLASS 1 LINE HAUL COMPILE EMISS'!L22</f>
        <v>0</v>
      </c>
      <c r="M79" s="360">
        <f>'CLASS 1 LINE HAUL COMPILE EMISS'!M22</f>
        <v>0</v>
      </c>
      <c r="N79">
        <f t="shared" si="16"/>
        <v>0</v>
      </c>
      <c r="O79">
        <f t="shared" si="17"/>
        <v>0</v>
      </c>
      <c r="P79">
        <f t="shared" si="18"/>
        <v>0</v>
      </c>
      <c r="Q79">
        <f t="shared" si="19"/>
        <v>0</v>
      </c>
      <c r="R79">
        <f t="shared" si="20"/>
        <v>0</v>
      </c>
      <c r="S79">
        <f t="shared" si="21"/>
        <v>0</v>
      </c>
      <c r="T79">
        <f t="shared" si="22"/>
        <v>0</v>
      </c>
      <c r="U79">
        <f t="shared" si="23"/>
        <v>0</v>
      </c>
    </row>
    <row r="80" spans="1:30" x14ac:dyDescent="0.25">
      <c r="A80" s="360">
        <v>2285002007</v>
      </c>
      <c r="B80" s="360" t="s">
        <v>74</v>
      </c>
      <c r="C80" s="360" t="s">
        <v>132</v>
      </c>
      <c r="D80" s="360" t="s">
        <v>67</v>
      </c>
      <c r="E80" s="110">
        <f>'LINE HAUL CLASS 23 TOTAL BY CTY'!D22</f>
        <v>110097</v>
      </c>
      <c r="F80" s="110">
        <f>'LINE HAUL CLASS 23 TOTAL BY CTY'!J22</f>
        <v>0.71181060718806177</v>
      </c>
      <c r="G80" s="110">
        <f>'LINE HAUL CLASS 23 TOTAL BY CTY'!E22</f>
        <v>16.077665739317414</v>
      </c>
      <c r="H80" s="110">
        <f>'LINE HAUL CLASS 23 TOTAL BY CTY'!F22</f>
        <v>3.3462905088753048</v>
      </c>
      <c r="I80" s="110">
        <f>'LINE HAUL CLASS 23 TOTAL BY CTY'!G22</f>
        <v>0.40097687137634064</v>
      </c>
      <c r="J80" s="110">
        <f>'LINE HAUL CLASS 23 TOTAL BY CTY'!H22</f>
        <v>0.38894756523505036</v>
      </c>
      <c r="K80" s="110">
        <f>'LINE HAUL CLASS 23 TOTAL BY CTY'!I22</f>
        <v>0.18137961188203855</v>
      </c>
      <c r="L80" s="110">
        <f>'LINE HAUL CLASS 23 TOTAL BY CTY'!K22</f>
        <v>1.0602437521296741E-2</v>
      </c>
      <c r="M80" s="110">
        <f>'LINE HAUL CLASS 23 TOTAL BY CTY'!L22</f>
        <v>1300.4218733652685</v>
      </c>
      <c r="N80">
        <f t="shared" si="16"/>
        <v>1.9501660470905803E-3</v>
      </c>
      <c r="O80">
        <f t="shared" si="17"/>
        <v>4.4048399285801135E-2</v>
      </c>
      <c r="P80">
        <f t="shared" si="18"/>
        <v>9.1679192023980949E-3</v>
      </c>
      <c r="Q80">
        <f t="shared" si="19"/>
        <v>1.0985667708940839E-3</v>
      </c>
      <c r="R80">
        <f t="shared" si="20"/>
        <v>1.0656097677672614E-3</v>
      </c>
      <c r="S80">
        <f t="shared" si="21"/>
        <v>4.9693044351243438E-4</v>
      </c>
      <c r="T80">
        <f t="shared" si="22"/>
        <v>2.9047774030949976E-5</v>
      </c>
      <c r="U80">
        <f t="shared" si="23"/>
        <v>3.5627996530555301</v>
      </c>
    </row>
    <row r="81" spans="1:30" x14ac:dyDescent="0.25">
      <c r="A81" s="360">
        <v>2285002009</v>
      </c>
      <c r="B81" s="360" t="s">
        <v>76</v>
      </c>
      <c r="C81" s="360" t="s">
        <v>132</v>
      </c>
      <c r="D81" s="360" t="s">
        <v>67</v>
      </c>
      <c r="E81" s="110">
        <f>'NJT COMMUTER EMIS CTY'!E22</f>
        <v>0</v>
      </c>
      <c r="F81" s="110">
        <f>'NJT COMMUTER EMIS CTY'!K22</f>
        <v>0</v>
      </c>
      <c r="G81" s="110">
        <f>'NJT COMMUTER EMIS CTY'!F22</f>
        <v>0</v>
      </c>
      <c r="H81" s="110">
        <f>'NJT COMMUTER EMIS CTY'!G22</f>
        <v>0</v>
      </c>
      <c r="I81" s="110">
        <f>'NJT COMMUTER EMIS CTY'!H22</f>
        <v>0</v>
      </c>
      <c r="J81" s="110">
        <f>'NJT COMMUTER EMIS CTY'!I22</f>
        <v>0</v>
      </c>
      <c r="K81" s="110">
        <f>'NJT COMMUTER EMIS CTY'!J22</f>
        <v>0</v>
      </c>
      <c r="L81" s="110">
        <f>'NJT COMMUTER EMIS CTY'!L22</f>
        <v>0</v>
      </c>
      <c r="M81" s="110">
        <f>'NJT COMMUTER EMIS CTY'!M22</f>
        <v>0</v>
      </c>
      <c r="N81" s="6">
        <f t="shared" si="16"/>
        <v>0</v>
      </c>
      <c r="O81" s="6">
        <f t="shared" si="17"/>
        <v>0</v>
      </c>
      <c r="P81" s="6">
        <f t="shared" si="18"/>
        <v>0</v>
      </c>
      <c r="Q81" s="6">
        <f t="shared" si="19"/>
        <v>0</v>
      </c>
      <c r="R81" s="6">
        <f t="shared" si="20"/>
        <v>0</v>
      </c>
      <c r="S81" s="6">
        <f t="shared" si="21"/>
        <v>0</v>
      </c>
      <c r="T81" s="6">
        <f t="shared" si="22"/>
        <v>0</v>
      </c>
      <c r="U81" s="6">
        <f t="shared" si="23"/>
        <v>0</v>
      </c>
    </row>
    <row r="82" spans="1:30" x14ac:dyDescent="0.25">
      <c r="A82" s="18">
        <v>2285002010</v>
      </c>
      <c r="B82" s="18" t="s">
        <v>78</v>
      </c>
      <c r="C82" s="360" t="s">
        <v>132</v>
      </c>
      <c r="D82" s="360" t="s">
        <v>67</v>
      </c>
      <c r="E82" s="304">
        <f>'2017 YARD EMIS CTY COMPILE 2 '!D22</f>
        <v>0</v>
      </c>
      <c r="F82" s="304">
        <f>'2017 YARD EMIS CTY COMPILE 2 '!J22</f>
        <v>0</v>
      </c>
      <c r="G82" s="304">
        <f>'2017 YARD EMIS CTY COMPILE 2 '!E22</f>
        <v>0</v>
      </c>
      <c r="H82" s="304">
        <f>'2017 YARD EMIS CTY COMPILE 2 '!F22</f>
        <v>0</v>
      </c>
      <c r="I82" s="304">
        <f>'2017 YARD EMIS CTY COMPILE 2 '!G22</f>
        <v>0</v>
      </c>
      <c r="J82" s="304">
        <f>'2017 YARD EMIS CTY COMPILE 2 '!H22</f>
        <v>0</v>
      </c>
      <c r="K82" s="304">
        <f>'2017 YARD EMIS CTY COMPILE 2 '!I22</f>
        <v>0</v>
      </c>
      <c r="L82" s="304">
        <f>'2017 YARD EMIS CTY COMPILE 2 '!K22</f>
        <v>0</v>
      </c>
      <c r="M82" s="304">
        <f>'2017 YARD EMIS CTY COMPILE 2 '!L22</f>
        <v>0</v>
      </c>
      <c r="N82" s="6">
        <f t="shared" si="16"/>
        <v>0</v>
      </c>
      <c r="O82" s="6">
        <f t="shared" si="17"/>
        <v>0</v>
      </c>
      <c r="P82" s="6">
        <f t="shared" si="18"/>
        <v>0</v>
      </c>
      <c r="Q82" s="6">
        <f t="shared" si="19"/>
        <v>0</v>
      </c>
      <c r="R82" s="6">
        <f t="shared" si="20"/>
        <v>0</v>
      </c>
      <c r="S82" s="6">
        <f t="shared" si="21"/>
        <v>0</v>
      </c>
      <c r="T82" s="6">
        <f t="shared" si="22"/>
        <v>0</v>
      </c>
      <c r="U82" s="6">
        <f t="shared" si="23"/>
        <v>0</v>
      </c>
    </row>
    <row r="83" spans="1:30" x14ac:dyDescent="0.25">
      <c r="A83" s="360">
        <v>2285002006</v>
      </c>
      <c r="B83" s="360" t="s">
        <v>71</v>
      </c>
      <c r="C83" s="360" t="s">
        <v>117</v>
      </c>
      <c r="D83" s="360" t="s">
        <v>48</v>
      </c>
      <c r="E83" s="360">
        <f>'CLASS 1 LINE HAUL COMPILE EMISS'!E23</f>
        <v>289405.23921688902</v>
      </c>
      <c r="F83" s="360">
        <f>'CLASS 1 LINE HAUL COMPILE EMISS'!K23</f>
        <v>1.6206080027742131</v>
      </c>
      <c r="G83" s="360">
        <f>'CLASS 1 LINE HAUL COMPILE EMISS'!F23</f>
        <v>38.141399792778458</v>
      </c>
      <c r="H83" s="360">
        <f>'CLASS 1 LINE HAUL COMPILE EMISS'!G23</f>
        <v>8.9076897200257346</v>
      </c>
      <c r="I83" s="360">
        <f>'CLASS 1 LINE HAUL COMPILE EMISS'!H23</f>
        <v>0.97026367893910137</v>
      </c>
      <c r="J83" s="360">
        <f>'CLASS 1 LINE HAUL COMPILE EMISS'!I23</f>
        <v>0.94115576857092809</v>
      </c>
      <c r="K83" s="360">
        <f>'CLASS 1 LINE HAUL COMPILE EMISS'!J23</f>
        <v>0.48282517608637743</v>
      </c>
      <c r="L83" s="360">
        <f>'CLASS 1 LINE HAUL COMPILE EMISS'!L23</f>
        <v>2.786997799334226E-2</v>
      </c>
      <c r="M83" s="360">
        <f>'CLASS 1 LINE HAUL COMPILE EMISS'!M23</f>
        <v>3418.3393130071718</v>
      </c>
      <c r="N83">
        <f t="shared" si="16"/>
        <v>4.4400219254088031E-3</v>
      </c>
      <c r="O83">
        <f t="shared" si="17"/>
        <v>0.10449698573363961</v>
      </c>
      <c r="P83">
        <f t="shared" si="18"/>
        <v>2.4404629369933518E-2</v>
      </c>
      <c r="Q83">
        <f t="shared" si="19"/>
        <v>2.6582566546276749E-3</v>
      </c>
      <c r="R83">
        <f t="shared" si="20"/>
        <v>2.5785089549888443E-3</v>
      </c>
      <c r="S83">
        <f t="shared" si="21"/>
        <v>1.3228087016065135E-3</v>
      </c>
      <c r="T83">
        <f t="shared" si="22"/>
        <v>7.6356104091348658E-5</v>
      </c>
      <c r="U83">
        <f t="shared" si="23"/>
        <v>9.3653131863210177</v>
      </c>
    </row>
    <row r="84" spans="1:30" x14ac:dyDescent="0.25">
      <c r="A84" s="360">
        <v>2285002007</v>
      </c>
      <c r="B84" s="360" t="s">
        <v>74</v>
      </c>
      <c r="C84" s="360" t="s">
        <v>117</v>
      </c>
      <c r="D84" s="360" t="s">
        <v>48</v>
      </c>
      <c r="E84" s="110">
        <f>'LINE HAUL CLASS 23 TOTAL BY CTY'!D23</f>
        <v>166546.11908308274</v>
      </c>
      <c r="F84" s="110">
        <f>'LINE HAUL CLASS 23 TOTAL BY CTY'!J23</f>
        <v>2.3721062470143233</v>
      </c>
      <c r="G84" s="110">
        <f>'LINE HAUL CLASS 23 TOTAL BY CTY'!E23</f>
        <v>45.631868291847837</v>
      </c>
      <c r="H84" s="110">
        <f>'LINE HAUL CLASS 23 TOTAL BY CTY'!F23</f>
        <v>4.48540085960712</v>
      </c>
      <c r="I84" s="110">
        <f>'LINE HAUL CLASS 23 TOTAL BY CTY'!G23</f>
        <v>1.0397134547509639</v>
      </c>
      <c r="J84" s="110">
        <f>'LINE HAUL CLASS 23 TOTAL BY CTY'!H23</f>
        <v>1.008522051108435</v>
      </c>
      <c r="K84" s="110">
        <f>'LINE HAUL CLASS 23 TOTAL BY CTY'!I23</f>
        <v>0.24312302380594589</v>
      </c>
      <c r="L84" s="110">
        <f>'LINE HAUL CLASS 23 TOTAL BY CTY'!K23</f>
        <v>1.6038537126287108E-2</v>
      </c>
      <c r="M84" s="110">
        <f>'LINE HAUL CLASS 23 TOTAL BY CTY'!L23</f>
        <v>1967.1763642945546</v>
      </c>
      <c r="N84">
        <f t="shared" si="16"/>
        <v>6.4989212246967763E-3</v>
      </c>
      <c r="O84">
        <f t="shared" si="17"/>
        <v>0.12501881723793928</v>
      </c>
      <c r="P84">
        <f t="shared" si="18"/>
        <v>1.228876947837567E-2</v>
      </c>
      <c r="Q84">
        <f t="shared" si="19"/>
        <v>2.8485300130163395E-3</v>
      </c>
      <c r="R84">
        <f t="shared" si="20"/>
        <v>2.7630741126258491E-3</v>
      </c>
      <c r="S84">
        <f t="shared" si="21"/>
        <v>6.6609047618067371E-4</v>
      </c>
      <c r="T84">
        <f t="shared" si="22"/>
        <v>4.3941197606266052E-5</v>
      </c>
      <c r="U84">
        <f t="shared" si="23"/>
        <v>5.3895242857385055</v>
      </c>
    </row>
    <row r="85" spans="1:30" x14ac:dyDescent="0.25">
      <c r="A85" s="360">
        <v>2285002009</v>
      </c>
      <c r="B85" s="360" t="s">
        <v>76</v>
      </c>
      <c r="C85" s="360" t="s">
        <v>117</v>
      </c>
      <c r="D85" s="360" t="s">
        <v>48</v>
      </c>
      <c r="E85" s="110">
        <f>'NJT COMMUTER EMIS CTY'!E23</f>
        <v>1448566.7864631081</v>
      </c>
      <c r="F85" s="110">
        <f>'NJT COMMUTER EMIS CTY'!K23</f>
        <v>8.1116669934772894</v>
      </c>
      <c r="G85" s="110">
        <f>'NJT COMMUTER EMIS CTY'!F23</f>
        <v>187.56073811252662</v>
      </c>
      <c r="H85" s="110">
        <f>'NJT COMMUTER EMIS CTY'!G23</f>
        <v>44.585866888463478</v>
      </c>
      <c r="I85" s="110">
        <f>'NJT COMMUTER EMIS CTY'!H23</f>
        <v>4.6890184528131655</v>
      </c>
      <c r="J85" s="110">
        <f>'NJT COMMUTER EMIS CTY'!I23</f>
        <v>4.5483478992287694</v>
      </c>
      <c r="K85" s="110">
        <f>'NJT COMMUTER EMIS CTY'!J23</f>
        <v>2.4166961028054272</v>
      </c>
      <c r="L85" s="110">
        <f>'NJT COMMUTER EMIS CTY'!L23</f>
        <v>0.13949825016940245</v>
      </c>
      <c r="M85" s="110">
        <f>'NJT COMMUTER EMIS CTY'!M23</f>
        <v>17109.893404425755</v>
      </c>
      <c r="N85" s="6">
        <f t="shared" si="16"/>
        <v>2.2223745187609011E-2</v>
      </c>
      <c r="O85" s="6">
        <f t="shared" si="17"/>
        <v>0.51386503592473043</v>
      </c>
      <c r="P85" s="6">
        <f t="shared" si="18"/>
        <v>0.1221530599683931</v>
      </c>
      <c r="Q85" s="6">
        <f t="shared" si="19"/>
        <v>1.2846625898118262E-2</v>
      </c>
      <c r="R85" s="6">
        <f t="shared" si="20"/>
        <v>1.2461227121174711E-2</v>
      </c>
      <c r="S85" s="6">
        <f t="shared" si="21"/>
        <v>6.6210852131655543E-3</v>
      </c>
      <c r="T85" s="6">
        <f t="shared" si="22"/>
        <v>3.8218698676548618E-4</v>
      </c>
      <c r="U85" s="6">
        <f t="shared" si="23"/>
        <v>46.876420286097961</v>
      </c>
    </row>
    <row r="86" spans="1:30" x14ac:dyDescent="0.25">
      <c r="A86" s="18">
        <v>2285002010</v>
      </c>
      <c r="B86" s="18" t="s">
        <v>78</v>
      </c>
      <c r="C86" s="360" t="s">
        <v>117</v>
      </c>
      <c r="D86" s="360" t="s">
        <v>48</v>
      </c>
      <c r="E86" s="304">
        <f>'2017 YARD EMIS CTY COMPILE 2 '!D23</f>
        <v>214207.49729596908</v>
      </c>
      <c r="F86" s="304">
        <f>'2017 YARD EMIS CTY COMPILE 2 '!J23</f>
        <v>4.8809075162351192</v>
      </c>
      <c r="G86" s="304">
        <f>'2017 YARD EMIS CTY COMPILE 2 '!E23</f>
        <v>52.142409969714883</v>
      </c>
      <c r="H86" s="304">
        <f>'2017 YARD EMIS CTY COMPILE 2 '!F23</f>
        <v>8.6939796950620636</v>
      </c>
      <c r="I86" s="304">
        <f>'2017 YARD EMIS CTY COMPILE 2 '!G23</f>
        <v>2.0882913037177406</v>
      </c>
      <c r="J86" s="304">
        <f>'2017 YARD EMIS CTY COMPILE 2 '!H23</f>
        <v>1.9329332420185328</v>
      </c>
      <c r="K86" s="304">
        <f>'2017 YARD EMIS CTY COMPILE 2 '!I23</f>
        <v>0.29347362299453961</v>
      </c>
      <c r="L86" s="304">
        <f>'2017 YARD EMIS CTY COMPILE 2 '!K23</f>
        <v>4.3335394103231999E-3</v>
      </c>
      <c r="M86" s="304">
        <f>'2017 YARD EMIS CTY COMPILE 2 '!L23</f>
        <v>20777.668435724343</v>
      </c>
      <c r="N86" s="6">
        <f t="shared" si="16"/>
        <v>1.3372349359548272E-2</v>
      </c>
      <c r="O86" s="6">
        <f t="shared" si="17"/>
        <v>0.14285591772524625</v>
      </c>
      <c r="P86" s="6">
        <f t="shared" si="18"/>
        <v>2.3819122452224832E-2</v>
      </c>
      <c r="Q86" s="6">
        <f t="shared" si="19"/>
        <v>5.7213460375828513E-3</v>
      </c>
      <c r="R86" s="6">
        <f t="shared" si="20"/>
        <v>5.2957075123795418E-3</v>
      </c>
      <c r="S86" s="6">
        <f t="shared" si="21"/>
        <v>8.0403732327271129E-4</v>
      </c>
      <c r="T86" s="6">
        <f t="shared" si="22"/>
        <v>1.1872710713214247E-5</v>
      </c>
      <c r="U86" s="6">
        <f t="shared" si="23"/>
        <v>56.925119001984498</v>
      </c>
    </row>
    <row r="87" spans="1:30" x14ac:dyDescent="0.25">
      <c r="A87" s="360">
        <v>2285002006</v>
      </c>
      <c r="B87" s="360" t="s">
        <v>71</v>
      </c>
      <c r="C87" s="360" t="s">
        <v>133</v>
      </c>
      <c r="D87" s="360" t="s">
        <v>25</v>
      </c>
      <c r="E87" s="360">
        <f>'CLASS 1 LINE HAUL COMPILE EMISS'!E24</f>
        <v>182087.03676962649</v>
      </c>
      <c r="F87" s="360">
        <f>'CLASS 1 LINE HAUL COMPILE EMISS'!K24</f>
        <v>1.0196488141983793</v>
      </c>
      <c r="G87" s="360">
        <f>'CLASS 1 LINE HAUL COMPILE EMISS'!F24</f>
        <v>23.997680502625048</v>
      </c>
      <c r="H87" s="360">
        <f>'CLASS 1 LINE HAUL COMPILE EMISS'!G24</f>
        <v>5.6045109272095575</v>
      </c>
      <c r="I87" s="360">
        <f>'CLASS 1 LINE HAUL COMPILE EMISS'!H24</f>
        <v>0.61046731103168994</v>
      </c>
      <c r="J87" s="360">
        <f>'CLASS 1 LINE HAUL COMPILE EMISS'!I24</f>
        <v>0.59215329170073905</v>
      </c>
      <c r="K87" s="360">
        <f>'CLASS 1 LINE HAUL COMPILE EMISS'!J24</f>
        <v>0.30378235663333841</v>
      </c>
      <c r="L87" s="360">
        <f>'CLASS 1 LINE HAUL COMPILE EMISS'!L24</f>
        <v>1.7535141110003243E-2</v>
      </c>
      <c r="M87" s="360">
        <f>'CLASS 1 LINE HAUL COMPILE EMISS'!M24</f>
        <v>2150.7394885554395</v>
      </c>
      <c r="N87">
        <f t="shared" si="16"/>
        <v>2.7935583950640529E-3</v>
      </c>
      <c r="O87">
        <f t="shared" si="17"/>
        <v>6.5747069870205607E-2</v>
      </c>
      <c r="P87">
        <f t="shared" si="18"/>
        <v>1.5354824458108377E-2</v>
      </c>
      <c r="Q87">
        <f t="shared" si="19"/>
        <v>1.6725131809087396E-3</v>
      </c>
      <c r="R87">
        <f t="shared" si="20"/>
        <v>1.6223377854814769E-3</v>
      </c>
      <c r="S87">
        <f t="shared" si="21"/>
        <v>8.3228042913243404E-4</v>
      </c>
      <c r="T87">
        <f t="shared" si="22"/>
        <v>4.8041482493159571E-5</v>
      </c>
      <c r="U87">
        <f t="shared" si="23"/>
        <v>5.89243695494641</v>
      </c>
    </row>
    <row r="88" spans="1:30" x14ac:dyDescent="0.25">
      <c r="A88" s="360">
        <v>2285002007</v>
      </c>
      <c r="B88" s="360" t="s">
        <v>74</v>
      </c>
      <c r="C88" s="360" t="s">
        <v>133</v>
      </c>
      <c r="D88" s="360" t="s">
        <v>25</v>
      </c>
      <c r="E88" s="110">
        <f>'LINE HAUL CLASS 23 TOTAL BY CTY'!D24</f>
        <v>5556</v>
      </c>
      <c r="F88" s="110">
        <f>'LINE HAUL CLASS 23 TOTAL BY CTY'!J24</f>
        <v>7.9133770159104874E-2</v>
      </c>
      <c r="G88" s="110">
        <f>'LINE HAUL CLASS 23 TOTAL BY CTY'!E24</f>
        <v>1.5222850080525201</v>
      </c>
      <c r="H88" s="110">
        <f>'LINE HAUL CLASS 23 TOTAL BY CTY'!F24</f>
        <v>0.14963355083371946</v>
      </c>
      <c r="I88" s="110">
        <f>'LINE HAUL CLASS 23 TOTAL BY CTY'!G24</f>
        <v>3.4684974867019457E-2</v>
      </c>
      <c r="J88" s="110">
        <f>'LINE HAUL CLASS 23 TOTAL BY CTY'!H24</f>
        <v>3.3644425621008868E-2</v>
      </c>
      <c r="K88" s="110">
        <f>'LINE HAUL CLASS 23 TOTAL BY CTY'!I24</f>
        <v>8.1106154121308779E-3</v>
      </c>
      <c r="L88" s="110">
        <f>'LINE HAUL CLASS 23 TOTAL BY CTY'!K24</f>
        <v>5.3504766586123776E-4</v>
      </c>
      <c r="M88" s="110">
        <f>'LINE HAUL CLASS 23 TOTAL BY CTY'!L24</f>
        <v>65.625257077099576</v>
      </c>
      <c r="N88">
        <f t="shared" si="16"/>
        <v>2.1680484975097227E-4</v>
      </c>
      <c r="O88">
        <f t="shared" si="17"/>
        <v>4.1706438576781376E-3</v>
      </c>
      <c r="P88">
        <f t="shared" si="18"/>
        <v>4.0995493379101221E-4</v>
      </c>
      <c r="Q88">
        <f t="shared" si="19"/>
        <v>9.5027328402793034E-5</v>
      </c>
      <c r="R88">
        <f t="shared" si="20"/>
        <v>9.2176508550709227E-5</v>
      </c>
      <c r="S88">
        <f t="shared" si="21"/>
        <v>2.2220864142824321E-5</v>
      </c>
      <c r="T88">
        <f t="shared" si="22"/>
        <v>1.4658840160581857E-6</v>
      </c>
      <c r="U88">
        <f t="shared" si="23"/>
        <v>0.17979522486876595</v>
      </c>
    </row>
    <row r="89" spans="1:30" x14ac:dyDescent="0.25">
      <c r="A89" s="360">
        <v>2285002009</v>
      </c>
      <c r="B89" s="360" t="s">
        <v>76</v>
      </c>
      <c r="C89" s="360" t="s">
        <v>133</v>
      </c>
      <c r="D89" s="360" t="s">
        <v>25</v>
      </c>
      <c r="E89" s="110">
        <f>'NJT COMMUTER EMIS CTY'!E24</f>
        <v>64425.803411954592</v>
      </c>
      <c r="F89" s="110">
        <f>'NJT COMMUTER EMIS CTY'!K24</f>
        <v>0.36077084463672948</v>
      </c>
      <c r="G89" s="110">
        <f>'NJT COMMUTER EMIS CTY'!F24</f>
        <v>8.3418668399425471</v>
      </c>
      <c r="H89" s="110">
        <f>'NJT COMMUTER EMIS CTY'!G24</f>
        <v>1.9829809173806283</v>
      </c>
      <c r="I89" s="110">
        <f>'NJT COMMUTER EMIS CTY'!H24</f>
        <v>0.20854667099856367</v>
      </c>
      <c r="J89" s="110">
        <f>'NJT COMMUTER EMIS CTY'!I24</f>
        <v>0.20229027086860674</v>
      </c>
      <c r="K89" s="110">
        <f>'NJT COMMUTER EMIS CTY'!J24</f>
        <v>0.10748388647370422</v>
      </c>
      <c r="L89" s="110">
        <f>'NJT COMMUTER EMIS CTY'!L24</f>
        <v>6.2042612917208913E-3</v>
      </c>
      <c r="M89" s="110">
        <f>'NJT COMMUTER EMIS CTY'!M24</f>
        <v>760.97190628297335</v>
      </c>
      <c r="N89" s="6">
        <f t="shared" si="16"/>
        <v>9.8841327297734109E-4</v>
      </c>
      <c r="O89" s="6">
        <f t="shared" si="17"/>
        <v>2.285442969847273E-2</v>
      </c>
      <c r="P89" s="6">
        <f t="shared" si="18"/>
        <v>5.4328244311798038E-3</v>
      </c>
      <c r="Q89" s="6">
        <f t="shared" si="19"/>
        <v>5.7136074246181829E-4</v>
      </c>
      <c r="R89" s="6">
        <f t="shared" si="20"/>
        <v>5.542199201879637E-4</v>
      </c>
      <c r="S89" s="6">
        <f t="shared" si="21"/>
        <v>2.9447640129781979E-4</v>
      </c>
      <c r="T89" s="6">
        <f t="shared" si="22"/>
        <v>1.6997976141701073E-5</v>
      </c>
      <c r="U89" s="6">
        <f t="shared" si="23"/>
        <v>2.0848545377615708</v>
      </c>
    </row>
    <row r="90" spans="1:30" ht="15.75" customHeight="1" x14ac:dyDescent="0.25">
      <c r="A90" s="18">
        <v>2285002010</v>
      </c>
      <c r="B90" s="18" t="s">
        <v>78</v>
      </c>
      <c r="C90" s="360" t="s">
        <v>133</v>
      </c>
      <c r="D90" s="360" t="s">
        <v>25</v>
      </c>
      <c r="E90" s="304">
        <f>'2017 YARD EMIS CTY COMPILE 2 '!D24</f>
        <v>0</v>
      </c>
      <c r="F90" s="304">
        <f>'2017 YARD EMIS CTY COMPILE 2 '!J24</f>
        <v>0</v>
      </c>
      <c r="G90" s="304">
        <f>'2017 YARD EMIS CTY COMPILE 2 '!E24</f>
        <v>0</v>
      </c>
      <c r="H90" s="304">
        <f>'2017 YARD EMIS CTY COMPILE 2 '!F24</f>
        <v>0</v>
      </c>
      <c r="I90" s="304">
        <f>'2017 YARD EMIS CTY COMPILE 2 '!G24</f>
        <v>0</v>
      </c>
      <c r="J90" s="304">
        <f>'2017 YARD EMIS CTY COMPILE 2 '!H24</f>
        <v>0</v>
      </c>
      <c r="K90" s="304">
        <f>'2017 YARD EMIS CTY COMPILE 2 '!I24</f>
        <v>0</v>
      </c>
      <c r="L90" s="304">
        <f>'2017 YARD EMIS CTY COMPILE 2 '!K24</f>
        <v>0</v>
      </c>
      <c r="M90" s="304">
        <f>'2017 YARD EMIS CTY COMPILE 2 '!L24</f>
        <v>0</v>
      </c>
      <c r="N90" s="6">
        <f t="shared" si="16"/>
        <v>0</v>
      </c>
      <c r="O90" s="6">
        <f t="shared" si="17"/>
        <v>0</v>
      </c>
      <c r="P90" s="6">
        <f t="shared" si="18"/>
        <v>0</v>
      </c>
      <c r="Q90" s="6">
        <f t="shared" si="19"/>
        <v>0</v>
      </c>
      <c r="R90" s="6">
        <f t="shared" si="20"/>
        <v>0</v>
      </c>
      <c r="S90" s="6">
        <f t="shared" si="21"/>
        <v>0</v>
      </c>
      <c r="T90" s="6">
        <f t="shared" si="22"/>
        <v>0</v>
      </c>
      <c r="U90" s="6">
        <f t="shared" si="23"/>
        <v>0</v>
      </c>
      <c r="V90">
        <f>SUM(E70:E90)</f>
        <v>4536708.1577297719</v>
      </c>
      <c r="W90">
        <f>SUM(G70:G90)</f>
        <v>654.2781887108307</v>
      </c>
      <c r="X90">
        <f>SUM(H70:H90)</f>
        <v>140.70398866913533</v>
      </c>
      <c r="Y90">
        <f>SUM(I70:I90)</f>
        <v>17.069603005922815</v>
      </c>
      <c r="Z90">
        <f>SUM(J70:J90)</f>
        <v>16.46480559315745</v>
      </c>
      <c r="AA90">
        <f>SUM(K70:K90)</f>
        <v>7.448836891292915</v>
      </c>
      <c r="AB90">
        <f>SUM(F70:F90)</f>
        <v>31.407784493124208</v>
      </c>
      <c r="AC90">
        <f>SUM(L70:L90)</f>
        <v>0.42059413859116629</v>
      </c>
      <c r="AD90">
        <f>SUM(M70:M90)</f>
        <v>71833.32305359708</v>
      </c>
    </row>
    <row r="91" spans="1:30" ht="18" customHeight="1" x14ac:dyDescent="0.25">
      <c r="E91" s="1">
        <f t="shared" ref="E91:U91" si="24">SUM(E7:E90)</f>
        <v>26615327.25952452</v>
      </c>
      <c r="F91" s="1">
        <f t="shared" si="24"/>
        <v>187.88097063778307</v>
      </c>
      <c r="G91" s="1">
        <f t="shared" si="24"/>
        <v>3960.5525449061624</v>
      </c>
      <c r="H91" s="1">
        <f t="shared" si="24"/>
        <v>811.7242132172853</v>
      </c>
      <c r="I91" s="1">
        <f t="shared" si="24"/>
        <v>100.42097528712651</v>
      </c>
      <c r="J91" s="1">
        <f t="shared" si="24"/>
        <v>97.058622722975073</v>
      </c>
      <c r="K91" s="1">
        <f t="shared" si="24"/>
        <v>42.780817775451283</v>
      </c>
      <c r="L91" s="1">
        <f t="shared" si="24"/>
        <v>2.4935709981232033</v>
      </c>
      <c r="M91" s="1">
        <f t="shared" si="24"/>
        <v>331961.32173635066</v>
      </c>
      <c r="N91" s="512">
        <f t="shared" si="24"/>
        <v>0.51474238530899441</v>
      </c>
      <c r="O91" s="7">
        <f t="shared" si="24"/>
        <v>10.850828890153872</v>
      </c>
      <c r="P91" s="7">
        <f t="shared" si="24"/>
        <v>2.2239019540199609</v>
      </c>
      <c r="Q91" s="7">
        <f t="shared" si="24"/>
        <v>0.27512595969075754</v>
      </c>
      <c r="R91" s="7">
        <f t="shared" si="24"/>
        <v>0.26591403485746595</v>
      </c>
      <c r="S91" s="7">
        <f t="shared" si="24"/>
        <v>0.11720771993274327</v>
      </c>
      <c r="T91" s="7">
        <f t="shared" si="24"/>
        <v>6.8317013647211091E-3</v>
      </c>
      <c r="U91" s="7">
        <f t="shared" si="24"/>
        <v>909.48307325027577</v>
      </c>
      <c r="V91">
        <f>'CLASS 1 LINE HAUL COMPILE EMISS'!E25</f>
        <v>5313400.0000000009</v>
      </c>
      <c r="W91">
        <f>'CLASS 1 LINE HAUL COMPILE EMISS'!F25</f>
        <v>700.26553149948029</v>
      </c>
      <c r="X91">
        <f>'CLASS 1 LINE HAUL COMPILE EMISS'!G25</f>
        <v>163.54271500563306</v>
      </c>
      <c r="Y91">
        <f>'CLASS 1 LINE HAUL COMPILE EMISS'!H25</f>
        <v>17.81377229253064</v>
      </c>
      <c r="Z91">
        <f>'CLASS 1 LINE HAUL COMPILE EMISS'!I25</f>
        <v>17.279359123754723</v>
      </c>
      <c r="AA91">
        <f>'CLASS 1 LINE HAUL COMPILE EMISS'!J25</f>
        <v>8.8645364457093905</v>
      </c>
      <c r="AB91">
        <f>'CLASS 1 LINE HAUL COMPILE EMISS'!K25</f>
        <v>29.753913872606869</v>
      </c>
      <c r="AC91">
        <f>'CLASS 1 LINE HAUL COMPILE EMISS'!L25</f>
        <v>0.51168507339580627</v>
      </c>
      <c r="AD91">
        <f>'CLASS 1 LINE HAUL COMPILE EMISS'!M25</f>
        <v>62759.762590615726</v>
      </c>
    </row>
    <row r="92" spans="1:30" x14ac:dyDescent="0.25">
      <c r="I92" s="1">
        <f>'TOT RAIL SCC cty 2 '!I91</f>
        <v>100.42097528712652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workbookViewId="0">
      <selection activeCell="B14" sqref="B14"/>
    </sheetView>
  </sheetViews>
  <sheetFormatPr defaultRowHeight="15" x14ac:dyDescent="0.25"/>
  <cols>
    <col min="1" max="1" width="13.42578125" customWidth="1"/>
    <col min="2" max="2" width="66.5703125" customWidth="1"/>
    <col min="5" max="6" width="11.85546875" customWidth="1"/>
    <col min="15" max="15" width="14.42578125" customWidth="1"/>
    <col min="16" max="16" width="12.42578125" customWidth="1"/>
    <col min="22" max="22" width="14.42578125" customWidth="1"/>
  </cols>
  <sheetData>
    <row r="1" spans="1:26" x14ac:dyDescent="0.25">
      <c r="A1" s="566" t="s">
        <v>1031</v>
      </c>
    </row>
    <row r="2" spans="1:26" x14ac:dyDescent="0.25">
      <c r="A2" s="139" t="s">
        <v>1027</v>
      </c>
    </row>
    <row r="3" spans="1:26" x14ac:dyDescent="0.25">
      <c r="A3" s="139" t="s">
        <v>1023</v>
      </c>
    </row>
    <row r="4" spans="1:26" x14ac:dyDescent="0.25">
      <c r="A4" s="568" t="s">
        <v>1030</v>
      </c>
      <c r="B4" s="31"/>
    </row>
    <row r="5" spans="1:26" ht="15.75" thickBot="1" x14ac:dyDescent="0.3">
      <c r="A5" s="569" t="s">
        <v>1059</v>
      </c>
      <c r="B5" s="31"/>
    </row>
    <row r="6" spans="1:26" ht="30.75" thickBot="1" x14ac:dyDescent="0.3">
      <c r="A6" s="457" t="s">
        <v>80</v>
      </c>
      <c r="B6" s="457" t="s">
        <v>118</v>
      </c>
      <c r="C6" s="183" t="s">
        <v>68</v>
      </c>
      <c r="D6" s="458" t="s">
        <v>4</v>
      </c>
      <c r="E6" s="459" t="s">
        <v>823</v>
      </c>
      <c r="F6" s="477" t="s">
        <v>969</v>
      </c>
      <c r="G6" s="477" t="s">
        <v>979</v>
      </c>
      <c r="H6" s="477" t="s">
        <v>965</v>
      </c>
      <c r="I6" s="477" t="s">
        <v>966</v>
      </c>
      <c r="J6" s="477" t="s">
        <v>967</v>
      </c>
      <c r="K6" s="477" t="s">
        <v>968</v>
      </c>
      <c r="L6" s="477" t="s">
        <v>970</v>
      </c>
      <c r="M6" s="485" t="s">
        <v>971</v>
      </c>
      <c r="N6" s="477" t="s">
        <v>976</v>
      </c>
      <c r="O6" s="507" t="s">
        <v>980</v>
      </c>
      <c r="P6" s="477" t="s">
        <v>972</v>
      </c>
      <c r="Q6" s="477" t="s">
        <v>973</v>
      </c>
      <c r="R6" s="477" t="s">
        <v>974</v>
      </c>
      <c r="S6" s="477" t="s">
        <v>975</v>
      </c>
      <c r="T6" s="477" t="s">
        <v>977</v>
      </c>
      <c r="U6" s="485" t="s">
        <v>978</v>
      </c>
    </row>
    <row r="7" spans="1:26" x14ac:dyDescent="0.25">
      <c r="A7" s="460">
        <v>2285002010</v>
      </c>
      <c r="B7" s="461" t="s">
        <v>78</v>
      </c>
      <c r="C7" s="448" t="s">
        <v>120</v>
      </c>
      <c r="D7" s="448" t="s">
        <v>37</v>
      </c>
      <c r="E7" s="462">
        <f>'2017 YARD EMIS CTY COMPILE 2 '!D4</f>
        <v>4719</v>
      </c>
      <c r="F7" s="462">
        <f>'2017 YARD EMIS CTY COMPILE 2 '!J4</f>
        <v>2.6425399850346636E-2</v>
      </c>
      <c r="G7" s="462">
        <f>'2017 YARD EMIS CTY COMPILE 2 '!E4</f>
        <v>0.61101713184665418</v>
      </c>
      <c r="H7" s="462">
        <f>'2017 YARD EMIS CTY COMPILE 2 '!F4</f>
        <v>0.14524750105611894</v>
      </c>
      <c r="I7" s="462">
        <f>'2017 YARD EMIS CTY COMPILE 2 '!G4</f>
        <v>1.5275428296166354E-2</v>
      </c>
      <c r="J7" s="462">
        <f>'2017 YARD EMIS CTY COMPILE 2 '!H4</f>
        <v>1.4817165447281361E-2</v>
      </c>
      <c r="K7" s="462">
        <f>'2017 YARD EMIS CTY COMPILE 2 '!I4</f>
        <v>7.8728775336512624E-3</v>
      </c>
      <c r="L7" s="462">
        <f>'2017 YARD EMIS CTY COMPILE 2 '!K4</f>
        <v>4.5444383282922622E-4</v>
      </c>
      <c r="M7" s="462">
        <f>'2017 YARD EMIS CTY COMPILE 2 '!L4</f>
        <v>55.73894675068987</v>
      </c>
      <c r="N7" s="448">
        <f t="shared" ref="N7:N38" si="0">F7/365</f>
        <v>7.2398355754374344E-5</v>
      </c>
      <c r="O7" s="448">
        <f t="shared" ref="O7:O38" si="1">G7/365</f>
        <v>1.6740195393059019E-3</v>
      </c>
      <c r="P7" s="448">
        <f t="shared" ref="P7:P38" si="2">H7/365</f>
        <v>3.9793835905786013E-4</v>
      </c>
      <c r="Q7" s="448">
        <f t="shared" ref="Q7:Q38" si="3">I7/365</f>
        <v>4.1850488482647548E-5</v>
      </c>
      <c r="R7" s="448">
        <f t="shared" ref="R7:R38" si="4">J7/365</f>
        <v>4.0594973828168114E-5</v>
      </c>
      <c r="S7" s="448">
        <f t="shared" ref="S7:S38" si="5">K7/365</f>
        <v>2.1569527489455513E-5</v>
      </c>
      <c r="T7" s="448">
        <f t="shared" ref="T7:T38" si="6">L7/365</f>
        <v>1.2450515967924007E-6</v>
      </c>
      <c r="U7" s="450">
        <f t="shared" ref="U7:U38" si="7">M7/365</f>
        <v>0.15270944315257498</v>
      </c>
    </row>
    <row r="8" spans="1:26" x14ac:dyDescent="0.25">
      <c r="A8" s="451">
        <v>2285002010</v>
      </c>
      <c r="B8" s="18" t="s">
        <v>78</v>
      </c>
      <c r="C8" s="360" t="s">
        <v>113</v>
      </c>
      <c r="D8" s="360" t="s">
        <v>65</v>
      </c>
      <c r="E8" s="304">
        <f>'2017 YARD EMIS CTY COMPILE 2 '!D5</f>
        <v>9187.5</v>
      </c>
      <c r="F8" s="304">
        <f>'2017 YARD EMIS CTY COMPILE 2 '!J5</f>
        <v>0.13085700384031249</v>
      </c>
      <c r="G8" s="304">
        <f>'2017 YARD EMIS CTY COMPILE 2 '!E5</f>
        <v>2.5172774498708654</v>
      </c>
      <c r="H8" s="304">
        <f>'2017 YARD EMIS CTY COMPILE 2 '!F5</f>
        <v>0.24743668975608307</v>
      </c>
      <c r="I8" s="304">
        <f>'2017 YARD EMIS CTY COMPILE 2 '!G5</f>
        <v>5.7355688731234929E-2</v>
      </c>
      <c r="J8" s="304">
        <f>'2017 YARD EMIS CTY COMPILE 2 '!H5</f>
        <v>5.5635018069297888E-2</v>
      </c>
      <c r="K8" s="304">
        <f>'2017 YARD EMIS CTY COMPILE 2 '!I5</f>
        <v>1.34118572892283E-2</v>
      </c>
      <c r="L8" s="304">
        <f>'2017 YARD EMIS CTY COMPILE 2 '!K5</f>
        <v>8.8476429627431998E-4</v>
      </c>
      <c r="M8" s="304">
        <f>'2017 YARD EMIS CTY COMPILE 2 '!L5</f>
        <v>108.51908736426429</v>
      </c>
      <c r="N8" s="360">
        <f t="shared" si="0"/>
        <v>3.5851233928852735E-4</v>
      </c>
      <c r="O8" s="360">
        <f t="shared" si="1"/>
        <v>6.8966505475914121E-3</v>
      </c>
      <c r="P8" s="360">
        <f t="shared" si="2"/>
        <v>6.7790873905776189E-4</v>
      </c>
      <c r="Q8" s="360">
        <f t="shared" si="3"/>
        <v>1.5713887323626007E-4</v>
      </c>
      <c r="R8" s="360">
        <f t="shared" si="4"/>
        <v>1.5242470703917229E-4</v>
      </c>
      <c r="S8" s="360">
        <f t="shared" si="5"/>
        <v>3.6744814491036437E-5</v>
      </c>
      <c r="T8" s="360">
        <f t="shared" si="6"/>
        <v>2.4240117706145755E-6</v>
      </c>
      <c r="U8" s="298">
        <f t="shared" si="7"/>
        <v>0.29731256812127205</v>
      </c>
    </row>
    <row r="9" spans="1:26" x14ac:dyDescent="0.25">
      <c r="A9" s="451">
        <v>2285002010</v>
      </c>
      <c r="B9" s="18" t="s">
        <v>78</v>
      </c>
      <c r="C9" s="360" t="s">
        <v>88</v>
      </c>
      <c r="D9" s="360" t="s">
        <v>21</v>
      </c>
      <c r="E9" s="304">
        <f>'2017 YARD EMIS CTY COMPILE 2 '!D6</f>
        <v>21810.800000000003</v>
      </c>
      <c r="F9" s="304">
        <f>'2017 YARD EMIS CTY COMPILE 2 '!J6</f>
        <v>0.31064989816166394</v>
      </c>
      <c r="G9" s="304">
        <f>'2017 YARD EMIS CTY COMPILE 2 '!E6</f>
        <v>5.9759276194441879</v>
      </c>
      <c r="H9" s="304">
        <f>'2017 YARD EMIS CTY COMPILE 2 '!F6</f>
        <v>0.58740594861844664</v>
      </c>
      <c r="I9" s="304">
        <f>'2017 YARD EMIS CTY COMPILE 2 '!G6</f>
        <v>0.13616037613923473</v>
      </c>
      <c r="J9" s="304">
        <f>'2017 YARD EMIS CTY COMPILE 2 '!H6</f>
        <v>0.13207556485505767</v>
      </c>
      <c r="K9" s="304">
        <f>'2017 YARD EMIS CTY COMPILE 2 '!I6</f>
        <v>3.1839274771581022E-2</v>
      </c>
      <c r="L9" s="304">
        <f>'2017 YARD EMIS CTY COMPILE 2 '!K6</f>
        <v>2.1003991415706057E-3</v>
      </c>
      <c r="M9" s="304">
        <f>'2017 YARD EMIS CTY COMPILE 2 '!L6</f>
        <v>257.62047463232608</v>
      </c>
      <c r="N9" s="360">
        <f t="shared" si="0"/>
        <v>8.5109561140181899E-4</v>
      </c>
      <c r="O9" s="360">
        <f t="shared" si="1"/>
        <v>1.6372404436833392E-2</v>
      </c>
      <c r="P9" s="360">
        <f t="shared" si="2"/>
        <v>1.6093313660779361E-3</v>
      </c>
      <c r="Q9" s="360">
        <f t="shared" si="3"/>
        <v>3.730421264088623E-4</v>
      </c>
      <c r="R9" s="360">
        <f t="shared" si="4"/>
        <v>3.6185086261659636E-4</v>
      </c>
      <c r="S9" s="360">
        <f t="shared" si="5"/>
        <v>8.7230889785153479E-5</v>
      </c>
      <c r="T9" s="360">
        <f t="shared" si="6"/>
        <v>5.7545181960838512E-6</v>
      </c>
      <c r="U9" s="298">
        <f t="shared" si="7"/>
        <v>0.70580951954061943</v>
      </c>
    </row>
    <row r="10" spans="1:26" x14ac:dyDescent="0.25">
      <c r="A10" s="451">
        <v>2285002010</v>
      </c>
      <c r="B10" s="18" t="s">
        <v>78</v>
      </c>
      <c r="C10" s="360" t="s">
        <v>87</v>
      </c>
      <c r="D10" s="360" t="s">
        <v>38</v>
      </c>
      <c r="E10" s="304">
        <f>'2017 YARD EMIS CTY COMPILE 2 '!D7</f>
        <v>369798.62068965519</v>
      </c>
      <c r="F10" s="304">
        <f>'2017 YARD EMIS CTY COMPILE 2 '!J7</f>
        <v>5.2670192683241854</v>
      </c>
      <c r="G10" s="304">
        <f>'2017 YARD EMIS CTY COMPILE 2 '!E7</f>
        <v>101.32089565773265</v>
      </c>
      <c r="H10" s="304">
        <f>'2017 YARD EMIS CTY COMPILE 2 '!F7</f>
        <v>9.9593737773946831</v>
      </c>
      <c r="I10" s="304">
        <f>'2017 YARD EMIS CTY COMPILE 2 '!G7</f>
        <v>2.3085773694166942</v>
      </c>
      <c r="J10" s="304">
        <f>'2017 YARD EMIS CTY COMPILE 2 '!H7</f>
        <v>2.2393200483341933</v>
      </c>
      <c r="K10" s="304">
        <f>'2017 YARD EMIS CTY COMPILE 2 '!I7</f>
        <v>0.5398298042387073</v>
      </c>
      <c r="L10" s="304">
        <f>'2017 YARD EMIS CTY COMPILE 2 '!K7</f>
        <v>3.5611931036484024E-2</v>
      </c>
      <c r="M10" s="304">
        <f>'2017 YARD EMIS CTY COMPILE 2 '!L7</f>
        <v>4367.9138858019187</v>
      </c>
      <c r="N10" s="360">
        <f t="shared" si="0"/>
        <v>1.4430189776230645E-2</v>
      </c>
      <c r="O10" s="360">
        <f t="shared" si="1"/>
        <v>0.2775914949526922</v>
      </c>
      <c r="P10" s="360">
        <f t="shared" si="2"/>
        <v>2.728595555450598E-2</v>
      </c>
      <c r="Q10" s="360">
        <f t="shared" si="3"/>
        <v>6.3248695052512171E-3</v>
      </c>
      <c r="R10" s="360">
        <f t="shared" si="4"/>
        <v>6.1351234200936805E-3</v>
      </c>
      <c r="S10" s="360">
        <f t="shared" si="5"/>
        <v>1.4789857650375543E-3</v>
      </c>
      <c r="T10" s="360">
        <f t="shared" si="6"/>
        <v>9.7566934346531576E-5</v>
      </c>
      <c r="U10" s="298">
        <f t="shared" si="7"/>
        <v>11.96688735836142</v>
      </c>
    </row>
    <row r="11" spans="1:26" x14ac:dyDescent="0.25">
      <c r="A11" s="451">
        <v>2285002010</v>
      </c>
      <c r="B11" s="18" t="s">
        <v>78</v>
      </c>
      <c r="C11" s="360" t="s">
        <v>121</v>
      </c>
      <c r="D11" s="360" t="s">
        <v>35</v>
      </c>
      <c r="E11" s="304">
        <f>'2017 YARD EMIS CTY COMPILE 2 '!D8</f>
        <v>0</v>
      </c>
      <c r="F11" s="304">
        <f>'2017 YARD EMIS CTY COMPILE 2 '!J8</f>
        <v>0</v>
      </c>
      <c r="G11" s="304">
        <f>'2017 YARD EMIS CTY COMPILE 2 '!E8</f>
        <v>0</v>
      </c>
      <c r="H11" s="304">
        <f>'2017 YARD EMIS CTY COMPILE 2 '!F8</f>
        <v>0</v>
      </c>
      <c r="I11" s="304">
        <f>'2017 YARD EMIS CTY COMPILE 2 '!G8</f>
        <v>0</v>
      </c>
      <c r="J11" s="304">
        <f>'2017 YARD EMIS CTY COMPILE 2 '!H8</f>
        <v>0</v>
      </c>
      <c r="K11" s="304">
        <f>'2017 YARD EMIS CTY COMPILE 2 '!I8</f>
        <v>0</v>
      </c>
      <c r="L11" s="304">
        <f>'2017 YARD EMIS CTY COMPILE 2 '!K8</f>
        <v>0</v>
      </c>
      <c r="M11" s="304">
        <f>'2017 YARD EMIS CTY COMPILE 2 '!L8</f>
        <v>0</v>
      </c>
      <c r="N11" s="360">
        <f t="shared" si="0"/>
        <v>0</v>
      </c>
      <c r="O11" s="360">
        <f t="shared" si="1"/>
        <v>0</v>
      </c>
      <c r="P11" s="360">
        <f t="shared" si="2"/>
        <v>0</v>
      </c>
      <c r="Q11" s="360">
        <f t="shared" si="3"/>
        <v>0</v>
      </c>
      <c r="R11" s="360">
        <f t="shared" si="4"/>
        <v>0</v>
      </c>
      <c r="S11" s="360">
        <f t="shared" si="5"/>
        <v>0</v>
      </c>
      <c r="T11" s="360">
        <f t="shared" si="6"/>
        <v>0</v>
      </c>
      <c r="U11" s="298">
        <f t="shared" si="7"/>
        <v>0</v>
      </c>
    </row>
    <row r="12" spans="1:26" x14ac:dyDescent="0.25">
      <c r="A12" s="451">
        <v>2285002010</v>
      </c>
      <c r="B12" s="18" t="s">
        <v>78</v>
      </c>
      <c r="C12" s="360" t="s">
        <v>122</v>
      </c>
      <c r="D12" s="360" t="s">
        <v>39</v>
      </c>
      <c r="E12" s="304">
        <f>'2017 YARD EMIS CTY COMPILE 2 '!D9</f>
        <v>33026</v>
      </c>
      <c r="F12" s="304">
        <f>'2017 YARD EMIS CTY COMPILE 2 '!J9</f>
        <v>0.47038730980464316</v>
      </c>
      <c r="G12" s="304">
        <f>'2017 YARD EMIS CTY COMPILE 2 '!E9</f>
        <v>9.0487733398024695</v>
      </c>
      <c r="H12" s="304">
        <f>'2017 YARD EMIS CTY COMPILE 2 '!F9</f>
        <v>0.8894524207765333</v>
      </c>
      <c r="I12" s="304">
        <f>'2017 YARD EMIS CTY COMPILE 2 '!G9</f>
        <v>0.20617458242587916</v>
      </c>
      <c r="J12" s="304">
        <f>'2017 YARD EMIS CTY COMPILE 2 '!H9</f>
        <v>0.1999893449531028</v>
      </c>
      <c r="K12" s="304">
        <f>'2017 YARD EMIS CTY COMPILE 2 '!I9</f>
        <v>4.821115633567933E-2</v>
      </c>
      <c r="L12" s="304">
        <f>'2017 YARD EMIS CTY COMPILE 2 '!K9</f>
        <v>3.1804327236740889E-3</v>
      </c>
      <c r="M12" s="304">
        <f>'2017 YARD EMIS CTY COMPILE 2 '!L9</f>
        <v>390.08994604540874</v>
      </c>
      <c r="N12" s="360">
        <f t="shared" si="0"/>
        <v>1.2887323556291593E-3</v>
      </c>
      <c r="O12" s="360">
        <f t="shared" si="1"/>
        <v>2.4791159835075259E-2</v>
      </c>
      <c r="P12" s="360">
        <f t="shared" si="2"/>
        <v>2.4368559473329681E-3</v>
      </c>
      <c r="Q12" s="360">
        <f t="shared" si="3"/>
        <v>5.6486186965994285E-4</v>
      </c>
      <c r="R12" s="360">
        <f t="shared" si="4"/>
        <v>5.4791601357014465E-4</v>
      </c>
      <c r="S12" s="360">
        <f t="shared" si="5"/>
        <v>1.3208535982377897E-4</v>
      </c>
      <c r="T12" s="360">
        <f t="shared" si="6"/>
        <v>8.7135143114358599E-6</v>
      </c>
      <c r="U12" s="298">
        <f t="shared" si="7"/>
        <v>1.0687395782065994</v>
      </c>
    </row>
    <row r="13" spans="1:26" x14ac:dyDescent="0.25">
      <c r="A13" s="451">
        <v>2285002010</v>
      </c>
      <c r="B13" s="18" t="s">
        <v>78</v>
      </c>
      <c r="C13" s="360" t="s">
        <v>114</v>
      </c>
      <c r="D13" s="360" t="s">
        <v>40</v>
      </c>
      <c r="E13" s="304">
        <f>'2017 YARD EMIS CTY COMPILE 2 '!D10</f>
        <v>1171868.1043215371</v>
      </c>
      <c r="F13" s="304">
        <f>'2017 YARD EMIS CTY COMPILE 2 '!J10</f>
        <v>20.717540259751942</v>
      </c>
      <c r="G13" s="304">
        <f>'2017 YARD EMIS CTY COMPILE 2 '!E10</f>
        <v>287.49459760224931</v>
      </c>
      <c r="H13" s="304">
        <f>'2017 YARD EMIS CTY COMPILE 2 '!F10</f>
        <v>38.270936336446042</v>
      </c>
      <c r="I13" s="304">
        <f>'2017 YARD EMIS CTY COMPILE 2 '!G10</f>
        <v>8.8851503301425119</v>
      </c>
      <c r="J13" s="304">
        <f>'2017 YARD EMIS CTY COMPILE 2 '!H10</f>
        <v>8.3697612306557811</v>
      </c>
      <c r="K13" s="304">
        <f>'2017 YARD EMIS CTY COMPILE 2 '!I10</f>
        <v>0.98140610093988867</v>
      </c>
      <c r="L13" s="304">
        <f>'2017 YARD EMIS CTY COMPILE 2 '!K10</f>
        <v>6.0291570807068838E-2</v>
      </c>
      <c r="M13" s="304">
        <f>'2017 YARD EMIS CTY COMPILE 2 '!L10</f>
        <v>13119.402625770301</v>
      </c>
      <c r="N13" s="360">
        <f t="shared" si="0"/>
        <v>5.6760384273292989E-2</v>
      </c>
      <c r="O13" s="360">
        <f t="shared" si="1"/>
        <v>0.78765643178698441</v>
      </c>
      <c r="P13" s="360">
        <f t="shared" si="2"/>
        <v>0.10485188037382477</v>
      </c>
      <c r="Q13" s="360">
        <f t="shared" si="3"/>
        <v>2.4342877616828799E-2</v>
      </c>
      <c r="R13" s="360">
        <f t="shared" si="4"/>
        <v>2.2930852686728169E-2</v>
      </c>
      <c r="S13" s="360">
        <f t="shared" si="5"/>
        <v>2.688783838191476E-3</v>
      </c>
      <c r="T13" s="360">
        <f t="shared" si="6"/>
        <v>1.6518238577279133E-4</v>
      </c>
      <c r="U13" s="298">
        <f t="shared" si="7"/>
        <v>35.943568837726851</v>
      </c>
    </row>
    <row r="14" spans="1:26" x14ac:dyDescent="0.25">
      <c r="A14" s="451">
        <v>2285002010</v>
      </c>
      <c r="B14" s="18" t="s">
        <v>78</v>
      </c>
      <c r="C14" s="360" t="s">
        <v>123</v>
      </c>
      <c r="D14" s="360" t="s">
        <v>41</v>
      </c>
      <c r="E14" s="304">
        <f>'2017 YARD EMIS CTY COMPILE 2 '!D11</f>
        <v>33620</v>
      </c>
      <c r="F14" s="304">
        <f>'2017 YARD EMIS CTY COMPILE 2 '!J11</f>
        <v>0.4788476156855842</v>
      </c>
      <c r="G14" s="304">
        <f>'2017 YARD EMIS CTY COMPILE 2 '!E11</f>
        <v>9.2115230328879996</v>
      </c>
      <c r="H14" s="304">
        <f>'2017 YARD EMIS CTY COMPILE 2 '!F11</f>
        <v>0.90544996022851842</v>
      </c>
      <c r="I14" s="304">
        <f>'2017 YARD EMIS CTY COMPILE 2 '!G11</f>
        <v>0.20988280328099249</v>
      </c>
      <c r="J14" s="304">
        <f>'2017 YARD EMIS CTY COMPILE 2 '!H11</f>
        <v>0.2035863191825627</v>
      </c>
      <c r="K14" s="304">
        <f>'2017 YARD EMIS CTY COMPILE 2 '!I11</f>
        <v>4.9078273966133928E-2</v>
      </c>
      <c r="L14" s="304">
        <f>'2017 YARD EMIS CTY COMPILE 2 '!K11</f>
        <v>3.237635443890355E-3</v>
      </c>
      <c r="M14" s="304">
        <f>'2017 YARD EMIS CTY COMPILE 2 '!L11</f>
        <v>397.10603724479631</v>
      </c>
      <c r="N14" s="360">
        <f t="shared" si="0"/>
        <v>1.3119112758509157E-3</v>
      </c>
      <c r="O14" s="360">
        <f t="shared" si="1"/>
        <v>2.5237049405172601E-2</v>
      </c>
      <c r="P14" s="360">
        <f t="shared" si="2"/>
        <v>2.4806848225438862E-3</v>
      </c>
      <c r="Q14" s="360">
        <f t="shared" si="3"/>
        <v>5.7502137885203416E-4</v>
      </c>
      <c r="R14" s="360">
        <f t="shared" si="4"/>
        <v>5.5777073748647312E-4</v>
      </c>
      <c r="S14" s="360">
        <f t="shared" si="5"/>
        <v>1.3446102456475049E-4</v>
      </c>
      <c r="T14" s="360">
        <f t="shared" si="6"/>
        <v>8.8702340928502879E-6</v>
      </c>
      <c r="U14" s="298">
        <f t="shared" si="7"/>
        <v>1.0879617458761544</v>
      </c>
    </row>
    <row r="15" spans="1:26" x14ac:dyDescent="0.25">
      <c r="A15" s="451">
        <v>2285002010</v>
      </c>
      <c r="B15" s="18" t="s">
        <v>78</v>
      </c>
      <c r="C15" s="360" t="s">
        <v>115</v>
      </c>
      <c r="D15" s="360" t="s">
        <v>42</v>
      </c>
      <c r="E15" s="304">
        <f>'2017 YARD EMIS CTY COMPILE 2 '!D12</f>
        <v>524159.02176177863</v>
      </c>
      <c r="F15" s="304">
        <f>'2017 YARD EMIS CTY COMPILE 2 '!J12</f>
        <v>4.4819837770036548</v>
      </c>
      <c r="G15" s="304">
        <f>'2017 YARD EMIS CTY COMPILE 2 '!E12</f>
        <v>83.980611162228911</v>
      </c>
      <c r="H15" s="304">
        <f>'2017 YARD EMIS CTY COMPILE 2 '!F12</f>
        <v>13.015123925195644</v>
      </c>
      <c r="I15" s="304">
        <f>'2017 YARD EMIS CTY COMPILE 2 '!G12</f>
        <v>2.0705202484762619</v>
      </c>
      <c r="J15" s="304">
        <f>'2017 YARD EMIS CTY COMPILE 2 '!H12</f>
        <v>2.0002252476544706</v>
      </c>
      <c r="K15" s="304">
        <f>'2017 YARD EMIS CTY COMPILE 2 '!I12</f>
        <v>0.75900767624107124</v>
      </c>
      <c r="L15" s="304">
        <f>'2017 YARD EMIS CTY COMPILE 2 '!K12</f>
        <v>4.9823830696459313E-2</v>
      </c>
      <c r="M15" s="304">
        <f>'2017 YARD EMIS CTY COMPILE 2 '!L12</f>
        <v>6257.5452463838819</v>
      </c>
      <c r="N15" s="360">
        <f t="shared" si="0"/>
        <v>1.2279407608229192E-2</v>
      </c>
      <c r="O15" s="360">
        <f t="shared" si="1"/>
        <v>0.23008386619788743</v>
      </c>
      <c r="P15" s="360">
        <f t="shared" si="2"/>
        <v>3.5657873767659297E-2</v>
      </c>
      <c r="Q15" s="360">
        <f t="shared" si="3"/>
        <v>5.6726582150034574E-3</v>
      </c>
      <c r="R15" s="360">
        <f t="shared" si="4"/>
        <v>5.4800691716560841E-3</v>
      </c>
      <c r="S15" s="360">
        <f t="shared" si="5"/>
        <v>2.0794730855919759E-3</v>
      </c>
      <c r="T15" s="360">
        <f t="shared" si="6"/>
        <v>1.3650364574372415E-4</v>
      </c>
      <c r="U15" s="298">
        <f t="shared" si="7"/>
        <v>17.143959579133924</v>
      </c>
    </row>
    <row r="16" spans="1:26" x14ac:dyDescent="0.25">
      <c r="A16" s="451">
        <v>2285002010</v>
      </c>
      <c r="B16" s="18" t="s">
        <v>78</v>
      </c>
      <c r="C16" s="360" t="s">
        <v>124</v>
      </c>
      <c r="D16" s="360" t="s">
        <v>24</v>
      </c>
      <c r="E16" s="304">
        <f>'2017 YARD EMIS CTY COMPILE 2 '!D13</f>
        <v>0</v>
      </c>
      <c r="F16" s="304">
        <f>'2017 YARD EMIS CTY COMPILE 2 '!J13</f>
        <v>0</v>
      </c>
      <c r="G16" s="304">
        <f>'2017 YARD EMIS CTY COMPILE 2 '!E13</f>
        <v>0</v>
      </c>
      <c r="H16" s="304">
        <f>'2017 YARD EMIS CTY COMPILE 2 '!F13</f>
        <v>0</v>
      </c>
      <c r="I16" s="304">
        <f>'2017 YARD EMIS CTY COMPILE 2 '!G13</f>
        <v>0</v>
      </c>
      <c r="J16" s="304">
        <f>'2017 YARD EMIS CTY COMPILE 2 '!H13</f>
        <v>0</v>
      </c>
      <c r="K16" s="304">
        <f>'2017 YARD EMIS CTY COMPILE 2 '!I13</f>
        <v>0</v>
      </c>
      <c r="L16" s="304">
        <f>'2017 YARD EMIS CTY COMPILE 2 '!K13</f>
        <v>0</v>
      </c>
      <c r="M16" s="304">
        <f>'2017 YARD EMIS CTY COMPILE 2 '!L13</f>
        <v>0</v>
      </c>
      <c r="N16" s="360">
        <f t="shared" si="0"/>
        <v>0</v>
      </c>
      <c r="O16" s="360">
        <f t="shared" si="1"/>
        <v>0</v>
      </c>
      <c r="P16" s="360">
        <f t="shared" si="2"/>
        <v>0</v>
      </c>
      <c r="Q16" s="360">
        <f t="shared" si="3"/>
        <v>0</v>
      </c>
      <c r="R16" s="360">
        <f t="shared" si="4"/>
        <v>0</v>
      </c>
      <c r="S16" s="360">
        <f t="shared" si="5"/>
        <v>0</v>
      </c>
      <c r="T16" s="360">
        <f t="shared" si="6"/>
        <v>0</v>
      </c>
      <c r="U16" s="298">
        <f t="shared" si="7"/>
        <v>0</v>
      </c>
      <c r="Z16">
        <f>480+60+45+30+45+250+80+100</f>
        <v>1090</v>
      </c>
    </row>
    <row r="17" spans="1:33" x14ac:dyDescent="0.25">
      <c r="A17" s="451">
        <v>2285002010</v>
      </c>
      <c r="B17" s="18" t="s">
        <v>78</v>
      </c>
      <c r="C17" s="360" t="s">
        <v>125</v>
      </c>
      <c r="D17" s="360" t="s">
        <v>43</v>
      </c>
      <c r="E17" s="304">
        <f>'2017 YARD EMIS CTY COMPILE 2 '!D14</f>
        <v>0</v>
      </c>
      <c r="F17" s="304">
        <f>'2017 YARD EMIS CTY COMPILE 2 '!J14</f>
        <v>0</v>
      </c>
      <c r="G17" s="304">
        <f>'2017 YARD EMIS CTY COMPILE 2 '!E14</f>
        <v>0</v>
      </c>
      <c r="H17" s="304">
        <f>'2017 YARD EMIS CTY COMPILE 2 '!F14</f>
        <v>0</v>
      </c>
      <c r="I17" s="304">
        <f>'2017 YARD EMIS CTY COMPILE 2 '!G14</f>
        <v>0</v>
      </c>
      <c r="J17" s="304">
        <f>'2017 YARD EMIS CTY COMPILE 2 '!H14</f>
        <v>0</v>
      </c>
      <c r="K17" s="304">
        <f>'2017 YARD EMIS CTY COMPILE 2 '!I14</f>
        <v>0</v>
      </c>
      <c r="L17" s="304">
        <f>'2017 YARD EMIS CTY COMPILE 2 '!K14</f>
        <v>0</v>
      </c>
      <c r="M17" s="304">
        <f>'2017 YARD EMIS CTY COMPILE 2 '!L14</f>
        <v>0</v>
      </c>
      <c r="N17" s="360">
        <f t="shared" si="0"/>
        <v>0</v>
      </c>
      <c r="O17" s="360">
        <f t="shared" si="1"/>
        <v>0</v>
      </c>
      <c r="P17" s="360">
        <f t="shared" si="2"/>
        <v>0</v>
      </c>
      <c r="Q17" s="360">
        <f t="shared" si="3"/>
        <v>0</v>
      </c>
      <c r="R17" s="360">
        <f t="shared" si="4"/>
        <v>0</v>
      </c>
      <c r="S17" s="360">
        <f t="shared" si="5"/>
        <v>0</v>
      </c>
      <c r="T17" s="360">
        <f t="shared" si="6"/>
        <v>0</v>
      </c>
      <c r="U17" s="298">
        <f t="shared" si="7"/>
        <v>0</v>
      </c>
      <c r="Z17">
        <f>1100*12</f>
        <v>13200</v>
      </c>
      <c r="AA17">
        <f>14*35*52</f>
        <v>25480</v>
      </c>
    </row>
    <row r="18" spans="1:33" x14ac:dyDescent="0.25">
      <c r="A18" s="451">
        <v>2285002010</v>
      </c>
      <c r="B18" s="18" t="s">
        <v>78</v>
      </c>
      <c r="C18" s="360" t="s">
        <v>116</v>
      </c>
      <c r="D18" s="360" t="s">
        <v>44</v>
      </c>
      <c r="E18" s="304">
        <f>'2017 YARD EMIS CTY COMPILE 2 '!D15</f>
        <v>327013.66666666663</v>
      </c>
      <c r="F18" s="304">
        <f>'2017 YARD EMIS CTY COMPILE 2 '!J15</f>
        <v>4.6576357697779223</v>
      </c>
      <c r="G18" s="304">
        <f>'2017 YARD EMIS CTY COMPILE 2 '!E15</f>
        <v>89.59827253328848</v>
      </c>
      <c r="H18" s="304">
        <f>'2017 YARD EMIS CTY COMPILE 2 '!F15</f>
        <v>8.8070943330611335</v>
      </c>
      <c r="I18" s="304">
        <f>'2017 YARD EMIS CTY COMPILE 2 '!G15</f>
        <v>2.0414796273407507</v>
      </c>
      <c r="J18" s="304">
        <f>'2017 YARD EMIS CTY COMPILE 2 '!H15</f>
        <v>1.9802352385205286</v>
      </c>
      <c r="K18" s="304">
        <f>'2017 YARD EMIS CTY COMPILE 2 '!I15</f>
        <v>0.47737258546510009</v>
      </c>
      <c r="L18" s="304">
        <f>'2017 YARD EMIS CTY COMPILE 2 '!K15</f>
        <v>3.1491702493650978E-2</v>
      </c>
      <c r="M18" s="304">
        <f>'2017 YARD EMIS CTY COMPILE 2 '!L15</f>
        <v>3862.5550652852685</v>
      </c>
      <c r="N18" s="360">
        <f t="shared" si="0"/>
        <v>1.2760645944597047E-2</v>
      </c>
      <c r="O18" s="360">
        <f t="shared" si="1"/>
        <v>0.24547471926928349</v>
      </c>
      <c r="P18" s="360">
        <f t="shared" si="2"/>
        <v>2.4129025570030504E-2</v>
      </c>
      <c r="Q18" s="360">
        <f t="shared" si="3"/>
        <v>5.5930948694267145E-3</v>
      </c>
      <c r="R18" s="360">
        <f t="shared" si="4"/>
        <v>5.4253020233439144E-3</v>
      </c>
      <c r="S18" s="360">
        <f t="shared" si="5"/>
        <v>1.3078700971646579E-3</v>
      </c>
      <c r="T18" s="360">
        <f t="shared" si="6"/>
        <v>8.6278636968906781E-5</v>
      </c>
      <c r="U18" s="298">
        <f t="shared" si="7"/>
        <v>10.582342644617174</v>
      </c>
      <c r="AA18">
        <f>AA17*0.8</f>
        <v>20384</v>
      </c>
    </row>
    <row r="19" spans="1:33" x14ac:dyDescent="0.25">
      <c r="A19" s="451">
        <v>2285002010</v>
      </c>
      <c r="B19" s="18" t="s">
        <v>78</v>
      </c>
      <c r="C19" s="360" t="s">
        <v>126</v>
      </c>
      <c r="D19" s="360" t="s">
        <v>45</v>
      </c>
      <c r="E19" s="304">
        <f>'2017 YARD EMIS CTY COMPILE 2 '!D16</f>
        <v>0</v>
      </c>
      <c r="F19" s="304">
        <f>'2017 YARD EMIS CTY COMPILE 2 '!J16</f>
        <v>0</v>
      </c>
      <c r="G19" s="304">
        <f>'2017 YARD EMIS CTY COMPILE 2 '!E16</f>
        <v>0</v>
      </c>
      <c r="H19" s="304">
        <f>'2017 YARD EMIS CTY COMPILE 2 '!F16</f>
        <v>0</v>
      </c>
      <c r="I19" s="304">
        <f>'2017 YARD EMIS CTY COMPILE 2 '!G16</f>
        <v>0</v>
      </c>
      <c r="J19" s="304">
        <f>'2017 YARD EMIS CTY COMPILE 2 '!H16</f>
        <v>0</v>
      </c>
      <c r="K19" s="304">
        <f>'2017 YARD EMIS CTY COMPILE 2 '!I16</f>
        <v>0</v>
      </c>
      <c r="L19" s="304">
        <f>'2017 YARD EMIS CTY COMPILE 2 '!K16</f>
        <v>0</v>
      </c>
      <c r="M19" s="304">
        <f>'2017 YARD EMIS CTY COMPILE 2 '!L16</f>
        <v>0</v>
      </c>
      <c r="N19" s="360">
        <f t="shared" si="0"/>
        <v>0</v>
      </c>
      <c r="O19" s="360">
        <f t="shared" si="1"/>
        <v>0</v>
      </c>
      <c r="P19" s="360">
        <f t="shared" si="2"/>
        <v>0</v>
      </c>
      <c r="Q19" s="360">
        <f t="shared" si="3"/>
        <v>0</v>
      </c>
      <c r="R19" s="360">
        <f t="shared" si="4"/>
        <v>0</v>
      </c>
      <c r="S19" s="360">
        <f t="shared" si="5"/>
        <v>0</v>
      </c>
      <c r="T19" s="360">
        <f t="shared" si="6"/>
        <v>0</v>
      </c>
      <c r="U19" s="298">
        <f t="shared" si="7"/>
        <v>0</v>
      </c>
    </row>
    <row r="20" spans="1:33" x14ac:dyDescent="0.25">
      <c r="A20" s="451">
        <v>2285002010</v>
      </c>
      <c r="B20" s="18" t="s">
        <v>78</v>
      </c>
      <c r="C20" s="360" t="s">
        <v>127</v>
      </c>
      <c r="D20" s="360" t="s">
        <v>50</v>
      </c>
      <c r="E20" s="304">
        <f>'2017 YARD EMIS CTY COMPILE 2 '!D17</f>
        <v>14864.6</v>
      </c>
      <c r="F20" s="304">
        <f>'2017 YARD EMIS CTY COMPILE 2 '!J17</f>
        <v>8.3238609581577166E-2</v>
      </c>
      <c r="G20" s="304">
        <f>'2017 YARD EMIS CTY COMPILE 2 '!E17</f>
        <v>1.9246715952633557</v>
      </c>
      <c r="H20" s="304">
        <f>'2017 YARD EMIS CTY COMPILE 2 '!F17</f>
        <v>0.45752193350260345</v>
      </c>
      <c r="I20" s="304">
        <f>'2017 YARD EMIS CTY COMPILE 2 '!G17</f>
        <v>4.8116789881583889E-2</v>
      </c>
      <c r="J20" s="304">
        <f>'2017 YARD EMIS CTY COMPILE 2 '!H17</f>
        <v>4.6673286185136373E-2</v>
      </c>
      <c r="K20" s="304">
        <f>'2017 YARD EMIS CTY COMPILE 2 '!I17</f>
        <v>2.4799147147004146E-2</v>
      </c>
      <c r="L20" s="304">
        <f>'2017 YARD EMIS CTY COMPILE 2 '!K17</f>
        <v>1.4314739981931164E-3</v>
      </c>
      <c r="M20" s="304">
        <f>'2017 YARD EMIS CTY COMPILE 2 '!L17</f>
        <v>175.57472936433666</v>
      </c>
      <c r="N20" s="360">
        <f t="shared" si="0"/>
        <v>2.2805098515500593E-4</v>
      </c>
      <c r="O20" s="360">
        <f t="shared" si="1"/>
        <v>5.2730728637352215E-3</v>
      </c>
      <c r="P20" s="360">
        <f t="shared" si="2"/>
        <v>1.2534847493222013E-3</v>
      </c>
      <c r="Q20" s="360">
        <f t="shared" si="3"/>
        <v>1.3182682159338052E-4</v>
      </c>
      <c r="R20" s="360">
        <f t="shared" si="4"/>
        <v>1.2787201694557909E-4</v>
      </c>
      <c r="S20" s="360">
        <f t="shared" si="5"/>
        <v>6.794286889590177E-5</v>
      </c>
      <c r="T20" s="360">
        <f t="shared" si="6"/>
        <v>3.9218465703920996E-6</v>
      </c>
      <c r="U20" s="298">
        <f t="shared" si="7"/>
        <v>0.48102665579270321</v>
      </c>
    </row>
    <row r="21" spans="1:33" x14ac:dyDescent="0.25">
      <c r="A21" s="451">
        <v>2285002010</v>
      </c>
      <c r="B21" s="18" t="s">
        <v>78</v>
      </c>
      <c r="C21" s="360" t="s">
        <v>128</v>
      </c>
      <c r="D21" s="360" t="s">
        <v>22</v>
      </c>
      <c r="E21" s="304">
        <f>'2017 YARD EMIS CTY COMPILE 2 '!D18</f>
        <v>0</v>
      </c>
      <c r="F21" s="304">
        <f>'2017 YARD EMIS CTY COMPILE 2 '!J18</f>
        <v>0</v>
      </c>
      <c r="G21" s="304">
        <f>'2017 YARD EMIS CTY COMPILE 2 '!E18</f>
        <v>0</v>
      </c>
      <c r="H21" s="304">
        <f>'2017 YARD EMIS CTY COMPILE 2 '!F18</f>
        <v>0</v>
      </c>
      <c r="I21" s="304">
        <f>'2017 YARD EMIS CTY COMPILE 2 '!G18</f>
        <v>0</v>
      </c>
      <c r="J21" s="304">
        <f>'2017 YARD EMIS CTY COMPILE 2 '!H18</f>
        <v>0</v>
      </c>
      <c r="K21" s="304">
        <f>'2017 YARD EMIS CTY COMPILE 2 '!I18</f>
        <v>0</v>
      </c>
      <c r="L21" s="304">
        <f>'2017 YARD EMIS CTY COMPILE 2 '!K18</f>
        <v>0</v>
      </c>
      <c r="M21" s="304">
        <f>'2017 YARD EMIS CTY COMPILE 2 '!L18</f>
        <v>0</v>
      </c>
      <c r="N21" s="360">
        <f t="shared" si="0"/>
        <v>0</v>
      </c>
      <c r="O21" s="360">
        <f t="shared" si="1"/>
        <v>0</v>
      </c>
      <c r="P21" s="360">
        <f t="shared" si="2"/>
        <v>0</v>
      </c>
      <c r="Q21" s="360">
        <f t="shared" si="3"/>
        <v>0</v>
      </c>
      <c r="R21" s="360">
        <f t="shared" si="4"/>
        <v>0</v>
      </c>
      <c r="S21" s="360">
        <f t="shared" si="5"/>
        <v>0</v>
      </c>
      <c r="T21" s="360">
        <f t="shared" si="6"/>
        <v>0</v>
      </c>
      <c r="U21" s="298">
        <f t="shared" si="7"/>
        <v>0</v>
      </c>
    </row>
    <row r="22" spans="1:33" x14ac:dyDescent="0.25">
      <c r="A22" s="451">
        <v>2285002010</v>
      </c>
      <c r="B22" s="18" t="s">
        <v>78</v>
      </c>
      <c r="C22" s="360" t="s">
        <v>129</v>
      </c>
      <c r="D22" s="360" t="s">
        <v>66</v>
      </c>
      <c r="E22" s="304">
        <f>'2017 YARD EMIS CTY COMPILE 2 '!D19</f>
        <v>0</v>
      </c>
      <c r="F22" s="304">
        <f>'2017 YARD EMIS CTY COMPILE 2 '!J19</f>
        <v>0</v>
      </c>
      <c r="G22" s="304">
        <f>'2017 YARD EMIS CTY COMPILE 2 '!E19</f>
        <v>0</v>
      </c>
      <c r="H22" s="304">
        <f>'2017 YARD EMIS CTY COMPILE 2 '!F19</f>
        <v>0</v>
      </c>
      <c r="I22" s="304">
        <f>'2017 YARD EMIS CTY COMPILE 2 '!G19</f>
        <v>0</v>
      </c>
      <c r="J22" s="304">
        <f>'2017 YARD EMIS CTY COMPILE 2 '!H19</f>
        <v>0</v>
      </c>
      <c r="K22" s="304">
        <f>'2017 YARD EMIS CTY COMPILE 2 '!I19</f>
        <v>0</v>
      </c>
      <c r="L22" s="304">
        <f>'2017 YARD EMIS CTY COMPILE 2 '!K19</f>
        <v>0</v>
      </c>
      <c r="M22" s="304">
        <f>'2017 YARD EMIS CTY COMPILE 2 '!L19</f>
        <v>0</v>
      </c>
      <c r="N22" s="360">
        <f t="shared" si="0"/>
        <v>0</v>
      </c>
      <c r="O22" s="360">
        <f t="shared" si="1"/>
        <v>0</v>
      </c>
      <c r="P22" s="360">
        <f t="shared" si="2"/>
        <v>0</v>
      </c>
      <c r="Q22" s="360">
        <f t="shared" si="3"/>
        <v>0</v>
      </c>
      <c r="R22" s="360">
        <f t="shared" si="4"/>
        <v>0</v>
      </c>
      <c r="S22" s="360">
        <f t="shared" si="5"/>
        <v>0</v>
      </c>
      <c r="T22" s="360">
        <f t="shared" si="6"/>
        <v>0</v>
      </c>
      <c r="U22" s="298">
        <f t="shared" si="7"/>
        <v>0</v>
      </c>
    </row>
    <row r="23" spans="1:33" x14ac:dyDescent="0.25">
      <c r="A23" s="451">
        <v>2285002010</v>
      </c>
      <c r="B23" s="18" t="s">
        <v>78</v>
      </c>
      <c r="C23" s="360" t="s">
        <v>130</v>
      </c>
      <c r="D23" s="360" t="s">
        <v>46</v>
      </c>
      <c r="E23" s="304">
        <f>'2017 YARD EMIS CTY COMPILE 2 '!D20</f>
        <v>0</v>
      </c>
      <c r="F23" s="304">
        <f>'2017 YARD EMIS CTY COMPILE 2 '!J20</f>
        <v>0</v>
      </c>
      <c r="G23" s="304">
        <f>'2017 YARD EMIS CTY COMPILE 2 '!E20</f>
        <v>0</v>
      </c>
      <c r="H23" s="304">
        <f>'2017 YARD EMIS CTY COMPILE 2 '!F20</f>
        <v>0</v>
      </c>
      <c r="I23" s="304">
        <f>'2017 YARD EMIS CTY COMPILE 2 '!G20</f>
        <v>0</v>
      </c>
      <c r="J23" s="304">
        <f>'2017 YARD EMIS CTY COMPILE 2 '!H20</f>
        <v>0</v>
      </c>
      <c r="K23" s="304">
        <f>'2017 YARD EMIS CTY COMPILE 2 '!I20</f>
        <v>0</v>
      </c>
      <c r="L23" s="304">
        <f>'2017 YARD EMIS CTY COMPILE 2 '!K20</f>
        <v>0</v>
      </c>
      <c r="M23" s="304">
        <f>'2017 YARD EMIS CTY COMPILE 2 '!L20</f>
        <v>0</v>
      </c>
      <c r="N23" s="360">
        <f t="shared" si="0"/>
        <v>0</v>
      </c>
      <c r="O23" s="360">
        <f t="shared" si="1"/>
        <v>0</v>
      </c>
      <c r="P23" s="360">
        <f t="shared" si="2"/>
        <v>0</v>
      </c>
      <c r="Q23" s="360">
        <f t="shared" si="3"/>
        <v>0</v>
      </c>
      <c r="R23" s="360">
        <f t="shared" si="4"/>
        <v>0</v>
      </c>
      <c r="S23" s="360">
        <f t="shared" si="5"/>
        <v>0</v>
      </c>
      <c r="T23" s="360">
        <f t="shared" si="6"/>
        <v>0</v>
      </c>
      <c r="U23" s="298">
        <f t="shared" si="7"/>
        <v>0</v>
      </c>
    </row>
    <row r="24" spans="1:33" x14ac:dyDescent="0.25">
      <c r="A24" s="451">
        <v>2285002010</v>
      </c>
      <c r="B24" s="18" t="s">
        <v>78</v>
      </c>
      <c r="C24" s="360" t="s">
        <v>131</v>
      </c>
      <c r="D24" s="360" t="s">
        <v>47</v>
      </c>
      <c r="E24" s="304">
        <f>'2017 YARD EMIS CTY COMPILE 2 '!D21</f>
        <v>62151</v>
      </c>
      <c r="F24" s="304">
        <f>'2017 YARD EMIS CTY COMPILE 2 '!J21</f>
        <v>0.87085663978099337</v>
      </c>
      <c r="G24" s="304">
        <f>'2017 YARD EMIS CTY COMPILE 2 '!E21</f>
        <v>16.788684371409779</v>
      </c>
      <c r="H24" s="304">
        <f>'2017 YARD EMIS CTY COMPILE 2 '!F21</f>
        <v>1.6802341112053969</v>
      </c>
      <c r="I24" s="304">
        <f>'2017 YARD EMIS CTY COMPILE 2 '!G21</f>
        <v>0.38300339911220344</v>
      </c>
      <c r="J24" s="304">
        <f>'2017 YARD EMIS CTY COMPILE 2 '!H21</f>
        <v>0.37151329713883735</v>
      </c>
      <c r="K24" s="304">
        <f>'2017 YARD EMIS CTY COMPILE 2 '!I21</f>
        <v>9.1074044573561982E-2</v>
      </c>
      <c r="L24" s="304">
        <f>'2017 YARD EMIS CTY COMPILE 2 '!K21</f>
        <v>5.9851957309110483E-3</v>
      </c>
      <c r="M24" s="304">
        <f>'2017 YARD EMIS CTY COMPILE 2 '!L21</f>
        <v>734.10283524096758</v>
      </c>
      <c r="N24" s="360">
        <f t="shared" si="0"/>
        <v>2.3859086021397078E-3</v>
      </c>
      <c r="O24" s="360">
        <f t="shared" si="1"/>
        <v>4.5996395538108983E-2</v>
      </c>
      <c r="P24" s="360">
        <f t="shared" si="2"/>
        <v>4.6033811265901283E-3</v>
      </c>
      <c r="Q24" s="360">
        <f t="shared" si="3"/>
        <v>1.0493243811293244E-3</v>
      </c>
      <c r="R24" s="360">
        <f t="shared" si="4"/>
        <v>1.0178446496954447E-3</v>
      </c>
      <c r="S24" s="360">
        <f t="shared" si="5"/>
        <v>2.4951793033852599E-4</v>
      </c>
      <c r="T24" s="360">
        <f t="shared" si="6"/>
        <v>1.6397796523043966E-5</v>
      </c>
      <c r="U24" s="298">
        <f t="shared" si="7"/>
        <v>2.0112406444958015</v>
      </c>
    </row>
    <row r="25" spans="1:33" x14ac:dyDescent="0.25">
      <c r="A25" s="451">
        <v>2285002010</v>
      </c>
      <c r="B25" s="18" t="s">
        <v>78</v>
      </c>
      <c r="C25" s="360" t="s">
        <v>132</v>
      </c>
      <c r="D25" s="360" t="s">
        <v>67</v>
      </c>
      <c r="E25" s="304">
        <f>'2017 YARD EMIS CTY COMPILE 2 '!D22</f>
        <v>0</v>
      </c>
      <c r="F25" s="304">
        <f>'2017 YARD EMIS CTY COMPILE 2 '!J22</f>
        <v>0</v>
      </c>
      <c r="G25" s="304">
        <f>'2017 YARD EMIS CTY COMPILE 2 '!E22</f>
        <v>0</v>
      </c>
      <c r="H25" s="304">
        <f>'2017 YARD EMIS CTY COMPILE 2 '!F22</f>
        <v>0</v>
      </c>
      <c r="I25" s="304">
        <f>'2017 YARD EMIS CTY COMPILE 2 '!G22</f>
        <v>0</v>
      </c>
      <c r="J25" s="304">
        <f>'2017 YARD EMIS CTY COMPILE 2 '!H22</f>
        <v>0</v>
      </c>
      <c r="K25" s="304">
        <f>'2017 YARD EMIS CTY COMPILE 2 '!I22</f>
        <v>0</v>
      </c>
      <c r="L25" s="304">
        <f>'2017 YARD EMIS CTY COMPILE 2 '!K22</f>
        <v>0</v>
      </c>
      <c r="M25" s="304">
        <f>'2017 YARD EMIS CTY COMPILE 2 '!L22</f>
        <v>0</v>
      </c>
      <c r="N25" s="360">
        <f t="shared" si="0"/>
        <v>0</v>
      </c>
      <c r="O25" s="360">
        <f t="shared" si="1"/>
        <v>0</v>
      </c>
      <c r="P25" s="360">
        <f t="shared" si="2"/>
        <v>0</v>
      </c>
      <c r="Q25" s="360">
        <f t="shared" si="3"/>
        <v>0</v>
      </c>
      <c r="R25" s="360">
        <f t="shared" si="4"/>
        <v>0</v>
      </c>
      <c r="S25" s="360">
        <f t="shared" si="5"/>
        <v>0</v>
      </c>
      <c r="T25" s="360">
        <f t="shared" si="6"/>
        <v>0</v>
      </c>
      <c r="U25" s="298">
        <f t="shared" si="7"/>
        <v>0</v>
      </c>
    </row>
    <row r="26" spans="1:33" x14ac:dyDescent="0.25">
      <c r="A26" s="451">
        <v>2285002010</v>
      </c>
      <c r="B26" s="18" t="s">
        <v>78</v>
      </c>
      <c r="C26" s="360" t="s">
        <v>117</v>
      </c>
      <c r="D26" s="360" t="s">
        <v>48</v>
      </c>
      <c r="E26" s="304">
        <f>'2017 YARD EMIS CTY COMPILE 2 '!D23</f>
        <v>214207.49729596908</v>
      </c>
      <c r="F26" s="304">
        <f>'2017 YARD EMIS CTY COMPILE 2 '!J23</f>
        <v>4.8809075162351192</v>
      </c>
      <c r="G26" s="304">
        <f>'2017 YARD EMIS CTY COMPILE 2 '!E23</f>
        <v>52.142409969714883</v>
      </c>
      <c r="H26" s="304">
        <f>'2017 YARD EMIS CTY COMPILE 2 '!F23</f>
        <v>8.6939796950620636</v>
      </c>
      <c r="I26" s="304">
        <f>'2017 YARD EMIS CTY COMPILE 2 '!G23</f>
        <v>2.0882913037177406</v>
      </c>
      <c r="J26" s="304">
        <f>'2017 YARD EMIS CTY COMPILE 2 '!H23</f>
        <v>1.9329332420185328</v>
      </c>
      <c r="K26" s="304">
        <f>'2017 YARD EMIS CTY COMPILE 2 '!I23</f>
        <v>0.29347362299453961</v>
      </c>
      <c r="L26" s="304">
        <f>'2017 YARD EMIS CTY COMPILE 2 '!K23</f>
        <v>4.3335394103231999E-3</v>
      </c>
      <c r="M26" s="304">
        <f>'2017 YARD EMIS CTY COMPILE 2 '!L23</f>
        <v>20777.668435724343</v>
      </c>
      <c r="N26" s="360">
        <f t="shared" si="0"/>
        <v>1.3372349359548272E-2</v>
      </c>
      <c r="O26" s="360">
        <f t="shared" si="1"/>
        <v>0.14285591772524625</v>
      </c>
      <c r="P26" s="360">
        <f t="shared" si="2"/>
        <v>2.3819122452224832E-2</v>
      </c>
      <c r="Q26" s="360">
        <f t="shared" si="3"/>
        <v>5.7213460375828513E-3</v>
      </c>
      <c r="R26" s="360">
        <f t="shared" si="4"/>
        <v>5.2957075123795418E-3</v>
      </c>
      <c r="S26" s="360">
        <f t="shared" si="5"/>
        <v>8.0403732327271129E-4</v>
      </c>
      <c r="T26" s="360">
        <f t="shared" si="6"/>
        <v>1.1872710713214247E-5</v>
      </c>
      <c r="U26" s="298">
        <f t="shared" si="7"/>
        <v>56.925119001984498</v>
      </c>
    </row>
    <row r="27" spans="1:33" ht="15.75" thickBot="1" x14ac:dyDescent="0.3">
      <c r="A27" s="453">
        <v>2285002010</v>
      </c>
      <c r="B27" s="34" t="s">
        <v>78</v>
      </c>
      <c r="C27" s="299" t="s">
        <v>133</v>
      </c>
      <c r="D27" s="299" t="s">
        <v>25</v>
      </c>
      <c r="E27" s="454">
        <f>'2017 YARD EMIS CTY COMPILE 2 '!D24</f>
        <v>0</v>
      </c>
      <c r="F27" s="454">
        <f>'2017 YARD EMIS CTY COMPILE 2 '!J24</f>
        <v>0</v>
      </c>
      <c r="G27" s="454">
        <f>'2017 YARD EMIS CTY COMPILE 2 '!E24</f>
        <v>0</v>
      </c>
      <c r="H27" s="454">
        <f>'2017 YARD EMIS CTY COMPILE 2 '!F24</f>
        <v>0</v>
      </c>
      <c r="I27" s="454">
        <f>'2017 YARD EMIS CTY COMPILE 2 '!G24</f>
        <v>0</v>
      </c>
      <c r="J27" s="454">
        <f>'2017 YARD EMIS CTY COMPILE 2 '!H24</f>
        <v>0</v>
      </c>
      <c r="K27" s="454">
        <f>'2017 YARD EMIS CTY COMPILE 2 '!I24</f>
        <v>0</v>
      </c>
      <c r="L27" s="454">
        <f>'2017 YARD EMIS CTY COMPILE 2 '!K24</f>
        <v>0</v>
      </c>
      <c r="M27" s="454">
        <f>'2017 YARD EMIS CTY COMPILE 2 '!L24</f>
        <v>0</v>
      </c>
      <c r="N27" s="299">
        <f t="shared" si="0"/>
        <v>0</v>
      </c>
      <c r="O27" s="299">
        <f t="shared" si="1"/>
        <v>0</v>
      </c>
      <c r="P27" s="299">
        <f t="shared" si="2"/>
        <v>0</v>
      </c>
      <c r="Q27" s="299">
        <f t="shared" si="3"/>
        <v>0</v>
      </c>
      <c r="R27" s="299">
        <f t="shared" si="4"/>
        <v>0</v>
      </c>
      <c r="S27" s="299">
        <f t="shared" si="5"/>
        <v>0</v>
      </c>
      <c r="T27" s="299">
        <f t="shared" si="6"/>
        <v>0</v>
      </c>
      <c r="U27" s="300">
        <f t="shared" si="7"/>
        <v>0</v>
      </c>
      <c r="V27" s="1">
        <f>SUM(E7:E27)</f>
        <v>2786425.8107356066</v>
      </c>
      <c r="W27" s="1">
        <f>SUM(G7:G27)</f>
        <v>660.61466146573957</v>
      </c>
      <c r="X27" s="1">
        <f>SUM(H7:H27)</f>
        <v>83.659256632303268</v>
      </c>
      <c r="Y27" s="1">
        <f>SUM(I7:I27)</f>
        <v>18.449987946961258</v>
      </c>
      <c r="Z27" s="1">
        <f>SUM(J7:J27)</f>
        <v>17.546765003014784</v>
      </c>
      <c r="AA27" s="1">
        <f>SUM(K7:K27)</f>
        <v>3.3173764214961472</v>
      </c>
      <c r="AB27" s="1">
        <f>SUM(F7:F27)</f>
        <v>42.376349067797946</v>
      </c>
      <c r="AC27" s="1">
        <f>SUM(L7:L27)</f>
        <v>0.19882691961132914</v>
      </c>
      <c r="AD27" s="1">
        <f>SUM(M7:M27)</f>
        <v>50503.8373156085</v>
      </c>
      <c r="AE27" s="1">
        <f>SUM(O7:O27)</f>
        <v>1.8099031820979163</v>
      </c>
      <c r="AF27" s="1">
        <f>SUM(P7:P27)</f>
        <v>0.22920344282822813</v>
      </c>
    </row>
    <row r="28" spans="1:33" x14ac:dyDescent="0.25">
      <c r="A28" s="448">
        <v>2285002009</v>
      </c>
      <c r="B28" s="448" t="s">
        <v>76</v>
      </c>
      <c r="C28" s="448" t="s">
        <v>120</v>
      </c>
      <c r="D28" s="448" t="s">
        <v>37</v>
      </c>
      <c r="E28" s="464">
        <f>'NJT COMMUTER EMIS CTY'!E4</f>
        <v>531545.6792873051</v>
      </c>
      <c r="F28" s="464">
        <f>'NJT COMMUTER EMIS CTY'!K4</f>
        <v>2.9765431476777184</v>
      </c>
      <c r="G28" s="464">
        <f>'NJT COMMUTER EMIS CTY'!F4</f>
        <v>68.824648527995478</v>
      </c>
      <c r="H28" s="464">
        <f>'NJT COMMUTER EMIS CTY'!G4</f>
        <v>16.360602164369212</v>
      </c>
      <c r="I28" s="464">
        <f>'NJT COMMUTER EMIS CTY'!H4</f>
        <v>1.720616213199887</v>
      </c>
      <c r="J28" s="464">
        <f>'NJT COMMUTER EMIS CTY'!I4</f>
        <v>1.6689977268038902</v>
      </c>
      <c r="K28" s="464">
        <f>'NJT COMMUTER EMIS CTY'!J4</f>
        <v>0.88679678672821016</v>
      </c>
      <c r="L28" s="464">
        <f>'NJT COMMUTER EMIS CTY'!L4</f>
        <v>5.1188314435078951E-2</v>
      </c>
      <c r="M28" s="464">
        <f>'NJT COMMUTER EMIS CTY'!M4</f>
        <v>6278.4056608083019</v>
      </c>
      <c r="N28" s="465">
        <f t="shared" si="0"/>
        <v>8.1549127333636114E-3</v>
      </c>
      <c r="O28" s="465">
        <f t="shared" si="1"/>
        <v>0.18856068089861774</v>
      </c>
      <c r="P28" s="465">
        <f t="shared" si="2"/>
        <v>4.4823567573614276E-2</v>
      </c>
      <c r="Q28" s="465">
        <f t="shared" si="3"/>
        <v>4.7140170224654436E-3</v>
      </c>
      <c r="R28" s="465">
        <f t="shared" si="4"/>
        <v>4.5725965117914798E-3</v>
      </c>
      <c r="S28" s="465">
        <f t="shared" si="5"/>
        <v>2.4295802376115348E-3</v>
      </c>
      <c r="T28" s="465">
        <f t="shared" si="6"/>
        <v>1.4024195735638068E-4</v>
      </c>
      <c r="U28" s="466">
        <f t="shared" si="7"/>
        <v>17.201111399474801</v>
      </c>
      <c r="V28" s="1">
        <f>'2017 YARD EMIS CTY COMPILE 2 '!D25</f>
        <v>2786425.8107356066</v>
      </c>
      <c r="W28" s="1">
        <f>'2017 YARD EMIS CTY COMPILE 2 '!E25</f>
        <v>660.61466146573957</v>
      </c>
      <c r="X28" s="1">
        <f>'2017 YARD EMIS CTY COMPILE 2 '!F25</f>
        <v>83.659256632303268</v>
      </c>
      <c r="Y28" s="564">
        <f>'2017 YARD EMIS CTY COMPILE 2 '!G25</f>
        <v>18.449987946961258</v>
      </c>
      <c r="Z28" s="564">
        <f>'2017 YARD EMIS CTY COMPILE 2 '!H25</f>
        <v>17.546765003014784</v>
      </c>
      <c r="AA28" s="1">
        <f>'2017 YARD EMIS CTY COMPILE 2 '!I25</f>
        <v>3.3173764214961472</v>
      </c>
      <c r="AB28" s="1">
        <f>'2017 YARD EMIS CTY COMPILE 2 '!J25</f>
        <v>42.376349067797946</v>
      </c>
      <c r="AC28" s="1">
        <f>'2017 YARD EMIS CTY COMPILE 2 '!K25</f>
        <v>0.19882691961132914</v>
      </c>
      <c r="AD28" s="1">
        <f>'2017 YARD EMIS CTY COMPILE 2 '!L25</f>
        <v>50503.8373156085</v>
      </c>
      <c r="AE28" s="1">
        <f>'2017 YARD EMIS CTY COMPILE 2 '!M25</f>
        <v>0</v>
      </c>
      <c r="AF28" s="1">
        <f>'2017 YARD EMIS CTY COMPILE 2 '!N25</f>
        <v>0</v>
      </c>
      <c r="AG28" s="1">
        <f>'2017 YARD EMIS CTY COMPILE 2 '!O25</f>
        <v>0</v>
      </c>
    </row>
    <row r="29" spans="1:33" x14ac:dyDescent="0.25">
      <c r="A29" s="360">
        <v>2285002009</v>
      </c>
      <c r="B29" s="360" t="s">
        <v>76</v>
      </c>
      <c r="C29" s="360" t="s">
        <v>113</v>
      </c>
      <c r="D29" s="360" t="s">
        <v>65</v>
      </c>
      <c r="E29" s="110">
        <f>'NJT COMMUTER EMIS CTY'!E5</f>
        <v>3877188.2303268742</v>
      </c>
      <c r="F29" s="110">
        <f>'NJT COMMUTER EMIS CTY'!K5</f>
        <v>21.711432354618672</v>
      </c>
      <c r="G29" s="110">
        <f>'NJT COMMUTER EMIS CTY'!F5</f>
        <v>502.01916340833475</v>
      </c>
      <c r="H29" s="110">
        <f>'NJT COMMUTER EMIS CTY'!G5</f>
        <v>119.33712684449557</v>
      </c>
      <c r="I29" s="110">
        <f>'NJT COMMUTER EMIS CTY'!H5</f>
        <v>12.550479085208368</v>
      </c>
      <c r="J29" s="110">
        <f>'NJT COMMUTER EMIS CTY'!I5</f>
        <v>12.173964712652115</v>
      </c>
      <c r="K29" s="110">
        <f>'NJT COMMUTER EMIS CTY'!J5</f>
        <v>6.4684526620634761</v>
      </c>
      <c r="L29" s="110">
        <f>'NJT COMMUTER EMIS CTY'!L5</f>
        <v>0.37337662216361717</v>
      </c>
      <c r="M29" s="110">
        <f>'NJT COMMUTER EMIS CTY'!M5</f>
        <v>45795.801719133538</v>
      </c>
      <c r="N29" s="6">
        <f t="shared" si="0"/>
        <v>5.9483376314023763E-2</v>
      </c>
      <c r="O29" s="6">
        <f t="shared" si="1"/>
        <v>1.375394968242013</v>
      </c>
      <c r="P29" s="6">
        <f t="shared" si="2"/>
        <v>0.32695103245067281</v>
      </c>
      <c r="Q29" s="6">
        <f t="shared" si="3"/>
        <v>3.4384874206050325E-2</v>
      </c>
      <c r="R29" s="6">
        <f t="shared" si="4"/>
        <v>3.3353327979868806E-2</v>
      </c>
      <c r="S29" s="6">
        <f t="shared" si="5"/>
        <v>1.7721788115242401E-2</v>
      </c>
      <c r="T29" s="6">
        <f t="shared" si="6"/>
        <v>1.0229496497633347E-3</v>
      </c>
      <c r="U29" s="467">
        <f t="shared" si="7"/>
        <v>125.46794991543435</v>
      </c>
      <c r="Y29">
        <f>'2017 YARD EMIS COMPILE 1'!F31</f>
        <v>18.449987946961251</v>
      </c>
      <c r="Z29">
        <f>'2017 YARD EMIS COMPILE 1'!G31</f>
        <v>17.54676500301478</v>
      </c>
    </row>
    <row r="30" spans="1:33" x14ac:dyDescent="0.25">
      <c r="A30" s="360">
        <v>2285002009</v>
      </c>
      <c r="B30" s="360" t="s">
        <v>76</v>
      </c>
      <c r="C30" s="360" t="s">
        <v>88</v>
      </c>
      <c r="D30" s="360" t="s">
        <v>21</v>
      </c>
      <c r="E30" s="110">
        <f>'NJT COMMUTER EMIS CTY'!E6</f>
        <v>0</v>
      </c>
      <c r="F30" s="110">
        <f>'NJT COMMUTER EMIS CTY'!K6</f>
        <v>0</v>
      </c>
      <c r="G30" s="110">
        <f>'NJT COMMUTER EMIS CTY'!F6</f>
        <v>0</v>
      </c>
      <c r="H30" s="110">
        <f>'NJT COMMUTER EMIS CTY'!G6</f>
        <v>0</v>
      </c>
      <c r="I30" s="110">
        <f>'NJT COMMUTER EMIS CTY'!H6</f>
        <v>0</v>
      </c>
      <c r="J30" s="110">
        <f>'NJT COMMUTER EMIS CTY'!I6</f>
        <v>0</v>
      </c>
      <c r="K30" s="110">
        <f>'NJT COMMUTER EMIS CTY'!J6</f>
        <v>0</v>
      </c>
      <c r="L30" s="110">
        <f>'NJT COMMUTER EMIS CTY'!L6</f>
        <v>0</v>
      </c>
      <c r="M30" s="110">
        <f>'NJT COMMUTER EMIS CTY'!M6</f>
        <v>0</v>
      </c>
      <c r="N30" s="6">
        <f t="shared" si="0"/>
        <v>0</v>
      </c>
      <c r="O30" s="6">
        <f t="shared" si="1"/>
        <v>0</v>
      </c>
      <c r="P30" s="6">
        <f t="shared" si="2"/>
        <v>0</v>
      </c>
      <c r="Q30" s="6">
        <f t="shared" si="3"/>
        <v>0</v>
      </c>
      <c r="R30" s="6">
        <f t="shared" si="4"/>
        <v>0</v>
      </c>
      <c r="S30" s="6">
        <f t="shared" si="5"/>
        <v>0</v>
      </c>
      <c r="T30" s="6">
        <f t="shared" si="6"/>
        <v>0</v>
      </c>
      <c r="U30" s="467">
        <f t="shared" si="7"/>
        <v>0</v>
      </c>
    </row>
    <row r="31" spans="1:33" x14ac:dyDescent="0.25">
      <c r="A31" s="360">
        <v>2285002009</v>
      </c>
      <c r="B31" s="360" t="s">
        <v>76</v>
      </c>
      <c r="C31" s="360" t="s">
        <v>87</v>
      </c>
      <c r="D31" s="360" t="s">
        <v>38</v>
      </c>
      <c r="E31" s="110">
        <f>'NJT COMMUTER EMIS CTY'!E7</f>
        <v>512464.55233853002</v>
      </c>
      <c r="F31" s="110">
        <f>'NJT COMMUTER EMIS CTY'!K7</f>
        <v>2.8696928808380053</v>
      </c>
      <c r="G31" s="110">
        <f>'NJT COMMUTER EMIS CTY'!F7</f>
        <v>66.354020119298212</v>
      </c>
      <c r="H31" s="110">
        <f>'NJT COMMUTER EMIS CTY'!G7</f>
        <v>15.773298496930316</v>
      </c>
      <c r="I31" s="110">
        <f>'NJT COMMUTER EMIS CTY'!H7</f>
        <v>1.6588505029824547</v>
      </c>
      <c r="J31" s="110">
        <f>'NJT COMMUTER EMIS CTY'!I7</f>
        <v>1.6090849878929812</v>
      </c>
      <c r="K31" s="110">
        <f>'NJT COMMUTER EMIS CTY'!J7</f>
        <v>0.85496305592258204</v>
      </c>
      <c r="L31" s="110">
        <f>'NJT COMMUTER EMIS CTY'!L7</f>
        <v>4.9350785198947908E-2</v>
      </c>
      <c r="M31" s="110">
        <f>'NJT COMMUTER EMIS CTY'!M7</f>
        <v>6053.0269960613368</v>
      </c>
      <c r="N31" s="6">
        <f t="shared" si="0"/>
        <v>7.8621722762685069E-3</v>
      </c>
      <c r="O31" s="6">
        <f t="shared" si="1"/>
        <v>0.18179183594328277</v>
      </c>
      <c r="P31" s="6">
        <f t="shared" si="2"/>
        <v>4.3214516429946073E-2</v>
      </c>
      <c r="Q31" s="6">
        <f t="shared" si="3"/>
        <v>4.544795898582068E-3</v>
      </c>
      <c r="R31" s="6">
        <f t="shared" si="4"/>
        <v>4.408452021624606E-3</v>
      </c>
      <c r="S31" s="6">
        <f t="shared" si="5"/>
        <v>2.3423645367741976E-3</v>
      </c>
      <c r="T31" s="6">
        <f t="shared" si="6"/>
        <v>1.3520763068204907E-4</v>
      </c>
      <c r="U31" s="467">
        <f t="shared" si="7"/>
        <v>16.583635605647498</v>
      </c>
    </row>
    <row r="32" spans="1:33" x14ac:dyDescent="0.25">
      <c r="A32" s="360">
        <v>2285002009</v>
      </c>
      <c r="B32" s="360" t="s">
        <v>76</v>
      </c>
      <c r="C32" s="360" t="s">
        <v>121</v>
      </c>
      <c r="D32" s="360" t="s">
        <v>35</v>
      </c>
      <c r="E32" s="110">
        <f>'NJT COMMUTER EMIS CTY'!E8</f>
        <v>0</v>
      </c>
      <c r="F32" s="110">
        <f>'NJT COMMUTER EMIS CTY'!K8</f>
        <v>0</v>
      </c>
      <c r="G32" s="110">
        <f>'NJT COMMUTER EMIS CTY'!F8</f>
        <v>0</v>
      </c>
      <c r="H32" s="110">
        <f>'NJT COMMUTER EMIS CTY'!G8</f>
        <v>0</v>
      </c>
      <c r="I32" s="110">
        <f>'NJT COMMUTER EMIS CTY'!H8</f>
        <v>0</v>
      </c>
      <c r="J32" s="110">
        <f>'NJT COMMUTER EMIS CTY'!I8</f>
        <v>0</v>
      </c>
      <c r="K32" s="110">
        <f>'NJT COMMUTER EMIS CTY'!J8</f>
        <v>0</v>
      </c>
      <c r="L32" s="110">
        <f>'NJT COMMUTER EMIS CTY'!L8</f>
        <v>0</v>
      </c>
      <c r="M32" s="110">
        <f>'NJT COMMUTER EMIS CTY'!M8</f>
        <v>0</v>
      </c>
      <c r="N32" s="6">
        <f t="shared" si="0"/>
        <v>0</v>
      </c>
      <c r="O32" s="6">
        <f t="shared" si="1"/>
        <v>0</v>
      </c>
      <c r="P32" s="6">
        <f t="shared" si="2"/>
        <v>0</v>
      </c>
      <c r="Q32" s="6">
        <f t="shared" si="3"/>
        <v>0</v>
      </c>
      <c r="R32" s="6">
        <f t="shared" si="4"/>
        <v>0</v>
      </c>
      <c r="S32" s="6">
        <f t="shared" si="5"/>
        <v>0</v>
      </c>
      <c r="T32" s="6">
        <f t="shared" si="6"/>
        <v>0</v>
      </c>
      <c r="U32" s="467">
        <f t="shared" si="7"/>
        <v>0</v>
      </c>
    </row>
    <row r="33" spans="1:30" x14ac:dyDescent="0.25">
      <c r="A33" s="360">
        <v>2285002009</v>
      </c>
      <c r="B33" s="360" t="s">
        <v>76</v>
      </c>
      <c r="C33" s="360" t="s">
        <v>122</v>
      </c>
      <c r="D33" s="360" t="s">
        <v>39</v>
      </c>
      <c r="E33" s="110">
        <f>'NJT COMMUTER EMIS CTY'!E9</f>
        <v>0</v>
      </c>
      <c r="F33" s="110">
        <f>'NJT COMMUTER EMIS CTY'!K9</f>
        <v>0</v>
      </c>
      <c r="G33" s="110">
        <f>'NJT COMMUTER EMIS CTY'!F9</f>
        <v>0</v>
      </c>
      <c r="H33" s="110">
        <f>'NJT COMMUTER EMIS CTY'!G9</f>
        <v>0</v>
      </c>
      <c r="I33" s="110">
        <f>'NJT COMMUTER EMIS CTY'!H9</f>
        <v>0</v>
      </c>
      <c r="J33" s="110">
        <f>'NJT COMMUTER EMIS CTY'!I9</f>
        <v>0</v>
      </c>
      <c r="K33" s="110">
        <f>'NJT COMMUTER EMIS CTY'!J9</f>
        <v>0</v>
      </c>
      <c r="L33" s="110">
        <f>'NJT COMMUTER EMIS CTY'!L9</f>
        <v>0</v>
      </c>
      <c r="M33" s="110">
        <f>'NJT COMMUTER EMIS CTY'!M9</f>
        <v>0</v>
      </c>
      <c r="N33" s="6">
        <f t="shared" si="0"/>
        <v>0</v>
      </c>
      <c r="O33" s="6">
        <f t="shared" si="1"/>
        <v>0</v>
      </c>
      <c r="P33" s="6">
        <f t="shared" si="2"/>
        <v>0</v>
      </c>
      <c r="Q33" s="6">
        <f t="shared" si="3"/>
        <v>0</v>
      </c>
      <c r="R33" s="6">
        <f t="shared" si="4"/>
        <v>0</v>
      </c>
      <c r="S33" s="6">
        <f t="shared" si="5"/>
        <v>0</v>
      </c>
      <c r="T33" s="6">
        <f t="shared" si="6"/>
        <v>0</v>
      </c>
      <c r="U33" s="467">
        <f t="shared" si="7"/>
        <v>0</v>
      </c>
    </row>
    <row r="34" spans="1:30" x14ac:dyDescent="0.25">
      <c r="A34" s="360">
        <v>2285002009</v>
      </c>
      <c r="B34" s="360" t="s">
        <v>76</v>
      </c>
      <c r="C34" s="360" t="s">
        <v>114</v>
      </c>
      <c r="D34" s="360" t="s">
        <v>40</v>
      </c>
      <c r="E34" s="110">
        <f>'NJT COMMUTER EMIS CTY'!E10</f>
        <v>753471.94050554989</v>
      </c>
      <c r="F34" s="110">
        <f>'NJT COMMUTER EMIS CTY'!K10</f>
        <v>4.2192831752226629</v>
      </c>
      <c r="G34" s="110">
        <f>'NJT COMMUTER EMIS CTY'!F10</f>
        <v>97.559708415900403</v>
      </c>
      <c r="H34" s="110">
        <f>'NJT COMMUTER EMIS CTY'!G10</f>
        <v>23.19133640057975</v>
      </c>
      <c r="I34" s="110">
        <f>'NJT COMMUTER EMIS CTY'!H10</f>
        <v>2.4389927103975095</v>
      </c>
      <c r="J34" s="110">
        <f>'NJT COMMUTER EMIS CTY'!I10</f>
        <v>2.3658229290855841</v>
      </c>
      <c r="K34" s="110">
        <f>'NJT COMMUTER EMIS CTY'!J10</f>
        <v>1.2570443552961992</v>
      </c>
      <c r="L34" s="110">
        <f>'NJT COMMUTER EMIS CTY'!L10</f>
        <v>7.2560007750077732E-2</v>
      </c>
      <c r="M34" s="110">
        <f>'NJT COMMUTER EMIS CTY'!M10</f>
        <v>8899.7101864754841</v>
      </c>
      <c r="N34" s="6">
        <f t="shared" si="0"/>
        <v>1.1559679932116885E-2</v>
      </c>
      <c r="O34" s="6">
        <f t="shared" si="1"/>
        <v>0.2672868723723299</v>
      </c>
      <c r="P34" s="6">
        <f t="shared" si="2"/>
        <v>6.3537907946793842E-2</v>
      </c>
      <c r="Q34" s="6">
        <f t="shared" si="3"/>
        <v>6.6821718093082452E-3</v>
      </c>
      <c r="R34" s="6">
        <f t="shared" si="4"/>
        <v>6.4817066550289975E-3</v>
      </c>
      <c r="S34" s="6">
        <f t="shared" si="5"/>
        <v>3.4439571377978058E-3</v>
      </c>
      <c r="T34" s="6">
        <f t="shared" si="6"/>
        <v>1.9879454178103488E-4</v>
      </c>
      <c r="U34" s="467">
        <f t="shared" si="7"/>
        <v>24.382767634179409</v>
      </c>
    </row>
    <row r="35" spans="1:30" x14ac:dyDescent="0.25">
      <c r="A35" s="360">
        <v>2285002009</v>
      </c>
      <c r="B35" s="360" t="s">
        <v>76</v>
      </c>
      <c r="C35" s="360" t="s">
        <v>123</v>
      </c>
      <c r="D35" s="360" t="s">
        <v>41</v>
      </c>
      <c r="E35" s="110">
        <f>'NJT COMMUTER EMIS CTY'!E11</f>
        <v>0</v>
      </c>
      <c r="F35" s="110">
        <f>'NJT COMMUTER EMIS CTY'!K11</f>
        <v>0</v>
      </c>
      <c r="G35" s="110">
        <f>'NJT COMMUTER EMIS CTY'!F11</f>
        <v>0</v>
      </c>
      <c r="H35" s="110">
        <f>'NJT COMMUTER EMIS CTY'!G11</f>
        <v>0</v>
      </c>
      <c r="I35" s="110">
        <f>'NJT COMMUTER EMIS CTY'!H11</f>
        <v>0</v>
      </c>
      <c r="J35" s="110">
        <f>'NJT COMMUTER EMIS CTY'!I11</f>
        <v>0</v>
      </c>
      <c r="K35" s="110">
        <f>'NJT COMMUTER EMIS CTY'!J11</f>
        <v>0</v>
      </c>
      <c r="L35" s="110">
        <f>'NJT COMMUTER EMIS CTY'!L11</f>
        <v>0</v>
      </c>
      <c r="M35" s="110">
        <f>'NJT COMMUTER EMIS CTY'!M11</f>
        <v>0</v>
      </c>
      <c r="N35" s="6">
        <f t="shared" si="0"/>
        <v>0</v>
      </c>
      <c r="O35" s="6">
        <f t="shared" si="1"/>
        <v>0</v>
      </c>
      <c r="P35" s="6">
        <f t="shared" si="2"/>
        <v>0</v>
      </c>
      <c r="Q35" s="6">
        <f t="shared" si="3"/>
        <v>0</v>
      </c>
      <c r="R35" s="6">
        <f t="shared" si="4"/>
        <v>0</v>
      </c>
      <c r="S35" s="6">
        <f t="shared" si="5"/>
        <v>0</v>
      </c>
      <c r="T35" s="6">
        <f t="shared" si="6"/>
        <v>0</v>
      </c>
      <c r="U35" s="467">
        <f t="shared" si="7"/>
        <v>0</v>
      </c>
    </row>
    <row r="36" spans="1:30" x14ac:dyDescent="0.25">
      <c r="A36" s="360">
        <v>2285002009</v>
      </c>
      <c r="B36" s="360" t="s">
        <v>76</v>
      </c>
      <c r="C36" s="360" t="s">
        <v>115</v>
      </c>
      <c r="D36" s="360" t="s">
        <v>42</v>
      </c>
      <c r="E36" s="110">
        <f>'NJT COMMUTER EMIS CTY'!E12</f>
        <v>1580030.0899469894</v>
      </c>
      <c r="F36" s="110">
        <f>'NJT COMMUTER EMIS CTY'!K12</f>
        <v>8.8478336305209488</v>
      </c>
      <c r="G36" s="110">
        <f>'NJT COMMUTER EMIS CTY'!F12</f>
        <v>204.58263483594422</v>
      </c>
      <c r="H36" s="110">
        <f>'NJT COMMUTER EMIS CTY'!G12</f>
        <v>48.632214909573023</v>
      </c>
      <c r="I36" s="110">
        <f>'NJT COMMUTER EMIS CTY'!H12</f>
        <v>5.1145658708986037</v>
      </c>
      <c r="J36" s="110">
        <f>'NJT COMMUTER EMIS CTY'!I12</f>
        <v>4.9611288947716456</v>
      </c>
      <c r="K36" s="110">
        <f>'NJT COMMUTER EMIS CTY'!J12</f>
        <v>2.6360210632838821</v>
      </c>
      <c r="L36" s="110">
        <f>'NJT COMMUTER EMIS CTY'!L12</f>
        <v>0.15215828142848423</v>
      </c>
      <c r="M36" s="110">
        <f>'NJT COMMUTER EMIS CTY'!M12</f>
        <v>18662.685536775371</v>
      </c>
      <c r="N36" s="6">
        <f t="shared" si="0"/>
        <v>2.424064008361904E-2</v>
      </c>
      <c r="O36" s="6">
        <f t="shared" si="1"/>
        <v>0.56050036941354575</v>
      </c>
      <c r="P36" s="6">
        <f t="shared" si="2"/>
        <v>0.13323894495773431</v>
      </c>
      <c r="Q36" s="6">
        <f t="shared" si="3"/>
        <v>1.401250923533864E-2</v>
      </c>
      <c r="R36" s="6">
        <f t="shared" si="4"/>
        <v>1.3592133958278482E-2</v>
      </c>
      <c r="S36" s="6">
        <f t="shared" si="5"/>
        <v>7.2219755158462523E-3</v>
      </c>
      <c r="T36" s="6">
        <f t="shared" si="6"/>
        <v>4.1687200391365541E-4</v>
      </c>
      <c r="U36" s="467">
        <f t="shared" si="7"/>
        <v>51.130645306233895</v>
      </c>
    </row>
    <row r="37" spans="1:30" x14ac:dyDescent="0.25">
      <c r="A37" s="360">
        <v>2285002009</v>
      </c>
      <c r="B37" s="360" t="s">
        <v>76</v>
      </c>
      <c r="C37" s="360" t="s">
        <v>124</v>
      </c>
      <c r="D37" s="360" t="s">
        <v>24</v>
      </c>
      <c r="E37" s="110">
        <f>'NJT COMMUTER EMIS CTY'!E13</f>
        <v>946260.25978807651</v>
      </c>
      <c r="F37" s="110">
        <f>'NJT COMMUTER EMIS CTY'!K13</f>
        <v>5.298856903452597</v>
      </c>
      <c r="G37" s="110">
        <f>'NJT COMMUTER EMIS CTY'!F13</f>
        <v>122.52198133421919</v>
      </c>
      <c r="H37" s="110">
        <f>'NJT COMMUTER EMIS CTY'!G13</f>
        <v>29.125225277162965</v>
      </c>
      <c r="I37" s="110">
        <f>'NJT COMMUTER EMIS CTY'!H13</f>
        <v>3.0630495333554797</v>
      </c>
      <c r="J37" s="110">
        <f>'NJT COMMUTER EMIS CTY'!I13</f>
        <v>2.9711580473548151</v>
      </c>
      <c r="K37" s="110">
        <f>'NJT COMMUTER EMIS CTY'!J13</f>
        <v>1.5786800466778035</v>
      </c>
      <c r="L37" s="110">
        <f>'NJT COMMUTER EMIS CTY'!L13</f>
        <v>9.1125691738095538E-2</v>
      </c>
      <c r="M37" s="110">
        <f>'NJT COMMUTER EMIS CTY'!M13</f>
        <v>11176.848957961764</v>
      </c>
      <c r="N37" s="6">
        <f t="shared" si="0"/>
        <v>1.4517416173842732E-2</v>
      </c>
      <c r="O37" s="6">
        <f t="shared" si="1"/>
        <v>0.33567666118964162</v>
      </c>
      <c r="P37" s="6">
        <f t="shared" si="2"/>
        <v>7.9795137745651959E-2</v>
      </c>
      <c r="Q37" s="6">
        <f t="shared" si="3"/>
        <v>8.3919165297410402E-3</v>
      </c>
      <c r="R37" s="6">
        <f t="shared" si="4"/>
        <v>8.1401590338488084E-3</v>
      </c>
      <c r="S37" s="6">
        <f t="shared" si="5"/>
        <v>4.3251508128159004E-3</v>
      </c>
      <c r="T37" s="6">
        <f t="shared" si="6"/>
        <v>2.4965942941943984E-4</v>
      </c>
      <c r="U37" s="467">
        <f t="shared" si="7"/>
        <v>30.621503994415789</v>
      </c>
    </row>
    <row r="38" spans="1:30" x14ac:dyDescent="0.25">
      <c r="A38" s="360">
        <v>2285002009</v>
      </c>
      <c r="B38" s="360" t="s">
        <v>76</v>
      </c>
      <c r="C38" s="360" t="s">
        <v>125</v>
      </c>
      <c r="D38" s="360" t="s">
        <v>43</v>
      </c>
      <c r="E38" s="110">
        <f>'NJT COMMUTER EMIS CTY'!E14</f>
        <v>248646.0835600034</v>
      </c>
      <c r="F38" s="110">
        <f>'NJT COMMUTER EMIS CTY'!K14</f>
        <v>1.3923653696325049</v>
      </c>
      <c r="G38" s="110">
        <f>'NJT COMMUTER EMIS CTY'!F14</f>
        <v>32.194748213972623</v>
      </c>
      <c r="H38" s="110">
        <f>'NJT COMMUTER EMIS CTY'!G14</f>
        <v>7.6531515754357775</v>
      </c>
      <c r="I38" s="110">
        <f>'NJT COMMUTER EMIS CTY'!H14</f>
        <v>0.80486870534931543</v>
      </c>
      <c r="J38" s="110">
        <f>'NJT COMMUTER EMIS CTY'!I14</f>
        <v>0.78072264418883597</v>
      </c>
      <c r="K38" s="110">
        <f>'NJT COMMUTER EMIS CTY'!J14</f>
        <v>0.41482520980926579</v>
      </c>
      <c r="L38" s="110">
        <f>'NJT COMMUTER EMIS CTY'!L14</f>
        <v>2.3944835607328671E-2</v>
      </c>
      <c r="M38" s="110">
        <f>'NJT COMMUTER EMIS CTY'!M14</f>
        <v>2936.9084151978418</v>
      </c>
      <c r="N38" s="6">
        <f t="shared" si="0"/>
        <v>3.8146996428287806E-3</v>
      </c>
      <c r="O38" s="6">
        <f t="shared" si="1"/>
        <v>8.8204789627322255E-2</v>
      </c>
      <c r="P38" s="6">
        <f t="shared" si="2"/>
        <v>2.0967538562837746E-2</v>
      </c>
      <c r="Q38" s="6">
        <f t="shared" si="3"/>
        <v>2.2051197406830559E-3</v>
      </c>
      <c r="R38" s="6">
        <f t="shared" si="4"/>
        <v>2.1389661484625642E-3</v>
      </c>
      <c r="S38" s="6">
        <f t="shared" si="5"/>
        <v>1.1365074241349747E-3</v>
      </c>
      <c r="T38" s="6">
        <f t="shared" si="6"/>
        <v>6.5602289335147041E-5</v>
      </c>
      <c r="U38" s="467">
        <f t="shared" si="7"/>
        <v>8.0463244251995665</v>
      </c>
    </row>
    <row r="39" spans="1:30" x14ac:dyDescent="0.25">
      <c r="A39" s="360">
        <v>2285002009</v>
      </c>
      <c r="B39" s="360" t="s">
        <v>76</v>
      </c>
      <c r="C39" s="360" t="s">
        <v>116</v>
      </c>
      <c r="D39" s="360" t="s">
        <v>44</v>
      </c>
      <c r="E39" s="110">
        <f>'NJT COMMUTER EMIS CTY'!E15</f>
        <v>944985.13007111382</v>
      </c>
      <c r="F39" s="110">
        <f>'NJT COMMUTER EMIS CTY'!K15</f>
        <v>5.2917164472898932</v>
      </c>
      <c r="G39" s="110">
        <f>'NJT COMMUTER EMIS CTY'!F15</f>
        <v>122.35687726505392</v>
      </c>
      <c r="H39" s="110">
        <f>'NJT COMMUTER EMIS CTY'!G15</f>
        <v>29.08597768129281</v>
      </c>
      <c r="I39" s="110">
        <f>'NJT COMMUTER EMIS CTY'!H15</f>
        <v>3.0589219316263474</v>
      </c>
      <c r="J39" s="110">
        <f>'NJT COMMUTER EMIS CTY'!I15</f>
        <v>2.9671542736775569</v>
      </c>
      <c r="K39" s="110">
        <f>'NJT COMMUTER EMIS CTY'!J15</f>
        <v>1.5765527018799295</v>
      </c>
      <c r="L39" s="110">
        <f>'NJT COMMUTER EMIS CTY'!L15</f>
        <v>9.1002895629612585E-2</v>
      </c>
      <c r="M39" s="110">
        <f>'NJT COMMUTER EMIS CTY'!M15</f>
        <v>11161.787634080854</v>
      </c>
      <c r="N39" s="6">
        <f t="shared" ref="N39:N70" si="8">F39/365</f>
        <v>1.4497853280246283E-2</v>
      </c>
      <c r="O39" s="6">
        <f t="shared" ref="O39:O70" si="9">G39/365</f>
        <v>0.33522432127412033</v>
      </c>
      <c r="P39" s="6">
        <f t="shared" ref="P39:P70" si="10">H39/365</f>
        <v>7.9687610085733732E-2</v>
      </c>
      <c r="Q39" s="6">
        <f t="shared" ref="Q39:Q70" si="11">I39/365</f>
        <v>8.3806080318530058E-3</v>
      </c>
      <c r="R39" s="6">
        <f t="shared" ref="R39:R70" si="12">J39/365</f>
        <v>8.1291897908974155E-3</v>
      </c>
      <c r="S39" s="6">
        <f t="shared" ref="S39:S70" si="13">K39/365</f>
        <v>4.3193224709039161E-3</v>
      </c>
      <c r="T39" s="6">
        <f t="shared" ref="T39:T70" si="14">L39/365</f>
        <v>2.4932300172496601E-4</v>
      </c>
      <c r="U39" s="467">
        <f t="shared" ref="U39:U70" si="15">M39/365</f>
        <v>30.580240093372204</v>
      </c>
    </row>
    <row r="40" spans="1:30" x14ac:dyDescent="0.25">
      <c r="A40" s="360">
        <v>2285002009</v>
      </c>
      <c r="B40" s="360" t="s">
        <v>76</v>
      </c>
      <c r="C40" s="360" t="s">
        <v>126</v>
      </c>
      <c r="D40" s="360" t="s">
        <v>45</v>
      </c>
      <c r="E40" s="110">
        <f>'NJT COMMUTER EMIS CTY'!E16</f>
        <v>2385167.5854352834</v>
      </c>
      <c r="F40" s="110">
        <f>'NJT COMMUTER EMIS CTY'!K16</f>
        <v>13.356432963596776</v>
      </c>
      <c r="G40" s="110">
        <f>'NJT COMMUTER EMIS CTY'!F16</f>
        <v>308.83201038912404</v>
      </c>
      <c r="H40" s="110">
        <f>'NJT COMMUTER EMIS CTY'!G16</f>
        <v>73.413780755357493</v>
      </c>
      <c r="I40" s="110">
        <f>'NJT COMMUTER EMIS CTY'!H16</f>
        <v>7.7208002597281</v>
      </c>
      <c r="J40" s="110">
        <f>'NJT COMMUTER EMIS CTY'!I16</f>
        <v>7.4891762519362572</v>
      </c>
      <c r="K40" s="110">
        <f>'NJT COMMUTER EMIS CTY'!J16</f>
        <v>3.979260923366533</v>
      </c>
      <c r="L40" s="110">
        <f>'NJT COMMUTER EMIS CTY'!L16</f>
        <v>0.22969372737131619</v>
      </c>
      <c r="M40" s="110">
        <f>'NJT COMMUTER EMIS CTY'!M16</f>
        <v>28172.648662015003</v>
      </c>
      <c r="N40" s="6">
        <f t="shared" si="8"/>
        <v>3.659296702355281E-2</v>
      </c>
      <c r="O40" s="6">
        <f t="shared" si="9"/>
        <v>0.84611509695650422</v>
      </c>
      <c r="P40" s="6">
        <f t="shared" si="10"/>
        <v>0.20113364590508903</v>
      </c>
      <c r="Q40" s="6">
        <f t="shared" si="11"/>
        <v>2.1152877423912603E-2</v>
      </c>
      <c r="R40" s="6">
        <f t="shared" si="12"/>
        <v>2.0518291101195227E-2</v>
      </c>
      <c r="S40" s="6">
        <f t="shared" si="13"/>
        <v>1.0902084721552146E-2</v>
      </c>
      <c r="T40" s="6">
        <f t="shared" si="14"/>
        <v>6.2929788320908542E-4</v>
      </c>
      <c r="U40" s="467">
        <f t="shared" si="15"/>
        <v>77.185338800041109</v>
      </c>
    </row>
    <row r="41" spans="1:30" x14ac:dyDescent="0.25">
      <c r="A41" s="360">
        <v>2285002009</v>
      </c>
      <c r="B41" s="360" t="s">
        <v>76</v>
      </c>
      <c r="C41" s="360" t="s">
        <v>127</v>
      </c>
      <c r="D41" s="360" t="s">
        <v>50</v>
      </c>
      <c r="E41" s="110">
        <f>'NJT COMMUTER EMIS CTY'!E17</f>
        <v>1278816.142878551</v>
      </c>
      <c r="F41" s="110">
        <f>'NJT COMMUTER EMIS CTY'!K17</f>
        <v>7.1610993665275959</v>
      </c>
      <c r="G41" s="110">
        <f>'NJT COMMUTER EMIS CTY'!F17</f>
        <v>165.58138838331286</v>
      </c>
      <c r="H41" s="110">
        <f>'NJT COMMUTER EMIS CTY'!G17</f>
        <v>39.361061467118944</v>
      </c>
      <c r="I41" s="110">
        <f>'NJT COMMUTER EMIS CTY'!H17</f>
        <v>4.1395347095828212</v>
      </c>
      <c r="J41" s="110">
        <f>'NJT COMMUTER EMIS CTY'!I17</f>
        <v>4.0153486682953368</v>
      </c>
      <c r="K41" s="110">
        <f>'NJT COMMUTER EMIS CTY'!J17</f>
        <v>2.1334949949012731</v>
      </c>
      <c r="L41" s="110">
        <f>'NJT COMMUTER EMIS CTY'!L17</f>
        <v>0.123151114527149</v>
      </c>
      <c r="M41" s="110">
        <f>'NJT COMMUTER EMIS CTY'!M17</f>
        <v>15104.866474217031</v>
      </c>
      <c r="N41" s="6">
        <f t="shared" si="8"/>
        <v>1.9619450319253686E-2</v>
      </c>
      <c r="O41" s="6">
        <f t="shared" si="9"/>
        <v>0.45364763940633657</v>
      </c>
      <c r="P41" s="6">
        <f t="shared" si="10"/>
        <v>0.10783852456744916</v>
      </c>
      <c r="Q41" s="6">
        <f t="shared" si="11"/>
        <v>1.1341190985158414E-2</v>
      </c>
      <c r="R41" s="6">
        <f t="shared" si="12"/>
        <v>1.1000955255603663E-2</v>
      </c>
      <c r="S41" s="6">
        <f t="shared" si="13"/>
        <v>5.8451917668528031E-3</v>
      </c>
      <c r="T41" s="6">
        <f t="shared" si="14"/>
        <v>3.3740031377301095E-4</v>
      </c>
      <c r="U41" s="467">
        <f t="shared" si="15"/>
        <v>41.383195819772688</v>
      </c>
    </row>
    <row r="42" spans="1:30" ht="14.25" customHeight="1" x14ac:dyDescent="0.25">
      <c r="A42" s="360">
        <v>2285002009</v>
      </c>
      <c r="B42" s="360" t="s">
        <v>76</v>
      </c>
      <c r="C42" s="360" t="s">
        <v>128</v>
      </c>
      <c r="D42" s="360" t="s">
        <v>22</v>
      </c>
      <c r="E42" s="110">
        <f>'NJT COMMUTER EMIS CTY'!E18</f>
        <v>98442.889373890255</v>
      </c>
      <c r="F42" s="110">
        <f>'NJT COMMUTER EMIS CTY'!K18</f>
        <v>0.55125931640781733</v>
      </c>
      <c r="G42" s="110">
        <f>'NJT COMMUTER EMIS CTY'!F18</f>
        <v>12.746406424227994</v>
      </c>
      <c r="H42" s="110">
        <f>'NJT COMMUTER EMIS CTY'!G18</f>
        <v>3.0300028985593399</v>
      </c>
      <c r="I42" s="110">
        <f>'NJT COMMUTER EMIS CTY'!H18</f>
        <v>0.31866016060569979</v>
      </c>
      <c r="J42" s="110">
        <f>'NJT COMMUTER EMIS CTY'!I18</f>
        <v>0.30910035578752876</v>
      </c>
      <c r="K42" s="110">
        <f>'NJT COMMUTER EMIS CTY'!J18</f>
        <v>0.16423581523615535</v>
      </c>
      <c r="L42" s="110">
        <f>'NJT COMMUTER EMIS CTY'!L18</f>
        <v>9.4801364615075649E-3</v>
      </c>
      <c r="M42" s="110">
        <f>'NJT COMMUTER EMIS CTY'!M18</f>
        <v>1162.7681646101553</v>
      </c>
      <c r="N42" s="6">
        <f t="shared" si="8"/>
        <v>1.5102994970077187E-3</v>
      </c>
      <c r="O42" s="6">
        <f t="shared" si="9"/>
        <v>3.4921661436241078E-2</v>
      </c>
      <c r="P42" s="6">
        <f t="shared" si="10"/>
        <v>8.3013778042721649E-3</v>
      </c>
      <c r="Q42" s="6">
        <f t="shared" si="11"/>
        <v>8.7304153590602688E-4</v>
      </c>
      <c r="R42" s="6">
        <f t="shared" si="12"/>
        <v>8.4685028982884594E-4</v>
      </c>
      <c r="S42" s="6">
        <f t="shared" si="13"/>
        <v>4.4996113763330235E-4</v>
      </c>
      <c r="T42" s="6">
        <f t="shared" si="14"/>
        <v>2.5972976606870041E-5</v>
      </c>
      <c r="U42" s="467">
        <f t="shared" si="15"/>
        <v>3.1856662044113842</v>
      </c>
    </row>
    <row r="43" spans="1:30" x14ac:dyDescent="0.25">
      <c r="A43" s="360">
        <v>2285002009</v>
      </c>
      <c r="B43" s="360" t="s">
        <v>76</v>
      </c>
      <c r="C43" s="360" t="s">
        <v>129</v>
      </c>
      <c r="D43" s="360" t="s">
        <v>66</v>
      </c>
      <c r="E43" s="110">
        <f>'NJT COMMUTER EMIS CTY'!E19</f>
        <v>1261614.9975380159</v>
      </c>
      <c r="F43" s="110">
        <f>'NJT COMMUTER EMIS CTY'!K19</f>
        <v>7.0647765982488151</v>
      </c>
      <c r="G43" s="110">
        <f>'NJT COMMUTER EMIS CTY'!F19</f>
        <v>163.35418039635562</v>
      </c>
      <c r="H43" s="110">
        <f>'NJT COMMUTER EMIS CTY'!G19</f>
        <v>38.83162231136226</v>
      </c>
      <c r="I43" s="110">
        <f>'NJT COMMUTER EMIS CTY'!H19</f>
        <v>4.0838545099088908</v>
      </c>
      <c r="J43" s="110">
        <f>'NJT COMMUTER EMIS CTY'!I19</f>
        <v>3.9613388746116232</v>
      </c>
      <c r="K43" s="110">
        <f>'NJT COMMUTER EMIS CTY'!J19</f>
        <v>2.1047977050719511</v>
      </c>
      <c r="L43" s="110">
        <f>'NJT COMMUTER EMIS CTY'!L19</f>
        <v>0.12149462916635109</v>
      </c>
      <c r="M43" s="110">
        <f>'NJT COMMUTER EMIS CTY'!M19</f>
        <v>14901.693402763976</v>
      </c>
      <c r="N43" s="6">
        <f t="shared" si="8"/>
        <v>1.9355552323969356E-2</v>
      </c>
      <c r="O43" s="6">
        <f t="shared" si="9"/>
        <v>0.4475456997160428</v>
      </c>
      <c r="P43" s="6">
        <f t="shared" si="10"/>
        <v>0.10638800633249934</v>
      </c>
      <c r="Q43" s="6">
        <f t="shared" si="11"/>
        <v>1.1188642492901071E-2</v>
      </c>
      <c r="R43" s="6">
        <f t="shared" si="12"/>
        <v>1.0852983218114036E-2</v>
      </c>
      <c r="S43" s="6">
        <f t="shared" si="13"/>
        <v>5.7665690549916467E-3</v>
      </c>
      <c r="T43" s="6">
        <f t="shared" si="14"/>
        <v>3.328619977160304E-4</v>
      </c>
      <c r="U43" s="467">
        <f t="shared" si="15"/>
        <v>40.826557267846511</v>
      </c>
    </row>
    <row r="44" spans="1:30" x14ac:dyDescent="0.25">
      <c r="A44" s="360">
        <v>2285002009</v>
      </c>
      <c r="B44" s="360" t="s">
        <v>76</v>
      </c>
      <c r="C44" s="360" t="s">
        <v>130</v>
      </c>
      <c r="D44" s="360" t="s">
        <v>46</v>
      </c>
      <c r="E44" s="110">
        <f>'NJT COMMUTER EMIS CTY'!E20</f>
        <v>0</v>
      </c>
      <c r="F44" s="110">
        <f>'NJT COMMUTER EMIS CTY'!K20</f>
        <v>0</v>
      </c>
      <c r="G44" s="110">
        <f>'NJT COMMUTER EMIS CTY'!F20</f>
        <v>0</v>
      </c>
      <c r="H44" s="110">
        <f>'NJT COMMUTER EMIS CTY'!G20</f>
        <v>0</v>
      </c>
      <c r="I44" s="110">
        <f>'NJT COMMUTER EMIS CTY'!H20</f>
        <v>0</v>
      </c>
      <c r="J44" s="110">
        <f>'NJT COMMUTER EMIS CTY'!I20</f>
        <v>0</v>
      </c>
      <c r="K44" s="110">
        <f>'NJT COMMUTER EMIS CTY'!J20</f>
        <v>0</v>
      </c>
      <c r="L44" s="110">
        <f>'NJT COMMUTER EMIS CTY'!L20</f>
        <v>0</v>
      </c>
      <c r="M44" s="110">
        <f>'NJT COMMUTER EMIS CTY'!M20</f>
        <v>0</v>
      </c>
      <c r="N44" s="6">
        <f t="shared" si="8"/>
        <v>0</v>
      </c>
      <c r="O44" s="6">
        <f t="shared" si="9"/>
        <v>0</v>
      </c>
      <c r="P44" s="6">
        <f t="shared" si="10"/>
        <v>0</v>
      </c>
      <c r="Q44" s="6">
        <f t="shared" si="11"/>
        <v>0</v>
      </c>
      <c r="R44" s="6">
        <f t="shared" si="12"/>
        <v>0</v>
      </c>
      <c r="S44" s="6">
        <f t="shared" si="13"/>
        <v>0</v>
      </c>
      <c r="T44" s="6">
        <f t="shared" si="14"/>
        <v>0</v>
      </c>
      <c r="U44" s="467">
        <f t="shared" si="15"/>
        <v>0</v>
      </c>
    </row>
    <row r="45" spans="1:30" x14ac:dyDescent="0.25">
      <c r="A45" s="360">
        <v>2285002009</v>
      </c>
      <c r="B45" s="360" t="s">
        <v>76</v>
      </c>
      <c r="C45" s="360" t="s">
        <v>131</v>
      </c>
      <c r="D45" s="360" t="s">
        <v>47</v>
      </c>
      <c r="E45" s="110">
        <f>'NJT COMMUTER EMIS CTY'!E21</f>
        <v>965656.64002383419</v>
      </c>
      <c r="F45" s="110">
        <f>'NJT COMMUTER EMIS CTY'!K21</f>
        <v>5.4074725218843112</v>
      </c>
      <c r="G45" s="110">
        <f>'NJT COMMUTER EMIS CTY'!F21</f>
        <v>125.0334288061115</v>
      </c>
      <c r="H45" s="110">
        <f>'NJT COMMUTER EMIS CTY'!G21</f>
        <v>29.722232219052795</v>
      </c>
      <c r="I45" s="110">
        <f>'NJT COMMUTER EMIS CTY'!H21</f>
        <v>3.1258357201527871</v>
      </c>
      <c r="J45" s="110">
        <f>'NJT COMMUTER EMIS CTY'!I21</f>
        <v>3.0320606485482036</v>
      </c>
      <c r="K45" s="110">
        <f>'NJT COMMUTER EMIS CTY'!J21</f>
        <v>1.6110397258878595</v>
      </c>
      <c r="L45" s="110">
        <f>'NJT COMMUTER EMIS CTY'!L21</f>
        <v>9.2993580141857088E-2</v>
      </c>
      <c r="M45" s="110">
        <f>'NJT COMMUTER EMIS CTY'!M21</f>
        <v>11405.951268857511</v>
      </c>
      <c r="N45" s="6">
        <f t="shared" si="8"/>
        <v>1.4814993210641949E-2</v>
      </c>
      <c r="O45" s="6">
        <f t="shared" si="9"/>
        <v>0.342557339194826</v>
      </c>
      <c r="P45" s="6">
        <f t="shared" si="10"/>
        <v>8.1430773202884374E-2</v>
      </c>
      <c r="Q45" s="6">
        <f t="shared" si="11"/>
        <v>8.5639334798706494E-3</v>
      </c>
      <c r="R45" s="6">
        <f t="shared" si="12"/>
        <v>8.3070154754745305E-3</v>
      </c>
      <c r="S45" s="6">
        <f t="shared" si="13"/>
        <v>4.4138074681859167E-3</v>
      </c>
      <c r="T45" s="6">
        <f t="shared" si="14"/>
        <v>2.5477693189549888E-4</v>
      </c>
      <c r="U45" s="467">
        <f t="shared" si="15"/>
        <v>31.249181558513726</v>
      </c>
    </row>
    <row r="46" spans="1:30" x14ac:dyDescent="0.25">
      <c r="A46" s="360">
        <v>2285002009</v>
      </c>
      <c r="B46" s="360" t="s">
        <v>76</v>
      </c>
      <c r="C46" s="360" t="s">
        <v>132</v>
      </c>
      <c r="D46" s="360" t="s">
        <v>67</v>
      </c>
      <c r="E46" s="110">
        <f>'NJT COMMUTER EMIS CTY'!E22</f>
        <v>0</v>
      </c>
      <c r="F46" s="110">
        <f>'NJT COMMUTER EMIS CTY'!K22</f>
        <v>0</v>
      </c>
      <c r="G46" s="110">
        <f>'NJT COMMUTER EMIS CTY'!F22</f>
        <v>0</v>
      </c>
      <c r="H46" s="110">
        <f>'NJT COMMUTER EMIS CTY'!G22</f>
        <v>0</v>
      </c>
      <c r="I46" s="110">
        <f>'NJT COMMUTER EMIS CTY'!H22</f>
        <v>0</v>
      </c>
      <c r="J46" s="110">
        <f>'NJT COMMUTER EMIS CTY'!I22</f>
        <v>0</v>
      </c>
      <c r="K46" s="110">
        <f>'NJT COMMUTER EMIS CTY'!J22</f>
        <v>0</v>
      </c>
      <c r="L46" s="110">
        <f>'NJT COMMUTER EMIS CTY'!L22</f>
        <v>0</v>
      </c>
      <c r="M46" s="110">
        <f>'NJT COMMUTER EMIS CTY'!M22</f>
        <v>0</v>
      </c>
      <c r="N46" s="6">
        <f t="shared" si="8"/>
        <v>0</v>
      </c>
      <c r="O46" s="6">
        <f t="shared" si="9"/>
        <v>0</v>
      </c>
      <c r="P46" s="6">
        <f t="shared" si="10"/>
        <v>0</v>
      </c>
      <c r="Q46" s="6">
        <f t="shared" si="11"/>
        <v>0</v>
      </c>
      <c r="R46" s="6">
        <f t="shared" si="12"/>
        <v>0</v>
      </c>
      <c r="S46" s="6">
        <f t="shared" si="13"/>
        <v>0</v>
      </c>
      <c r="T46" s="6">
        <f t="shared" si="14"/>
        <v>0</v>
      </c>
      <c r="U46" s="467">
        <f t="shared" si="15"/>
        <v>0</v>
      </c>
    </row>
    <row r="47" spans="1:30" x14ac:dyDescent="0.25">
      <c r="A47" s="360">
        <v>2285002009</v>
      </c>
      <c r="B47" s="360" t="s">
        <v>76</v>
      </c>
      <c r="C47" s="360" t="s">
        <v>117</v>
      </c>
      <c r="D47" s="360" t="s">
        <v>48</v>
      </c>
      <c r="E47" s="110">
        <f>'NJT COMMUTER EMIS CTY'!E23</f>
        <v>1448566.7864631081</v>
      </c>
      <c r="F47" s="110">
        <f>'NJT COMMUTER EMIS CTY'!K23</f>
        <v>8.1116669934772894</v>
      </c>
      <c r="G47" s="110">
        <f>'NJT COMMUTER EMIS CTY'!F23</f>
        <v>187.56073811252662</v>
      </c>
      <c r="H47" s="110">
        <f>'NJT COMMUTER EMIS CTY'!G23</f>
        <v>44.585866888463478</v>
      </c>
      <c r="I47" s="110">
        <f>'NJT COMMUTER EMIS CTY'!H23</f>
        <v>4.6890184528131655</v>
      </c>
      <c r="J47" s="110">
        <f>'NJT COMMUTER EMIS CTY'!I23</f>
        <v>4.5483478992287694</v>
      </c>
      <c r="K47" s="110">
        <f>'NJT COMMUTER EMIS CTY'!J23</f>
        <v>2.4166961028054272</v>
      </c>
      <c r="L47" s="110">
        <f>'NJT COMMUTER EMIS CTY'!L23</f>
        <v>0.13949825016940245</v>
      </c>
      <c r="M47" s="110">
        <f>'NJT COMMUTER EMIS CTY'!M23</f>
        <v>17109.893404425755</v>
      </c>
      <c r="N47" s="6">
        <f t="shared" si="8"/>
        <v>2.2223745187609011E-2</v>
      </c>
      <c r="O47" s="6">
        <f t="shared" si="9"/>
        <v>0.51386503592473043</v>
      </c>
      <c r="P47" s="6">
        <f t="shared" si="10"/>
        <v>0.1221530599683931</v>
      </c>
      <c r="Q47" s="6">
        <f t="shared" si="11"/>
        <v>1.2846625898118262E-2</v>
      </c>
      <c r="R47" s="6">
        <f t="shared" si="12"/>
        <v>1.2461227121174711E-2</v>
      </c>
      <c r="S47" s="6">
        <f t="shared" si="13"/>
        <v>6.6210852131655543E-3</v>
      </c>
      <c r="T47" s="6">
        <f t="shared" si="14"/>
        <v>3.8218698676548618E-4</v>
      </c>
      <c r="U47" s="467">
        <f t="shared" si="15"/>
        <v>46.876420286097961</v>
      </c>
    </row>
    <row r="48" spans="1:30" ht="15.75" thickBot="1" x14ac:dyDescent="0.3">
      <c r="A48" s="299">
        <v>2285002009</v>
      </c>
      <c r="B48" s="299" t="s">
        <v>76</v>
      </c>
      <c r="C48" s="299" t="s">
        <v>133</v>
      </c>
      <c r="D48" s="299" t="s">
        <v>25</v>
      </c>
      <c r="E48" s="340">
        <f>'NJT COMMUTER EMIS CTY'!E24</f>
        <v>64425.803411954592</v>
      </c>
      <c r="F48" s="340">
        <f>'NJT COMMUTER EMIS CTY'!K24</f>
        <v>0.36077084463672948</v>
      </c>
      <c r="G48" s="340">
        <f>'NJT COMMUTER EMIS CTY'!F24</f>
        <v>8.3418668399425471</v>
      </c>
      <c r="H48" s="340">
        <f>'NJT COMMUTER EMIS CTY'!G24</f>
        <v>1.9829809173806283</v>
      </c>
      <c r="I48" s="340">
        <f>'NJT COMMUTER EMIS CTY'!H24</f>
        <v>0.20854667099856367</v>
      </c>
      <c r="J48" s="340">
        <f>'NJT COMMUTER EMIS CTY'!I24</f>
        <v>0.20229027086860674</v>
      </c>
      <c r="K48" s="340">
        <f>'NJT COMMUTER EMIS CTY'!J24</f>
        <v>0.10748388647370422</v>
      </c>
      <c r="L48" s="340">
        <f>'NJT COMMUTER EMIS CTY'!L24</f>
        <v>6.2042612917208913E-3</v>
      </c>
      <c r="M48" s="340">
        <f>'NJT COMMUTER EMIS CTY'!M24</f>
        <v>760.97190628297335</v>
      </c>
      <c r="N48" s="463">
        <f t="shared" si="8"/>
        <v>9.8841327297734109E-4</v>
      </c>
      <c r="O48" s="463">
        <f t="shared" si="9"/>
        <v>2.285442969847273E-2</v>
      </c>
      <c r="P48" s="463">
        <f t="shared" si="10"/>
        <v>5.4328244311798038E-3</v>
      </c>
      <c r="Q48" s="463">
        <f t="shared" si="11"/>
        <v>5.7136074246181829E-4</v>
      </c>
      <c r="R48" s="463">
        <f t="shared" si="12"/>
        <v>5.542199201879637E-4</v>
      </c>
      <c r="S48" s="463">
        <f t="shared" si="13"/>
        <v>2.9447640129781979E-4</v>
      </c>
      <c r="T48" s="463">
        <f t="shared" si="14"/>
        <v>1.6997976141701073E-5</v>
      </c>
      <c r="U48" s="468">
        <f t="shared" si="15"/>
        <v>2.0848545377615708</v>
      </c>
      <c r="V48" s="136">
        <f>SUM(E28:E48)</f>
        <v>16897282.81094908</v>
      </c>
      <c r="W48" s="136">
        <f>SUM(G28:G48)</f>
        <v>2187.8638014723201</v>
      </c>
      <c r="X48" s="136">
        <f>SUM(H28:H48)</f>
        <v>520.08648080713431</v>
      </c>
      <c r="Y48" s="136">
        <f>SUM(I28:I48)</f>
        <v>54.696595036807992</v>
      </c>
      <c r="Z48" s="136">
        <f>SUM(J28:J48)</f>
        <v>53.055697185703757</v>
      </c>
      <c r="AA48" s="136">
        <f>SUM(K28:K48)</f>
        <v>28.190345035404256</v>
      </c>
      <c r="AB48" s="136">
        <f>SUM(F28:F48)</f>
        <v>94.621202514032348</v>
      </c>
      <c r="AC48" s="136">
        <f>SUM(L28:L48)</f>
        <v>1.6272231330805469</v>
      </c>
      <c r="AD48" s="136">
        <f>SUM(M28:M48)</f>
        <v>199583.9683896669</v>
      </c>
    </row>
    <row r="49" spans="1:30" x14ac:dyDescent="0.25">
      <c r="A49" s="106">
        <v>2285002007</v>
      </c>
      <c r="B49" s="106" t="s">
        <v>74</v>
      </c>
      <c r="C49" s="106" t="s">
        <v>120</v>
      </c>
      <c r="D49" s="106" t="s">
        <v>37</v>
      </c>
      <c r="E49" s="441">
        <f>'LINE HAUL CLASS 23 TOTAL BY CTY'!D4</f>
        <v>2137.6</v>
      </c>
      <c r="F49" s="441">
        <f>'LINE HAUL CLASS 23 TOTAL BY CTY'!J4</f>
        <v>3.0445706820032861E-2</v>
      </c>
      <c r="G49" s="441">
        <f>'LINE HAUL CLASS 23 TOTAL BY CTY'!E4</f>
        <v>0.58567970360206389</v>
      </c>
      <c r="H49" s="441">
        <f>'LINE HAUL CLASS 23 TOTAL BY CTY'!F4</f>
        <v>5.7569596519467012E-2</v>
      </c>
      <c r="I49" s="441">
        <f>'LINE HAUL CLASS 23 TOTAL BY CTY'!G4</f>
        <v>1.3344600841566016E-2</v>
      </c>
      <c r="J49" s="441">
        <f>'LINE HAUL CLASS 23 TOTAL BY CTY'!H4</f>
        <v>1.2944262816319038E-2</v>
      </c>
      <c r="K49" s="441">
        <f>'LINE HAUL CLASS 23 TOTAL BY CTY'!I4</f>
        <v>3.1204556344440176E-3</v>
      </c>
      <c r="L49" s="441">
        <f>'LINE HAUL CLASS 23 TOTAL BY CTY'!K4</f>
        <v>2.058527520779305E-4</v>
      </c>
      <c r="M49" s="441">
        <f>'LINE HAUL CLASS 23 TOTAL BY CTY'!L4</f>
        <v>25.248479036718518</v>
      </c>
      <c r="N49">
        <f t="shared" si="8"/>
        <v>8.3412895397350306E-5</v>
      </c>
      <c r="O49">
        <f t="shared" si="9"/>
        <v>1.6046019276768873E-3</v>
      </c>
      <c r="P49">
        <f t="shared" si="10"/>
        <v>1.5772492197114251E-4</v>
      </c>
      <c r="Q49">
        <f t="shared" si="11"/>
        <v>3.6560550250865796E-5</v>
      </c>
      <c r="R49">
        <f t="shared" si="12"/>
        <v>3.5463733743339832E-5</v>
      </c>
      <c r="S49">
        <f t="shared" si="13"/>
        <v>8.5491935190247055E-6</v>
      </c>
      <c r="T49">
        <f t="shared" si="14"/>
        <v>5.6398014267926164E-7</v>
      </c>
      <c r="U49">
        <f t="shared" si="15"/>
        <v>6.9173915169091826E-2</v>
      </c>
      <c r="V49" s="136">
        <f>'NJT COMMUTER EMIS CTY'!E25</f>
        <v>16897282.81094908</v>
      </c>
      <c r="W49" s="136">
        <f>'NJT COMMUTER EMIS CTY'!F25</f>
        <v>2187.8638014723201</v>
      </c>
      <c r="X49" s="136">
        <f>'NJT COMMUTER EMIS CTY'!G25</f>
        <v>520.08648080713431</v>
      </c>
      <c r="Y49" s="136">
        <f>'NJT COMMUTER EMIS CTY'!H25</f>
        <v>54.696595036807992</v>
      </c>
      <c r="Z49" s="136">
        <f>'NJT COMMUTER EMIS CTY'!I25</f>
        <v>53.055697185703757</v>
      </c>
      <c r="AA49" s="136">
        <f>'NJT COMMUTER EMIS CTY'!J25</f>
        <v>28.190345035404256</v>
      </c>
      <c r="AB49" s="136">
        <f>'NJT COMMUTER EMIS CTY'!K25</f>
        <v>94.621202514032348</v>
      </c>
      <c r="AC49" s="136">
        <f>'NJT COMMUTER EMIS CTY'!L25</f>
        <v>1.6272231330805469</v>
      </c>
      <c r="AD49" s="136">
        <f>'NJT COMMUTER EMIS CTY'!M25</f>
        <v>199583.9683896669</v>
      </c>
    </row>
    <row r="50" spans="1:30" x14ac:dyDescent="0.25">
      <c r="A50" s="360">
        <v>2285002007</v>
      </c>
      <c r="B50" s="360" t="s">
        <v>74</v>
      </c>
      <c r="C50" s="360" t="s">
        <v>113</v>
      </c>
      <c r="D50" s="360" t="s">
        <v>65</v>
      </c>
      <c r="E50" s="110">
        <f>'LINE HAUL CLASS 23 TOTAL BY CTY'!D5</f>
        <v>84184.540000000008</v>
      </c>
      <c r="F50" s="110">
        <f>'LINE HAUL CLASS 23 TOTAL BY CTY'!J5</f>
        <v>0.73228783668675101</v>
      </c>
      <c r="G50" s="110">
        <f>'LINE HAUL CLASS 23 TOTAL BY CTY'!E5</f>
        <v>15.386746575245551</v>
      </c>
      <c r="H50" s="110">
        <f>'LINE HAUL CLASS 23 TOTAL BY CTY'!F5</f>
        <v>2.4750162637726412</v>
      </c>
      <c r="I50" s="110">
        <f>'LINE HAUL CLASS 23 TOTAL BY CTY'!G5</f>
        <v>0.36947123230717027</v>
      </c>
      <c r="J50" s="110">
        <f>'LINE HAUL CLASS 23 TOTAL BY CTY'!H5</f>
        <v>0.35838709533795521</v>
      </c>
      <c r="K50" s="110">
        <f>'LINE HAUL CLASS 23 TOTAL BY CTY'!I5</f>
        <v>0.1341537706108179</v>
      </c>
      <c r="L50" s="110">
        <f>'LINE HAUL CLASS 23 TOTAL BY CTY'!K5</f>
        <v>8.107044929553997E-3</v>
      </c>
      <c r="M50" s="110">
        <f>'LINE HAUL CLASS 23 TOTAL BY CTY'!L5</f>
        <v>994.35422595705063</v>
      </c>
      <c r="N50">
        <f t="shared" si="8"/>
        <v>2.0062680457171261E-3</v>
      </c>
      <c r="O50">
        <f t="shared" si="9"/>
        <v>4.2155470069165896E-2</v>
      </c>
      <c r="P50">
        <f t="shared" si="10"/>
        <v>6.7808664760894283E-3</v>
      </c>
      <c r="Q50">
        <f t="shared" si="11"/>
        <v>1.0122499515264939E-3</v>
      </c>
      <c r="R50">
        <f t="shared" si="12"/>
        <v>9.8188245298069928E-4</v>
      </c>
      <c r="S50">
        <f t="shared" si="13"/>
        <v>3.6754457701593945E-4</v>
      </c>
      <c r="T50">
        <f t="shared" si="14"/>
        <v>2.2211081998778073E-5</v>
      </c>
      <c r="U50">
        <f t="shared" si="15"/>
        <v>2.7242581533069878</v>
      </c>
    </row>
    <row r="51" spans="1:30" x14ac:dyDescent="0.25">
      <c r="A51" s="360">
        <v>2285002007</v>
      </c>
      <c r="B51" s="360" t="s">
        <v>74</v>
      </c>
      <c r="C51" s="360" t="s">
        <v>88</v>
      </c>
      <c r="D51" s="360" t="s">
        <v>21</v>
      </c>
      <c r="E51" s="110">
        <f>'LINE HAUL CLASS 23 TOTAL BY CTY'!D6</f>
        <v>52674.146797697264</v>
      </c>
      <c r="F51" s="110">
        <f>'LINE HAUL CLASS 23 TOTAL BY CTY'!J6</f>
        <v>0.7502346699092739</v>
      </c>
      <c r="G51" s="110">
        <f>'LINE HAUL CLASS 23 TOTAL BY CTY'!E6</f>
        <v>14.43215694422106</v>
      </c>
      <c r="H51" s="110">
        <f>'LINE HAUL CLASS 23 TOTAL BY CTY'!F6</f>
        <v>1.4186140429222527</v>
      </c>
      <c r="I51" s="110">
        <f>'LINE HAUL CLASS 23 TOTAL BY CTY'!G6</f>
        <v>0.32883395569111284</v>
      </c>
      <c r="J51" s="110">
        <f>'LINE HAUL CLASS 23 TOTAL BY CTY'!H6</f>
        <v>0.31896893702037948</v>
      </c>
      <c r="K51" s="110">
        <f>'LINE HAUL CLASS 23 TOTAL BY CTY'!I6</f>
        <v>7.6893402958647897E-2</v>
      </c>
      <c r="L51" s="110">
        <f>'LINE HAUL CLASS 23 TOTAL BY CTY'!K6</f>
        <v>5.0725664678437929E-3</v>
      </c>
      <c r="M51" s="110">
        <f>'LINE HAUL CLASS 23 TOTAL BY CTY'!L6</f>
        <v>622.16602320298148</v>
      </c>
      <c r="N51">
        <f t="shared" si="8"/>
        <v>2.0554374518062298E-3</v>
      </c>
      <c r="O51">
        <f t="shared" si="9"/>
        <v>3.9540156011564548E-2</v>
      </c>
      <c r="P51">
        <f t="shared" si="10"/>
        <v>3.88661381622535E-3</v>
      </c>
      <c r="Q51">
        <f t="shared" si="11"/>
        <v>9.0091494709893926E-4</v>
      </c>
      <c r="R51">
        <f t="shared" si="12"/>
        <v>8.7388749868597116E-4</v>
      </c>
      <c r="S51">
        <f t="shared" si="13"/>
        <v>2.1066685742095314E-4</v>
      </c>
      <c r="T51">
        <f t="shared" si="14"/>
        <v>1.3897442377654227E-5</v>
      </c>
      <c r="U51">
        <f t="shared" si="15"/>
        <v>1.7045644471314561</v>
      </c>
    </row>
    <row r="52" spans="1:30" x14ac:dyDescent="0.25">
      <c r="A52" s="360">
        <v>2285002007</v>
      </c>
      <c r="B52" s="360" t="s">
        <v>74</v>
      </c>
      <c r="C52" s="360" t="s">
        <v>87</v>
      </c>
      <c r="D52" s="360" t="s">
        <v>38</v>
      </c>
      <c r="E52" s="110">
        <f>'LINE HAUL CLASS 23 TOTAL BY CTY'!D7</f>
        <v>145978.11424623677</v>
      </c>
      <c r="F52" s="110">
        <f>'LINE HAUL CLASS 23 TOTAL BY CTY'!J7</f>
        <v>2.0791574047914421</v>
      </c>
      <c r="G52" s="110">
        <f>'LINE HAUL CLASS 23 TOTAL BY CTY'!E7</f>
        <v>39.996453351480241</v>
      </c>
      <c r="H52" s="110">
        <f>'LINE HAUL CLASS 23 TOTAL BY CTY'!F7</f>
        <v>3.9314657269033071</v>
      </c>
      <c r="I52" s="110">
        <f>'LINE HAUL CLASS 23 TOTAL BY CTY'!G7</f>
        <v>0.91131159535018302</v>
      </c>
      <c r="J52" s="110">
        <f>'LINE HAUL CLASS 23 TOTAL BY CTY'!H7</f>
        <v>0.88397224748967751</v>
      </c>
      <c r="K52" s="110">
        <f>'LINE HAUL CLASS 23 TOTAL BY CTY'!I7</f>
        <v>0.21309797394516378</v>
      </c>
      <c r="L52" s="110">
        <f>'LINE HAUL CLASS 23 TOTAL BY CTY'!K7</f>
        <v>1.4057820247349546E-2</v>
      </c>
      <c r="M52" s="110">
        <f>'LINE HAUL CLASS 23 TOTAL BY CTY'!L7</f>
        <v>1724.2352906838555</v>
      </c>
      <c r="N52">
        <f t="shared" si="8"/>
        <v>5.6963216569628546E-3</v>
      </c>
      <c r="O52">
        <f t="shared" si="9"/>
        <v>0.1095793242506308</v>
      </c>
      <c r="P52">
        <f t="shared" si="10"/>
        <v>1.077113897781728E-2</v>
      </c>
      <c r="Q52">
        <f t="shared" si="11"/>
        <v>2.4967440968498163E-3</v>
      </c>
      <c r="R52">
        <f t="shared" si="12"/>
        <v>2.4218417739443219E-3</v>
      </c>
      <c r="S52">
        <f t="shared" si="13"/>
        <v>5.8383006560318838E-4</v>
      </c>
      <c r="T52">
        <f t="shared" si="14"/>
        <v>3.8514576020135742E-5</v>
      </c>
      <c r="U52">
        <f t="shared" si="15"/>
        <v>4.7239323032434397</v>
      </c>
    </row>
    <row r="53" spans="1:30" x14ac:dyDescent="0.25">
      <c r="A53" s="360">
        <v>2285002007</v>
      </c>
      <c r="B53" s="360" t="s">
        <v>74</v>
      </c>
      <c r="C53" s="360" t="s">
        <v>121</v>
      </c>
      <c r="D53" s="360" t="s">
        <v>35</v>
      </c>
      <c r="E53" s="110">
        <f>'LINE HAUL CLASS 23 TOTAL BY CTY'!D8</f>
        <v>7600</v>
      </c>
      <c r="F53" s="110">
        <f>'LINE HAUL CLASS 23 TOTAL BY CTY'!J8</f>
        <v>0.10824633787062582</v>
      </c>
      <c r="G53" s="110">
        <f>'LINE HAUL CLASS 23 TOTAL BY CTY'!E8</f>
        <v>2.0823193054714095</v>
      </c>
      <c r="H53" s="110">
        <f>'LINE HAUL CLASS 23 TOTAL BY CTY'!F8</f>
        <v>0.20468232295469185</v>
      </c>
      <c r="I53" s="110">
        <f>'LINE HAUL CLASS 23 TOTAL BY CTY'!G8</f>
        <v>4.7445249998082771E-2</v>
      </c>
      <c r="J53" s="110">
        <f>'LINE HAUL CLASS 23 TOTAL BY CTY'!H8</f>
        <v>4.6021892498140288E-2</v>
      </c>
      <c r="K53" s="110">
        <f>'LINE HAUL CLASS 23 TOTAL BY CTY'!I8</f>
        <v>1.1094434329048717E-2</v>
      </c>
      <c r="L53" s="110">
        <f>'LINE HAUL CLASS 23 TOTAL BY CTY'!K8</f>
        <v>7.3188665596569599E-4</v>
      </c>
      <c r="M53" s="110">
        <f>'LINE HAUL CLASS 23 TOTAL BY CTY'!L8</f>
        <v>89.768170227854</v>
      </c>
      <c r="N53">
        <f t="shared" si="8"/>
        <v>2.9656530923459127E-4</v>
      </c>
      <c r="O53">
        <f t="shared" si="9"/>
        <v>5.7049843985518068E-3</v>
      </c>
      <c r="P53">
        <f t="shared" si="10"/>
        <v>5.6077348754710098E-4</v>
      </c>
      <c r="Q53">
        <f t="shared" si="11"/>
        <v>1.2998698629611719E-4</v>
      </c>
      <c r="R53">
        <f t="shared" si="12"/>
        <v>1.2608737670723367E-4</v>
      </c>
      <c r="S53">
        <f t="shared" si="13"/>
        <v>3.0395710490544432E-5</v>
      </c>
      <c r="T53">
        <f t="shared" si="14"/>
        <v>2.0051689204539616E-6</v>
      </c>
      <c r="U53">
        <f t="shared" si="15"/>
        <v>0.24594019240507944</v>
      </c>
    </row>
    <row r="54" spans="1:30" x14ac:dyDescent="0.25">
      <c r="A54" s="360">
        <v>2285002007</v>
      </c>
      <c r="B54" s="360" t="s">
        <v>74</v>
      </c>
      <c r="C54" s="360" t="s">
        <v>122</v>
      </c>
      <c r="D54" s="360" t="s">
        <v>39</v>
      </c>
      <c r="E54" s="110">
        <f>'LINE HAUL CLASS 23 TOTAL BY CTY'!D9</f>
        <v>172434.14914667601</v>
      </c>
      <c r="F54" s="110">
        <f>'LINE HAUL CLASS 23 TOTAL BY CTY'!J9</f>
        <v>2.4559691011796021</v>
      </c>
      <c r="G54" s="110">
        <f>'LINE HAUL CLASS 23 TOTAL BY CTY'!E9</f>
        <v>47.245126011928932</v>
      </c>
      <c r="H54" s="110">
        <f>'LINE HAUL CLASS 23 TOTAL BY CTY'!F9</f>
        <v>4.6439766057970324</v>
      </c>
      <c r="I54" s="110">
        <f>'LINE HAUL CLASS 23 TOTAL BY CTY'!G9</f>
        <v>1.0764712255882545</v>
      </c>
      <c r="J54" s="110">
        <f>'LINE HAUL CLASS 23 TOTAL BY CTY'!H9</f>
        <v>1.0441770888206068</v>
      </c>
      <c r="K54" s="110">
        <f>'LINE HAUL CLASS 23 TOTAL BY CTY'!I9</f>
        <v>0.25171833470963012</v>
      </c>
      <c r="L54" s="110">
        <f>'LINE HAUL CLASS 23 TOTAL BY CTY'!K9</f>
        <v>1.6605559578059315E-2</v>
      </c>
      <c r="M54" s="110">
        <f>'LINE HAUL CLASS 23 TOTAL BY CTY'!L9</f>
        <v>2036.7234281176288</v>
      </c>
      <c r="N54">
        <f t="shared" si="8"/>
        <v>6.7286824689852115E-3</v>
      </c>
      <c r="O54">
        <f t="shared" si="9"/>
        <v>0.12943870140254501</v>
      </c>
      <c r="P54">
        <f t="shared" si="10"/>
        <v>1.2723223577526116E-2</v>
      </c>
      <c r="Q54">
        <f t="shared" si="11"/>
        <v>2.9492362344883684E-3</v>
      </c>
      <c r="R54">
        <f t="shared" si="12"/>
        <v>2.8607591474537173E-3</v>
      </c>
      <c r="S54">
        <f t="shared" si="13"/>
        <v>6.8963927317706878E-4</v>
      </c>
      <c r="T54">
        <f t="shared" si="14"/>
        <v>4.5494683775504969E-5</v>
      </c>
      <c r="U54">
        <f t="shared" si="15"/>
        <v>5.5800641866236402</v>
      </c>
    </row>
    <row r="55" spans="1:30" x14ac:dyDescent="0.25">
      <c r="A55" s="360">
        <v>2285002007</v>
      </c>
      <c r="B55" s="360" t="s">
        <v>74</v>
      </c>
      <c r="C55" s="360" t="s">
        <v>114</v>
      </c>
      <c r="D55" s="360" t="s">
        <v>40</v>
      </c>
      <c r="E55" s="110">
        <f>'LINE HAUL CLASS 23 TOTAL BY CTY'!D10</f>
        <v>86640.860896438913</v>
      </c>
      <c r="F55" s="110">
        <f>'LINE HAUL CLASS 23 TOTAL BY CTY'!J10</f>
        <v>1.2340205134207658</v>
      </c>
      <c r="G55" s="110">
        <f>'LINE HAUL CLASS 23 TOTAL BY CTY'!E10</f>
        <v>23.738675958857595</v>
      </c>
      <c r="H55" s="110">
        <f>'LINE HAUL CLASS 23 TOTAL BY CTY'!F10</f>
        <v>2.3334016672470321</v>
      </c>
      <c r="I55" s="110">
        <f>'LINE HAUL CLASS 23 TOTAL BY CTY'!G10</f>
        <v>0.54088122437903396</v>
      </c>
      <c r="J55" s="110">
        <f>'LINE HAUL CLASS 23 TOTAL BY CTY'!H10</f>
        <v>0.52465478764766293</v>
      </c>
      <c r="K55" s="110">
        <f>'LINE HAUL CLASS 23 TOTAL BY CTY'!I10</f>
        <v>0.1264778080826035</v>
      </c>
      <c r="L55" s="110">
        <f>'LINE HAUL CLASS 23 TOTAL BY CTY'!K10</f>
        <v>8.3435907830899624E-3</v>
      </c>
      <c r="M55" s="110">
        <f>'LINE HAUL CLASS 23 TOTAL BY CTY'!L10</f>
        <v>1023.3673091630722</v>
      </c>
      <c r="N55">
        <f t="shared" si="8"/>
        <v>3.380878118961002E-3</v>
      </c>
      <c r="O55">
        <f t="shared" si="9"/>
        <v>6.503746838043177E-2</v>
      </c>
      <c r="P55">
        <f t="shared" si="10"/>
        <v>6.3928812801288554E-3</v>
      </c>
      <c r="Q55">
        <f t="shared" si="11"/>
        <v>1.4818663681617369E-3</v>
      </c>
      <c r="R55">
        <f t="shared" si="12"/>
        <v>1.4374103771168847E-3</v>
      </c>
      <c r="S55">
        <f t="shared" si="13"/>
        <v>3.4651454269206438E-4</v>
      </c>
      <c r="T55">
        <f t="shared" si="14"/>
        <v>2.2859152830383459E-5</v>
      </c>
      <c r="U55">
        <f t="shared" si="15"/>
        <v>2.8037460525015674</v>
      </c>
    </row>
    <row r="56" spans="1:30" x14ac:dyDescent="0.25">
      <c r="A56" s="360">
        <v>2285002007</v>
      </c>
      <c r="B56" s="360" t="s">
        <v>74</v>
      </c>
      <c r="C56" s="360" t="s">
        <v>123</v>
      </c>
      <c r="D56" s="360" t="s">
        <v>41</v>
      </c>
      <c r="E56" s="110">
        <f>'LINE HAUL CLASS 23 TOTAL BY CTY'!D11</f>
        <v>317511.01183761784</v>
      </c>
      <c r="F56" s="110">
        <f>'LINE HAUL CLASS 23 TOTAL BY CTY'!J11</f>
        <v>4.5222900348709274</v>
      </c>
      <c r="G56" s="110">
        <f>'LINE HAUL CLASS 23 TOTAL BY CTY'!E11</f>
        <v>86.994646006478007</v>
      </c>
      <c r="H56" s="110">
        <f>'LINE HAUL CLASS 23 TOTAL BY CTY'!F11</f>
        <v>8.5511699298181938</v>
      </c>
      <c r="I56" s="110">
        <f>'LINE HAUL CLASS 23 TOTAL BY CTY'!G11</f>
        <v>1.9821564912868417</v>
      </c>
      <c r="J56" s="110">
        <f>'LINE HAUL CLASS 23 TOTAL BY CTY'!H11</f>
        <v>1.9226917965482362</v>
      </c>
      <c r="K56" s="110">
        <f>'LINE HAUL CLASS 23 TOTAL BY CTY'!I11</f>
        <v>0.46350066705029741</v>
      </c>
      <c r="L56" s="110">
        <f>'LINE HAUL CLASS 23 TOTAL BY CTY'!K11</f>
        <v>3.0576588511331396E-2</v>
      </c>
      <c r="M56" s="110">
        <f>'LINE HAUL CLASS 23 TOTAL BY CTY'!L11</f>
        <v>3750.3134947180847</v>
      </c>
      <c r="N56">
        <f t="shared" si="8"/>
        <v>1.2389835711975144E-2</v>
      </c>
      <c r="O56">
        <f t="shared" si="9"/>
        <v>0.23834149590815892</v>
      </c>
      <c r="P56">
        <f t="shared" si="10"/>
        <v>2.3427862821419711E-2</v>
      </c>
      <c r="Q56">
        <f t="shared" si="11"/>
        <v>5.430565729552991E-3</v>
      </c>
      <c r="R56">
        <f t="shared" si="12"/>
        <v>5.2676487576664007E-3</v>
      </c>
      <c r="S56">
        <f t="shared" si="13"/>
        <v>1.2698648412336915E-3</v>
      </c>
      <c r="T56">
        <f t="shared" si="14"/>
        <v>8.3771475373510678E-5</v>
      </c>
      <c r="U56">
        <f t="shared" si="15"/>
        <v>10.274831492378315</v>
      </c>
    </row>
    <row r="57" spans="1:30" x14ac:dyDescent="0.25">
      <c r="A57" s="360">
        <v>2285002007</v>
      </c>
      <c r="B57" s="360" t="s">
        <v>74</v>
      </c>
      <c r="C57" s="360" t="s">
        <v>115</v>
      </c>
      <c r="D57" s="360" t="s">
        <v>42</v>
      </c>
      <c r="E57" s="110">
        <f>'LINE HAUL CLASS 23 TOTAL BY CTY'!D12</f>
        <v>158160.81687505986</v>
      </c>
      <c r="F57" s="110">
        <f>'LINE HAUL CLASS 23 TOTAL BY CTY'!J12</f>
        <v>2.2526748975463038</v>
      </c>
      <c r="G57" s="110">
        <f>'LINE HAUL CLASS 23 TOTAL BY CTY'!E12</f>
        <v>43.334384519482299</v>
      </c>
      <c r="H57" s="110">
        <f>'LINE HAUL CLASS 23 TOTAL BY CTY'!F12</f>
        <v>4.2595688682103798</v>
      </c>
      <c r="I57" s="110">
        <f>'LINE HAUL CLASS 23 TOTAL BY CTY'!G12</f>
        <v>0.98736572322871108</v>
      </c>
      <c r="J57" s="110">
        <f>'LINE HAUL CLASS 23 TOTAL BY CTY'!H12</f>
        <v>0.95774475153184957</v>
      </c>
      <c r="K57" s="110">
        <f>'LINE HAUL CLASS 23 TOTAL BY CTY'!I12</f>
        <v>0.23088221003276999</v>
      </c>
      <c r="L57" s="110">
        <f>'LINE HAUL CLASS 23 TOTAL BY CTY'!K12</f>
        <v>1.5231025179932946E-2</v>
      </c>
      <c r="M57" s="110">
        <f>'LINE HAUL CLASS 23 TOTAL BY CTY'!L12</f>
        <v>1868.1325174495814</v>
      </c>
      <c r="N57">
        <f t="shared" si="8"/>
        <v>6.1717120480720648E-3</v>
      </c>
      <c r="O57">
        <f t="shared" si="9"/>
        <v>0.11872434114926657</v>
      </c>
      <c r="P57">
        <f t="shared" si="10"/>
        <v>1.1670051693727068E-2</v>
      </c>
      <c r="Q57">
        <f t="shared" si="11"/>
        <v>2.7051115704896196E-3</v>
      </c>
      <c r="R57">
        <f t="shared" si="12"/>
        <v>2.6239582233749301E-3</v>
      </c>
      <c r="S57">
        <f t="shared" si="13"/>
        <v>6.3255400008978074E-4</v>
      </c>
      <c r="T57">
        <f t="shared" si="14"/>
        <v>4.1728836109405328E-5</v>
      </c>
      <c r="U57">
        <f t="shared" si="15"/>
        <v>5.1181712806837849</v>
      </c>
    </row>
    <row r="58" spans="1:30" x14ac:dyDescent="0.25">
      <c r="A58" s="360">
        <v>2285002007</v>
      </c>
      <c r="B58" s="360" t="s">
        <v>74</v>
      </c>
      <c r="C58" s="360" t="s">
        <v>124</v>
      </c>
      <c r="D58" s="360" t="s">
        <v>24</v>
      </c>
      <c r="E58" s="110">
        <f>'LINE HAUL CLASS 23 TOTAL BY CTY'!D13</f>
        <v>5705</v>
      </c>
      <c r="F58" s="110">
        <f>'LINE HAUL CLASS 23 TOTAL BY CTY'!J13</f>
        <v>8.125596809893687E-2</v>
      </c>
      <c r="G58" s="110">
        <f>'LINE HAUL CLASS 23 TOTAL BY CTY'!E13</f>
        <v>1.5631094260150518</v>
      </c>
      <c r="H58" s="110">
        <f>'LINE HAUL CLASS 23 TOTAL BY CTY'!F13</f>
        <v>0.15364640163901541</v>
      </c>
      <c r="I58" s="110">
        <f>'LINE HAUL CLASS 23 TOTAL BY CTY'!G13</f>
        <v>3.5615151478823978E-2</v>
      </c>
      <c r="J58" s="110">
        <f>'LINE HAUL CLASS 23 TOTAL BY CTY'!H13</f>
        <v>3.4546696934459255E-2</v>
      </c>
      <c r="K58" s="110">
        <f>'LINE HAUL CLASS 23 TOTAL BY CTY'!I13</f>
        <v>8.3281247167398594E-3</v>
      </c>
      <c r="L58" s="110">
        <f>'LINE HAUL CLASS 23 TOTAL BY CTY'!K13</f>
        <v>5.4939649635319678E-4</v>
      </c>
      <c r="M58" s="110">
        <f>'LINE HAUL CLASS 23 TOTAL BY CTY'!L13</f>
        <v>67.385185677619361</v>
      </c>
      <c r="N58">
        <f t="shared" si="8"/>
        <v>2.2261909068201882E-4</v>
      </c>
      <c r="O58">
        <f t="shared" si="9"/>
        <v>4.2824915781234296E-3</v>
      </c>
      <c r="P58">
        <f t="shared" si="10"/>
        <v>4.2094904558634362E-4</v>
      </c>
      <c r="Q58">
        <f t="shared" si="11"/>
        <v>9.7575757476230083E-5</v>
      </c>
      <c r="R58">
        <f t="shared" si="12"/>
        <v>9.4648484751943168E-5</v>
      </c>
      <c r="S58">
        <f t="shared" si="13"/>
        <v>2.281678004586263E-5</v>
      </c>
      <c r="T58">
        <f t="shared" si="14"/>
        <v>1.5051958804197172E-6</v>
      </c>
      <c r="U58">
        <f t="shared" si="15"/>
        <v>0.18461694706197085</v>
      </c>
    </row>
    <row r="59" spans="1:30" x14ac:dyDescent="0.25">
      <c r="A59" s="360">
        <v>2285002007</v>
      </c>
      <c r="B59" s="360" t="s">
        <v>74</v>
      </c>
      <c r="C59" s="360" t="s">
        <v>125</v>
      </c>
      <c r="D59" s="360" t="s">
        <v>43</v>
      </c>
      <c r="E59" s="110">
        <f>'LINE HAUL CLASS 23 TOTAL BY CTY'!D14</f>
        <v>0</v>
      </c>
      <c r="F59" s="110">
        <f>'LINE HAUL CLASS 23 TOTAL BY CTY'!J14</f>
        <v>0</v>
      </c>
      <c r="G59" s="110">
        <f>'LINE HAUL CLASS 23 TOTAL BY CTY'!E14</f>
        <v>0</v>
      </c>
      <c r="H59" s="110">
        <f>'LINE HAUL CLASS 23 TOTAL BY CTY'!F14</f>
        <v>0</v>
      </c>
      <c r="I59" s="110">
        <f>'LINE HAUL CLASS 23 TOTAL BY CTY'!G14</f>
        <v>0</v>
      </c>
      <c r="J59" s="110">
        <f>'LINE HAUL CLASS 23 TOTAL BY CTY'!H14</f>
        <v>0</v>
      </c>
      <c r="K59" s="110">
        <f>'LINE HAUL CLASS 23 TOTAL BY CTY'!I14</f>
        <v>0</v>
      </c>
      <c r="L59" s="110">
        <f>'LINE HAUL CLASS 23 TOTAL BY CTY'!K14</f>
        <v>0</v>
      </c>
      <c r="M59" s="110">
        <f>'LINE HAUL CLASS 23 TOTAL BY CTY'!L14</f>
        <v>0</v>
      </c>
      <c r="N59">
        <f t="shared" si="8"/>
        <v>0</v>
      </c>
      <c r="O59">
        <f t="shared" si="9"/>
        <v>0</v>
      </c>
      <c r="P59">
        <f t="shared" si="10"/>
        <v>0</v>
      </c>
      <c r="Q59">
        <f t="shared" si="11"/>
        <v>0</v>
      </c>
      <c r="R59">
        <f t="shared" si="12"/>
        <v>0</v>
      </c>
      <c r="S59">
        <f t="shared" si="13"/>
        <v>0</v>
      </c>
      <c r="T59">
        <f t="shared" si="14"/>
        <v>0</v>
      </c>
      <c r="U59">
        <f t="shared" si="15"/>
        <v>0</v>
      </c>
    </row>
    <row r="60" spans="1:30" x14ac:dyDescent="0.25">
      <c r="A60" s="360">
        <v>2285002007</v>
      </c>
      <c r="B60" s="360" t="s">
        <v>74</v>
      </c>
      <c r="C60" s="360" t="s">
        <v>116</v>
      </c>
      <c r="D60" s="360" t="s">
        <v>44</v>
      </c>
      <c r="E60" s="110">
        <f>'LINE HAUL CLASS 23 TOTAL BY CTY'!D15</f>
        <v>162527.33958944801</v>
      </c>
      <c r="F60" s="110">
        <f>'LINE HAUL CLASS 23 TOTAL BY CTY'!J15</f>
        <v>2.3148670150543853</v>
      </c>
      <c r="G60" s="110">
        <f>'LINE HAUL CLASS 23 TOTAL BY CTY'!E15</f>
        <v>44.530765380791486</v>
      </c>
      <c r="H60" s="110">
        <f>'LINE HAUL CLASS 23 TOTAL BY CTY'!F15</f>
        <v>4.377167554054509</v>
      </c>
      <c r="I60" s="110">
        <f>'LINE HAUL CLASS 23 TOTAL BY CTY'!G15</f>
        <v>1.0146250339927179</v>
      </c>
      <c r="J60" s="110">
        <f>'LINE HAUL CLASS 23 TOTAL BY CTY'!H15</f>
        <v>0.98418628297293642</v>
      </c>
      <c r="K60" s="110">
        <f>'LINE HAUL CLASS 23 TOTAL BY CTY'!I15</f>
        <v>0.23725643365133295</v>
      </c>
      <c r="L60" s="110">
        <f>'LINE HAUL CLASS 23 TOTAL BY CTY'!K15</f>
        <v>1.5651525141463445E-2</v>
      </c>
      <c r="M60" s="110">
        <f>'LINE HAUL CLASS 23 TOTAL BY CTY'!L15</f>
        <v>1919.7081430191847</v>
      </c>
      <c r="N60">
        <f t="shared" si="8"/>
        <v>6.3421014111079048E-3</v>
      </c>
      <c r="O60">
        <f t="shared" si="9"/>
        <v>0.12200209693367531</v>
      </c>
      <c r="P60">
        <f t="shared" si="10"/>
        <v>1.1992239874121942E-2</v>
      </c>
      <c r="Q60">
        <f t="shared" si="11"/>
        <v>2.779794613678679E-3</v>
      </c>
      <c r="R60">
        <f t="shared" si="12"/>
        <v>2.696400775268319E-3</v>
      </c>
      <c r="S60">
        <f t="shared" si="13"/>
        <v>6.500176264420081E-4</v>
      </c>
      <c r="T60">
        <f t="shared" si="14"/>
        <v>4.2880890798529988E-5</v>
      </c>
      <c r="U60">
        <f t="shared" si="15"/>
        <v>5.2594743644361222</v>
      </c>
    </row>
    <row r="61" spans="1:30" x14ac:dyDescent="0.25">
      <c r="A61" s="360">
        <v>2285002007</v>
      </c>
      <c r="B61" s="360" t="s">
        <v>74</v>
      </c>
      <c r="C61" s="360" t="s">
        <v>126</v>
      </c>
      <c r="D61" s="360" t="s">
        <v>45</v>
      </c>
      <c r="E61" s="110">
        <f>'LINE HAUL CLASS 23 TOTAL BY CTY'!D16</f>
        <v>14364</v>
      </c>
      <c r="F61" s="110">
        <f>'LINE HAUL CLASS 23 TOTAL BY CTY'!J16</f>
        <v>0.20458557857548279</v>
      </c>
      <c r="G61" s="110">
        <f>'LINE HAUL CLASS 23 TOTAL BY CTY'!E16</f>
        <v>3.9355834873409643</v>
      </c>
      <c r="H61" s="110">
        <f>'LINE HAUL CLASS 23 TOTAL BY CTY'!F16</f>
        <v>0.38684959038436761</v>
      </c>
      <c r="I61" s="110">
        <f>'LINE HAUL CLASS 23 TOTAL BY CTY'!G16</f>
        <v>8.9671522496376443E-2</v>
      </c>
      <c r="J61" s="110">
        <f>'LINE HAUL CLASS 23 TOTAL BY CTY'!H16</f>
        <v>8.6981376821485143E-2</v>
      </c>
      <c r="K61" s="110">
        <f>'LINE HAUL CLASS 23 TOTAL BY CTY'!I16</f>
        <v>2.0968480881902073E-2</v>
      </c>
      <c r="L61" s="110">
        <f>'LINE HAUL CLASS 23 TOTAL BY CTY'!K16</f>
        <v>1.3832657797751655E-3</v>
      </c>
      <c r="M61" s="110">
        <f>'LINE HAUL CLASS 23 TOTAL BY CTY'!L16</f>
        <v>169.66184173064406</v>
      </c>
      <c r="N61">
        <f t="shared" si="8"/>
        <v>5.605084344533775E-4</v>
      </c>
      <c r="O61">
        <f t="shared" si="9"/>
        <v>1.0782420513262916E-2</v>
      </c>
      <c r="P61">
        <f t="shared" si="10"/>
        <v>1.0598618914640209E-3</v>
      </c>
      <c r="Q61">
        <f t="shared" si="11"/>
        <v>2.456754040996615E-4</v>
      </c>
      <c r="R61">
        <f t="shared" si="12"/>
        <v>2.3830514197667162E-4</v>
      </c>
      <c r="S61">
        <f t="shared" si="13"/>
        <v>5.7447892827128968E-5</v>
      </c>
      <c r="T61">
        <f t="shared" si="14"/>
        <v>3.7897692596579876E-6</v>
      </c>
      <c r="U61">
        <f t="shared" si="15"/>
        <v>0.46482696364560017</v>
      </c>
    </row>
    <row r="62" spans="1:30" x14ac:dyDescent="0.25">
      <c r="A62" s="360">
        <v>2285002007</v>
      </c>
      <c r="B62" s="360" t="s">
        <v>74</v>
      </c>
      <c r="C62" s="360" t="s">
        <v>127</v>
      </c>
      <c r="D62" s="360" t="s">
        <v>50</v>
      </c>
      <c r="E62" s="110">
        <f>'LINE HAUL CLASS 23 TOTAL BY CTY'!D17</f>
        <v>41031.346624972612</v>
      </c>
      <c r="F62" s="110">
        <f>'LINE HAUL CLASS 23 TOTAL BY CTY'!J17</f>
        <v>0.36802568635435873</v>
      </c>
      <c r="G62" s="110">
        <f>'LINE HAUL CLASS 23 TOTAL BY CTY'!E17</f>
        <v>7.6822508910981941</v>
      </c>
      <c r="H62" s="110">
        <f>'LINE HAUL CLASS 23 TOTAL BY CTY'!F17</f>
        <v>1.2013714538210634</v>
      </c>
      <c r="I62" s="110">
        <f>'LINE HAUL CLASS 23 TOTAL BY CTY'!G17</f>
        <v>0.18379458837709545</v>
      </c>
      <c r="J62" s="110">
        <f>'LINE HAUL CLASS 23 TOTAL BY CTY'!H17</f>
        <v>0.17828075072578259</v>
      </c>
      <c r="K62" s="110">
        <f>'LINE HAUL CLASS 23 TOTAL BY CTY'!I17</f>
        <v>6.5118162168610688E-2</v>
      </c>
      <c r="L62" s="110">
        <f>'LINE HAUL CLASS 23 TOTAL BY CTY'!K17</f>
        <v>3.9513546146211255E-3</v>
      </c>
      <c r="M62" s="110">
        <f>'LINE HAUL CLASS 23 TOTAL BY CTY'!L17</f>
        <v>484.64590901429267</v>
      </c>
      <c r="N62">
        <f t="shared" si="8"/>
        <v>1.0082895516557774E-3</v>
      </c>
      <c r="O62">
        <f t="shared" si="9"/>
        <v>2.1047262715337519E-2</v>
      </c>
      <c r="P62">
        <f t="shared" si="10"/>
        <v>3.291428640605653E-3</v>
      </c>
      <c r="Q62">
        <f t="shared" si="11"/>
        <v>5.0354681747149437E-4</v>
      </c>
      <c r="R62">
        <f t="shared" si="12"/>
        <v>4.8844041294734953E-4</v>
      </c>
      <c r="S62">
        <f t="shared" si="13"/>
        <v>1.7840592374961833E-4</v>
      </c>
      <c r="T62">
        <f t="shared" si="14"/>
        <v>1.0825629081153769E-5</v>
      </c>
      <c r="U62">
        <f t="shared" si="15"/>
        <v>1.3277970109980621</v>
      </c>
    </row>
    <row r="63" spans="1:30" x14ac:dyDescent="0.25">
      <c r="A63" s="360">
        <v>2285002007</v>
      </c>
      <c r="B63" s="360" t="s">
        <v>74</v>
      </c>
      <c r="C63" s="360" t="s">
        <v>128</v>
      </c>
      <c r="D63" s="360" t="s">
        <v>22</v>
      </c>
      <c r="E63" s="110">
        <f>'LINE HAUL CLASS 23 TOTAL BY CTY'!D18</f>
        <v>0</v>
      </c>
      <c r="F63" s="110">
        <f>'LINE HAUL CLASS 23 TOTAL BY CTY'!J18</f>
        <v>0</v>
      </c>
      <c r="G63" s="110">
        <f>'LINE HAUL CLASS 23 TOTAL BY CTY'!E18</f>
        <v>0</v>
      </c>
      <c r="H63" s="110">
        <f>'LINE HAUL CLASS 23 TOTAL BY CTY'!F18</f>
        <v>0</v>
      </c>
      <c r="I63" s="110">
        <f>'LINE HAUL CLASS 23 TOTAL BY CTY'!G18</f>
        <v>0</v>
      </c>
      <c r="J63" s="110">
        <f>'LINE HAUL CLASS 23 TOTAL BY CTY'!H18</f>
        <v>0</v>
      </c>
      <c r="K63" s="110">
        <f>'LINE HAUL CLASS 23 TOTAL BY CTY'!I18</f>
        <v>0</v>
      </c>
      <c r="L63" s="110">
        <f>'LINE HAUL CLASS 23 TOTAL BY CTY'!K18</f>
        <v>0</v>
      </c>
      <c r="M63" s="110">
        <f>'LINE HAUL CLASS 23 TOTAL BY CTY'!L18</f>
        <v>0</v>
      </c>
      <c r="N63">
        <f t="shared" si="8"/>
        <v>0</v>
      </c>
      <c r="O63">
        <f t="shared" si="9"/>
        <v>0</v>
      </c>
      <c r="P63">
        <f t="shared" si="10"/>
        <v>0</v>
      </c>
      <c r="Q63">
        <f t="shared" si="11"/>
        <v>0</v>
      </c>
      <c r="R63">
        <f t="shared" si="12"/>
        <v>0</v>
      </c>
      <c r="S63">
        <f t="shared" si="13"/>
        <v>0</v>
      </c>
      <c r="T63">
        <f t="shared" si="14"/>
        <v>0</v>
      </c>
      <c r="U63">
        <f t="shared" si="15"/>
        <v>0</v>
      </c>
    </row>
    <row r="64" spans="1:30" x14ac:dyDescent="0.25">
      <c r="A64" s="360">
        <v>2285002007</v>
      </c>
      <c r="B64" s="360" t="s">
        <v>74</v>
      </c>
      <c r="C64" s="360" t="s">
        <v>129</v>
      </c>
      <c r="D64" s="360" t="s">
        <v>66</v>
      </c>
      <c r="E64" s="110">
        <f>'LINE HAUL CLASS 23 TOTAL BY CTY'!D19</f>
        <v>60060.06</v>
      </c>
      <c r="F64" s="110">
        <f>'LINE HAUL CLASS 23 TOTAL BY CTY'!J19</f>
        <v>0.47617031075546512</v>
      </c>
      <c r="G64" s="110">
        <f>'LINE HAUL CLASS 23 TOTAL BY CTY'!E19</f>
        <v>10.216213450280515</v>
      </c>
      <c r="H64" s="110">
        <f>'LINE HAUL CLASS 23 TOTAL BY CTY'!F19</f>
        <v>1.7863550472638923</v>
      </c>
      <c r="I64" s="110">
        <f>'LINE HAUL CLASS 23 TOTAL BY CTY'!G19</f>
        <v>0.24812145974292191</v>
      </c>
      <c r="J64" s="110">
        <f>'LINE HAUL CLASS 23 TOTAL BY CTY'!H19</f>
        <v>0.24067781595063426</v>
      </c>
      <c r="K64" s="110">
        <f>'LINE HAUL CLASS 23 TOTAL BY CTY'!I19</f>
        <v>9.6826137568416099E-2</v>
      </c>
      <c r="L64" s="110">
        <f>'LINE HAUL CLASS 23 TOTAL BY CTY'!K19</f>
        <v>5.7838363776972455E-3</v>
      </c>
      <c r="M64" s="110">
        <f>'LINE HAUL CLASS 23 TOTAL BY CTY'!L19</f>
        <v>709.40548552304267</v>
      </c>
      <c r="N64">
        <f t="shared" si="8"/>
        <v>1.3045761938505894E-3</v>
      </c>
      <c r="O64">
        <f t="shared" si="9"/>
        <v>2.7989625891179492E-2</v>
      </c>
      <c r="P64">
        <f t="shared" si="10"/>
        <v>4.8941234171613491E-3</v>
      </c>
      <c r="Q64">
        <f t="shared" si="11"/>
        <v>6.797848212134847E-4</v>
      </c>
      <c r="R64">
        <f t="shared" si="12"/>
        <v>6.593912765770802E-4</v>
      </c>
      <c r="S64">
        <f t="shared" si="13"/>
        <v>2.6527708922853728E-4</v>
      </c>
      <c r="T64">
        <f t="shared" si="14"/>
        <v>1.5846127062184234E-5</v>
      </c>
      <c r="U64">
        <f t="shared" si="15"/>
        <v>1.9435766726658703</v>
      </c>
    </row>
    <row r="65" spans="1:30" x14ac:dyDescent="0.25">
      <c r="A65" s="360">
        <v>2285002007</v>
      </c>
      <c r="B65" s="360" t="s">
        <v>74</v>
      </c>
      <c r="C65" s="360" t="s">
        <v>130</v>
      </c>
      <c r="D65" s="360" t="s">
        <v>46</v>
      </c>
      <c r="E65" s="110">
        <f>'LINE HAUL CLASS 23 TOTAL BY CTY'!D20</f>
        <v>25010.532742602616</v>
      </c>
      <c r="F65" s="110">
        <f>'LINE HAUL CLASS 23 TOTAL BY CTY'!J20</f>
        <v>0.35622349705001477</v>
      </c>
      <c r="G65" s="110">
        <f>'LINE HAUL CLASS 23 TOTAL BY CTY'!E20</f>
        <v>6.8526204171113463</v>
      </c>
      <c r="H65" s="110">
        <f>'LINE HAUL CLASS 23 TOTAL BY CTY'!F20</f>
        <v>0.67358078159082668</v>
      </c>
      <c r="I65" s="110">
        <f>'LINE HAUL CLASS 23 TOTAL BY CTY'!G20</f>
        <v>0.15613565507342311</v>
      </c>
      <c r="J65" s="110">
        <f>'LINE HAUL CLASS 23 TOTAL BY CTY'!H20</f>
        <v>0.15145158542122045</v>
      </c>
      <c r="K65" s="110">
        <f>'LINE HAUL CLASS 23 TOTAL BY CTY'!I20</f>
        <v>3.6510225400964123E-2</v>
      </c>
      <c r="L65" s="110">
        <f>'LINE HAUL CLASS 23 TOTAL BY CTY'!K20</f>
        <v>2.4085362069610496E-3</v>
      </c>
      <c r="M65" s="110">
        <f>'LINE HAUL CLASS 23 TOTAL BY CTY'!L20</f>
        <v>295.41444220095633</v>
      </c>
      <c r="N65">
        <f t="shared" si="8"/>
        <v>9.7595478643839662E-4</v>
      </c>
      <c r="O65">
        <f t="shared" si="9"/>
        <v>1.8774302512633824E-2</v>
      </c>
      <c r="P65">
        <f t="shared" si="10"/>
        <v>1.8454267988789771E-3</v>
      </c>
      <c r="Q65">
        <f t="shared" si="11"/>
        <v>4.277689180093784E-4</v>
      </c>
      <c r="R65">
        <f t="shared" si="12"/>
        <v>4.1493585046909712E-4</v>
      </c>
      <c r="S65">
        <f t="shared" si="13"/>
        <v>1.0002801479716198E-4</v>
      </c>
      <c r="T65">
        <f t="shared" si="14"/>
        <v>6.598729334139862E-6</v>
      </c>
      <c r="U65">
        <f t="shared" si="15"/>
        <v>0.80935463616700365</v>
      </c>
    </row>
    <row r="66" spans="1:30" x14ac:dyDescent="0.25">
      <c r="A66" s="360">
        <v>2285002007</v>
      </c>
      <c r="B66" s="360" t="s">
        <v>74</v>
      </c>
      <c r="C66" s="360" t="s">
        <v>131</v>
      </c>
      <c r="D66" s="360" t="s">
        <v>47</v>
      </c>
      <c r="E66" s="110">
        <f>'LINE HAUL CLASS 23 TOTAL BY CTY'!D21</f>
        <v>0</v>
      </c>
      <c r="F66" s="110">
        <f>'LINE HAUL CLASS 23 TOTAL BY CTY'!J21</f>
        <v>0</v>
      </c>
      <c r="G66" s="110">
        <f>'LINE HAUL CLASS 23 TOTAL BY CTY'!E21</f>
        <v>0</v>
      </c>
      <c r="H66" s="110">
        <f>'LINE HAUL CLASS 23 TOTAL BY CTY'!F21</f>
        <v>0</v>
      </c>
      <c r="I66" s="110">
        <f>'LINE HAUL CLASS 23 TOTAL BY CTY'!G21</f>
        <v>0</v>
      </c>
      <c r="J66" s="110">
        <f>'LINE HAUL CLASS 23 TOTAL BY CTY'!H21</f>
        <v>0</v>
      </c>
      <c r="K66" s="110">
        <f>'LINE HAUL CLASS 23 TOTAL BY CTY'!I21</f>
        <v>0</v>
      </c>
      <c r="L66" s="110">
        <f>'LINE HAUL CLASS 23 TOTAL BY CTY'!K21</f>
        <v>0</v>
      </c>
      <c r="M66" s="110">
        <f>'LINE HAUL CLASS 23 TOTAL BY CTY'!L21</f>
        <v>0</v>
      </c>
      <c r="N66">
        <f t="shared" si="8"/>
        <v>0</v>
      </c>
      <c r="O66">
        <f t="shared" si="9"/>
        <v>0</v>
      </c>
      <c r="P66">
        <f t="shared" si="10"/>
        <v>0</v>
      </c>
      <c r="Q66">
        <f t="shared" si="11"/>
        <v>0</v>
      </c>
      <c r="R66">
        <f t="shared" si="12"/>
        <v>0</v>
      </c>
      <c r="S66">
        <f t="shared" si="13"/>
        <v>0</v>
      </c>
      <c r="T66">
        <f t="shared" si="14"/>
        <v>0</v>
      </c>
      <c r="U66">
        <f t="shared" si="15"/>
        <v>0</v>
      </c>
    </row>
    <row r="67" spans="1:30" x14ac:dyDescent="0.25">
      <c r="A67" s="360">
        <v>2285002007</v>
      </c>
      <c r="B67" s="360" t="s">
        <v>74</v>
      </c>
      <c r="C67" s="360" t="s">
        <v>132</v>
      </c>
      <c r="D67" s="360" t="s">
        <v>67</v>
      </c>
      <c r="E67" s="110">
        <f>'LINE HAUL CLASS 23 TOTAL BY CTY'!D22</f>
        <v>110097</v>
      </c>
      <c r="F67" s="110">
        <f>'LINE HAUL CLASS 23 TOTAL BY CTY'!J22</f>
        <v>0.71181060718806177</v>
      </c>
      <c r="G67" s="110">
        <f>'LINE HAUL CLASS 23 TOTAL BY CTY'!E22</f>
        <v>16.077665739317414</v>
      </c>
      <c r="H67" s="110">
        <f>'LINE HAUL CLASS 23 TOTAL BY CTY'!F22</f>
        <v>3.3462905088753048</v>
      </c>
      <c r="I67" s="110">
        <f>'LINE HAUL CLASS 23 TOTAL BY CTY'!G22</f>
        <v>0.40097687137634064</v>
      </c>
      <c r="J67" s="110">
        <f>'LINE HAUL CLASS 23 TOTAL BY CTY'!H22</f>
        <v>0.38894756523505036</v>
      </c>
      <c r="K67" s="110">
        <f>'LINE HAUL CLASS 23 TOTAL BY CTY'!I22</f>
        <v>0.18137961188203855</v>
      </c>
      <c r="L67" s="110">
        <f>'LINE HAUL CLASS 23 TOTAL BY CTY'!K22</f>
        <v>1.0602437521296741E-2</v>
      </c>
      <c r="M67" s="110">
        <f>'LINE HAUL CLASS 23 TOTAL BY CTY'!L22</f>
        <v>1300.4218733652685</v>
      </c>
      <c r="N67">
        <f t="shared" si="8"/>
        <v>1.9501660470905803E-3</v>
      </c>
      <c r="O67">
        <f t="shared" si="9"/>
        <v>4.4048399285801135E-2</v>
      </c>
      <c r="P67">
        <f t="shared" si="10"/>
        <v>9.1679192023980949E-3</v>
      </c>
      <c r="Q67">
        <f t="shared" si="11"/>
        <v>1.0985667708940839E-3</v>
      </c>
      <c r="R67">
        <f t="shared" si="12"/>
        <v>1.0656097677672614E-3</v>
      </c>
      <c r="S67">
        <f t="shared" si="13"/>
        <v>4.9693044351243438E-4</v>
      </c>
      <c r="T67">
        <f t="shared" si="14"/>
        <v>2.9047774030949976E-5</v>
      </c>
      <c r="U67">
        <f t="shared" si="15"/>
        <v>3.5627996530555301</v>
      </c>
    </row>
    <row r="68" spans="1:30" x14ac:dyDescent="0.25">
      <c r="A68" s="360">
        <v>2285002007</v>
      </c>
      <c r="B68" s="360" t="s">
        <v>74</v>
      </c>
      <c r="C68" s="360" t="s">
        <v>117</v>
      </c>
      <c r="D68" s="360" t="s">
        <v>48</v>
      </c>
      <c r="E68" s="110">
        <f>'LINE HAUL CLASS 23 TOTAL BY CTY'!D23</f>
        <v>166546.11908308274</v>
      </c>
      <c r="F68" s="110">
        <f>'LINE HAUL CLASS 23 TOTAL BY CTY'!J23</f>
        <v>2.3721062470143233</v>
      </c>
      <c r="G68" s="110">
        <f>'LINE HAUL CLASS 23 TOTAL BY CTY'!E23</f>
        <v>45.631868291847837</v>
      </c>
      <c r="H68" s="110">
        <f>'LINE HAUL CLASS 23 TOTAL BY CTY'!F23</f>
        <v>4.48540085960712</v>
      </c>
      <c r="I68" s="110">
        <f>'LINE HAUL CLASS 23 TOTAL BY CTY'!G23</f>
        <v>1.0397134547509639</v>
      </c>
      <c r="J68" s="110">
        <f>'LINE HAUL CLASS 23 TOTAL BY CTY'!H23</f>
        <v>1.008522051108435</v>
      </c>
      <c r="K68" s="110">
        <f>'LINE HAUL CLASS 23 TOTAL BY CTY'!I23</f>
        <v>0.24312302380594589</v>
      </c>
      <c r="L68" s="110">
        <f>'LINE HAUL CLASS 23 TOTAL BY CTY'!K23</f>
        <v>1.6038537126287108E-2</v>
      </c>
      <c r="M68" s="110">
        <f>'LINE HAUL CLASS 23 TOTAL BY CTY'!L23</f>
        <v>1967.1763642945546</v>
      </c>
      <c r="N68">
        <f t="shared" si="8"/>
        <v>6.4989212246967763E-3</v>
      </c>
      <c r="O68">
        <f t="shared" si="9"/>
        <v>0.12501881723793928</v>
      </c>
      <c r="P68">
        <f t="shared" si="10"/>
        <v>1.228876947837567E-2</v>
      </c>
      <c r="Q68">
        <f t="shared" si="11"/>
        <v>2.8485300130163395E-3</v>
      </c>
      <c r="R68">
        <f t="shared" si="12"/>
        <v>2.7630741126258491E-3</v>
      </c>
      <c r="S68">
        <f t="shared" si="13"/>
        <v>6.6609047618067371E-4</v>
      </c>
      <c r="T68">
        <f t="shared" si="14"/>
        <v>4.3941197606266052E-5</v>
      </c>
      <c r="U68">
        <f t="shared" si="15"/>
        <v>5.3895242857385055</v>
      </c>
    </row>
    <row r="69" spans="1:30" ht="15.75" thickBot="1" x14ac:dyDescent="0.3">
      <c r="A69" s="183">
        <v>2285002007</v>
      </c>
      <c r="B69" s="183" t="s">
        <v>74</v>
      </c>
      <c r="C69" s="183" t="s">
        <v>133</v>
      </c>
      <c r="D69" s="183" t="s">
        <v>25</v>
      </c>
      <c r="E69" s="469">
        <f>'LINE HAUL CLASS 23 TOTAL BY CTY'!D24</f>
        <v>5556</v>
      </c>
      <c r="F69" s="469">
        <f>'LINE HAUL CLASS 23 TOTAL BY CTY'!J24</f>
        <v>7.9133770159104874E-2</v>
      </c>
      <c r="G69" s="469">
        <f>'LINE HAUL CLASS 23 TOTAL BY CTY'!E24</f>
        <v>1.5222850080525201</v>
      </c>
      <c r="H69" s="469">
        <f>'LINE HAUL CLASS 23 TOTAL BY CTY'!F24</f>
        <v>0.14963355083371946</v>
      </c>
      <c r="I69" s="469">
        <f>'LINE HAUL CLASS 23 TOTAL BY CTY'!G24</f>
        <v>3.4684974867019457E-2</v>
      </c>
      <c r="J69" s="469">
        <f>'LINE HAUL CLASS 23 TOTAL BY CTY'!H24</f>
        <v>3.3644425621008868E-2</v>
      </c>
      <c r="K69" s="469">
        <f>'LINE HAUL CLASS 23 TOTAL BY CTY'!I24</f>
        <v>8.1106154121308779E-3</v>
      </c>
      <c r="L69" s="469">
        <f>'LINE HAUL CLASS 23 TOTAL BY CTY'!K24</f>
        <v>5.3504766586123776E-4</v>
      </c>
      <c r="M69" s="469">
        <f>'LINE HAUL CLASS 23 TOTAL BY CTY'!L24</f>
        <v>65.625257077099576</v>
      </c>
      <c r="N69">
        <f t="shared" si="8"/>
        <v>2.1680484975097227E-4</v>
      </c>
      <c r="O69">
        <f t="shared" si="9"/>
        <v>4.1706438576781376E-3</v>
      </c>
      <c r="P69">
        <f t="shared" si="10"/>
        <v>4.0995493379101221E-4</v>
      </c>
      <c r="Q69">
        <f t="shared" si="11"/>
        <v>9.5027328402793034E-5</v>
      </c>
      <c r="R69">
        <f t="shared" si="12"/>
        <v>9.2176508550709227E-5</v>
      </c>
      <c r="S69">
        <f t="shared" si="13"/>
        <v>2.2220864142824321E-5</v>
      </c>
      <c r="T69">
        <f t="shared" si="14"/>
        <v>1.4658840160581857E-6</v>
      </c>
      <c r="U69">
        <f t="shared" si="15"/>
        <v>0.17979522486876595</v>
      </c>
      <c r="V69" s="136">
        <f>SUM(E49:E69)</f>
        <v>1618218.6378398326</v>
      </c>
      <c r="W69" s="136">
        <f>SUM(G49:G69)</f>
        <v>411.80855046862251</v>
      </c>
      <c r="X69" s="136">
        <f>SUM(H49:H69)</f>
        <v>44.435760772214806</v>
      </c>
      <c r="Y69" s="136">
        <f>SUM(I49:I69)</f>
        <v>9.4606200108266414</v>
      </c>
      <c r="Z69" s="136">
        <f>SUM(J49:J69)</f>
        <v>9.1768014105018416</v>
      </c>
      <c r="AA69" s="136">
        <f>SUM(K49:K69)</f>
        <v>2.4085598728415047</v>
      </c>
      <c r="AB69" s="136">
        <f>SUM(F49:F69)</f>
        <v>21.129505183345852</v>
      </c>
      <c r="AC69" s="136">
        <f>SUM(L49:L69)</f>
        <v>0.15583587203552091</v>
      </c>
      <c r="AD69" s="136">
        <f>SUM(M49:M69)</f>
        <v>19113.753440459488</v>
      </c>
    </row>
    <row r="70" spans="1:30" x14ac:dyDescent="0.25">
      <c r="A70" s="448">
        <v>2285002006</v>
      </c>
      <c r="B70" s="448" t="s">
        <v>71</v>
      </c>
      <c r="C70" s="448" t="s">
        <v>120</v>
      </c>
      <c r="D70" s="448" t="s">
        <v>37</v>
      </c>
      <c r="E70" s="448">
        <f>'CLASS 1 LINE HAUL COMPILE EMISS'!E4</f>
        <v>24853.332278682559</v>
      </c>
      <c r="F70" s="448">
        <f>'CLASS 1 LINE HAUL COMPILE EMISS'!K4</f>
        <v>0.1391733933201342</v>
      </c>
      <c r="G70" s="448">
        <f>'CLASS 1 LINE HAUL COMPILE EMISS'!F4</f>
        <v>3.2754793423542052</v>
      </c>
      <c r="H70" s="448">
        <f>'CLASS 1 LINE HAUL COMPILE EMISS'!G4</f>
        <v>0.76496808781437176</v>
      </c>
      <c r="I70" s="448">
        <f>'CLASS 1 LINE HAUL COMPILE EMISS'!H4</f>
        <v>8.332359730550172E-2</v>
      </c>
      <c r="J70" s="448">
        <f>'CLASS 1 LINE HAUL COMPILE EMISS'!I4</f>
        <v>8.0823889386336653E-2</v>
      </c>
      <c r="K70" s="448">
        <f>'CLASS 1 LINE HAUL COMPILE EMISS'!J4</f>
        <v>4.1463708695318853E-2</v>
      </c>
      <c r="L70" s="448">
        <f>'CLASS 1 LINE HAUL COMPILE EMISS'!L4</f>
        <v>2.3933976646117456E-3</v>
      </c>
      <c r="M70" s="448">
        <f>'CLASS 1 LINE HAUL COMPILE EMISS'!M4</f>
        <v>293.5576529897624</v>
      </c>
      <c r="N70" s="448">
        <f t="shared" si="8"/>
        <v>3.8129696800036768E-4</v>
      </c>
      <c r="O70" s="448">
        <f t="shared" si="9"/>
        <v>8.9739160064498773E-3</v>
      </c>
      <c r="P70" s="448">
        <f t="shared" si="10"/>
        <v>2.0958029803133473E-3</v>
      </c>
      <c r="Q70" s="448">
        <f t="shared" si="11"/>
        <v>2.2828382823425128E-4</v>
      </c>
      <c r="R70" s="448">
        <f t="shared" si="12"/>
        <v>2.2143531338722372E-4</v>
      </c>
      <c r="S70" s="448">
        <f t="shared" si="13"/>
        <v>1.1359920190498316E-4</v>
      </c>
      <c r="T70" s="448">
        <f t="shared" si="14"/>
        <v>6.5572538756486184E-6</v>
      </c>
      <c r="U70" s="448">
        <f t="shared" si="15"/>
        <v>0.80426754243770526</v>
      </c>
      <c r="V70" s="10">
        <f>'LINE HAUL CLASS 23 TOTAL BY CTY'!D25</f>
        <v>1618218.6378398326</v>
      </c>
      <c r="W70" s="10">
        <f>'LINE HAUL CLASS 23 TOTAL BY CTY'!E25</f>
        <v>411.80855046862251</v>
      </c>
      <c r="X70" s="10">
        <f>'LINE HAUL CLASS 23 TOTAL BY CTY'!F25</f>
        <v>44.435760772214806</v>
      </c>
      <c r="Y70" s="10">
        <f>'LINE HAUL CLASS 23 TOTAL BY CTY'!G25</f>
        <v>9.4606200108266414</v>
      </c>
      <c r="Z70" s="10">
        <f>'LINE HAUL CLASS 23 TOTAL BY CTY'!H25</f>
        <v>9.1768014105018416</v>
      </c>
      <c r="AA70" s="10">
        <f>'LINE HAUL CLASS 23 TOTAL BY CTY'!I25</f>
        <v>2.4085598728415047</v>
      </c>
      <c r="AB70" s="10">
        <f>'LINE HAUL CLASS 23 TOTAL BY CTY'!J25</f>
        <v>21.129505183345852</v>
      </c>
      <c r="AC70" s="10">
        <f>'LINE HAUL CLASS 23 TOTAL BY CTY'!K25</f>
        <v>0.15583587203552091</v>
      </c>
      <c r="AD70" s="10">
        <f>'LINE HAUL CLASS 23 TOTAL BY CTY'!L25</f>
        <v>19113.753440459488</v>
      </c>
    </row>
    <row r="71" spans="1:30" x14ac:dyDescent="0.25">
      <c r="A71" s="106">
        <v>2285002006</v>
      </c>
      <c r="B71" s="106" t="s">
        <v>71</v>
      </c>
      <c r="C71" s="106" t="s">
        <v>113</v>
      </c>
      <c r="D71" s="106" t="s">
        <v>65</v>
      </c>
      <c r="E71" s="106">
        <f>'CLASS 1 LINE HAUL COMPILE EMISS'!E5</f>
        <v>1250982.1137166743</v>
      </c>
      <c r="F71" s="106">
        <f>'CLASS 1 LINE HAUL COMPILE EMISS'!K5</f>
        <v>7.0052347023934995</v>
      </c>
      <c r="G71" s="106">
        <f>'CLASS 1 LINE HAUL COMPILE EMISS'!F5</f>
        <v>164.86988646782669</v>
      </c>
      <c r="H71" s="106">
        <f>'CLASS 1 LINE HAUL COMPILE EMISS'!G5</f>
        <v>38.504349625608938</v>
      </c>
      <c r="I71" s="106">
        <f>'CLASS 1 LINE HAUL COMPILE EMISS'!H5</f>
        <v>4.1940585154096262</v>
      </c>
      <c r="J71" s="106">
        <f>'CLASS 1 LINE HAUL COMPILE EMISS'!I5</f>
        <v>4.0682367599473377</v>
      </c>
      <c r="K71" s="106">
        <f>'CLASS 1 LINE HAUL COMPILE EMISS'!J5</f>
        <v>2.0870584823224356</v>
      </c>
      <c r="L71" s="106">
        <f>'CLASS 1 LINE HAUL COMPILE EMISS'!L5</f>
        <v>0.12047067314223617</v>
      </c>
      <c r="M71" s="106">
        <f>'CLASS 1 LINE HAUL COMPILE EMISS'!M5</f>
        <v>14776.1020179104</v>
      </c>
      <c r="N71">
        <f t="shared" ref="N71:N90" si="16">F71/365</f>
        <v>1.9192423842173973E-2</v>
      </c>
      <c r="O71">
        <f t="shared" ref="O71:O90" si="17">G71/365</f>
        <v>0.45169831908993613</v>
      </c>
      <c r="P71">
        <f t="shared" ref="P71:P90" si="18">H71/365</f>
        <v>0.10549136883728476</v>
      </c>
      <c r="Q71">
        <f t="shared" ref="Q71:Q90" si="19">I71/365</f>
        <v>1.1490571275094867E-2</v>
      </c>
      <c r="R71">
        <f t="shared" ref="R71:R90" si="20">J71/365</f>
        <v>1.1145854136842021E-2</v>
      </c>
      <c r="S71">
        <f t="shared" ref="S71:S90" si="21">K71/365</f>
        <v>5.7179684447190016E-3</v>
      </c>
      <c r="T71">
        <f t="shared" ref="T71:T90" si="22">L71/365</f>
        <v>3.300566387458525E-4</v>
      </c>
      <c r="U71">
        <f t="shared" ref="U71:U90" si="23">M71/365</f>
        <v>40.482471281946303</v>
      </c>
    </row>
    <row r="72" spans="1:30" x14ac:dyDescent="0.25">
      <c r="A72" s="360">
        <v>2285002006</v>
      </c>
      <c r="B72" s="360" t="s">
        <v>71</v>
      </c>
      <c r="C72" s="360" t="s">
        <v>88</v>
      </c>
      <c r="D72" s="360" t="s">
        <v>21</v>
      </c>
      <c r="E72" s="360">
        <f>'CLASS 1 LINE HAUL COMPILE EMISS'!E6</f>
        <v>48801</v>
      </c>
      <c r="F72" s="360">
        <f>'CLASS 1 LINE HAUL COMPILE EMISS'!K6</f>
        <v>0.27327525706648997</v>
      </c>
      <c r="G72" s="360">
        <f>'CLASS 1 LINE HAUL COMPILE EMISS'!F6</f>
        <v>6.4315990143234352</v>
      </c>
      <c r="H72" s="360">
        <f>'CLASS 1 LINE HAUL COMPILE EMISS'!G6</f>
        <v>1.5020604575205894</v>
      </c>
      <c r="I72" s="360">
        <f>'CLASS 1 LINE HAUL COMPILE EMISS'!H6</f>
        <v>0.16361085211875406</v>
      </c>
      <c r="J72" s="360">
        <f>'CLASS 1 LINE HAUL COMPILE EMISS'!I6</f>
        <v>0.15870252655519143</v>
      </c>
      <c r="K72" s="360">
        <f>'CLASS 1 LINE HAUL COMPILE EMISS'!J6</f>
        <v>8.1416464615324272E-2</v>
      </c>
      <c r="L72" s="360">
        <f>'CLASS 1 LINE HAUL COMPILE EMISS'!L6</f>
        <v>4.6995790391818329E-3</v>
      </c>
      <c r="M72" s="360">
        <f>'CLASS 1 LINE HAUL COMPILE EMISS'!M6</f>
        <v>576.41795727493468</v>
      </c>
      <c r="N72">
        <f t="shared" si="16"/>
        <v>7.4869933442873961E-4</v>
      </c>
      <c r="O72">
        <f t="shared" si="17"/>
        <v>1.7620819217324481E-2</v>
      </c>
      <c r="P72">
        <f t="shared" si="18"/>
        <v>4.1152341301933957E-3</v>
      </c>
      <c r="Q72">
        <f t="shared" si="19"/>
        <v>4.4824890991439469E-4</v>
      </c>
      <c r="R72">
        <f t="shared" si="20"/>
        <v>4.3480144261696284E-4</v>
      </c>
      <c r="S72">
        <f t="shared" si="21"/>
        <v>2.2305880716527198E-4</v>
      </c>
      <c r="T72">
        <f t="shared" si="22"/>
        <v>1.2875559011457076E-5</v>
      </c>
      <c r="U72">
        <f t="shared" si="23"/>
        <v>1.5792272802053005</v>
      </c>
    </row>
    <row r="73" spans="1:30" x14ac:dyDescent="0.25">
      <c r="A73" s="360">
        <v>2285002006</v>
      </c>
      <c r="B73" s="360" t="s">
        <v>71</v>
      </c>
      <c r="C73" s="360" t="s">
        <v>87</v>
      </c>
      <c r="D73" s="360" t="s">
        <v>38</v>
      </c>
      <c r="E73" s="360">
        <f>'CLASS 1 LINE HAUL COMPILE EMISS'!E7</f>
        <v>122986.16183807084</v>
      </c>
      <c r="F73" s="360">
        <f>'CLASS 1 LINE HAUL COMPILE EMISS'!K7</f>
        <v>0.68869644048113243</v>
      </c>
      <c r="G73" s="360">
        <f>'CLASS 1 LINE HAUL COMPILE EMISS'!F7</f>
        <v>16.208636651977599</v>
      </c>
      <c r="H73" s="360">
        <f>'CLASS 1 LINE HAUL COMPILE EMISS'!G7</f>
        <v>3.7854275633530849</v>
      </c>
      <c r="I73" s="360">
        <f>'CLASS 1 LINE HAUL COMPILE EMISS'!H7</f>
        <v>0.41232496746258807</v>
      </c>
      <c r="J73" s="360">
        <f>'CLASS 1 LINE HAUL COMPILE EMISS'!I7</f>
        <v>0.39995521843871046</v>
      </c>
      <c r="K73" s="360">
        <f>'CLASS 1 LINE HAUL COMPILE EMISS'!J7</f>
        <v>0.20518223998409538</v>
      </c>
      <c r="L73" s="360">
        <f>'CLASS 1 LINE HAUL COMPILE EMISS'!L7</f>
        <v>1.1843675094437046E-2</v>
      </c>
      <c r="M73" s="360">
        <f>'CLASS 1 LINE HAUL COMPILE EMISS'!M7</f>
        <v>1452.6635146776769</v>
      </c>
      <c r="N73">
        <f t="shared" si="16"/>
        <v>1.8868395629620066E-3</v>
      </c>
      <c r="O73">
        <f t="shared" si="17"/>
        <v>4.4407223704048218E-2</v>
      </c>
      <c r="P73">
        <f t="shared" si="18"/>
        <v>1.0371034420145439E-2</v>
      </c>
      <c r="Q73">
        <f t="shared" si="19"/>
        <v>1.129657445102981E-3</v>
      </c>
      <c r="R73">
        <f t="shared" si="20"/>
        <v>1.0957677217498917E-3</v>
      </c>
      <c r="S73">
        <f t="shared" si="21"/>
        <v>5.6214312324409698E-4</v>
      </c>
      <c r="T73">
        <f t="shared" si="22"/>
        <v>3.2448424916265881E-5</v>
      </c>
      <c r="U73">
        <f t="shared" si="23"/>
        <v>3.9799000402128133</v>
      </c>
    </row>
    <row r="74" spans="1:30" x14ac:dyDescent="0.25">
      <c r="A74" s="360">
        <v>2285002006</v>
      </c>
      <c r="B74" s="360" t="s">
        <v>71</v>
      </c>
      <c r="C74" s="360" t="s">
        <v>121</v>
      </c>
      <c r="D74" s="360" t="s">
        <v>35</v>
      </c>
      <c r="E74" s="360">
        <f>'CLASS 1 LINE HAUL COMPILE EMISS'!E8</f>
        <v>9370.9285640934231</v>
      </c>
      <c r="F74" s="360">
        <f>'CLASS 1 LINE HAUL COMPILE EMISS'!K8</f>
        <v>5.2475213874804701E-2</v>
      </c>
      <c r="G74" s="360">
        <f>'CLASS 1 LINE HAUL COMPILE EMISS'!F8</f>
        <v>1.2350168012155198</v>
      </c>
      <c r="H74" s="360">
        <f>'CLASS 1 LINE HAUL COMPILE EMISS'!G8</f>
        <v>0.28843059048738606</v>
      </c>
      <c r="I74" s="360">
        <f>'CLASS 1 LINE HAUL COMPILE EMISS'!H8</f>
        <v>3.1417094066008844E-2</v>
      </c>
      <c r="J74" s="360">
        <f>'CLASS 1 LINE HAUL COMPILE EMISS'!I8</f>
        <v>3.0474581244028576E-2</v>
      </c>
      <c r="K74" s="360">
        <f>'CLASS 1 LINE HAUL COMPILE EMISS'!J8</f>
        <v>1.56338573769235E-2</v>
      </c>
      <c r="L74" s="360">
        <f>'CLASS 1 LINE HAUL COMPILE EMISS'!L8</f>
        <v>9.0242862764049431E-4</v>
      </c>
      <c r="M74" s="360">
        <f>'CLASS 1 LINE HAUL COMPILE EMISS'!M8</f>
        <v>110.68567243876288</v>
      </c>
      <c r="N74">
        <f t="shared" si="16"/>
        <v>1.4376770924604028E-4</v>
      </c>
      <c r="O74">
        <f t="shared" si="17"/>
        <v>3.383607674563068E-3</v>
      </c>
      <c r="P74">
        <f t="shared" si="18"/>
        <v>7.9022079585585226E-4</v>
      </c>
      <c r="Q74">
        <f t="shared" si="19"/>
        <v>8.6074230317832449E-5</v>
      </c>
      <c r="R74">
        <f t="shared" si="20"/>
        <v>8.3492003408297468E-5</v>
      </c>
      <c r="S74">
        <f t="shared" si="21"/>
        <v>4.2832485964173971E-5</v>
      </c>
      <c r="T74">
        <f t="shared" si="22"/>
        <v>2.4724071990150528E-6</v>
      </c>
      <c r="U74">
        <f t="shared" si="23"/>
        <v>0.30324841764044624</v>
      </c>
    </row>
    <row r="75" spans="1:30" x14ac:dyDescent="0.25">
      <c r="A75" s="360">
        <v>2285002006</v>
      </c>
      <c r="B75" s="360" t="s">
        <v>71</v>
      </c>
      <c r="C75" s="360" t="s">
        <v>122</v>
      </c>
      <c r="D75" s="360" t="s">
        <v>39</v>
      </c>
      <c r="E75" s="360">
        <f>'CLASS 1 LINE HAUL COMPILE EMISS'!E9</f>
        <v>0</v>
      </c>
      <c r="F75" s="360">
        <f>'CLASS 1 LINE HAUL COMPILE EMISS'!K9</f>
        <v>0</v>
      </c>
      <c r="G75" s="360">
        <f>'CLASS 1 LINE HAUL COMPILE EMISS'!F9</f>
        <v>0</v>
      </c>
      <c r="H75" s="360">
        <f>'CLASS 1 LINE HAUL COMPILE EMISS'!G9</f>
        <v>0</v>
      </c>
      <c r="I75" s="360">
        <f>'CLASS 1 LINE HAUL COMPILE EMISS'!H9</f>
        <v>0</v>
      </c>
      <c r="J75" s="360">
        <f>'CLASS 1 LINE HAUL COMPILE EMISS'!I9</f>
        <v>0</v>
      </c>
      <c r="K75" s="360">
        <f>'CLASS 1 LINE HAUL COMPILE EMISS'!J9</f>
        <v>0</v>
      </c>
      <c r="L75" s="360">
        <f>'CLASS 1 LINE HAUL COMPILE EMISS'!L9</f>
        <v>0</v>
      </c>
      <c r="M75" s="360">
        <f>'CLASS 1 LINE HAUL COMPILE EMISS'!M9</f>
        <v>0</v>
      </c>
      <c r="N75">
        <f t="shared" si="16"/>
        <v>0</v>
      </c>
      <c r="O75">
        <f t="shared" si="17"/>
        <v>0</v>
      </c>
      <c r="P75">
        <f t="shared" si="18"/>
        <v>0</v>
      </c>
      <c r="Q75">
        <f t="shared" si="19"/>
        <v>0</v>
      </c>
      <c r="R75">
        <f t="shared" si="20"/>
        <v>0</v>
      </c>
      <c r="S75">
        <f t="shared" si="21"/>
        <v>0</v>
      </c>
      <c r="T75">
        <f t="shared" si="22"/>
        <v>0</v>
      </c>
      <c r="U75">
        <f t="shared" si="23"/>
        <v>0</v>
      </c>
    </row>
    <row r="76" spans="1:30" x14ac:dyDescent="0.25">
      <c r="A76" s="360">
        <v>2285002006</v>
      </c>
      <c r="B76" s="360" t="s">
        <v>71</v>
      </c>
      <c r="C76" s="360" t="s">
        <v>114</v>
      </c>
      <c r="D76" s="360" t="s">
        <v>40</v>
      </c>
      <c r="E76" s="360">
        <f>'CLASS 1 LINE HAUL COMPILE EMISS'!E10</f>
        <v>140849.13063509113</v>
      </c>
      <c r="F76" s="360">
        <f>'CLASS 1 LINE HAUL COMPILE EMISS'!K10</f>
        <v>0.788725279848695</v>
      </c>
      <c r="G76" s="360">
        <f>'CLASS 1 LINE HAUL COMPILE EMISS'!F10</f>
        <v>18.562839486095879</v>
      </c>
      <c r="H76" s="360">
        <f>'CLASS 1 LINE HAUL COMPILE EMISS'!G10</f>
        <v>4.3352371796299716</v>
      </c>
      <c r="I76" s="360">
        <f>'CLASS 1 LINE HAUL COMPILE EMISS'!H10</f>
        <v>0.47221258341822853</v>
      </c>
      <c r="J76" s="360">
        <f>'CLASS 1 LINE HAUL COMPILE EMISS'!I10</f>
        <v>0.45804620591568163</v>
      </c>
      <c r="K76" s="360">
        <f>'CLASS 1 LINE HAUL COMPILE EMISS'!J10</f>
        <v>0.23498367370445458</v>
      </c>
      <c r="L76" s="360">
        <f>'CLASS 1 LINE HAUL COMPILE EMISS'!L10</f>
        <v>1.3563894633709517E-2</v>
      </c>
      <c r="M76" s="360">
        <f>'CLASS 1 LINE HAUL COMPILE EMISS'!M10</f>
        <v>1663.6537809600143</v>
      </c>
      <c r="N76">
        <f t="shared" si="16"/>
        <v>2.1608911776676573E-3</v>
      </c>
      <c r="O76">
        <f t="shared" si="17"/>
        <v>5.0857094482454464E-2</v>
      </c>
      <c r="P76">
        <f t="shared" si="18"/>
        <v>1.1877362135972526E-2</v>
      </c>
      <c r="Q76">
        <f t="shared" si="19"/>
        <v>1.2937331052554205E-3</v>
      </c>
      <c r="R76">
        <f t="shared" si="20"/>
        <v>1.2549211120977579E-3</v>
      </c>
      <c r="S76">
        <f t="shared" si="21"/>
        <v>6.4379088686151943E-4</v>
      </c>
      <c r="T76">
        <f t="shared" si="22"/>
        <v>3.7161355160847989E-5</v>
      </c>
      <c r="U76">
        <f t="shared" si="23"/>
        <v>4.5579555642740113</v>
      </c>
    </row>
    <row r="77" spans="1:30" x14ac:dyDescent="0.25">
      <c r="A77" s="360">
        <v>2285002006</v>
      </c>
      <c r="B77" s="360" t="s">
        <v>71</v>
      </c>
      <c r="C77" s="360" t="s">
        <v>123</v>
      </c>
      <c r="D77" s="360" t="s">
        <v>41</v>
      </c>
      <c r="E77" s="360">
        <f>'CLASS 1 LINE HAUL COMPILE EMISS'!E11</f>
        <v>158847.24394577043</v>
      </c>
      <c r="F77" s="360">
        <f>'CLASS 1 LINE HAUL COMPILE EMISS'!K11</f>
        <v>0.88951089985008203</v>
      </c>
      <c r="G77" s="360">
        <f>'CLASS 1 LINE HAUL COMPILE EMISS'!F11</f>
        <v>20.934853334759765</v>
      </c>
      <c r="H77" s="360">
        <f>'CLASS 1 LINE HAUL COMPILE EMISS'!G11</f>
        <v>4.889206448988106</v>
      </c>
      <c r="I77" s="360">
        <f>'CLASS 1 LINE HAUL COMPILE EMISS'!H11</f>
        <v>0.5325532865859941</v>
      </c>
      <c r="J77" s="360">
        <f>'CLASS 1 LINE HAUL COMPILE EMISS'!I11</f>
        <v>0.51657668798841416</v>
      </c>
      <c r="K77" s="360">
        <f>'CLASS 1 LINE HAUL COMPILE EMISS'!J11</f>
        <v>0.26501057388071148</v>
      </c>
      <c r="L77" s="360">
        <f>'CLASS 1 LINE HAUL COMPILE EMISS'!L11</f>
        <v>1.5297128708004877E-2</v>
      </c>
      <c r="M77" s="360">
        <f>'CLASS 1 LINE HAUL COMPILE EMISS'!M11</f>
        <v>1876.2403203617591</v>
      </c>
      <c r="N77">
        <f t="shared" si="16"/>
        <v>2.4370161639728277E-3</v>
      </c>
      <c r="O77">
        <f t="shared" si="17"/>
        <v>5.7355762560985658E-2</v>
      </c>
      <c r="P77">
        <f t="shared" si="18"/>
        <v>1.3395086161611249E-2</v>
      </c>
      <c r="Q77">
        <f t="shared" si="19"/>
        <v>1.4590501002356003E-3</v>
      </c>
      <c r="R77">
        <f t="shared" si="20"/>
        <v>1.4152785972285319E-3</v>
      </c>
      <c r="S77">
        <f t="shared" si="21"/>
        <v>7.2605636679646981E-4</v>
      </c>
      <c r="T77">
        <f t="shared" si="22"/>
        <v>4.1909941665766787E-5</v>
      </c>
      <c r="U77">
        <f t="shared" si="23"/>
        <v>5.1403844393472857</v>
      </c>
    </row>
    <row r="78" spans="1:30" x14ac:dyDescent="0.25">
      <c r="A78" s="360">
        <v>2285002006</v>
      </c>
      <c r="B78" s="360" t="s">
        <v>71</v>
      </c>
      <c r="C78" s="360" t="s">
        <v>115</v>
      </c>
      <c r="D78" s="360" t="s">
        <v>42</v>
      </c>
      <c r="E78" s="360">
        <f>'CLASS 1 LINE HAUL COMPILE EMISS'!E12</f>
        <v>323445.62013438344</v>
      </c>
      <c r="F78" s="360">
        <f>'CLASS 1 LINE HAUL COMPILE EMISS'!K12</f>
        <v>1.8112269213592733</v>
      </c>
      <c r="G78" s="360">
        <f>'CLASS 1 LINE HAUL COMPILE EMISS'!F12</f>
        <v>42.627661966835362</v>
      </c>
      <c r="H78" s="360">
        <f>'CLASS 1 LINE HAUL COMPILE EMISS'!G12</f>
        <v>9.955428703552851</v>
      </c>
      <c r="I78" s="360">
        <f>'CLASS 1 LINE HAUL COMPILE EMISS'!H12</f>
        <v>1.0843878921387944</v>
      </c>
      <c r="J78" s="360">
        <f>'CLASS 1 LINE HAUL COMPILE EMISS'!I12</f>
        <v>1.0518562553746307</v>
      </c>
      <c r="K78" s="360">
        <f>'CLASS 1 LINE HAUL COMPILE EMISS'!J12</f>
        <v>0.53961596866155703</v>
      </c>
      <c r="L78" s="360">
        <f>'CLASS 1 LINE HAUL COMPILE EMISS'!L12</f>
        <v>3.1148096487750614E-2</v>
      </c>
      <c r="M78" s="360">
        <f>'CLASS 1 LINE HAUL COMPILE EMISS'!M12</f>
        <v>3820.4107220627807</v>
      </c>
      <c r="N78">
        <f t="shared" si="16"/>
        <v>4.9622655379706121E-3</v>
      </c>
      <c r="O78">
        <f t="shared" si="17"/>
        <v>0.11678811497763113</v>
      </c>
      <c r="P78">
        <f t="shared" si="18"/>
        <v>2.727514713302151E-2</v>
      </c>
      <c r="Q78">
        <f t="shared" si="19"/>
        <v>2.9709257318871079E-3</v>
      </c>
      <c r="R78">
        <f t="shared" si="20"/>
        <v>2.8817979599304951E-3</v>
      </c>
      <c r="S78">
        <f t="shared" si="21"/>
        <v>1.4783999141412521E-3</v>
      </c>
      <c r="T78">
        <f t="shared" si="22"/>
        <v>8.5337250651371552E-5</v>
      </c>
      <c r="U78">
        <f t="shared" si="23"/>
        <v>10.466878690582961</v>
      </c>
    </row>
    <row r="79" spans="1:30" x14ac:dyDescent="0.25">
      <c r="A79" s="360">
        <v>2285002006</v>
      </c>
      <c r="B79" s="360" t="s">
        <v>71</v>
      </c>
      <c r="C79" s="360" t="s">
        <v>124</v>
      </c>
      <c r="D79" s="360" t="s">
        <v>24</v>
      </c>
      <c r="E79" s="360">
        <f>'CLASS 1 LINE HAUL COMPILE EMISS'!E13</f>
        <v>654944.96518165921</v>
      </c>
      <c r="F79" s="360">
        <f>'CLASS 1 LINE HAUL COMPILE EMISS'!K13</f>
        <v>3.6675529953161057</v>
      </c>
      <c r="G79" s="360">
        <f>'CLASS 1 LINE HAUL COMPILE EMISS'!F13</f>
        <v>86.3167433556373</v>
      </c>
      <c r="H79" s="360">
        <f>'CLASS 1 LINE HAUL COMPILE EMISS'!G13</f>
        <v>20.158745395618315</v>
      </c>
      <c r="I79" s="360">
        <f>'CLASS 1 LINE HAUL COMPILE EMISS'!H13</f>
        <v>2.1957768046609494</v>
      </c>
      <c r="J79" s="360">
        <f>'CLASS 1 LINE HAUL COMPILE EMISS'!I13</f>
        <v>2.1299035005211207</v>
      </c>
      <c r="K79" s="360">
        <f>'CLASS 1 LINE HAUL COMPILE EMISS'!J13</f>
        <v>1.0926682564434611</v>
      </c>
      <c r="L79" s="360">
        <f>'CLASS 1 LINE HAUL COMPILE EMISS'!L13</f>
        <v>6.3071773737943912E-2</v>
      </c>
      <c r="M79" s="360">
        <f>'CLASS 1 LINE HAUL COMPILE EMISS'!M13</f>
        <v>7735.9488321451445</v>
      </c>
      <c r="N79">
        <f t="shared" si="16"/>
        <v>1.0048090398126317E-2</v>
      </c>
      <c r="O79">
        <f t="shared" si="17"/>
        <v>0.23648422837160904</v>
      </c>
      <c r="P79">
        <f t="shared" si="18"/>
        <v>5.5229439440050175E-2</v>
      </c>
      <c r="Q79">
        <f t="shared" si="19"/>
        <v>6.0158268620847926E-3</v>
      </c>
      <c r="R79">
        <f t="shared" si="20"/>
        <v>5.8353520562222485E-3</v>
      </c>
      <c r="S79">
        <f t="shared" si="21"/>
        <v>2.9936116614889346E-3</v>
      </c>
      <c r="T79">
        <f t="shared" si="22"/>
        <v>1.7279938010395592E-4</v>
      </c>
      <c r="U79">
        <f t="shared" si="23"/>
        <v>21.194380362041493</v>
      </c>
    </row>
    <row r="80" spans="1:30" x14ac:dyDescent="0.25">
      <c r="A80" s="360">
        <v>2285002006</v>
      </c>
      <c r="B80" s="360" t="s">
        <v>71</v>
      </c>
      <c r="C80" s="360" t="s">
        <v>125</v>
      </c>
      <c r="D80" s="360" t="s">
        <v>43</v>
      </c>
      <c r="E80" s="360">
        <f>'CLASS 1 LINE HAUL COMPILE EMISS'!E14</f>
        <v>532391.58801498124</v>
      </c>
      <c r="F80" s="360">
        <f>'CLASS 1 LINE HAUL COMPILE EMISS'!K14</f>
        <v>2.9812800572699505</v>
      </c>
      <c r="G80" s="360">
        <f>'CLASS 1 LINE HAUL COMPILE EMISS'!F14</f>
        <v>70.165144417352948</v>
      </c>
      <c r="H80" s="360">
        <f>'CLASS 1 LINE HAUL COMPILE EMISS'!G14</f>
        <v>16.386638640066717</v>
      </c>
      <c r="I80" s="360">
        <f>'CLASS 1 LINE HAUL COMPILE EMISS'!H14</f>
        <v>1.7849027965817861</v>
      </c>
      <c r="J80" s="360">
        <f>'CLASS 1 LINE HAUL COMPILE EMISS'!I14</f>
        <v>1.7313557126843324</v>
      </c>
      <c r="K80" s="360">
        <f>'CLASS 1 LINE HAUL COMPILE EMISS'!J14</f>
        <v>0.88820804670228115</v>
      </c>
      <c r="L80" s="360">
        <f>'CLASS 1 LINE HAUL COMPILE EMISS'!L14</f>
        <v>5.1269776186388311E-2</v>
      </c>
      <c r="M80" s="360">
        <f>'CLASS 1 LINE HAUL COMPILE EMISS'!M14</f>
        <v>6288.39719747452</v>
      </c>
      <c r="N80">
        <f t="shared" si="16"/>
        <v>8.1678905678628788E-3</v>
      </c>
      <c r="O80">
        <f t="shared" si="17"/>
        <v>0.19223327237630944</v>
      </c>
      <c r="P80">
        <f t="shared" si="18"/>
        <v>4.4894900383744434E-2</v>
      </c>
      <c r="Q80">
        <f t="shared" si="19"/>
        <v>4.8901446481692768E-3</v>
      </c>
      <c r="R80">
        <f t="shared" si="20"/>
        <v>4.7434403087241988E-3</v>
      </c>
      <c r="S80">
        <f t="shared" si="21"/>
        <v>2.4334467032939211E-3</v>
      </c>
      <c r="T80">
        <f t="shared" si="22"/>
        <v>1.404651402366803E-4</v>
      </c>
      <c r="U80">
        <f t="shared" si="23"/>
        <v>17.228485472532931</v>
      </c>
    </row>
    <row r="81" spans="1:30" x14ac:dyDescent="0.25">
      <c r="A81" s="360">
        <v>2285002006</v>
      </c>
      <c r="B81" s="360" t="s">
        <v>71</v>
      </c>
      <c r="C81" s="360" t="s">
        <v>116</v>
      </c>
      <c r="D81" s="360" t="s">
        <v>44</v>
      </c>
      <c r="E81" s="360">
        <f>'CLASS 1 LINE HAUL COMPILE EMISS'!E15</f>
        <v>358163.54789715545</v>
      </c>
      <c r="F81" s="360">
        <f>'CLASS 1 LINE HAUL COMPILE EMISS'!K15</f>
        <v>2.005639958677921</v>
      </c>
      <c r="G81" s="360">
        <f>'CLASS 1 LINE HAUL COMPILE EMISS'!F15</f>
        <v>47.203219639391172</v>
      </c>
      <c r="H81" s="360">
        <f>'CLASS 1 LINE HAUL COMPILE EMISS'!G15</f>
        <v>11.024022102448697</v>
      </c>
      <c r="I81" s="360">
        <f>'CLASS 1 LINE HAUL COMPILE EMISS'!H15</f>
        <v>1.2007836574932844</v>
      </c>
      <c r="J81" s="360">
        <f>'CLASS 1 LINE HAUL COMPILE EMISS'!I15</f>
        <v>1.1647601477684859</v>
      </c>
      <c r="K81" s="360">
        <f>'CLASS 1 LINE HAUL COMPILE EMISS'!J15</f>
        <v>0.59753713702317057</v>
      </c>
      <c r="L81" s="360">
        <f>'CLASS 1 LINE HAUL COMPILE EMISS'!L15</f>
        <v>3.4491463336744521E-2</v>
      </c>
      <c r="M81" s="360">
        <f>'CLASS 1 LINE HAUL COMPILE EMISS'!M15</f>
        <v>4230.4850443478927</v>
      </c>
      <c r="N81">
        <f t="shared" si="16"/>
        <v>5.4949039963778654E-3</v>
      </c>
      <c r="O81">
        <f t="shared" si="17"/>
        <v>0.1293238894229895</v>
      </c>
      <c r="P81">
        <f t="shared" si="18"/>
        <v>3.0202800280681362E-2</v>
      </c>
      <c r="Q81">
        <f t="shared" si="19"/>
        <v>3.2898182397076287E-3</v>
      </c>
      <c r="R81">
        <f t="shared" si="20"/>
        <v>3.1911236925163998E-3</v>
      </c>
      <c r="S81">
        <f t="shared" si="21"/>
        <v>1.6370880466388235E-3</v>
      </c>
      <c r="T81">
        <f t="shared" si="22"/>
        <v>9.4497159826697314E-5</v>
      </c>
      <c r="U81">
        <f t="shared" si="23"/>
        <v>11.590369984514775</v>
      </c>
    </row>
    <row r="82" spans="1:30" x14ac:dyDescent="0.25">
      <c r="A82" s="360">
        <v>2285002006</v>
      </c>
      <c r="B82" s="360" t="s">
        <v>71</v>
      </c>
      <c r="C82" s="360" t="s">
        <v>126</v>
      </c>
      <c r="D82" s="360" t="s">
        <v>45</v>
      </c>
      <c r="E82" s="360">
        <f>'CLASS 1 LINE HAUL COMPILE EMISS'!E16</f>
        <v>127152.80148829066</v>
      </c>
      <c r="F82" s="360">
        <f>'CLASS 1 LINE HAUL COMPILE EMISS'!K16</f>
        <v>0.71202873944052381</v>
      </c>
      <c r="G82" s="360">
        <f>'CLASS 1 LINE HAUL COMPILE EMISS'!F16</f>
        <v>16.757767929357055</v>
      </c>
      <c r="H82" s="360">
        <f>'CLASS 1 LINE HAUL COMPILE EMISS'!G16</f>
        <v>3.9136738013263357</v>
      </c>
      <c r="I82" s="360">
        <f>'CLASS 1 LINE HAUL COMPILE EMISS'!H16</f>
        <v>0.4262940964485567</v>
      </c>
      <c r="J82" s="360">
        <f>'CLASS 1 LINE HAUL COMPILE EMISS'!I16</f>
        <v>0.41350527355509997</v>
      </c>
      <c r="K82" s="360">
        <f>'CLASS 1 LINE HAUL COMPILE EMISS'!J16</f>
        <v>0.21213359486712913</v>
      </c>
      <c r="L82" s="360">
        <f>'CLASS 1 LINE HAUL COMPILE EMISS'!L16</f>
        <v>1.2244926141833557E-2</v>
      </c>
      <c r="M82" s="360">
        <f>'CLASS 1 LINE HAUL COMPILE EMISS'!M16</f>
        <v>1501.8782011775531</v>
      </c>
      <c r="N82">
        <f t="shared" si="16"/>
        <v>1.9507636697000653E-3</v>
      </c>
      <c r="O82">
        <f t="shared" si="17"/>
        <v>4.5911692957142619E-2</v>
      </c>
      <c r="P82">
        <f t="shared" si="18"/>
        <v>1.0722393976236536E-2</v>
      </c>
      <c r="Q82">
        <f t="shared" si="19"/>
        <v>1.1679290313659088E-3</v>
      </c>
      <c r="R82">
        <f t="shared" si="20"/>
        <v>1.1328911604249314E-3</v>
      </c>
      <c r="S82">
        <f t="shared" si="21"/>
        <v>5.8118793114281958E-4</v>
      </c>
      <c r="T82">
        <f t="shared" si="22"/>
        <v>3.354774285433851E-5</v>
      </c>
      <c r="U82">
        <f t="shared" si="23"/>
        <v>4.1147347977467206</v>
      </c>
    </row>
    <row r="83" spans="1:30" x14ac:dyDescent="0.25">
      <c r="A83" s="360">
        <v>2285002006</v>
      </c>
      <c r="B83" s="360" t="s">
        <v>71</v>
      </c>
      <c r="C83" s="360" t="s">
        <v>127</v>
      </c>
      <c r="D83" s="360" t="s">
        <v>50</v>
      </c>
      <c r="E83" s="360">
        <f>'CLASS 1 LINE HAUL COMPILE EMISS'!E17</f>
        <v>17758.200651583247</v>
      </c>
      <c r="F83" s="360">
        <f>'CLASS 1 LINE HAUL COMPILE EMISS'!K17</f>
        <v>9.944215995778205E-2</v>
      </c>
      <c r="G83" s="360">
        <f>'CLASS 1 LINE HAUL COMPILE EMISS'!F17</f>
        <v>2.3403951928624536</v>
      </c>
      <c r="H83" s="360">
        <f>'CLASS 1 LINE HAUL COMPILE EMISS'!G17</f>
        <v>0.54658492644535073</v>
      </c>
      <c r="I83" s="360">
        <f>'CLASS 1 LINE HAUL COMPILE EMISS'!H17</f>
        <v>5.9536368941237858E-2</v>
      </c>
      <c r="J83" s="360">
        <f>'CLASS 1 LINE HAUL COMPILE EMISS'!I17</f>
        <v>5.7750277873000737E-2</v>
      </c>
      <c r="K83" s="360">
        <f>'CLASS 1 LINE HAUL COMPILE EMISS'!J17</f>
        <v>2.9626645252791052E-2</v>
      </c>
      <c r="L83" s="360">
        <f>'CLASS 1 LINE HAUL COMPILE EMISS'!L17</f>
        <v>1.7101302751125142E-3</v>
      </c>
      <c r="M83" s="360">
        <f>'CLASS 1 LINE HAUL COMPILE EMISS'!M17</f>
        <v>209.75278671469908</v>
      </c>
      <c r="N83">
        <f t="shared" si="16"/>
        <v>2.7244427385693712E-4</v>
      </c>
      <c r="O83">
        <f t="shared" si="17"/>
        <v>6.4120416242806951E-3</v>
      </c>
      <c r="P83">
        <f t="shared" si="18"/>
        <v>1.4974929491653444E-3</v>
      </c>
      <c r="Q83">
        <f t="shared" si="19"/>
        <v>1.6311333956503524E-4</v>
      </c>
      <c r="R83">
        <f t="shared" si="20"/>
        <v>1.5821993937808421E-4</v>
      </c>
      <c r="S83">
        <f t="shared" si="21"/>
        <v>8.116889110353713E-5</v>
      </c>
      <c r="T83">
        <f t="shared" si="22"/>
        <v>4.6852884249657923E-6</v>
      </c>
      <c r="U83">
        <f t="shared" si="23"/>
        <v>0.57466516908136733</v>
      </c>
    </row>
    <row r="84" spans="1:30" x14ac:dyDescent="0.25">
      <c r="A84" s="360">
        <v>2285002006</v>
      </c>
      <c r="B84" s="360" t="s">
        <v>71</v>
      </c>
      <c r="C84" s="360" t="s">
        <v>128</v>
      </c>
      <c r="D84" s="360" t="s">
        <v>22</v>
      </c>
      <c r="E84" s="360">
        <f>'CLASS 1 LINE HAUL COMPILE EMISS'!E18</f>
        <v>3930.1775005471659</v>
      </c>
      <c r="F84" s="360">
        <f>'CLASS 1 LINE HAUL COMPILE EMISS'!K18</f>
        <v>2.2008161037252554E-2</v>
      </c>
      <c r="G84" s="360">
        <f>'CLASS 1 LINE HAUL COMPILE EMISS'!F18</f>
        <v>0.51796737236194534</v>
      </c>
      <c r="H84" s="360">
        <f>'CLASS 1 LINE HAUL COMPILE EMISS'!G18</f>
        <v>0.12096809931372313</v>
      </c>
      <c r="I84" s="360">
        <f>'CLASS 1 LINE HAUL COMPILE EMISS'!H18</f>
        <v>1.3176362981137207E-2</v>
      </c>
      <c r="J84" s="360">
        <f>'CLASS 1 LINE HAUL COMPILE EMISS'!I18</f>
        <v>1.2781072091703091E-2</v>
      </c>
      <c r="K84" s="360">
        <f>'CLASS 1 LINE HAUL COMPILE EMISS'!J18</f>
        <v>6.5568565686203546E-3</v>
      </c>
      <c r="L84" s="360">
        <f>'CLASS 1 LINE HAUL COMPILE EMISS'!L18</f>
        <v>3.7847953529303714E-4</v>
      </c>
      <c r="M84" s="360">
        <f>'CLASS 1 LINE HAUL COMPILE EMISS'!M18</f>
        <v>46.421689854578915</v>
      </c>
      <c r="N84">
        <f t="shared" si="16"/>
        <v>6.0296331608911107E-5</v>
      </c>
      <c r="O84">
        <f t="shared" si="17"/>
        <v>1.4190886914025899E-3</v>
      </c>
      <c r="P84">
        <f t="shared" si="18"/>
        <v>3.3141945017458392E-4</v>
      </c>
      <c r="Q84">
        <f t="shared" si="19"/>
        <v>3.609962460585536E-5</v>
      </c>
      <c r="R84">
        <f t="shared" si="20"/>
        <v>3.5016635867679703E-5</v>
      </c>
      <c r="S84">
        <f t="shared" si="21"/>
        <v>1.7963990598959876E-5</v>
      </c>
      <c r="T84">
        <f t="shared" si="22"/>
        <v>1.0369302336795538E-6</v>
      </c>
      <c r="U84">
        <f t="shared" si="23"/>
        <v>0.12718271193035319</v>
      </c>
    </row>
    <row r="85" spans="1:30" x14ac:dyDescent="0.25">
      <c r="A85" s="360">
        <v>2285002006</v>
      </c>
      <c r="B85" s="360" t="s">
        <v>71</v>
      </c>
      <c r="C85" s="360" t="s">
        <v>129</v>
      </c>
      <c r="D85" s="360" t="s">
        <v>66</v>
      </c>
      <c r="E85" s="360">
        <f>'CLASS 1 LINE HAUL COMPILE EMISS'!E19</f>
        <v>64432.409443797631</v>
      </c>
      <c r="F85" s="360">
        <f>'CLASS 1 LINE HAUL COMPILE EMISS'!K19</f>
        <v>0.3608078370149615</v>
      </c>
      <c r="G85" s="360">
        <f>'CLASS 1 LINE HAUL COMPILE EMISS'!F19</f>
        <v>8.491699372332798</v>
      </c>
      <c r="H85" s="360">
        <f>'CLASS 1 LINE HAUL COMPILE EMISS'!G19</f>
        <v>1.9831842463946354</v>
      </c>
      <c r="I85" s="360">
        <f>'CLASS 1 LINE HAUL COMPILE EMISS'!H19</f>
        <v>0.21601691385758873</v>
      </c>
      <c r="J85" s="360">
        <f>'CLASS 1 LINE HAUL COMPILE EMISS'!I19</f>
        <v>0.20953640644186106</v>
      </c>
      <c r="K85" s="360">
        <f>'CLASS 1 LINE HAUL COMPILE EMISS'!J19</f>
        <v>0.1074949075543746</v>
      </c>
      <c r="L85" s="360">
        <f>'CLASS 1 LINE HAUL COMPILE EMISS'!L19</f>
        <v>6.2048974583728388E-3</v>
      </c>
      <c r="M85" s="360">
        <f>'CLASS 1 LINE HAUL COMPILE EMISS'!M19</f>
        <v>761.04993409758072</v>
      </c>
      <c r="N85">
        <f t="shared" si="16"/>
        <v>9.8851462195879872E-4</v>
      </c>
      <c r="O85">
        <f t="shared" si="17"/>
        <v>2.3264929787213146E-2</v>
      </c>
      <c r="P85">
        <f t="shared" si="18"/>
        <v>5.4333814969716038E-3</v>
      </c>
      <c r="Q85">
        <f t="shared" si="19"/>
        <v>5.9182716125366771E-4</v>
      </c>
      <c r="R85">
        <f t="shared" si="20"/>
        <v>5.7407234641605764E-4</v>
      </c>
      <c r="S85">
        <f t="shared" si="21"/>
        <v>2.945065960393825E-4</v>
      </c>
      <c r="T85">
        <f t="shared" si="22"/>
        <v>1.6999719064035174E-5</v>
      </c>
      <c r="U85">
        <f t="shared" si="23"/>
        <v>2.0850683125961114</v>
      </c>
    </row>
    <row r="86" spans="1:30" x14ac:dyDescent="0.25">
      <c r="A86" s="360">
        <v>2285002006</v>
      </c>
      <c r="B86" s="360" t="s">
        <v>71</v>
      </c>
      <c r="C86" s="360" t="s">
        <v>130</v>
      </c>
      <c r="D86" s="360" t="s">
        <v>46</v>
      </c>
      <c r="E86" s="360">
        <f>'CLASS 1 LINE HAUL COMPILE EMISS'!E20</f>
        <v>19091.084279643743</v>
      </c>
      <c r="F86" s="360">
        <f>'CLASS 1 LINE HAUL COMPILE EMISS'!K20</f>
        <v>0.1069060257822108</v>
      </c>
      <c r="G86" s="360">
        <f>'CLASS 1 LINE HAUL COMPILE EMISS'!F20</f>
        <v>2.5160590732837917</v>
      </c>
      <c r="H86" s="360">
        <f>'CLASS 1 LINE HAUL COMPILE EMISS'!G20</f>
        <v>0.58761014707989201</v>
      </c>
      <c r="I86" s="360">
        <f>'CLASS 1 LINE HAUL COMPILE EMISS'!H20</f>
        <v>6.4005011513359633E-2</v>
      </c>
      <c r="J86" s="360">
        <f>'CLASS 1 LINE HAUL COMPILE EMISS'!I20</f>
        <v>6.2084861167958832E-2</v>
      </c>
      <c r="K86" s="360">
        <f>'CLASS 1 LINE HAUL COMPILE EMISS'!J20</f>
        <v>3.1850342979073965E-2</v>
      </c>
      <c r="L86" s="360">
        <f>'CLASS 1 LINE HAUL COMPILE EMISS'!L20</f>
        <v>1.8384881358141747E-3</v>
      </c>
      <c r="M86" s="360">
        <f>'CLASS 1 LINE HAUL COMPILE EMISS'!M20</f>
        <v>225.49627676965355</v>
      </c>
      <c r="N86">
        <f t="shared" si="16"/>
        <v>2.9289322132112545E-4</v>
      </c>
      <c r="O86">
        <f t="shared" si="17"/>
        <v>6.8933125295446351E-3</v>
      </c>
      <c r="P86">
        <f t="shared" si="18"/>
        <v>1.6098908139175123E-3</v>
      </c>
      <c r="Q86">
        <f t="shared" si="19"/>
        <v>1.753561959270127E-4</v>
      </c>
      <c r="R86">
        <f t="shared" si="20"/>
        <v>1.7009551004920227E-4</v>
      </c>
      <c r="S86">
        <f t="shared" si="21"/>
        <v>8.726121364129853E-5</v>
      </c>
      <c r="T86">
        <f t="shared" si="22"/>
        <v>5.0369537967511631E-6</v>
      </c>
      <c r="U86">
        <f t="shared" si="23"/>
        <v>0.61779801854699601</v>
      </c>
    </row>
    <row r="87" spans="1:30" x14ac:dyDescent="0.25">
      <c r="A87" s="360">
        <v>2285002006</v>
      </c>
      <c r="B87" s="360" t="s">
        <v>71</v>
      </c>
      <c r="C87" s="360" t="s">
        <v>131</v>
      </c>
      <c r="D87" s="360" t="s">
        <v>47</v>
      </c>
      <c r="E87" s="360">
        <f>'CLASS 1 LINE HAUL COMPILE EMISS'!E21</f>
        <v>983907.41844306001</v>
      </c>
      <c r="F87" s="360">
        <f>'CLASS 1 LINE HAUL COMPILE EMISS'!K21</f>
        <v>5.509673012943459</v>
      </c>
      <c r="G87" s="360">
        <f>'CLASS 1 LINE HAUL COMPILE EMISS'!F21</f>
        <v>129.67148178610887</v>
      </c>
      <c r="H87" s="360">
        <f>'CLASS 1 LINE HAUL COMPILE EMISS'!G21</f>
        <v>30.28397834274881</v>
      </c>
      <c r="I87" s="360">
        <f>'CLASS 1 LINE HAUL COMPILE EMISS'!H21</f>
        <v>3.298660501576455</v>
      </c>
      <c r="J87" s="360">
        <f>'CLASS 1 LINE HAUL COMPILE EMISS'!I21</f>
        <v>3.1997006865291611</v>
      </c>
      <c r="K87" s="360">
        <f>'CLASS 1 LINE HAUL COMPILE EMISS'!J21</f>
        <v>1.6414881563579526</v>
      </c>
      <c r="L87" s="360">
        <f>'CLASS 1 LINE HAUL COMPILE EMISS'!L21</f>
        <v>9.4751146087385774E-2</v>
      </c>
      <c r="M87" s="360">
        <f>'CLASS 1 LINE HAUL COMPILE EMISS'!M21</f>
        <v>11621.522187795392</v>
      </c>
      <c r="N87">
        <f t="shared" si="16"/>
        <v>1.5094994556009477E-2</v>
      </c>
      <c r="O87">
        <f t="shared" si="17"/>
        <v>0.35526433366057225</v>
      </c>
      <c r="P87">
        <f t="shared" si="18"/>
        <v>8.2969803678763859E-2</v>
      </c>
      <c r="Q87">
        <f t="shared" si="19"/>
        <v>9.0374260317163148E-3</v>
      </c>
      <c r="R87">
        <f t="shared" si="20"/>
        <v>8.7663032507648252E-3</v>
      </c>
      <c r="S87">
        <f t="shared" si="21"/>
        <v>4.4972278256382265E-3</v>
      </c>
      <c r="T87">
        <f t="shared" si="22"/>
        <v>2.5959218106133086E-4</v>
      </c>
      <c r="U87">
        <f t="shared" si="23"/>
        <v>31.839786815877787</v>
      </c>
    </row>
    <row r="88" spans="1:30" x14ac:dyDescent="0.25">
      <c r="A88" s="360">
        <v>2285002006</v>
      </c>
      <c r="B88" s="360" t="s">
        <v>71</v>
      </c>
      <c r="C88" s="360" t="s">
        <v>132</v>
      </c>
      <c r="D88" s="360" t="s">
        <v>67</v>
      </c>
      <c r="E88" s="360">
        <f>'CLASS 1 LINE HAUL COMPILE EMISS'!E22</f>
        <v>0</v>
      </c>
      <c r="F88" s="360">
        <f>'CLASS 1 LINE HAUL COMPILE EMISS'!K22</f>
        <v>0</v>
      </c>
      <c r="G88" s="360">
        <f>'CLASS 1 LINE HAUL COMPILE EMISS'!F22</f>
        <v>0</v>
      </c>
      <c r="H88" s="360">
        <f>'CLASS 1 LINE HAUL COMPILE EMISS'!G22</f>
        <v>0</v>
      </c>
      <c r="I88" s="360">
        <f>'CLASS 1 LINE HAUL COMPILE EMISS'!H22</f>
        <v>0</v>
      </c>
      <c r="J88" s="360">
        <f>'CLASS 1 LINE HAUL COMPILE EMISS'!I22</f>
        <v>0</v>
      </c>
      <c r="K88" s="360">
        <f>'CLASS 1 LINE HAUL COMPILE EMISS'!J22</f>
        <v>0</v>
      </c>
      <c r="L88" s="360">
        <f>'CLASS 1 LINE HAUL COMPILE EMISS'!L22</f>
        <v>0</v>
      </c>
      <c r="M88" s="360">
        <f>'CLASS 1 LINE HAUL COMPILE EMISS'!M22</f>
        <v>0</v>
      </c>
      <c r="N88">
        <f t="shared" si="16"/>
        <v>0</v>
      </c>
      <c r="O88">
        <f t="shared" si="17"/>
        <v>0</v>
      </c>
      <c r="P88">
        <f t="shared" si="18"/>
        <v>0</v>
      </c>
      <c r="Q88">
        <f t="shared" si="19"/>
        <v>0</v>
      </c>
      <c r="R88">
        <f t="shared" si="20"/>
        <v>0</v>
      </c>
      <c r="S88">
        <f t="shared" si="21"/>
        <v>0</v>
      </c>
      <c r="T88">
        <f t="shared" si="22"/>
        <v>0</v>
      </c>
      <c r="U88">
        <f t="shared" si="23"/>
        <v>0</v>
      </c>
    </row>
    <row r="89" spans="1:30" x14ac:dyDescent="0.25">
      <c r="A89" s="360">
        <v>2285002006</v>
      </c>
      <c r="B89" s="360" t="s">
        <v>71</v>
      </c>
      <c r="C89" s="360" t="s">
        <v>117</v>
      </c>
      <c r="D89" s="360" t="s">
        <v>48</v>
      </c>
      <c r="E89" s="360">
        <f>'CLASS 1 LINE HAUL COMPILE EMISS'!E23</f>
        <v>289405.23921688902</v>
      </c>
      <c r="F89" s="360">
        <f>'CLASS 1 LINE HAUL COMPILE EMISS'!K23</f>
        <v>1.6206080027742131</v>
      </c>
      <c r="G89" s="360">
        <f>'CLASS 1 LINE HAUL COMPILE EMISS'!F23</f>
        <v>38.141399792778458</v>
      </c>
      <c r="H89" s="360">
        <f>'CLASS 1 LINE HAUL COMPILE EMISS'!G23</f>
        <v>8.9076897200257346</v>
      </c>
      <c r="I89" s="360">
        <f>'CLASS 1 LINE HAUL COMPILE EMISS'!H23</f>
        <v>0.97026367893910137</v>
      </c>
      <c r="J89" s="360">
        <f>'CLASS 1 LINE HAUL COMPILE EMISS'!I23</f>
        <v>0.94115576857092809</v>
      </c>
      <c r="K89" s="360">
        <f>'CLASS 1 LINE HAUL COMPILE EMISS'!J23</f>
        <v>0.48282517608637743</v>
      </c>
      <c r="L89" s="360">
        <f>'CLASS 1 LINE HAUL COMPILE EMISS'!L23</f>
        <v>2.786997799334226E-2</v>
      </c>
      <c r="M89" s="360">
        <f>'CLASS 1 LINE HAUL COMPILE EMISS'!M23</f>
        <v>3418.3393130071718</v>
      </c>
      <c r="N89">
        <f t="shared" si="16"/>
        <v>4.4400219254088031E-3</v>
      </c>
      <c r="O89">
        <f t="shared" si="17"/>
        <v>0.10449698573363961</v>
      </c>
      <c r="P89">
        <f t="shared" si="18"/>
        <v>2.4404629369933518E-2</v>
      </c>
      <c r="Q89">
        <f t="shared" si="19"/>
        <v>2.6582566546276749E-3</v>
      </c>
      <c r="R89">
        <f t="shared" si="20"/>
        <v>2.5785089549888443E-3</v>
      </c>
      <c r="S89">
        <f t="shared" si="21"/>
        <v>1.3228087016065135E-3</v>
      </c>
      <c r="T89">
        <f t="shared" si="22"/>
        <v>7.6356104091348658E-5</v>
      </c>
      <c r="U89">
        <f t="shared" si="23"/>
        <v>9.3653131863210177</v>
      </c>
    </row>
    <row r="90" spans="1:30" x14ac:dyDescent="0.25">
      <c r="A90" s="360">
        <v>2285002006</v>
      </c>
      <c r="B90" s="360" t="s">
        <v>71</v>
      </c>
      <c r="C90" s="360" t="s">
        <v>133</v>
      </c>
      <c r="D90" s="360" t="s">
        <v>25</v>
      </c>
      <c r="E90" s="360">
        <f>'CLASS 1 LINE HAUL COMPILE EMISS'!E24</f>
        <v>182087.03676962649</v>
      </c>
      <c r="F90" s="360">
        <f>'CLASS 1 LINE HAUL COMPILE EMISS'!K24</f>
        <v>1.0196488141983793</v>
      </c>
      <c r="G90" s="360">
        <f>'CLASS 1 LINE HAUL COMPILE EMISS'!F24</f>
        <v>23.997680502625048</v>
      </c>
      <c r="H90" s="360">
        <f>'CLASS 1 LINE HAUL COMPILE EMISS'!G24</f>
        <v>5.6045109272095575</v>
      </c>
      <c r="I90" s="360">
        <f>'CLASS 1 LINE HAUL COMPILE EMISS'!H24</f>
        <v>0.61046731103168994</v>
      </c>
      <c r="J90" s="360">
        <f>'CLASS 1 LINE HAUL COMPILE EMISS'!I24</f>
        <v>0.59215329170073905</v>
      </c>
      <c r="K90" s="360">
        <f>'CLASS 1 LINE HAUL COMPILE EMISS'!J24</f>
        <v>0.30378235663333841</v>
      </c>
      <c r="L90" s="360">
        <f>'CLASS 1 LINE HAUL COMPILE EMISS'!L24</f>
        <v>1.7535141110003243E-2</v>
      </c>
      <c r="M90" s="360">
        <f>'CLASS 1 LINE HAUL COMPILE EMISS'!M24</f>
        <v>2150.7394885554395</v>
      </c>
      <c r="N90">
        <f t="shared" si="16"/>
        <v>2.7935583950640529E-3</v>
      </c>
      <c r="O90">
        <f t="shared" si="17"/>
        <v>6.5747069870205607E-2</v>
      </c>
      <c r="P90">
        <f t="shared" si="18"/>
        <v>1.5354824458108377E-2</v>
      </c>
      <c r="Q90">
        <f t="shared" si="19"/>
        <v>1.6725131809087396E-3</v>
      </c>
      <c r="R90">
        <f t="shared" si="20"/>
        <v>1.6223377854814769E-3</v>
      </c>
      <c r="S90">
        <f t="shared" si="21"/>
        <v>8.3228042913243404E-4</v>
      </c>
      <c r="T90">
        <f t="shared" si="22"/>
        <v>4.8041482493159571E-5</v>
      </c>
      <c r="U90">
        <f t="shared" si="23"/>
        <v>5.89243695494641</v>
      </c>
      <c r="V90">
        <f>SUM(E70:E90)</f>
        <v>5313400.0000000009</v>
      </c>
      <c r="W90">
        <f>SUM(G70:G90)</f>
        <v>700.26553149948029</v>
      </c>
      <c r="X90">
        <f>SUM(H70:H90)</f>
        <v>163.54271500563306</v>
      </c>
      <c r="Y90">
        <f>SUM(I70:I90)</f>
        <v>17.81377229253064</v>
      </c>
      <c r="Z90">
        <f>SUM(J70:J90)</f>
        <v>17.279359123754723</v>
      </c>
      <c r="AA90">
        <f>SUM(K70:K90)</f>
        <v>8.8645364457093905</v>
      </c>
      <c r="AB90">
        <f>SUM(F70:F90)</f>
        <v>29.753913872606869</v>
      </c>
      <c r="AC90">
        <f>SUM(L70:L90)</f>
        <v>0.51168507339580627</v>
      </c>
      <c r="AD90">
        <f>SUM(M70:M90)</f>
        <v>62759.762590615726</v>
      </c>
    </row>
    <row r="91" spans="1:30" x14ac:dyDescent="0.25">
      <c r="E91" s="1">
        <f>SUM(E7:E90)</f>
        <v>26615327.25952452</v>
      </c>
      <c r="F91" s="1">
        <f>SUM(F7:F90)</f>
        <v>187.88097063778304</v>
      </c>
      <c r="G91" s="1">
        <f t="shared" ref="G91:M91" si="24">SUM(G7:G90)</f>
        <v>3960.5525449061629</v>
      </c>
      <c r="H91" s="1">
        <f t="shared" si="24"/>
        <v>811.7242132172853</v>
      </c>
      <c r="I91" s="1">
        <f t="shared" si="24"/>
        <v>100.42097528712652</v>
      </c>
      <c r="J91" s="1">
        <f t="shared" si="24"/>
        <v>97.058622722975073</v>
      </c>
      <c r="K91" s="1">
        <f t="shared" si="24"/>
        <v>42.780817775451304</v>
      </c>
      <c r="L91" s="1">
        <f t="shared" si="24"/>
        <v>2.4935709981232033</v>
      </c>
      <c r="M91" s="1">
        <f t="shared" si="24"/>
        <v>331961.3217363506</v>
      </c>
      <c r="N91" s="512">
        <f>SUM(N7:N90)</f>
        <v>0.51474238530899452</v>
      </c>
      <c r="O91" s="7">
        <f>SUM(O7:O90)</f>
        <v>10.850828890153871</v>
      </c>
      <c r="P91" s="7">
        <f t="shared" ref="P91:U91" si="25">SUM(P7:P90)</f>
        <v>2.22390195401996</v>
      </c>
      <c r="Q91" s="7">
        <f t="shared" si="25"/>
        <v>0.2751259596907577</v>
      </c>
      <c r="R91" s="7">
        <f t="shared" si="25"/>
        <v>0.26591403485746595</v>
      </c>
      <c r="S91" s="7">
        <f t="shared" si="25"/>
        <v>0.1172077199327433</v>
      </c>
      <c r="T91" s="7">
        <f t="shared" si="25"/>
        <v>6.8317013647211083E-3</v>
      </c>
      <c r="U91" s="7">
        <f t="shared" si="25"/>
        <v>909.48307325027565</v>
      </c>
      <c r="V91">
        <f>'CLASS 1 LINE HAUL COMPILE EMISS'!E25</f>
        <v>5313400.0000000009</v>
      </c>
      <c r="W91">
        <f>'CLASS 1 LINE HAUL COMPILE EMISS'!F25</f>
        <v>700.26553149948029</v>
      </c>
      <c r="X91">
        <f>'CLASS 1 LINE HAUL COMPILE EMISS'!G25</f>
        <v>163.54271500563306</v>
      </c>
      <c r="Y91">
        <f>'CLASS 1 LINE HAUL COMPILE EMISS'!H25</f>
        <v>17.81377229253064</v>
      </c>
      <c r="Z91">
        <f>'CLASS 1 LINE HAUL COMPILE EMISS'!I25</f>
        <v>17.279359123754723</v>
      </c>
      <c r="AA91">
        <f>'CLASS 1 LINE HAUL COMPILE EMISS'!J25</f>
        <v>8.8645364457093905</v>
      </c>
      <c r="AB91">
        <f>'CLASS 1 LINE HAUL COMPILE EMISS'!K25</f>
        <v>29.753913872606869</v>
      </c>
      <c r="AC91">
        <f>'CLASS 1 LINE HAUL COMPILE EMISS'!L25</f>
        <v>0.51168507339580627</v>
      </c>
      <c r="AD91">
        <f>'CLASS 1 LINE HAUL COMPILE EMISS'!M25</f>
        <v>62759.762590615726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6"/>
  <sheetViews>
    <sheetView workbookViewId="0">
      <selection activeCell="H4" sqref="H4"/>
    </sheetView>
  </sheetViews>
  <sheetFormatPr defaultRowHeight="15" x14ac:dyDescent="0.25"/>
  <cols>
    <col min="1" max="1" width="10.85546875" customWidth="1"/>
    <col min="2" max="2" width="11.42578125" customWidth="1"/>
    <col min="8" max="8" width="10" bestFit="1" customWidth="1"/>
    <col min="9" max="9" width="12" customWidth="1"/>
    <col min="11" max="11" width="6.140625" customWidth="1"/>
    <col min="12" max="12" width="4.42578125" customWidth="1"/>
    <col min="13" max="13" width="23.5703125" customWidth="1"/>
    <col min="15" max="15" width="11.5703125" customWidth="1"/>
  </cols>
  <sheetData>
    <row r="2" spans="1:17" ht="18" thickBot="1" x14ac:dyDescent="0.3">
      <c r="A2" s="31" t="s">
        <v>1040</v>
      </c>
      <c r="B2" s="31"/>
      <c r="C2" s="31"/>
    </row>
    <row r="3" spans="1:17" ht="26.25" x14ac:dyDescent="0.25">
      <c r="A3" s="519" t="s">
        <v>80</v>
      </c>
      <c r="B3" s="520" t="s">
        <v>982</v>
      </c>
      <c r="C3" s="26" t="s">
        <v>96</v>
      </c>
      <c r="D3" s="26" t="s">
        <v>10</v>
      </c>
      <c r="E3" s="26" t="s">
        <v>7</v>
      </c>
      <c r="F3" s="27" t="s">
        <v>95</v>
      </c>
      <c r="G3" s="28" t="s">
        <v>17</v>
      </c>
      <c r="H3" s="26" t="s">
        <v>69</v>
      </c>
      <c r="I3" s="63" t="s">
        <v>16</v>
      </c>
      <c r="J3" s="64" t="s">
        <v>94</v>
      </c>
      <c r="K3" s="64" t="s">
        <v>93</v>
      </c>
      <c r="L3" s="64" t="s">
        <v>92</v>
      </c>
      <c r="M3" s="521" t="s">
        <v>97</v>
      </c>
      <c r="N3" s="111"/>
      <c r="O3" s="6"/>
      <c r="P3" s="6"/>
      <c r="Q3" s="6"/>
    </row>
    <row r="4" spans="1:17" ht="59.25" customHeight="1" x14ac:dyDescent="0.25">
      <c r="A4" s="231" t="s">
        <v>75</v>
      </c>
      <c r="B4" s="303" t="s">
        <v>720</v>
      </c>
      <c r="C4" s="360">
        <f>112*0.00220462262*1.048772096</f>
        <v>0.25896042883943809</v>
      </c>
      <c r="D4" s="360">
        <f>1.28*0.00220462262*1.048772096*20.8</f>
        <v>6.1558593369832146E-2</v>
      </c>
      <c r="E4" s="360">
        <f>2.8*0.00220462262*1.048772096</f>
        <v>6.474010720985952E-3</v>
      </c>
      <c r="F4" s="360">
        <f>E4*0.97</f>
        <v>6.279790399356373E-3</v>
      </c>
      <c r="G4" s="360">
        <f>3218*0.98*(0.000011)*2*0.00220462262*1.048772096*20.8</f>
        <v>3.3366719786612682E-3</v>
      </c>
      <c r="H4" s="360">
        <f>4.6*0.00220462262*1.053*1.048772096</f>
        <v>1.1199576117968483E-2</v>
      </c>
      <c r="I4" s="360">
        <f>0.000183645*1.048772096</f>
        <v>1.9260175156992E-4</v>
      </c>
      <c r="J4" s="360">
        <f>10217*0.00220462262*1.048772096</f>
        <v>23.623202691540527</v>
      </c>
      <c r="K4" s="159"/>
      <c r="L4" s="159"/>
      <c r="M4" s="331" t="s">
        <v>98</v>
      </c>
      <c r="N4" s="522"/>
      <c r="O4" s="523"/>
      <c r="Q4" s="158"/>
    </row>
    <row r="5" spans="1:17" x14ac:dyDescent="0.25">
      <c r="A5" s="231" t="s">
        <v>77</v>
      </c>
      <c r="B5" s="303" t="s">
        <v>511</v>
      </c>
      <c r="C5" s="360">
        <f>206*0.00220462262*1.048772096</f>
        <v>0.47630221732968075</v>
      </c>
      <c r="D5" s="360">
        <f>1.28*0.00220462262*1.048772096*15.2</f>
        <v>4.4985125924108103E-2</v>
      </c>
      <c r="E5" s="360">
        <f>4.5*0.00220462262*1.048772096</f>
        <v>1.0404660087298852E-2</v>
      </c>
      <c r="F5" s="360">
        <f>E5*0.97</f>
        <v>1.0092520284679886E-2</v>
      </c>
      <c r="G5" s="360">
        <f>3218*0.98*(0.000011)*2*0.00220462262*1.048772096*15.2</f>
        <v>2.4383372151755419E-3</v>
      </c>
      <c r="H5" s="360">
        <f>11.8*0.00220462262*1.053*1.048772096</f>
        <v>2.8729347433049588E-2</v>
      </c>
      <c r="I5" s="360">
        <f t="shared" ref="I5:J8" si="0">I4</f>
        <v>1.9260175156992E-4</v>
      </c>
      <c r="J5" s="360">
        <f t="shared" si="0"/>
        <v>23.623202691540527</v>
      </c>
      <c r="K5" s="159"/>
      <c r="L5" s="159"/>
      <c r="M5" s="298" t="s">
        <v>99</v>
      </c>
      <c r="N5" s="111"/>
      <c r="O5" s="6"/>
      <c r="Q5" s="6"/>
    </row>
    <row r="6" spans="1:17" x14ac:dyDescent="0.25">
      <c r="A6" s="231" t="s">
        <v>77</v>
      </c>
      <c r="B6" s="168" t="s">
        <v>510</v>
      </c>
      <c r="C6" s="360">
        <f>0.43*0.00220462*4.1*1.048772096/0.048</f>
        <v>8.4923120066538432E-2</v>
      </c>
      <c r="D6" s="360">
        <f>0.43*0.00220462*0.76*1.048772096*15.2</f>
        <v>1.1485251313272027E-2</v>
      </c>
      <c r="E6" s="360">
        <f>0.43*0.00220462*0.13*1.048772096/0.048</f>
        <v>2.6926842947926828E-3</v>
      </c>
      <c r="F6" s="360">
        <f>E6*0.97</f>
        <v>2.611903765948902E-3</v>
      </c>
      <c r="G6" s="360">
        <f>3218*0.98*(0.000011)*2*0.00220462262*1.048772096*15.2</f>
        <v>2.4383372151755419E-3</v>
      </c>
      <c r="H6" s="360">
        <f>0.00220462*(0.17/1.053)*1.048772096/0.048</f>
        <v>7.7766791213239646E-3</v>
      </c>
      <c r="I6" s="360">
        <f t="shared" si="0"/>
        <v>1.9260175156992E-4</v>
      </c>
      <c r="J6" s="360">
        <f t="shared" si="0"/>
        <v>23.623202691540527</v>
      </c>
      <c r="K6" s="159"/>
      <c r="L6" s="159"/>
      <c r="M6" s="298"/>
      <c r="N6" s="111"/>
      <c r="O6" s="6"/>
    </row>
    <row r="7" spans="1:17" x14ac:dyDescent="0.25">
      <c r="A7" s="451" t="s">
        <v>73</v>
      </c>
      <c r="B7" s="168" t="s">
        <v>512</v>
      </c>
      <c r="C7" s="360">
        <f>237*0.00220462262*1.048772096</f>
        <v>0.54797876459773942</v>
      </c>
      <c r="D7" s="444">
        <f>1.28*0.00220462262*1.048772096*18.2</f>
        <v>5.3863769198603119E-2</v>
      </c>
      <c r="E7" s="360">
        <f>5.4*0.00220462262*1.048772096</f>
        <v>1.2485592104758624E-2</v>
      </c>
      <c r="F7" s="360">
        <f>E7*0.97</f>
        <v>1.2111024341615866E-2</v>
      </c>
      <c r="G7" s="360">
        <f>3218*0.98*(0.000011)*2*0.00220462262*1.048772096*18.2</f>
        <v>2.9195879813286095E-3</v>
      </c>
      <c r="H7" s="360">
        <f>11.7*0.00220462262*1.053*1.048772096</f>
        <v>2.8485878387006794E-2</v>
      </c>
      <c r="I7" s="360">
        <f t="shared" si="0"/>
        <v>1.9260175156992E-4</v>
      </c>
      <c r="J7" s="360">
        <f t="shared" si="0"/>
        <v>23.623202691540527</v>
      </c>
      <c r="K7" s="159"/>
      <c r="L7" s="159"/>
      <c r="M7" s="298"/>
      <c r="N7" s="111"/>
      <c r="O7" s="6"/>
    </row>
    <row r="8" spans="1:17" ht="15.75" thickBot="1" x14ac:dyDescent="0.3">
      <c r="A8" s="453" t="s">
        <v>70</v>
      </c>
      <c r="B8" s="169" t="s">
        <v>529</v>
      </c>
      <c r="C8" s="299">
        <f>114*0.00220462262*1.048772096</f>
        <v>0.26358472221157087</v>
      </c>
      <c r="D8" s="183">
        <f>1.28*0.00220462262*1.048772096*20.8</f>
        <v>6.1558593369832146E-2</v>
      </c>
      <c r="E8" s="299">
        <f>2.9*0.00220462262*1.048772096</f>
        <v>6.705225389592593E-3</v>
      </c>
      <c r="F8" s="299">
        <f>E8*0.97</f>
        <v>6.504068627904815E-3</v>
      </c>
      <c r="G8" s="360">
        <f>3218*0.98*(0.000011)*2*0.00220462262*1.048772096*20.8</f>
        <v>3.3366719786612682E-3</v>
      </c>
      <c r="H8" s="299">
        <f>4.6*0.00220462262*1.053*1.048772096</f>
        <v>1.1199576117968483E-2</v>
      </c>
      <c r="I8" s="299">
        <f t="shared" si="0"/>
        <v>1.9260175156992E-4</v>
      </c>
      <c r="J8" s="299">
        <f t="shared" si="0"/>
        <v>23.623202691540527</v>
      </c>
      <c r="K8" s="167"/>
      <c r="L8" s="167"/>
      <c r="M8" s="300"/>
      <c r="N8" s="111"/>
      <c r="O8" s="6"/>
    </row>
    <row r="9" spans="1:17" ht="17.25" x14ac:dyDescent="0.25">
      <c r="A9" s="65" t="s">
        <v>246</v>
      </c>
      <c r="K9" s="138"/>
    </row>
    <row r="10" spans="1:17" ht="17.25" x14ac:dyDescent="0.25">
      <c r="A10" s="65" t="s">
        <v>513</v>
      </c>
    </row>
    <row r="11" spans="1:17" ht="17.25" x14ac:dyDescent="0.25">
      <c r="A11" t="s">
        <v>514</v>
      </c>
    </row>
    <row r="12" spans="1:17" ht="17.25" x14ac:dyDescent="0.25">
      <c r="A12" t="s">
        <v>515</v>
      </c>
    </row>
    <row r="13" spans="1:17" ht="17.25" x14ac:dyDescent="0.25">
      <c r="A13" t="s">
        <v>516</v>
      </c>
    </row>
    <row r="15" spans="1:17" x14ac:dyDescent="0.25">
      <c r="D15" s="6"/>
      <c r="I15" s="6"/>
    </row>
    <row r="16" spans="1:17" x14ac:dyDescent="0.25">
      <c r="I16" s="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2" sqref="A2"/>
    </sheetView>
  </sheetViews>
  <sheetFormatPr defaultRowHeight="15" x14ac:dyDescent="0.25"/>
  <cols>
    <col min="1" max="1" width="13.5703125" customWidth="1"/>
    <col min="2" max="2" width="36.85546875" customWidth="1"/>
  </cols>
  <sheetData>
    <row r="1" spans="1:12" ht="15.75" thickBot="1" x14ac:dyDescent="0.3">
      <c r="A1" s="31" t="s">
        <v>1041</v>
      </c>
      <c r="B1" s="31"/>
      <c r="C1" s="31"/>
      <c r="D1" s="31"/>
      <c r="E1" s="31"/>
    </row>
    <row r="2" spans="1:12" ht="30" x14ac:dyDescent="0.25">
      <c r="A2" s="476"/>
      <c r="B2" s="477"/>
      <c r="C2" s="24" t="s">
        <v>4</v>
      </c>
      <c r="D2" s="484" t="s">
        <v>823</v>
      </c>
      <c r="E2" s="477" t="s">
        <v>96</v>
      </c>
      <c r="F2" s="477" t="s">
        <v>10</v>
      </c>
      <c r="G2" s="477" t="s">
        <v>7</v>
      </c>
      <c r="H2" s="477" t="s">
        <v>95</v>
      </c>
      <c r="I2" s="477" t="s">
        <v>17</v>
      </c>
      <c r="J2" s="477" t="s">
        <v>69</v>
      </c>
      <c r="K2" s="477" t="s">
        <v>16</v>
      </c>
      <c r="L2" s="485" t="s">
        <v>94</v>
      </c>
    </row>
    <row r="3" spans="1:12" x14ac:dyDescent="0.25">
      <c r="A3" s="303"/>
      <c r="B3" s="360"/>
      <c r="C3" s="239"/>
      <c r="D3" s="360">
        <f>DSUM('2017 YARD EMIS COMPILE 1'!$A$2:$K$30,'2017 YARD EMIS COMPILE 1'!C2,'2017 YARD EMIS CTY COMPILE 2 '!$C$25:$C$26)</f>
        <v>4719</v>
      </c>
      <c r="E3" s="360">
        <f>DSUM('2017 YARD EMIS COMPILE 1'!$A$2:$K$30,'2017 YARD EMIS COMPILE 1'!D2,'2017 YARD EMIS CTY COMPILE 2 '!$C$25:$C$26)</f>
        <v>0.61101713184665418</v>
      </c>
      <c r="F3" s="360">
        <f>DSUM('2017 YARD EMIS COMPILE 1'!$A$2:$K$30,'2017 YARD EMIS COMPILE 1'!E2,'2017 YARD EMIS CTY COMPILE 2 '!$C$25:$C$26)</f>
        <v>0.14524750105611894</v>
      </c>
      <c r="G3" s="360">
        <f>DSUM('2017 YARD EMIS COMPILE 1'!$A$2:$K$30,'2017 YARD EMIS COMPILE 1'!F2,'2017 YARD EMIS CTY COMPILE 2 '!$C$25:$C$26)</f>
        <v>1.5275428296166354E-2</v>
      </c>
      <c r="H3" s="360">
        <f>DSUM('2017 YARD EMIS COMPILE 1'!$A$2:$K$30,'2017 YARD EMIS COMPILE 1'!G2,'2017 YARD EMIS CTY COMPILE 2 '!$C$25:$C$26)</f>
        <v>1.4817165447281361E-2</v>
      </c>
      <c r="I3" s="360">
        <f>DSUM('2017 YARD EMIS COMPILE 1'!$A$2:$K$30,'2017 YARD EMIS COMPILE 1'!H2,'2017 YARD EMIS CTY COMPILE 2 '!$C$25:$C$26)</f>
        <v>7.8728775336512624E-3</v>
      </c>
      <c r="J3" s="360">
        <f>DSUM('2017 YARD EMIS COMPILE 1'!$A$2:$K$30,'2017 YARD EMIS COMPILE 1'!I2,'2017 YARD EMIS CTY COMPILE 2 '!$C$25:$C$26)</f>
        <v>2.6425399850346636E-2</v>
      </c>
      <c r="K3" s="360">
        <f>DSUM('2017 YARD EMIS COMPILE 1'!$A$2:$K$30,'2017 YARD EMIS COMPILE 1'!J2,'2017 YARD EMIS CTY COMPILE 2 '!$C$25:$C$26)</f>
        <v>4.5444383282922622E-4</v>
      </c>
      <c r="L3" s="298">
        <f>DSUM('2017 YARD EMIS COMPILE 1'!$A$2:$K$30,'2017 YARD EMIS COMPILE 1'!K2,'2017 YARD EMIS CTY COMPILE 2 '!$C$25:$C$26)</f>
        <v>55.73894675068987</v>
      </c>
    </row>
    <row r="4" spans="1:12" x14ac:dyDescent="0.25">
      <c r="A4" s="451" t="s">
        <v>77</v>
      </c>
      <c r="B4" s="18" t="s">
        <v>78</v>
      </c>
      <c r="C4" s="360" t="s">
        <v>37</v>
      </c>
      <c r="D4" s="304">
        <f t="dataTable" ref="D4:L24" dt2D="0" dtr="0" r1="C26"/>
        <v>4719</v>
      </c>
      <c r="E4" s="304">
        <v>0.61101713184665418</v>
      </c>
      <c r="F4" s="304">
        <v>0.14524750105611894</v>
      </c>
      <c r="G4" s="304">
        <v>1.5275428296166354E-2</v>
      </c>
      <c r="H4" s="304">
        <v>1.4817165447281361E-2</v>
      </c>
      <c r="I4" s="304">
        <v>7.8728775336512624E-3</v>
      </c>
      <c r="J4" s="304">
        <v>2.6425399850346636E-2</v>
      </c>
      <c r="K4" s="304">
        <v>4.5444383282922622E-4</v>
      </c>
      <c r="L4" s="452">
        <v>55.73894675068987</v>
      </c>
    </row>
    <row r="5" spans="1:12" x14ac:dyDescent="0.25">
      <c r="A5" s="451" t="s">
        <v>77</v>
      </c>
      <c r="B5" s="18" t="s">
        <v>78</v>
      </c>
      <c r="C5" s="360" t="s">
        <v>65</v>
      </c>
      <c r="D5" s="304">
        <v>9187.5</v>
      </c>
      <c r="E5" s="304">
        <v>2.5172774498708654</v>
      </c>
      <c r="F5" s="304">
        <v>0.24743668975608307</v>
      </c>
      <c r="G5" s="304">
        <v>5.7355688731234929E-2</v>
      </c>
      <c r="H5" s="304">
        <v>5.5635018069297888E-2</v>
      </c>
      <c r="I5" s="304">
        <v>1.34118572892283E-2</v>
      </c>
      <c r="J5" s="304">
        <v>0.13085700384031249</v>
      </c>
      <c r="K5" s="304">
        <v>8.8476429627431998E-4</v>
      </c>
      <c r="L5" s="452">
        <v>108.51908736426429</v>
      </c>
    </row>
    <row r="6" spans="1:12" x14ac:dyDescent="0.25">
      <c r="A6" s="451" t="s">
        <v>77</v>
      </c>
      <c r="B6" s="18" t="s">
        <v>78</v>
      </c>
      <c r="C6" s="360" t="s">
        <v>21</v>
      </c>
      <c r="D6" s="304">
        <v>21810.800000000003</v>
      </c>
      <c r="E6" s="304">
        <v>5.9759276194441879</v>
      </c>
      <c r="F6" s="304">
        <v>0.58740594861844664</v>
      </c>
      <c r="G6" s="304">
        <v>0.13616037613923473</v>
      </c>
      <c r="H6" s="304">
        <v>0.13207556485505767</v>
      </c>
      <c r="I6" s="304">
        <v>3.1839274771581022E-2</v>
      </c>
      <c r="J6" s="304">
        <v>0.31064989816166394</v>
      </c>
      <c r="K6" s="304">
        <v>2.1003991415706057E-3</v>
      </c>
      <c r="L6" s="452">
        <v>257.62047463232608</v>
      </c>
    </row>
    <row r="7" spans="1:12" x14ac:dyDescent="0.25">
      <c r="A7" s="451" t="s">
        <v>77</v>
      </c>
      <c r="B7" s="18" t="s">
        <v>78</v>
      </c>
      <c r="C7" s="360" t="s">
        <v>38</v>
      </c>
      <c r="D7" s="304">
        <v>369798.62068965519</v>
      </c>
      <c r="E7" s="304">
        <v>101.32089565773265</v>
      </c>
      <c r="F7" s="304">
        <v>9.9593737773946831</v>
      </c>
      <c r="G7" s="304">
        <v>2.3085773694166942</v>
      </c>
      <c r="H7" s="304">
        <v>2.2393200483341933</v>
      </c>
      <c r="I7" s="304">
        <v>0.5398298042387073</v>
      </c>
      <c r="J7" s="304">
        <v>5.2670192683241854</v>
      </c>
      <c r="K7" s="304">
        <v>3.5611931036484024E-2</v>
      </c>
      <c r="L7" s="452">
        <v>4367.9138858019187</v>
      </c>
    </row>
    <row r="8" spans="1:12" x14ac:dyDescent="0.25">
      <c r="A8" s="451" t="s">
        <v>77</v>
      </c>
      <c r="B8" s="18" t="s">
        <v>78</v>
      </c>
      <c r="C8" s="360" t="s">
        <v>35</v>
      </c>
      <c r="D8" s="304">
        <v>0</v>
      </c>
      <c r="E8" s="304">
        <v>0</v>
      </c>
      <c r="F8" s="304">
        <v>0</v>
      </c>
      <c r="G8" s="304">
        <v>0</v>
      </c>
      <c r="H8" s="304">
        <v>0</v>
      </c>
      <c r="I8" s="304">
        <v>0</v>
      </c>
      <c r="J8" s="304">
        <v>0</v>
      </c>
      <c r="K8" s="304">
        <v>0</v>
      </c>
      <c r="L8" s="452">
        <v>0</v>
      </c>
    </row>
    <row r="9" spans="1:12" x14ac:dyDescent="0.25">
      <c r="A9" s="451" t="s">
        <v>77</v>
      </c>
      <c r="B9" s="18" t="s">
        <v>78</v>
      </c>
      <c r="C9" s="360" t="s">
        <v>39</v>
      </c>
      <c r="D9" s="304">
        <v>33026</v>
      </c>
      <c r="E9" s="304">
        <v>9.0487733398024695</v>
      </c>
      <c r="F9" s="304">
        <v>0.8894524207765333</v>
      </c>
      <c r="G9" s="304">
        <v>0.20617458242587916</v>
      </c>
      <c r="H9" s="304">
        <v>0.1999893449531028</v>
      </c>
      <c r="I9" s="304">
        <v>4.821115633567933E-2</v>
      </c>
      <c r="J9" s="304">
        <v>0.47038730980464316</v>
      </c>
      <c r="K9" s="304">
        <v>3.1804327236740889E-3</v>
      </c>
      <c r="L9" s="452">
        <v>390.08994604540874</v>
      </c>
    </row>
    <row r="10" spans="1:12" x14ac:dyDescent="0.25">
      <c r="A10" s="451" t="s">
        <v>77</v>
      </c>
      <c r="B10" s="18" t="s">
        <v>78</v>
      </c>
      <c r="C10" s="360" t="s">
        <v>40</v>
      </c>
      <c r="D10" s="304">
        <v>1171868.1043215371</v>
      </c>
      <c r="E10" s="304">
        <v>287.49459760224931</v>
      </c>
      <c r="F10" s="304">
        <v>38.270936336446042</v>
      </c>
      <c r="G10" s="304">
        <v>8.8851503301425119</v>
      </c>
      <c r="H10" s="304">
        <v>8.3697612306557811</v>
      </c>
      <c r="I10" s="304">
        <v>0.98140610093988867</v>
      </c>
      <c r="J10" s="304">
        <v>20.717540259751942</v>
      </c>
      <c r="K10" s="304">
        <v>6.0291570807068838E-2</v>
      </c>
      <c r="L10" s="452">
        <v>13119.402625770301</v>
      </c>
    </row>
    <row r="11" spans="1:12" x14ac:dyDescent="0.25">
      <c r="A11" s="451" t="s">
        <v>77</v>
      </c>
      <c r="B11" s="18" t="s">
        <v>78</v>
      </c>
      <c r="C11" s="360" t="s">
        <v>41</v>
      </c>
      <c r="D11" s="304">
        <v>33620</v>
      </c>
      <c r="E11" s="304">
        <v>9.2115230328879996</v>
      </c>
      <c r="F11" s="304">
        <v>0.90544996022851842</v>
      </c>
      <c r="G11" s="304">
        <v>0.20988280328099249</v>
      </c>
      <c r="H11" s="304">
        <v>0.2035863191825627</v>
      </c>
      <c r="I11" s="304">
        <v>4.9078273966133928E-2</v>
      </c>
      <c r="J11" s="304">
        <v>0.4788476156855842</v>
      </c>
      <c r="K11" s="304">
        <v>3.237635443890355E-3</v>
      </c>
      <c r="L11" s="452">
        <v>397.10603724479631</v>
      </c>
    </row>
    <row r="12" spans="1:12" x14ac:dyDescent="0.25">
      <c r="A12" s="451" t="s">
        <v>77</v>
      </c>
      <c r="B12" s="18" t="s">
        <v>78</v>
      </c>
      <c r="C12" s="360" t="s">
        <v>42</v>
      </c>
      <c r="D12" s="304">
        <v>524159.02176177863</v>
      </c>
      <c r="E12" s="304">
        <v>83.980611162228911</v>
      </c>
      <c r="F12" s="304">
        <v>13.015123925195644</v>
      </c>
      <c r="G12" s="304">
        <v>2.0705202484762619</v>
      </c>
      <c r="H12" s="304">
        <v>2.0002252476544706</v>
      </c>
      <c r="I12" s="304">
        <v>0.75900767624107124</v>
      </c>
      <c r="J12" s="304">
        <v>4.4819837770036548</v>
      </c>
      <c r="K12" s="304">
        <v>4.9823830696459313E-2</v>
      </c>
      <c r="L12" s="452">
        <v>6257.5452463838819</v>
      </c>
    </row>
    <row r="13" spans="1:12" x14ac:dyDescent="0.25">
      <c r="A13" s="451" t="s">
        <v>77</v>
      </c>
      <c r="B13" s="18" t="s">
        <v>78</v>
      </c>
      <c r="C13" s="360" t="s">
        <v>24</v>
      </c>
      <c r="D13" s="304">
        <v>0</v>
      </c>
      <c r="E13" s="304">
        <v>0</v>
      </c>
      <c r="F13" s="304">
        <v>0</v>
      </c>
      <c r="G13" s="304">
        <v>0</v>
      </c>
      <c r="H13" s="304">
        <v>0</v>
      </c>
      <c r="I13" s="304">
        <v>0</v>
      </c>
      <c r="J13" s="304">
        <v>0</v>
      </c>
      <c r="K13" s="304">
        <v>0</v>
      </c>
      <c r="L13" s="452">
        <v>0</v>
      </c>
    </row>
    <row r="14" spans="1:12" x14ac:dyDescent="0.25">
      <c r="A14" s="451" t="s">
        <v>77</v>
      </c>
      <c r="B14" s="18" t="s">
        <v>78</v>
      </c>
      <c r="C14" s="360" t="s">
        <v>43</v>
      </c>
      <c r="D14" s="304">
        <v>0</v>
      </c>
      <c r="E14" s="304">
        <v>0</v>
      </c>
      <c r="F14" s="304">
        <v>0</v>
      </c>
      <c r="G14" s="304">
        <v>0</v>
      </c>
      <c r="H14" s="304">
        <v>0</v>
      </c>
      <c r="I14" s="304">
        <v>0</v>
      </c>
      <c r="J14" s="304">
        <v>0</v>
      </c>
      <c r="K14" s="304">
        <v>0</v>
      </c>
      <c r="L14" s="452">
        <v>0</v>
      </c>
    </row>
    <row r="15" spans="1:12" x14ac:dyDescent="0.25">
      <c r="A15" s="451" t="s">
        <v>77</v>
      </c>
      <c r="B15" s="18" t="s">
        <v>78</v>
      </c>
      <c r="C15" s="360" t="s">
        <v>44</v>
      </c>
      <c r="D15" s="304">
        <v>327013.66666666663</v>
      </c>
      <c r="E15" s="304">
        <v>89.59827253328848</v>
      </c>
      <c r="F15" s="304">
        <v>8.8070943330611335</v>
      </c>
      <c r="G15" s="304">
        <v>2.0414796273407507</v>
      </c>
      <c r="H15" s="304">
        <v>1.9802352385205286</v>
      </c>
      <c r="I15" s="304">
        <v>0.47737258546510009</v>
      </c>
      <c r="J15" s="304">
        <v>4.6576357697779223</v>
      </c>
      <c r="K15" s="304">
        <v>3.1491702493650978E-2</v>
      </c>
      <c r="L15" s="452">
        <v>3862.5550652852685</v>
      </c>
    </row>
    <row r="16" spans="1:12" x14ac:dyDescent="0.25">
      <c r="A16" s="451" t="s">
        <v>77</v>
      </c>
      <c r="B16" s="18" t="s">
        <v>78</v>
      </c>
      <c r="C16" s="360" t="s">
        <v>45</v>
      </c>
      <c r="D16" s="304">
        <v>0</v>
      </c>
      <c r="E16" s="304">
        <v>0</v>
      </c>
      <c r="F16" s="304">
        <v>0</v>
      </c>
      <c r="G16" s="304">
        <v>0</v>
      </c>
      <c r="H16" s="304">
        <v>0</v>
      </c>
      <c r="I16" s="304">
        <v>0</v>
      </c>
      <c r="J16" s="304">
        <v>0</v>
      </c>
      <c r="K16" s="304">
        <v>0</v>
      </c>
      <c r="L16" s="452">
        <v>0</v>
      </c>
    </row>
    <row r="17" spans="1:12" x14ac:dyDescent="0.25">
      <c r="A17" s="451" t="s">
        <v>77</v>
      </c>
      <c r="B17" s="18" t="s">
        <v>78</v>
      </c>
      <c r="C17" s="360" t="s">
        <v>50</v>
      </c>
      <c r="D17" s="304">
        <v>14864.6</v>
      </c>
      <c r="E17" s="304">
        <v>1.9246715952633557</v>
      </c>
      <c r="F17" s="304">
        <v>0.45752193350260345</v>
      </c>
      <c r="G17" s="304">
        <v>4.8116789881583889E-2</v>
      </c>
      <c r="H17" s="304">
        <v>4.6673286185136373E-2</v>
      </c>
      <c r="I17" s="304">
        <v>2.4799147147004146E-2</v>
      </c>
      <c r="J17" s="304">
        <v>8.3238609581577166E-2</v>
      </c>
      <c r="K17" s="304">
        <v>1.4314739981931164E-3</v>
      </c>
      <c r="L17" s="452">
        <v>175.57472936433666</v>
      </c>
    </row>
    <row r="18" spans="1:12" x14ac:dyDescent="0.25">
      <c r="A18" s="451" t="s">
        <v>77</v>
      </c>
      <c r="B18" s="18" t="s">
        <v>78</v>
      </c>
      <c r="C18" s="360" t="s">
        <v>22</v>
      </c>
      <c r="D18" s="304">
        <v>0</v>
      </c>
      <c r="E18" s="304">
        <v>0</v>
      </c>
      <c r="F18" s="304">
        <v>0</v>
      </c>
      <c r="G18" s="304">
        <v>0</v>
      </c>
      <c r="H18" s="304">
        <v>0</v>
      </c>
      <c r="I18" s="304">
        <v>0</v>
      </c>
      <c r="J18" s="304">
        <v>0</v>
      </c>
      <c r="K18" s="304">
        <v>0</v>
      </c>
      <c r="L18" s="452">
        <v>0</v>
      </c>
    </row>
    <row r="19" spans="1:12" x14ac:dyDescent="0.25">
      <c r="A19" s="451" t="s">
        <v>77</v>
      </c>
      <c r="B19" s="18" t="s">
        <v>78</v>
      </c>
      <c r="C19" s="360" t="s">
        <v>66</v>
      </c>
      <c r="D19" s="304">
        <v>0</v>
      </c>
      <c r="E19" s="304">
        <v>0</v>
      </c>
      <c r="F19" s="304">
        <v>0</v>
      </c>
      <c r="G19" s="304">
        <v>0</v>
      </c>
      <c r="H19" s="304">
        <v>0</v>
      </c>
      <c r="I19" s="304">
        <v>0</v>
      </c>
      <c r="J19" s="304">
        <v>0</v>
      </c>
      <c r="K19" s="304">
        <v>0</v>
      </c>
      <c r="L19" s="452">
        <v>0</v>
      </c>
    </row>
    <row r="20" spans="1:12" x14ac:dyDescent="0.25">
      <c r="A20" s="451" t="s">
        <v>77</v>
      </c>
      <c r="B20" s="18" t="s">
        <v>78</v>
      </c>
      <c r="C20" s="360" t="s">
        <v>46</v>
      </c>
      <c r="D20" s="304">
        <v>0</v>
      </c>
      <c r="E20" s="304">
        <v>0</v>
      </c>
      <c r="F20" s="304">
        <v>0</v>
      </c>
      <c r="G20" s="304">
        <v>0</v>
      </c>
      <c r="H20" s="304">
        <v>0</v>
      </c>
      <c r="I20" s="304">
        <v>0</v>
      </c>
      <c r="J20" s="304">
        <v>0</v>
      </c>
      <c r="K20" s="304">
        <v>0</v>
      </c>
      <c r="L20" s="452">
        <v>0</v>
      </c>
    </row>
    <row r="21" spans="1:12" x14ac:dyDescent="0.25">
      <c r="A21" s="451" t="s">
        <v>77</v>
      </c>
      <c r="B21" s="18" t="s">
        <v>78</v>
      </c>
      <c r="C21" s="360" t="s">
        <v>47</v>
      </c>
      <c r="D21" s="304">
        <v>62151</v>
      </c>
      <c r="E21" s="304">
        <v>16.788684371409779</v>
      </c>
      <c r="F21" s="304">
        <v>1.6802341112053969</v>
      </c>
      <c r="G21" s="304">
        <v>0.38300339911220344</v>
      </c>
      <c r="H21" s="304">
        <v>0.37151329713883735</v>
      </c>
      <c r="I21" s="304">
        <v>9.1074044573561982E-2</v>
      </c>
      <c r="J21" s="304">
        <v>0.87085663978099337</v>
      </c>
      <c r="K21" s="304">
        <v>5.9851957309110483E-3</v>
      </c>
      <c r="L21" s="452">
        <v>734.10283524096758</v>
      </c>
    </row>
    <row r="22" spans="1:12" x14ac:dyDescent="0.25">
      <c r="A22" s="451" t="s">
        <v>77</v>
      </c>
      <c r="B22" s="18" t="s">
        <v>78</v>
      </c>
      <c r="C22" s="360" t="s">
        <v>67</v>
      </c>
      <c r="D22" s="304">
        <v>0</v>
      </c>
      <c r="E22" s="304">
        <v>0</v>
      </c>
      <c r="F22" s="304">
        <v>0</v>
      </c>
      <c r="G22" s="304">
        <v>0</v>
      </c>
      <c r="H22" s="304">
        <v>0</v>
      </c>
      <c r="I22" s="304">
        <v>0</v>
      </c>
      <c r="J22" s="304">
        <v>0</v>
      </c>
      <c r="K22" s="304">
        <v>0</v>
      </c>
      <c r="L22" s="452">
        <v>0</v>
      </c>
    </row>
    <row r="23" spans="1:12" x14ac:dyDescent="0.25">
      <c r="A23" s="451" t="s">
        <v>77</v>
      </c>
      <c r="B23" s="18" t="s">
        <v>78</v>
      </c>
      <c r="C23" s="360" t="s">
        <v>48</v>
      </c>
      <c r="D23" s="304">
        <v>214207.49729596908</v>
      </c>
      <c r="E23" s="304">
        <v>52.142409969714883</v>
      </c>
      <c r="F23" s="304">
        <v>8.6939796950620636</v>
      </c>
      <c r="G23" s="304">
        <v>2.0882913037177406</v>
      </c>
      <c r="H23" s="304">
        <v>1.9329332420185328</v>
      </c>
      <c r="I23" s="304">
        <v>0.29347362299453961</v>
      </c>
      <c r="J23" s="304">
        <v>4.8809075162351192</v>
      </c>
      <c r="K23" s="304">
        <v>4.3335394103231999E-3</v>
      </c>
      <c r="L23" s="452">
        <v>20777.668435724343</v>
      </c>
    </row>
    <row r="24" spans="1:12" ht="15.75" thickBot="1" x14ac:dyDescent="0.3">
      <c r="A24" s="453" t="s">
        <v>77</v>
      </c>
      <c r="B24" s="34" t="s">
        <v>78</v>
      </c>
      <c r="C24" s="299" t="s">
        <v>25</v>
      </c>
      <c r="D24" s="454">
        <v>0</v>
      </c>
      <c r="E24" s="454">
        <v>0</v>
      </c>
      <c r="F24" s="454">
        <v>0</v>
      </c>
      <c r="G24" s="454">
        <v>0</v>
      </c>
      <c r="H24" s="454">
        <v>0</v>
      </c>
      <c r="I24" s="454">
        <v>0</v>
      </c>
      <c r="J24" s="454">
        <v>0</v>
      </c>
      <c r="K24" s="454">
        <v>0</v>
      </c>
      <c r="L24" s="455">
        <v>0</v>
      </c>
    </row>
    <row r="25" spans="1:12" ht="30" x14ac:dyDescent="0.25">
      <c r="C25" s="446" t="s">
        <v>4</v>
      </c>
      <c r="D25" s="1">
        <f>SUM(D4:D24)</f>
        <v>2786425.8107356066</v>
      </c>
      <c r="E25" s="1">
        <f t="shared" ref="E25:L25" si="0">SUM(E4:E24)</f>
        <v>660.61466146573957</v>
      </c>
      <c r="F25" s="1">
        <f t="shared" si="0"/>
        <v>83.659256632303268</v>
      </c>
      <c r="G25" s="563">
        <f t="shared" si="0"/>
        <v>18.449987946961258</v>
      </c>
      <c r="H25" s="563">
        <f t="shared" si="0"/>
        <v>17.546765003014784</v>
      </c>
      <c r="I25" s="1">
        <f t="shared" si="0"/>
        <v>3.3173764214961472</v>
      </c>
      <c r="J25" s="1">
        <f t="shared" si="0"/>
        <v>42.376349067797946</v>
      </c>
      <c r="K25" s="1">
        <f t="shared" si="0"/>
        <v>0.19882691961132914</v>
      </c>
      <c r="L25" s="1">
        <f t="shared" si="0"/>
        <v>50503.8373156085</v>
      </c>
    </row>
    <row r="26" spans="1:12" x14ac:dyDescent="0.25">
      <c r="C26" s="325" t="s">
        <v>37</v>
      </c>
      <c r="D26" s="1">
        <f>SUM('2017 YARD EMIS COMPILE 1'!C3:C30)</f>
        <v>2786425.8107356066</v>
      </c>
      <c r="E26" s="1">
        <f>SUM('2017 YARD EMIS COMPILE 1'!D3:D30)</f>
        <v>660.61466146573946</v>
      </c>
      <c r="F26" s="1">
        <f>SUM('2017 YARD EMIS COMPILE 1'!E3:E30)</f>
        <v>83.659256632303254</v>
      </c>
      <c r="G26" s="563">
        <f>SUM('2017 YARD EMIS COMPILE 1'!F3:F30)</f>
        <v>18.449987946961251</v>
      </c>
      <c r="H26" s="563">
        <f>SUM('2017 YARD EMIS COMPILE 1'!G3:G30)</f>
        <v>17.54676500301478</v>
      </c>
      <c r="I26" s="1">
        <f>SUM('2017 YARD EMIS COMPILE 1'!H3:H30)</f>
        <v>3.3173764214961472</v>
      </c>
      <c r="J26" s="1">
        <f>SUM('2017 YARD EMIS COMPILE 1'!I3:I30)</f>
        <v>42.376349067797939</v>
      </c>
      <c r="K26" s="1">
        <f>SUM('2017 YARD EMIS COMPILE 1'!J3:J30)</f>
        <v>0.19882691961132903</v>
      </c>
      <c r="L26" s="1">
        <f>SUM('2017 YARD EMIS COMPILE 1'!K3:K30)</f>
        <v>50503.8373156085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workbookViewId="0">
      <selection activeCell="A2" sqref="A2"/>
    </sheetView>
  </sheetViews>
  <sheetFormatPr defaultRowHeight="15" x14ac:dyDescent="0.25"/>
  <cols>
    <col min="2" max="2" width="22.5703125" customWidth="1"/>
    <col min="3" max="3" width="13.5703125" customWidth="1"/>
    <col min="4" max="4" width="12.42578125" customWidth="1"/>
    <col min="5" max="5" width="17.42578125" customWidth="1"/>
    <col min="6" max="6" width="12.42578125" customWidth="1"/>
    <col min="8" max="8" width="13.42578125" customWidth="1"/>
    <col min="11" max="11" width="14.5703125" customWidth="1"/>
    <col min="28" max="28" width="9.140625" customWidth="1"/>
    <col min="39" max="39" width="11.85546875" customWidth="1"/>
    <col min="40" max="44" width="9.42578125" bestFit="1" customWidth="1"/>
    <col min="45" max="45" width="10.5703125" bestFit="1" customWidth="1"/>
    <col min="46" max="46" width="9.42578125" bestFit="1" customWidth="1"/>
    <col min="47" max="47" width="11.5703125" bestFit="1" customWidth="1"/>
  </cols>
  <sheetData>
    <row r="1" spans="1:12" ht="15.75" thickBot="1" x14ac:dyDescent="0.3">
      <c r="A1" s="31" t="s">
        <v>1042</v>
      </c>
      <c r="B1" s="305"/>
      <c r="C1" s="305"/>
      <c r="D1" s="6"/>
      <c r="E1" s="6"/>
      <c r="F1" s="6"/>
      <c r="G1" s="6"/>
      <c r="H1" s="6"/>
      <c r="I1" s="6"/>
      <c r="J1" s="6"/>
      <c r="K1" s="6"/>
    </row>
    <row r="2" spans="1:12" ht="30" x14ac:dyDescent="0.25">
      <c r="A2" s="23" t="s">
        <v>4</v>
      </c>
      <c r="B2" s="477" t="s">
        <v>734</v>
      </c>
      <c r="C2" s="484" t="s">
        <v>823</v>
      </c>
      <c r="D2" s="477" t="s">
        <v>96</v>
      </c>
      <c r="E2" s="477" t="s">
        <v>10</v>
      </c>
      <c r="F2" s="477" t="s">
        <v>7</v>
      </c>
      <c r="G2" s="477" t="s">
        <v>95</v>
      </c>
      <c r="H2" s="477" t="s">
        <v>17</v>
      </c>
      <c r="I2" s="477" t="s">
        <v>69</v>
      </c>
      <c r="J2" s="477" t="s">
        <v>16</v>
      </c>
      <c r="K2" s="485" t="s">
        <v>94</v>
      </c>
    </row>
    <row r="3" spans="1:12" x14ac:dyDescent="0.25">
      <c r="A3" s="303">
        <v>34017</v>
      </c>
      <c r="B3" s="360" t="s">
        <v>108</v>
      </c>
      <c r="C3" s="147">
        <v>55393.71428571429</v>
      </c>
      <c r="D3" s="147">
        <f>$C3*'RAIL EMIS FACTOR'!C$7/2000</f>
        <v>15.177289560382933</v>
      </c>
      <c r="E3" s="147">
        <f>$C3*'RAIL EMIS FACTOR'!D$7/2000</f>
        <v>1.4918571206695395</v>
      </c>
      <c r="F3" s="147">
        <f>$C3*'RAIL EMIS FACTOR'!E$7/2000</f>
        <v>0.34581166086948467</v>
      </c>
      <c r="G3" s="147">
        <f>$C3*'RAIL EMIS FACTOR'!F$7/2000</f>
        <v>0.33543731104340013</v>
      </c>
      <c r="H3" s="147">
        <f>$C3*'RAIL EMIS FACTOR'!G$7/2000</f>
        <v>8.0863411234861168E-2</v>
      </c>
      <c r="I3" s="147">
        <f>$C3*'RAIL EMIS FACTOR'!H$7/2000</f>
        <v>0.78896930427372913</v>
      </c>
      <c r="J3" s="147">
        <f>$C3*'RAIL EMIS FACTOR'!I$7/2000</f>
        <v>5.3344631986961362E-3</v>
      </c>
      <c r="K3" s="20">
        <f>$C3*'RAIL EMIS FACTOR'!J$7/2000</f>
        <v>654.28847020435637</v>
      </c>
    </row>
    <row r="4" spans="1:12" x14ac:dyDescent="0.25">
      <c r="A4" s="303">
        <v>34013</v>
      </c>
      <c r="B4" s="360" t="s">
        <v>103</v>
      </c>
      <c r="C4" s="147">
        <v>34325</v>
      </c>
      <c r="D4" s="147">
        <f>$C4*'RAIL EMIS FACTOR'!C$7/2000</f>
        <v>9.4046855474087021</v>
      </c>
      <c r="E4" s="147">
        <f>$C4*'RAIL EMIS FACTOR'!D$7/2000</f>
        <v>0.92443693887102596</v>
      </c>
      <c r="F4" s="147">
        <f>$C4*'RAIL EMIS FACTOR'!E$7/2000</f>
        <v>0.21428397449791986</v>
      </c>
      <c r="G4" s="147">
        <f>$C4*'RAIL EMIS FACTOR'!F$7/2000</f>
        <v>0.2078554552629823</v>
      </c>
      <c r="H4" s="147">
        <f>$C4*'RAIL EMIS FACTOR'!G$7/2000</f>
        <v>5.0107428729552261E-2</v>
      </c>
      <c r="I4" s="147">
        <f>$C4*'RAIL EMIS FACTOR'!H$7/2000</f>
        <v>0.48888888781700413</v>
      </c>
      <c r="J4" s="147">
        <f>$C4*'RAIL EMIS FACTOR'!I$7/2000</f>
        <v>3.3055275613187518E-3</v>
      </c>
      <c r="K4" s="20">
        <f>$C4*'RAIL EMIS FACTOR'!J$7/2000</f>
        <v>405.43321619356431</v>
      </c>
    </row>
    <row r="5" spans="1:12" x14ac:dyDescent="0.25">
      <c r="A5" s="303">
        <v>34023</v>
      </c>
      <c r="B5" s="360" t="s">
        <v>109</v>
      </c>
      <c r="C5" s="147">
        <v>208529</v>
      </c>
      <c r="D5" s="147">
        <f>$C5*'RAIL EMIS FACTOR'!C$7/2000</f>
        <v>57.134731901400997</v>
      </c>
      <c r="E5" s="147">
        <f>$C5*'RAIL EMIS FACTOR'!D$7/2000</f>
        <v>5.6160789636077553</v>
      </c>
      <c r="F5" s="147">
        <f>$C5*'RAIL EMIS FACTOR'!E$7/2000</f>
        <v>1.3018040180066055</v>
      </c>
      <c r="G5" s="147">
        <f>$C5*'RAIL EMIS FACTOR'!F$7/2000</f>
        <v>1.2627498974664075</v>
      </c>
      <c r="H5" s="147">
        <f>$C5*'RAIL EMIS FACTOR'!G$7/2000</f>
        <v>0.30440938107923682</v>
      </c>
      <c r="I5" s="147">
        <f>$C5*'RAIL EMIS FACTOR'!H$7/2000</f>
        <v>2.9700658670820697</v>
      </c>
      <c r="J5" s="147">
        <f>$C5*'RAIL EMIS FACTOR'!I$7/2000</f>
        <v>2.0081525326561923E-2</v>
      </c>
      <c r="K5" s="20">
        <f>$C5*'RAIL EMIS FACTOR'!J$7/2000</f>
        <v>2463.0614170321273</v>
      </c>
    </row>
    <row r="6" spans="1:12" x14ac:dyDescent="0.25">
      <c r="A6" s="303">
        <v>34013</v>
      </c>
      <c r="B6" s="360" t="s">
        <v>104</v>
      </c>
      <c r="C6" s="147">
        <v>17701</v>
      </c>
      <c r="D6" s="147">
        <f>$C6*'RAIL EMIS FACTOR'!C$7/2000</f>
        <v>4.8498860560722923</v>
      </c>
      <c r="E6" s="147">
        <f>$C6*'RAIL EMIS FACTOR'!D$7/2000</f>
        <v>0.47672128929223689</v>
      </c>
      <c r="F6" s="147">
        <f>$C6*'RAIL EMIS FACTOR'!E$7/2000</f>
        <v>0.1105037329231662</v>
      </c>
      <c r="G6" s="147">
        <f>$C6*'RAIL EMIS FACTOR'!F$7/2000</f>
        <v>0.10718862093547123</v>
      </c>
      <c r="H6" s="147">
        <f>$C6*'RAIL EMIS FACTOR'!G$7/2000</f>
        <v>2.5839813428748859E-2</v>
      </c>
      <c r="I6" s="147">
        <f>$C6*'RAIL EMIS FACTOR'!H$7/2000</f>
        <v>0.25211426666420361</v>
      </c>
      <c r="J6" s="147">
        <f>$C6*'RAIL EMIS FACTOR'!I$7/2000</f>
        <v>1.7046218022695769E-3</v>
      </c>
      <c r="K6" s="20">
        <f>$C6*'RAIL EMIS FACTOR'!J$7/2000</f>
        <v>209.07715542147943</v>
      </c>
    </row>
    <row r="7" spans="1:12" x14ac:dyDescent="0.25">
      <c r="A7" s="489">
        <v>34013</v>
      </c>
      <c r="B7" s="444" t="s">
        <v>105</v>
      </c>
      <c r="C7" s="490">
        <v>38748</v>
      </c>
      <c r="D7" s="490">
        <f>$C7*'RAIL EMIS FACTOR'!C$7/2000</f>
        <v>10.616540585316603</v>
      </c>
      <c r="E7" s="490">
        <f>$C7*'RAIL EMIS FACTOR'!D$7/2000</f>
        <v>1.0435566644537368</v>
      </c>
      <c r="F7" s="490">
        <f>$C7*'RAIL EMIS FACTOR'!E$7/2000</f>
        <v>0.24189586143759356</v>
      </c>
      <c r="G7" s="490">
        <f>$C7*'RAIL EMIS FACTOR'!F$7/2000</f>
        <v>0.23463898559446578</v>
      </c>
      <c r="H7" s="490">
        <f>$C7*'RAIL EMIS FACTOR'!G$7/2000</f>
        <v>5.6564097550260477E-2</v>
      </c>
      <c r="I7" s="490">
        <f>$C7*'RAIL EMIS FACTOR'!H$7/2000</f>
        <v>0.55188540786986962</v>
      </c>
      <c r="J7" s="490">
        <f>$C7*'RAIL EMIS FACTOR'!I$7/2000</f>
        <v>3.7314663349156301E-3</v>
      </c>
      <c r="K7" s="493">
        <f>$C7*'RAIL EMIS FACTOR'!J$7/2000</f>
        <v>457.67592894590615</v>
      </c>
    </row>
    <row r="8" spans="1:12" ht="17.25" customHeight="1" x14ac:dyDescent="0.25">
      <c r="A8" s="303">
        <v>34023</v>
      </c>
      <c r="B8" s="360" t="s">
        <v>110</v>
      </c>
      <c r="C8" s="147">
        <v>22260.000000000015</v>
      </c>
      <c r="D8" s="147">
        <f>$C8*'RAIL EMIS FACTOR'!C$7/2000</f>
        <v>6.0990036499728442</v>
      </c>
      <c r="E8" s="147">
        <f>$C8*'RAIL EMIS FACTOR'!D$7/2000</f>
        <v>0.59950375118045318</v>
      </c>
      <c r="F8" s="147">
        <f>$C8*'RAIL EMIS FACTOR'!E$7/2000</f>
        <v>0.13896464012596357</v>
      </c>
      <c r="G8" s="147">
        <f>$C8*'RAIL EMIS FACTOR'!F$7/2000</f>
        <v>0.13479570092218465</v>
      </c>
      <c r="H8" s="147">
        <f>$C8*'RAIL EMIS FACTOR'!G$7/2000</f>
        <v>3.2495014232187446E-2</v>
      </c>
      <c r="I8" s="147">
        <f>$C8*'RAIL EMIS FACTOR'!H$7/2000</f>
        <v>0.31704782644738583</v>
      </c>
      <c r="J8" s="147">
        <f>$C8*'RAIL EMIS FACTOR'!I$7/2000</f>
        <v>2.1436574949732111E-3</v>
      </c>
      <c r="K8" s="20">
        <f>$C8*'RAIL EMIS FACTOR'!J$7/2000</f>
        <v>262.92624595684623</v>
      </c>
    </row>
    <row r="9" spans="1:12" x14ac:dyDescent="0.25">
      <c r="A9" s="303">
        <v>34013</v>
      </c>
      <c r="B9" s="360" t="s">
        <v>334</v>
      </c>
      <c r="C9" s="147">
        <v>112419</v>
      </c>
      <c r="D9" s="147">
        <f>$C9*'RAIL EMIS FACTOR'!C$7/2000</f>
        <v>30.801612368656635</v>
      </c>
      <c r="E9" s="147">
        <f>$C9*'RAIL EMIS FACTOR'!D$7/2000</f>
        <v>3.0276555347688818</v>
      </c>
      <c r="F9" s="147">
        <f>$C9*'RAIL EMIS FACTOR'!E$7/2000</f>
        <v>0.7018088894124298</v>
      </c>
      <c r="G9" s="147">
        <f>$C9*'RAIL EMIS FACTOR'!F$7/2000</f>
        <v>0.68075462273005705</v>
      </c>
      <c r="H9" s="147">
        <f>$C9*'RAIL EMIS FACTOR'!G$7/2000</f>
        <v>0.16410858063649048</v>
      </c>
      <c r="I9" s="147">
        <f>$C9*'RAIL EMIS FACTOR'!H$7/2000</f>
        <v>1.6011769811944585</v>
      </c>
      <c r="J9" s="147">
        <f>$C9*'RAIL EMIS FACTOR'!I$7/2000</f>
        <v>1.0826048154869419E-2</v>
      </c>
      <c r="K9" s="20">
        <f>$C9*'RAIL EMIS FACTOR'!J$7/2000</f>
        <v>1327.8484116901473</v>
      </c>
    </row>
    <row r="10" spans="1:12" x14ac:dyDescent="0.25">
      <c r="A10" s="303">
        <v>34013</v>
      </c>
      <c r="B10" s="360" t="s">
        <v>333</v>
      </c>
      <c r="C10" s="147">
        <v>214789</v>
      </c>
      <c r="D10" s="147">
        <f>$C10*'RAIL EMIS FACTOR'!C$7/2000</f>
        <v>58.849905434591932</v>
      </c>
      <c r="E10" s="147">
        <f>$C10*'RAIL EMIS FACTOR'!D$7/2000</f>
        <v>5.7846725611993826</v>
      </c>
      <c r="F10" s="147">
        <f>$C10*'RAIL EMIS FACTOR'!E$7/2000</f>
        <v>1.3408839212944998</v>
      </c>
      <c r="G10" s="147">
        <f>$C10*'RAIL EMIS FACTOR'!F$7/2000</f>
        <v>1.3006574036556651</v>
      </c>
      <c r="H10" s="147">
        <f>$C10*'RAIL EMIS FACTOR'!G$7/2000</f>
        <v>0.31354769146079536</v>
      </c>
      <c r="I10" s="147">
        <f>$C10*'RAIL EMIS FACTOR'!H$7/2000</f>
        <v>3.0592266664334011</v>
      </c>
      <c r="J10" s="147">
        <f>$C10*'RAIL EMIS FACTOR'!I$7/2000</f>
        <v>2.0684368808975773E-2</v>
      </c>
      <c r="K10" s="20">
        <f>$C10*'RAIL EMIS FACTOR'!J$7/2000</f>
        <v>2537.0020414566493</v>
      </c>
    </row>
    <row r="11" spans="1:12" x14ac:dyDescent="0.25">
      <c r="A11" s="489">
        <v>34013</v>
      </c>
      <c r="B11" s="444" t="s">
        <v>106</v>
      </c>
      <c r="C11" s="490">
        <v>208093</v>
      </c>
      <c r="D11" s="490">
        <f>$C11*'RAIL EMIS FACTOR'!C$7/2000</f>
        <v>57.01527253071869</v>
      </c>
      <c r="E11" s="490">
        <f>$C11*'RAIL EMIS FACTOR'!D$7/2000</f>
        <v>5.6043366619224599</v>
      </c>
      <c r="F11" s="490">
        <f>$C11*'RAIL EMIS FACTOR'!E$7/2000</f>
        <v>1.2990821589277681</v>
      </c>
      <c r="G11" s="490">
        <f>$C11*'RAIL EMIS FACTOR'!F$7/2000</f>
        <v>1.260109694159935</v>
      </c>
      <c r="H11" s="490">
        <f>$C11*'RAIL EMIS FACTOR'!G$7/2000</f>
        <v>0.30377291089930719</v>
      </c>
      <c r="I11" s="490">
        <f>$C11*'RAIL EMIS FACTOR'!H$7/2000</f>
        <v>2.9638559455937026</v>
      </c>
      <c r="J11" s="490">
        <f>$C11*'RAIL EMIS FACTOR'!I$7/2000</f>
        <v>2.0039538144719683E-2</v>
      </c>
      <c r="K11" s="493">
        <f>$C11*'RAIL EMIS FACTOR'!J$7/2000</f>
        <v>2457.9115588453715</v>
      </c>
      <c r="L11">
        <f>D11</f>
        <v>57.01527253071869</v>
      </c>
    </row>
    <row r="12" spans="1:12" ht="18" customHeight="1" x14ac:dyDescent="0.25">
      <c r="A12" s="303">
        <v>34023</v>
      </c>
      <c r="B12" s="360" t="s">
        <v>111</v>
      </c>
      <c r="C12" s="147">
        <v>96224.666666666657</v>
      </c>
      <c r="D12" s="147">
        <f>$C12*'RAIL EMIS FACTOR'!C$7/2000</f>
        <v>26.364536981914636</v>
      </c>
      <c r="E12" s="147">
        <f>$C12*'RAIL EMIS FACTOR'!D$7/2000</f>
        <v>2.5915116182729259</v>
      </c>
      <c r="F12" s="147">
        <f>$C12*'RAIL EMIS FACTOR'!E$7/2000</f>
        <v>0.60071096920818168</v>
      </c>
      <c r="G12" s="147">
        <f>$C12*'RAIL EMIS FACTOR'!F$7/2000</f>
        <v>0.58268964013193636</v>
      </c>
      <c r="H12" s="147">
        <f>$C12*'RAIL EMIS FACTOR'!G$7/2000</f>
        <v>0.14046819015367584</v>
      </c>
      <c r="I12" s="147">
        <f>$C12*'RAIL EMIS FACTOR'!H$7/2000</f>
        <v>1.3705220762484664</v>
      </c>
      <c r="J12" s="147">
        <f>$C12*'RAIL EMIS FACTOR'!I$7/2000</f>
        <v>9.2665196721158465E-3</v>
      </c>
      <c r="K12" s="20">
        <f>$C12*'RAIL EMIS FACTOR'!J$7/2000</f>
        <v>1136.5674022962949</v>
      </c>
    </row>
    <row r="13" spans="1:12" x14ac:dyDescent="0.25">
      <c r="A13" s="303">
        <v>34035</v>
      </c>
      <c r="B13" s="360" t="s">
        <v>331</v>
      </c>
      <c r="C13" s="147">
        <v>60490</v>
      </c>
      <c r="D13" s="147">
        <f>$C13*'RAIL EMIS FACTOR'!C$7/2000</f>
        <v>16.573617735258626</v>
      </c>
      <c r="E13" s="147">
        <f>$C13*'RAIL EMIS FACTOR'!D$7/2000</f>
        <v>1.6291096994117513</v>
      </c>
      <c r="F13" s="147">
        <f>$C13*'RAIL EMIS FACTOR'!E$7/2000</f>
        <v>0.3776267332084246</v>
      </c>
      <c r="G13" s="147">
        <f>$C13*'RAIL EMIS FACTOR'!F$7/2000</f>
        <v>0.36629793121217186</v>
      </c>
      <c r="H13" s="147">
        <f>$C13*'RAIL EMIS FACTOR'!G$7/2000</f>
        <v>8.8302938495283798E-2</v>
      </c>
      <c r="I13" s="147">
        <f>$C13*'RAIL EMIS FACTOR'!H$7/2000</f>
        <v>0.8615553918150205</v>
      </c>
      <c r="J13" s="147">
        <f>$C13*'RAIL EMIS FACTOR'!I$7/2000</f>
        <v>5.8252399762322299E-3</v>
      </c>
      <c r="K13" s="20">
        <f>$C13*'RAIL EMIS FACTOR'!J$7/2000</f>
        <v>714.48376540564323</v>
      </c>
    </row>
    <row r="14" spans="1:12" ht="17.25" customHeight="1" x14ac:dyDescent="0.25">
      <c r="A14" s="303">
        <v>34005</v>
      </c>
      <c r="B14" s="360" t="s">
        <v>100</v>
      </c>
      <c r="C14" s="147">
        <v>21810.800000000003</v>
      </c>
      <c r="D14" s="147">
        <f>$C14*'RAIL EMIS FACTOR'!C$7/2000</f>
        <v>5.9759276194441879</v>
      </c>
      <c r="E14" s="147">
        <f>$C14*'RAIL EMIS FACTOR'!D$7/2000</f>
        <v>0.58740594861844664</v>
      </c>
      <c r="F14" s="147">
        <f>$C14*'RAIL EMIS FACTOR'!E$7/2000</f>
        <v>0.13616037613923473</v>
      </c>
      <c r="G14" s="147">
        <f>$C14*'RAIL EMIS FACTOR'!F$7/2000</f>
        <v>0.13207556485505767</v>
      </c>
      <c r="H14" s="147">
        <f>$C14*'RAIL EMIS FACTOR'!G$7/2000</f>
        <v>3.1839274771581022E-2</v>
      </c>
      <c r="I14" s="147">
        <f>$C14*'RAIL EMIS FACTOR'!H$7/2000</f>
        <v>0.31064989816166394</v>
      </c>
      <c r="J14" s="147">
        <f>$C14*'RAIL EMIS FACTOR'!I$7/2000</f>
        <v>2.1003991415706057E-3</v>
      </c>
      <c r="K14" s="20">
        <f>$C14*'RAIL EMIS FACTOR'!J$7/2000</f>
        <v>257.62047463232608</v>
      </c>
    </row>
    <row r="15" spans="1:12" ht="16.5" customHeight="1" x14ac:dyDescent="0.25">
      <c r="A15" s="303">
        <v>34007</v>
      </c>
      <c r="B15" s="360" t="s">
        <v>101</v>
      </c>
      <c r="C15" s="147">
        <v>369798.62068965519</v>
      </c>
      <c r="D15" s="147">
        <f>$C15*'RAIL EMIS FACTOR'!C$7/2000</f>
        <v>101.32089565773265</v>
      </c>
      <c r="E15" s="147">
        <f>$C15*'RAIL EMIS FACTOR'!D$7/2000</f>
        <v>9.9593737773946831</v>
      </c>
      <c r="F15" s="147">
        <f>$C15*'RAIL EMIS FACTOR'!E$7/2000</f>
        <v>2.3085773694166942</v>
      </c>
      <c r="G15" s="147">
        <f>$C15*'RAIL EMIS FACTOR'!F$7/2000</f>
        <v>2.2393200483341933</v>
      </c>
      <c r="H15" s="147">
        <f>$C15*'RAIL EMIS FACTOR'!G$7/2000</f>
        <v>0.5398298042387073</v>
      </c>
      <c r="I15" s="147">
        <f>$C15*'RAIL EMIS FACTOR'!H$7/2000</f>
        <v>5.2670192683241854</v>
      </c>
      <c r="J15" s="147">
        <f>$C15*'RAIL EMIS FACTOR'!I$7/2000</f>
        <v>3.5611931036484024E-2</v>
      </c>
      <c r="K15" s="20">
        <f>$C15*'RAIL EMIS FACTOR'!J$7/2000</f>
        <v>4367.9138858019187</v>
      </c>
    </row>
    <row r="16" spans="1:12" ht="17.25" customHeight="1" x14ac:dyDescent="0.25">
      <c r="A16" s="303">
        <v>34011</v>
      </c>
      <c r="B16" s="360" t="s">
        <v>102</v>
      </c>
      <c r="C16" s="147">
        <v>33026</v>
      </c>
      <c r="D16" s="147">
        <f>$C16*'RAIL EMIS FACTOR'!C$7/2000</f>
        <v>9.0487733398024695</v>
      </c>
      <c r="E16" s="147">
        <f>$C16*'RAIL EMIS FACTOR'!D$7/2000</f>
        <v>0.8894524207765333</v>
      </c>
      <c r="F16" s="147">
        <f>$C16*'RAIL EMIS FACTOR'!E$7/2000</f>
        <v>0.20617458242587916</v>
      </c>
      <c r="G16" s="147">
        <f>$C16*'RAIL EMIS FACTOR'!F$7/2000</f>
        <v>0.1999893449531028</v>
      </c>
      <c r="H16" s="147">
        <f>$C16*'RAIL EMIS FACTOR'!G$7/2000</f>
        <v>4.821115633567933E-2</v>
      </c>
      <c r="I16" s="147">
        <f>$C16*'RAIL EMIS FACTOR'!H$7/2000</f>
        <v>0.47038730980464316</v>
      </c>
      <c r="J16" s="147">
        <f>$C16*'RAIL EMIS FACTOR'!I$7/2000</f>
        <v>3.1804327236740889E-3</v>
      </c>
      <c r="K16" s="20">
        <f>$C16*'RAIL EMIS FACTOR'!J$7/2000</f>
        <v>390.08994604540874</v>
      </c>
    </row>
    <row r="17" spans="1:25" ht="16.5" customHeight="1" x14ac:dyDescent="0.25">
      <c r="A17" s="303">
        <v>34015</v>
      </c>
      <c r="B17" s="360" t="s">
        <v>107</v>
      </c>
      <c r="C17" s="147">
        <v>33620</v>
      </c>
      <c r="D17" s="147">
        <f>$C17*'RAIL EMIS FACTOR'!C$7/2000</f>
        <v>9.2115230328879996</v>
      </c>
      <c r="E17" s="147">
        <f>$C17*'RAIL EMIS FACTOR'!D$7/2000</f>
        <v>0.90544996022851842</v>
      </c>
      <c r="F17" s="147">
        <f>$C17*'RAIL EMIS FACTOR'!E$7/2000</f>
        <v>0.20988280328099249</v>
      </c>
      <c r="G17" s="147">
        <f>$C17*'RAIL EMIS FACTOR'!F$7/2000</f>
        <v>0.2035863191825627</v>
      </c>
      <c r="H17" s="147">
        <f>$C17*'RAIL EMIS FACTOR'!G$7/2000</f>
        <v>4.9078273966133928E-2</v>
      </c>
      <c r="I17" s="147">
        <f>$C17*'RAIL EMIS FACTOR'!H$7/2000</f>
        <v>0.4788476156855842</v>
      </c>
      <c r="J17" s="147">
        <f>$C17*'RAIL EMIS FACTOR'!I$7/2000</f>
        <v>3.237635443890355E-3</v>
      </c>
      <c r="K17" s="20">
        <f>$C17*'RAIL EMIS FACTOR'!J$7/2000</f>
        <v>397.10603724479631</v>
      </c>
    </row>
    <row r="18" spans="1:25" x14ac:dyDescent="0.25">
      <c r="A18" s="303">
        <v>34003</v>
      </c>
      <c r="B18" s="360" t="s">
        <v>903</v>
      </c>
      <c r="C18" s="147">
        <v>9187.5</v>
      </c>
      <c r="D18" s="147">
        <f>$C18*'RAIL EMIS FACTOR'!C7/2000</f>
        <v>2.5172774498708654</v>
      </c>
      <c r="E18" s="147">
        <f>$C18*'RAIL EMIS FACTOR'!D7/2000</f>
        <v>0.24743668975608307</v>
      </c>
      <c r="F18" s="147">
        <f>$C18*'RAIL EMIS FACTOR'!E7/2000</f>
        <v>5.7355688731234929E-2</v>
      </c>
      <c r="G18" s="147">
        <f>$C18*'RAIL EMIS FACTOR'!F7/2000</f>
        <v>5.5635018069297888E-2</v>
      </c>
      <c r="H18" s="147">
        <f>$C18*'RAIL EMIS FACTOR'!G7/2000</f>
        <v>1.34118572892283E-2</v>
      </c>
      <c r="I18" s="147">
        <f>$C18*'RAIL EMIS FACTOR'!H7/2000</f>
        <v>0.13085700384031249</v>
      </c>
      <c r="J18" s="147">
        <f>$C18*'RAIL EMIS FACTOR'!I7/2000</f>
        <v>8.8476429627431998E-4</v>
      </c>
      <c r="K18" s="20">
        <f>$C18*'RAIL EMIS FACTOR'!J7/2000</f>
        <v>108.51908736426429</v>
      </c>
    </row>
    <row r="19" spans="1:25" x14ac:dyDescent="0.25">
      <c r="A19" s="303">
        <v>34017</v>
      </c>
      <c r="B19" s="360" t="s">
        <v>921</v>
      </c>
      <c r="C19" s="147">
        <v>45000</v>
      </c>
      <c r="D19" s="147">
        <f>$C19*'RAIL EMIS FACTOR'!C$6/2000</f>
        <v>1.9107702014971146</v>
      </c>
      <c r="E19" s="147">
        <f>$C19*'RAIL EMIS FACTOR'!D$6/2000</f>
        <v>0.2584181545486206</v>
      </c>
      <c r="F19" s="147">
        <f>$C19*'RAIL EMIS FACTOR'!E$6/2000</f>
        <v>6.058539663283536E-2</v>
      </c>
      <c r="G19" s="147">
        <f>$C19*'RAIL EMIS FACTOR'!F$6/2000</f>
        <v>5.8767834733850291E-2</v>
      </c>
      <c r="H19" s="147">
        <f>$C19*'RAIL EMIS FACTOR'!G$6/2000</f>
        <v>5.4862587341449699E-2</v>
      </c>
      <c r="I19" s="147">
        <f>$C19*'RAIL EMIS FACTOR'!H$6/2000</f>
        <v>0.1749752802297892</v>
      </c>
      <c r="J19" s="147">
        <f>$C19*'RAIL EMIS FACTOR'!I$6/2000</f>
        <v>4.3335394103231999E-3</v>
      </c>
      <c r="K19" s="20">
        <f>$C19*'RAIL EMIS FACTOR'!J$6/2000</f>
        <v>531.52206055966178</v>
      </c>
      <c r="L19" t="s">
        <v>916</v>
      </c>
    </row>
    <row r="20" spans="1:25" x14ac:dyDescent="0.25">
      <c r="A20" s="303">
        <v>34017</v>
      </c>
      <c r="B20" s="360" t="s">
        <v>904</v>
      </c>
      <c r="C20" s="147">
        <v>45000</v>
      </c>
      <c r="D20" s="147">
        <f>$C20*'RAIL EMIS FACTOR'!C$6/2000</f>
        <v>1.9107702014971146</v>
      </c>
      <c r="E20" s="147">
        <f>$C20*'RAIL EMIS FACTOR'!D$6/2000</f>
        <v>0.2584181545486206</v>
      </c>
      <c r="F20" s="147">
        <f>$C20*'RAIL EMIS FACTOR'!E$6/2000</f>
        <v>6.058539663283536E-2</v>
      </c>
      <c r="G20" s="147">
        <f>$C20*'RAIL EMIS FACTOR'!F$6/2000</f>
        <v>5.8767834733850291E-2</v>
      </c>
      <c r="H20" s="147">
        <f>$C20*'RAIL EMIS FACTOR'!G$6/2000</f>
        <v>5.4862587341449699E-2</v>
      </c>
      <c r="I20" s="147">
        <f>$C20*'RAIL EMIS FACTOR'!H$6/2000</f>
        <v>0.1749752802297892</v>
      </c>
      <c r="J20" s="147">
        <f>$C20*'RAIL EMIS FACTOR'!I$6/2000</f>
        <v>4.3335394103231999E-3</v>
      </c>
      <c r="K20" s="20">
        <f>$C20*'RAIL EMIS FACTOR'!J$6/2000</f>
        <v>531.52206055966178</v>
      </c>
    </row>
    <row r="21" spans="1:25" x14ac:dyDescent="0.25">
      <c r="A21" s="303">
        <v>34017</v>
      </c>
      <c r="B21" s="360" t="s">
        <v>904</v>
      </c>
      <c r="C21" s="147">
        <f>165000-45000</f>
        <v>120000</v>
      </c>
      <c r="D21" s="147">
        <f>$C21*'RAIL EMIS FACTOR'!C$5/2000</f>
        <v>28.578133039780845</v>
      </c>
      <c r="E21" s="147">
        <f>$C21*'RAIL EMIS FACTOR'!D$5/2000</f>
        <v>2.6991075554464858</v>
      </c>
      <c r="F21" s="147">
        <f>$C21*'RAIL EMIS FACTOR'!E$5/2000</f>
        <v>0.62427960523793113</v>
      </c>
      <c r="G21" s="147">
        <f>$C21*'RAIL EMIS FACTOR'!F$5/2000</f>
        <v>0.60555121708079318</v>
      </c>
      <c r="H21" s="147">
        <f>$C21*'RAIL EMIS FACTOR'!G$5/2000</f>
        <v>0.14630023291053251</v>
      </c>
      <c r="I21" s="147">
        <f>$C21*'RAIL EMIS FACTOR'!H$5/2000</f>
        <v>1.7237608459829752</v>
      </c>
      <c r="J21" s="147">
        <f>$C21*'RAIL EMIS FACTOR'!I$5/2000</f>
        <v>1.1556105094195199E-2</v>
      </c>
      <c r="K21" s="20">
        <f>$C21*'RAIL EMIS FACTOR'!J$5/2000</f>
        <v>1417.3921614924316</v>
      </c>
    </row>
    <row r="22" spans="1:25" x14ac:dyDescent="0.25">
      <c r="A22" s="489">
        <v>34039</v>
      </c>
      <c r="B22" s="444" t="s">
        <v>929</v>
      </c>
      <c r="C22" s="490">
        <v>45000</v>
      </c>
      <c r="D22" s="490">
        <f>$C22*'RAIL EMIS FACTOR'!C$5/2000</f>
        <v>10.716799889917816</v>
      </c>
      <c r="E22" s="490">
        <f>$C22*'RAIL EMIS FACTOR'!D$5/2000</f>
        <v>1.0121653332924323</v>
      </c>
      <c r="F22" s="490">
        <f>$C22*'RAIL EMIS FACTOR'!E$5/2000</f>
        <v>0.23410485196422418</v>
      </c>
      <c r="G22" s="490">
        <f>$C22*'RAIL EMIS FACTOR'!F$5/2000</f>
        <v>0.22708170640529743</v>
      </c>
      <c r="H22" s="490">
        <f>$C22*'RAIL EMIS FACTOR'!G$5/2000</f>
        <v>5.4862587341449699E-2</v>
      </c>
      <c r="I22" s="490">
        <f>$C22*'RAIL EMIS FACTOR'!H$5/2000</f>
        <v>0.64641031724361575</v>
      </c>
      <c r="J22" s="490">
        <f>$C22*'RAIL EMIS FACTOR'!I$5/2000</f>
        <v>4.3335394103231999E-3</v>
      </c>
      <c r="K22" s="347">
        <f>$C22*'RAIL EMIS FACTOR'!J$5/2000</f>
        <v>531.52206055966178</v>
      </c>
      <c r="L22" s="13">
        <f>D22</f>
        <v>10.716799889917816</v>
      </c>
      <c r="M22" t="s">
        <v>915</v>
      </c>
    </row>
    <row r="23" spans="1:25" x14ac:dyDescent="0.25">
      <c r="A23" s="303">
        <v>34027</v>
      </c>
      <c r="B23" s="360" t="s">
        <v>905</v>
      </c>
      <c r="C23" s="147">
        <v>14864.6</v>
      </c>
      <c r="D23" s="147">
        <f>$C23*'RAIL EMIS FACTOR'!C$4/2000</f>
        <v>1.9246715952633557</v>
      </c>
      <c r="E23" s="147">
        <f>$C23*'RAIL EMIS FACTOR'!D$4/2000</f>
        <v>0.45752193350260345</v>
      </c>
      <c r="F23" s="147">
        <f>$C23*'RAIL EMIS FACTOR'!E$4/2000</f>
        <v>4.8116789881583889E-2</v>
      </c>
      <c r="G23" s="147">
        <f>$C23*'RAIL EMIS FACTOR'!F$4/2000</f>
        <v>4.6673286185136373E-2</v>
      </c>
      <c r="H23" s="147">
        <f>$C23*'RAIL EMIS FACTOR'!G$4/2000</f>
        <v>2.4799147147004146E-2</v>
      </c>
      <c r="I23" s="147">
        <f>$C23*'RAIL EMIS FACTOR'!H$4/2000</f>
        <v>8.3238609581577166E-2</v>
      </c>
      <c r="J23" s="147">
        <f>$C23*'RAIL EMIS FACTOR'!I$4/2000</f>
        <v>1.4314739981931164E-3</v>
      </c>
      <c r="K23" s="20">
        <f>$C23*'RAIL EMIS FACTOR'!J$4/2000</f>
        <v>175.57472936433666</v>
      </c>
      <c r="M23" s="6"/>
      <c r="N23" s="6"/>
      <c r="O23" s="6"/>
      <c r="P23" s="6"/>
      <c r="Q23" s="6"/>
      <c r="R23" s="6"/>
      <c r="S23" s="6"/>
      <c r="T23" s="6"/>
      <c r="U23" s="6"/>
      <c r="V23" s="6"/>
      <c r="W23" s="6"/>
      <c r="X23" s="6"/>
      <c r="Y23" s="6"/>
    </row>
    <row r="24" spans="1:25" x14ac:dyDescent="0.25">
      <c r="A24" s="303">
        <v>34017</v>
      </c>
      <c r="B24" s="360" t="s">
        <v>906</v>
      </c>
      <c r="C24" s="147">
        <v>39826</v>
      </c>
      <c r="D24" s="147">
        <f>$C24*'RAIL EMIS FACTOR'!C$4/2000</f>
        <v>5.1566790194797303</v>
      </c>
      <c r="E24" s="147">
        <f>$C24*'RAIL EMIS FACTOR'!D$4/2000</f>
        <v>1.2258162697734674</v>
      </c>
      <c r="F24" s="147">
        <f>$C24*'RAIL EMIS FACTOR'!E$4/2000</f>
        <v>0.12891697548699327</v>
      </c>
      <c r="G24" s="147">
        <f>$C24*'RAIL EMIS FACTOR'!F$4/2000</f>
        <v>0.12504946622238347</v>
      </c>
      <c r="H24" s="147">
        <f>$C24*'RAIL EMIS FACTOR'!G$4/2000</f>
        <v>6.6443149111081831E-2</v>
      </c>
      <c r="I24" s="147">
        <f>$C24*'RAIL EMIS FACTOR'!H$4/2000</f>
        <v>0.22301715923710641</v>
      </c>
      <c r="J24" s="147">
        <f>$C24*'RAIL EMIS FACTOR'!I$4/2000</f>
        <v>3.8352786790118169E-3</v>
      </c>
      <c r="K24" s="20">
        <f>$C24*'RAIL EMIS FACTOR'!J$4/2000</f>
        <v>470.40883519664652</v>
      </c>
      <c r="M24" s="6"/>
      <c r="N24" s="6"/>
      <c r="O24" s="6"/>
      <c r="P24" s="6"/>
      <c r="Q24" s="6"/>
      <c r="R24" s="6"/>
      <c r="S24" s="6"/>
      <c r="T24" s="6"/>
      <c r="U24" s="6"/>
      <c r="V24" s="6"/>
      <c r="W24" s="6"/>
      <c r="X24" s="6"/>
      <c r="Y24" s="6"/>
    </row>
    <row r="25" spans="1:25" x14ac:dyDescent="0.25">
      <c r="A25" s="303">
        <v>34017</v>
      </c>
      <c r="B25" s="360" t="s">
        <v>906</v>
      </c>
      <c r="C25" s="147">
        <v>212157</v>
      </c>
      <c r="D25" s="147">
        <f>$C25*'RAIL EMIS FACTOR'!C$4/2000</f>
        <v>27.470133850644334</v>
      </c>
      <c r="E25" s="147">
        <f>$C25*'RAIL EMIS FACTOR'!D$4/2000</f>
        <v>6.5300432467817391</v>
      </c>
      <c r="F25" s="147">
        <f>$C25*'RAIL EMIS FACTOR'!E$4/2000</f>
        <v>0.68675334626610829</v>
      </c>
      <c r="G25" s="147">
        <f>$C25*'RAIL EMIS FACTOR'!F$4/2000</f>
        <v>0.66615074587812506</v>
      </c>
      <c r="H25" s="147">
        <f>$C25*'RAIL EMIS FACTOR'!G$4/2000</f>
        <v>0.35394915848841935</v>
      </c>
      <c r="I25" s="147">
        <f>$C25*'RAIL EMIS FACTOR'!H$4/2000</f>
        <v>1.1880342352299196</v>
      </c>
      <c r="J25" s="147">
        <f>$C25*'RAIL EMIS FACTOR'!I$4/2000</f>
        <v>2.0430904903909759E-2</v>
      </c>
      <c r="K25" s="20">
        <f>$C25*'RAIL EMIS FACTOR'!J$4/2000</f>
        <v>2505.913906714582</v>
      </c>
      <c r="M25" s="6"/>
      <c r="N25" s="6"/>
      <c r="O25" s="6"/>
      <c r="P25" s="6"/>
      <c r="Q25" s="6"/>
      <c r="R25" s="6"/>
      <c r="S25" s="6"/>
      <c r="T25" s="6"/>
      <c r="U25" s="6"/>
      <c r="V25" s="6"/>
      <c r="W25" s="6"/>
      <c r="X25" s="6"/>
      <c r="Y25" s="6"/>
    </row>
    <row r="26" spans="1:25" x14ac:dyDescent="0.25">
      <c r="A26" s="303">
        <v>34035</v>
      </c>
      <c r="B26" s="360" t="s">
        <v>907</v>
      </c>
      <c r="C26" s="147">
        <v>1661</v>
      </c>
      <c r="D26" s="147">
        <f>$C26*'RAIL EMIS FACTOR'!C$4/2000</f>
        <v>0.21506663615115335</v>
      </c>
      <c r="E26" s="147">
        <f>$C26*'RAIL EMIS FACTOR'!D$4/2000</f>
        <v>5.1124411793645602E-2</v>
      </c>
      <c r="F26" s="147">
        <f>$C26*'RAIL EMIS FACTOR'!E$4/2000</f>
        <v>5.3766659037788331E-3</v>
      </c>
      <c r="G26" s="147">
        <f>$C26*'RAIL EMIS FACTOR'!F$4/2000</f>
        <v>5.2153659266654679E-3</v>
      </c>
      <c r="H26" s="147">
        <f>$C26*'RAIL EMIS FACTOR'!G$4/2000</f>
        <v>2.7711060782781832E-3</v>
      </c>
      <c r="I26" s="147">
        <f>$C26*'RAIL EMIS FACTOR'!H$4/2000</f>
        <v>9.3012479659728246E-3</v>
      </c>
      <c r="J26" s="147">
        <f>$C26*'RAIL EMIS FACTOR'!I$4/2000</f>
        <v>1.5995575467881855E-4</v>
      </c>
      <c r="K26" s="20">
        <f>$C26*'RAIL EMIS FACTOR'!J$4/2000</f>
        <v>19.619069835324407</v>
      </c>
      <c r="M26" s="6"/>
      <c r="N26" s="6"/>
      <c r="O26" s="6"/>
      <c r="P26" s="6"/>
      <c r="Q26" s="6"/>
      <c r="R26" s="6"/>
      <c r="S26" s="6"/>
      <c r="T26" s="6"/>
      <c r="U26" s="6"/>
      <c r="V26" s="6"/>
      <c r="W26" s="6"/>
      <c r="X26" s="6"/>
      <c r="Y26" s="6"/>
    </row>
    <row r="27" spans="1:25" ht="15.75" thickBot="1" x14ac:dyDescent="0.3">
      <c r="A27" s="204">
        <v>34001</v>
      </c>
      <c r="B27" s="183" t="s">
        <v>908</v>
      </c>
      <c r="C27" s="501">
        <v>4719</v>
      </c>
      <c r="D27" s="501">
        <f>$C27*'RAIL EMIS FACTOR'!C$4/2000</f>
        <v>0.61101713184665418</v>
      </c>
      <c r="E27" s="501">
        <f>$C27*'RAIL EMIS FACTOR'!D$4/2000</f>
        <v>0.14524750105611894</v>
      </c>
      <c r="F27" s="501">
        <f>$C27*'RAIL EMIS FACTOR'!E$4/2000</f>
        <v>1.5275428296166354E-2</v>
      </c>
      <c r="G27" s="501">
        <f>$C27*'RAIL EMIS FACTOR'!F$4/2000</f>
        <v>1.4817165447281361E-2</v>
      </c>
      <c r="H27" s="501">
        <f>$C27*'RAIL EMIS FACTOR'!G$4/2000</f>
        <v>7.8728775336512624E-3</v>
      </c>
      <c r="I27" s="501">
        <f>$C27*'RAIL EMIS FACTOR'!H$4/2000</f>
        <v>2.6425399850346636E-2</v>
      </c>
      <c r="J27" s="501">
        <f>$C27*'RAIL EMIS FACTOR'!I$4/2000</f>
        <v>4.5444383282922622E-4</v>
      </c>
      <c r="K27" s="502">
        <f>$C27*'RAIL EMIS FACTOR'!J$4/2000</f>
        <v>55.73894675068987</v>
      </c>
      <c r="M27" s="305"/>
      <c r="N27" s="305"/>
      <c r="O27" s="305"/>
      <c r="P27" s="305"/>
      <c r="Q27" s="305"/>
      <c r="R27" s="305"/>
      <c r="S27" s="6"/>
      <c r="T27" s="305"/>
      <c r="U27" s="6"/>
      <c r="V27" s="6"/>
      <c r="W27" s="6"/>
      <c r="X27" s="6"/>
      <c r="Y27" s="6"/>
    </row>
    <row r="28" spans="1:25" x14ac:dyDescent="0.25">
      <c r="A28" s="503">
        <v>34013</v>
      </c>
      <c r="B28" s="477" t="s">
        <v>923</v>
      </c>
      <c r="C28" s="504">
        <v>545793.10432153696</v>
      </c>
      <c r="D28" s="6">
        <v>115.95669507948448</v>
      </c>
      <c r="E28" s="6">
        <v>21.409556685938316</v>
      </c>
      <c r="F28" s="6">
        <v>4.9766917916491353</v>
      </c>
      <c r="G28" s="6">
        <v>4.5785564483172045</v>
      </c>
      <c r="H28" s="6">
        <v>6.7465578234734022E-2</v>
      </c>
      <c r="I28" s="6">
        <v>11.8003921041793</v>
      </c>
      <c r="K28" s="6">
        <v>5724.4543132171821</v>
      </c>
      <c r="M28" s="6"/>
      <c r="N28" s="6"/>
      <c r="O28" s="6"/>
      <c r="P28" s="6"/>
      <c r="Q28" s="6"/>
      <c r="R28" s="6"/>
      <c r="T28" s="6"/>
      <c r="U28" s="6"/>
      <c r="V28" s="6"/>
      <c r="W28" s="6"/>
      <c r="X28" s="6"/>
      <c r="Y28" s="6"/>
    </row>
    <row r="29" spans="1:25" x14ac:dyDescent="0.25">
      <c r="A29" s="168">
        <v>34017</v>
      </c>
      <c r="B29" s="360" t="s">
        <v>930</v>
      </c>
      <c r="C29" s="490">
        <v>6782.3074760643194</v>
      </c>
      <c r="D29" s="6">
        <v>3.7768352889468355</v>
      </c>
      <c r="E29" s="6">
        <v>0.55146342342717036</v>
      </c>
      <c r="F29" s="6">
        <v>0.16358786735007436</v>
      </c>
      <c r="G29" s="6">
        <v>0.15050083796206842</v>
      </c>
      <c r="H29" s="6">
        <v>1.7265498132768709E-3</v>
      </c>
      <c r="I29" s="6">
        <v>0.20825167182034671</v>
      </c>
      <c r="K29" s="6">
        <v>146.4977516565425</v>
      </c>
      <c r="M29" s="6"/>
      <c r="N29" s="6"/>
      <c r="O29" s="6"/>
      <c r="P29" s="6"/>
      <c r="Q29" s="6"/>
      <c r="R29" s="6"/>
      <c r="T29" s="108"/>
      <c r="U29" s="6"/>
      <c r="V29" s="6"/>
      <c r="W29" s="6"/>
      <c r="X29" s="6"/>
      <c r="Y29" s="6"/>
    </row>
    <row r="30" spans="1:25" ht="15.75" thickBot="1" x14ac:dyDescent="0.3">
      <c r="A30" s="169">
        <v>34039</v>
      </c>
      <c r="B30" s="486" t="s">
        <v>922</v>
      </c>
      <c r="C30" s="494">
        <v>169207.49729596908</v>
      </c>
      <c r="D30" s="6">
        <v>41.425610079797067</v>
      </c>
      <c r="E30" s="6">
        <v>7.6818143617696313</v>
      </c>
      <c r="F30" s="6">
        <v>1.8541864517535165</v>
      </c>
      <c r="G30" s="6">
        <v>1.7058515356132353</v>
      </c>
      <c r="H30" s="6">
        <v>0.23861103565308989</v>
      </c>
      <c r="I30" s="6">
        <v>4.2344971989915035</v>
      </c>
      <c r="K30" s="108">
        <v>20246.146375164681</v>
      </c>
      <c r="X30" s="6"/>
      <c r="Y30" s="6"/>
    </row>
    <row r="31" spans="1:25" ht="15.75" thickBot="1" x14ac:dyDescent="0.3">
      <c r="A31" s="491" t="s">
        <v>119</v>
      </c>
      <c r="B31" s="492"/>
      <c r="C31" s="495">
        <f t="shared" ref="C31:K31" si="0">SUM(C3:C30)</f>
        <v>2786425.8107356066</v>
      </c>
      <c r="D31" s="495">
        <f>SUM(D3:D30)</f>
        <v>660.61466146573946</v>
      </c>
      <c r="E31" s="495">
        <f t="shared" si="0"/>
        <v>83.659256632303254</v>
      </c>
      <c r="F31" s="495">
        <f t="shared" si="0"/>
        <v>18.449987946961251</v>
      </c>
      <c r="G31" s="495">
        <f t="shared" si="0"/>
        <v>17.54676500301478</v>
      </c>
      <c r="H31" s="495">
        <f t="shared" si="0"/>
        <v>3.3173764214961472</v>
      </c>
      <c r="I31" s="495">
        <f t="shared" si="0"/>
        <v>42.376349067797939</v>
      </c>
      <c r="J31" s="495">
        <f t="shared" si="0"/>
        <v>0.19882691961132903</v>
      </c>
      <c r="K31" s="496">
        <f t="shared" si="0"/>
        <v>50503.8373156085</v>
      </c>
      <c r="M31" s="6"/>
      <c r="N31" s="6"/>
      <c r="O31" s="6"/>
      <c r="P31" s="6"/>
      <c r="Q31" s="6"/>
      <c r="R31" s="6"/>
      <c r="S31" s="108"/>
      <c r="T31" s="291"/>
      <c r="U31" s="6"/>
      <c r="V31" s="6"/>
      <c r="W31" s="6"/>
      <c r="X31" s="6"/>
      <c r="Y31" s="6"/>
    </row>
    <row r="32" spans="1:25" x14ac:dyDescent="0.25">
      <c r="D32" s="477" t="s">
        <v>96</v>
      </c>
      <c r="E32" s="477" t="s">
        <v>10</v>
      </c>
      <c r="F32" s="477" t="s">
        <v>7</v>
      </c>
      <c r="G32" s="477" t="s">
        <v>95</v>
      </c>
      <c r="H32" s="477" t="s">
        <v>17</v>
      </c>
      <c r="I32" s="477" t="s">
        <v>69</v>
      </c>
      <c r="J32" s="477" t="s">
        <v>16</v>
      </c>
      <c r="K32" s="485" t="s">
        <v>94</v>
      </c>
      <c r="M32" s="6"/>
      <c r="N32" s="6"/>
      <c r="O32" s="6"/>
      <c r="P32" s="6"/>
      <c r="Q32" s="6"/>
      <c r="R32" s="6"/>
      <c r="S32" s="108"/>
      <c r="T32" s="291"/>
      <c r="U32" s="6"/>
      <c r="V32" s="6"/>
      <c r="W32" s="6"/>
      <c r="X32" s="6"/>
      <c r="Y32" s="6"/>
    </row>
    <row r="33" spans="1:46" ht="15.75" thickBot="1" x14ac:dyDescent="0.3">
      <c r="A33" s="31" t="s">
        <v>1008</v>
      </c>
      <c r="B33" s="31"/>
      <c r="C33" s="31"/>
      <c r="D33" s="31"/>
      <c r="E33" s="31"/>
      <c r="M33" s="6"/>
      <c r="N33" s="6"/>
      <c r="O33" s="6"/>
      <c r="P33" s="6"/>
      <c r="Q33" s="6"/>
      <c r="R33" s="6"/>
      <c r="S33" s="108"/>
      <c r="T33" s="291"/>
      <c r="U33" s="6"/>
      <c r="V33" s="6"/>
      <c r="W33" s="6"/>
      <c r="X33" s="6"/>
      <c r="Y33" s="6"/>
    </row>
    <row r="34" spans="1:46" ht="42.75" customHeight="1" x14ac:dyDescent="0.25">
      <c r="A34" s="416"/>
      <c r="B34" s="470" t="s">
        <v>954</v>
      </c>
      <c r="C34" s="471"/>
      <c r="D34" s="471"/>
      <c r="E34" s="471"/>
      <c r="F34" s="471"/>
      <c r="G34" s="471"/>
      <c r="H34" s="472"/>
      <c r="I34" s="500" t="s">
        <v>913</v>
      </c>
      <c r="J34" s="498" t="s">
        <v>964</v>
      </c>
      <c r="K34" s="497"/>
      <c r="L34" s="471"/>
      <c r="M34" s="471"/>
      <c r="N34" s="471"/>
      <c r="O34" s="471"/>
      <c r="P34" s="471"/>
      <c r="Q34" s="472"/>
      <c r="R34" s="586" t="s">
        <v>962</v>
      </c>
      <c r="S34" s="587"/>
      <c r="T34" s="587"/>
      <c r="U34" s="587"/>
      <c r="V34" s="587"/>
      <c r="W34" s="587"/>
      <c r="X34" s="587"/>
      <c r="Y34" s="588"/>
      <c r="Z34" s="416"/>
      <c r="AA34" s="416"/>
      <c r="AB34" s="416"/>
      <c r="AC34" s="427">
        <v>2014</v>
      </c>
      <c r="AD34" s="427"/>
      <c r="AE34" s="586" t="s">
        <v>959</v>
      </c>
      <c r="AF34" s="587"/>
      <c r="AG34" s="587"/>
      <c r="AH34" s="587"/>
      <c r="AI34" s="587"/>
      <c r="AJ34" s="587"/>
      <c r="AK34" s="588"/>
      <c r="AL34" s="435"/>
      <c r="AM34" s="470" t="s">
        <v>960</v>
      </c>
      <c r="AN34" s="473"/>
      <c r="AO34" s="473"/>
      <c r="AP34" s="473"/>
      <c r="AQ34" s="473"/>
      <c r="AR34" s="473"/>
      <c r="AS34" s="499"/>
    </row>
    <row r="35" spans="1:46" ht="49.5" customHeight="1" x14ac:dyDescent="0.25">
      <c r="A35" s="231"/>
      <c r="B35" s="346" t="s">
        <v>914</v>
      </c>
      <c r="C35" s="239" t="s">
        <v>7</v>
      </c>
      <c r="D35" s="239" t="s">
        <v>924</v>
      </c>
      <c r="E35" s="239" t="s">
        <v>69</v>
      </c>
      <c r="F35" s="239" t="s">
        <v>10</v>
      </c>
      <c r="G35" s="239" t="s">
        <v>17</v>
      </c>
      <c r="H35" s="432" t="s">
        <v>94</v>
      </c>
      <c r="I35" s="433"/>
      <c r="J35" s="417" t="s">
        <v>9</v>
      </c>
      <c r="K35" s="241" t="s">
        <v>7</v>
      </c>
      <c r="L35" s="239" t="s">
        <v>924</v>
      </c>
      <c r="M35" s="239" t="s">
        <v>69</v>
      </c>
      <c r="N35" s="239" t="s">
        <v>10</v>
      </c>
      <c r="O35" s="239" t="s">
        <v>17</v>
      </c>
      <c r="P35" s="239" t="s">
        <v>94</v>
      </c>
      <c r="Q35" s="432" t="s">
        <v>93</v>
      </c>
      <c r="R35" s="241" t="s">
        <v>9</v>
      </c>
      <c r="S35" s="239" t="s">
        <v>7</v>
      </c>
      <c r="T35" s="239" t="s">
        <v>924</v>
      </c>
      <c r="U35" s="239" t="s">
        <v>69</v>
      </c>
      <c r="V35" s="239" t="s">
        <v>10</v>
      </c>
      <c r="W35" s="239" t="s">
        <v>17</v>
      </c>
      <c r="X35" s="239" t="s">
        <v>94</v>
      </c>
      <c r="Y35" s="432" t="s">
        <v>93</v>
      </c>
      <c r="Z35" s="231"/>
      <c r="AA35" s="231"/>
      <c r="AB35" s="298"/>
      <c r="AC35" s="428" t="s">
        <v>955</v>
      </c>
      <c r="AD35" s="429" t="s">
        <v>928</v>
      </c>
      <c r="AE35" s="318" t="s">
        <v>9</v>
      </c>
      <c r="AF35" s="360" t="s">
        <v>7</v>
      </c>
      <c r="AG35" s="360" t="s">
        <v>924</v>
      </c>
      <c r="AH35" s="360" t="s">
        <v>69</v>
      </c>
      <c r="AI35" s="360" t="s">
        <v>10</v>
      </c>
      <c r="AJ35" s="360" t="s">
        <v>17</v>
      </c>
      <c r="AK35" s="180" t="s">
        <v>94</v>
      </c>
      <c r="AL35" s="436" t="s">
        <v>961</v>
      </c>
      <c r="AM35" s="437" t="s">
        <v>9</v>
      </c>
      <c r="AN35" s="239" t="s">
        <v>7</v>
      </c>
      <c r="AO35" s="239" t="s">
        <v>924</v>
      </c>
      <c r="AP35" s="239" t="s">
        <v>69</v>
      </c>
      <c r="AQ35" s="239" t="s">
        <v>10</v>
      </c>
      <c r="AR35" s="239" t="s">
        <v>17</v>
      </c>
      <c r="AS35" s="432" t="s">
        <v>94</v>
      </c>
    </row>
    <row r="36" spans="1:46" x14ac:dyDescent="0.25">
      <c r="A36" s="231" t="s">
        <v>413</v>
      </c>
      <c r="B36" s="303">
        <v>28.9</v>
      </c>
      <c r="C36" s="360">
        <v>0.8</v>
      </c>
      <c r="D36" s="360">
        <v>0.7</v>
      </c>
      <c r="E36" s="360">
        <v>1.3</v>
      </c>
      <c r="F36" s="360">
        <v>5.7</v>
      </c>
      <c r="G36" s="360">
        <v>0</v>
      </c>
      <c r="H36" s="298">
        <v>2200</v>
      </c>
      <c r="I36" s="231">
        <v>194281</v>
      </c>
      <c r="J36" s="231">
        <v>135</v>
      </c>
      <c r="K36" s="318">
        <v>3.6</v>
      </c>
      <c r="L36" s="360">
        <f>K36*0.92</f>
        <v>3.3120000000000003</v>
      </c>
      <c r="M36" s="360">
        <v>6.1</v>
      </c>
      <c r="N36" s="360">
        <v>26.7</v>
      </c>
      <c r="O36" s="360">
        <v>0.1</v>
      </c>
      <c r="P36" s="360">
        <v>10186</v>
      </c>
      <c r="Q36" s="298">
        <v>0.25</v>
      </c>
      <c r="R36" s="445">
        <f t="shared" ref="R36:Y40" si="1">(0.00220462262/2000)*J36*$I36</f>
        <v>28.911349388444847</v>
      </c>
      <c r="S36" s="181">
        <f t="shared" si="1"/>
        <v>0.770969317025196</v>
      </c>
      <c r="T36" s="181">
        <f t="shared" si="1"/>
        <v>0.70929177166318036</v>
      </c>
      <c r="U36" s="181">
        <f t="shared" si="1"/>
        <v>1.3063646760704708</v>
      </c>
      <c r="V36" s="181">
        <f t="shared" si="1"/>
        <v>5.7180224346035367</v>
      </c>
      <c r="W36" s="181">
        <f t="shared" si="1"/>
        <v>2.1415814361811E-2</v>
      </c>
      <c r="X36" s="181">
        <f t="shared" si="1"/>
        <v>2181.4148508940684</v>
      </c>
      <c r="Y36" s="104">
        <f t="shared" si="1"/>
        <v>5.3539535904527501E-2</v>
      </c>
      <c r="Z36" s="231"/>
      <c r="AA36" s="231"/>
      <c r="AB36" s="298"/>
      <c r="AC36" s="231"/>
      <c r="AD36" s="231"/>
      <c r="AE36" s="418"/>
      <c r="AF36" s="360"/>
      <c r="AG36" s="360"/>
      <c r="AH36" s="360"/>
      <c r="AI36" s="360"/>
      <c r="AJ36" s="360"/>
      <c r="AK36" s="180"/>
      <c r="AL36" s="231"/>
      <c r="AM36" s="303"/>
      <c r="AN36" s="360"/>
      <c r="AO36" s="360"/>
      <c r="AP36" s="360"/>
      <c r="AQ36" s="360"/>
      <c r="AR36" s="360"/>
      <c r="AS36" s="298"/>
    </row>
    <row r="37" spans="1:46" ht="15.75" customHeight="1" x14ac:dyDescent="0.25">
      <c r="A37" s="417" t="s">
        <v>816</v>
      </c>
      <c r="B37" s="346">
        <v>104.3</v>
      </c>
      <c r="C37" s="360">
        <v>4.3</v>
      </c>
      <c r="D37" s="360">
        <v>4</v>
      </c>
      <c r="E37" s="360">
        <v>10</v>
      </c>
      <c r="F37" s="360">
        <v>19.399999999999999</v>
      </c>
      <c r="G37" s="360">
        <v>0.1</v>
      </c>
      <c r="H37" s="298">
        <v>7229</v>
      </c>
      <c r="I37" s="417">
        <f>38856+34084</f>
        <v>72940</v>
      </c>
      <c r="J37" s="417">
        <v>135</v>
      </c>
      <c r="K37" s="318">
        <v>3.6</v>
      </c>
      <c r="L37" s="360">
        <f>K37*0.92</f>
        <v>3.3120000000000003</v>
      </c>
      <c r="M37" s="360">
        <v>6.1</v>
      </c>
      <c r="N37" s="360">
        <v>26.7</v>
      </c>
      <c r="O37" s="360">
        <v>0.1</v>
      </c>
      <c r="P37" s="360">
        <v>10186</v>
      </c>
      <c r="Q37" s="298">
        <v>0.25</v>
      </c>
      <c r="R37" s="445">
        <f t="shared" si="1"/>
        <v>10.854349238438999</v>
      </c>
      <c r="S37" s="181">
        <f t="shared" si="1"/>
        <v>0.28944931302504001</v>
      </c>
      <c r="T37" s="181">
        <f t="shared" si="1"/>
        <v>0.26629336798303682</v>
      </c>
      <c r="U37" s="181">
        <f t="shared" si="1"/>
        <v>0.49045578040353993</v>
      </c>
      <c r="V37" s="181">
        <f t="shared" si="1"/>
        <v>2.1467490716023798</v>
      </c>
      <c r="W37" s="181">
        <f t="shared" si="1"/>
        <v>8.0402586951400009E-3</v>
      </c>
      <c r="X37" s="181">
        <f t="shared" si="1"/>
        <v>818.98075068696028</v>
      </c>
      <c r="Y37" s="104">
        <f t="shared" si="1"/>
        <v>2.010064673785E-2</v>
      </c>
      <c r="Z37" s="419" t="s">
        <v>926</v>
      </c>
      <c r="AA37" s="419"/>
      <c r="AB37" s="360" t="s">
        <v>956</v>
      </c>
      <c r="AC37" s="231">
        <f>9.9/0.048</f>
        <v>206.25</v>
      </c>
      <c r="AD37" s="423">
        <f>AE37*2000*453.592/(AC37)</f>
        <v>411017.69328715611</v>
      </c>
      <c r="AE37" s="418">
        <f t="shared" ref="AE37:AI38" si="2">B37-R37</f>
        <v>93.445650761560998</v>
      </c>
      <c r="AF37" s="240">
        <f t="shared" si="2"/>
        <v>4.0105506869749599</v>
      </c>
      <c r="AG37" s="240">
        <f>AF37*0.92</f>
        <v>3.6897066320169634</v>
      </c>
      <c r="AH37" s="240">
        <f t="shared" si="2"/>
        <v>9.5095442195964601</v>
      </c>
      <c r="AI37" s="240">
        <f t="shared" si="2"/>
        <v>17.25325092839762</v>
      </c>
      <c r="AJ37" s="318">
        <f>$AD37*0.12*0.00220462/2000</f>
        <v>5.436826961848381E-2</v>
      </c>
      <c r="AK37" s="180">
        <f>$AD37*10182*0.00220462/2000</f>
        <v>4613.1476771283515</v>
      </c>
      <c r="AL37" s="231">
        <v>1.2408998614110291</v>
      </c>
      <c r="AM37" s="439">
        <f t="shared" ref="AM37:AS38" si="3">$AL$37*AE37</f>
        <v>115.95669507948448</v>
      </c>
      <c r="AN37" s="147">
        <f t="shared" si="3"/>
        <v>4.9766917916491353</v>
      </c>
      <c r="AO37" s="147">
        <f>AN37*0.92</f>
        <v>4.5785564483172045</v>
      </c>
      <c r="AP37" s="297">
        <f t="shared" si="3"/>
        <v>11.8003921041793</v>
      </c>
      <c r="AQ37" s="297">
        <f t="shared" si="3"/>
        <v>21.409556685938316</v>
      </c>
      <c r="AR37" s="297">
        <f t="shared" si="3"/>
        <v>6.7465578234734022E-2</v>
      </c>
      <c r="AS37" s="438">
        <f t="shared" si="3"/>
        <v>5724.4543132171821</v>
      </c>
      <c r="AT37" s="111"/>
    </row>
    <row r="38" spans="1:46" ht="16.5" customHeight="1" x14ac:dyDescent="0.25">
      <c r="A38" s="417" t="s">
        <v>412</v>
      </c>
      <c r="B38" s="346">
        <v>28.1</v>
      </c>
      <c r="C38" s="360">
        <v>0.8</v>
      </c>
      <c r="D38" s="360">
        <v>0.7</v>
      </c>
      <c r="E38" s="360">
        <v>1.3</v>
      </c>
      <c r="F38" s="360">
        <v>5.4</v>
      </c>
      <c r="G38" s="360">
        <v>4.9000000000000002E-2</v>
      </c>
      <c r="H38" s="298">
        <v>2070</v>
      </c>
      <c r="I38" s="417">
        <v>168376</v>
      </c>
      <c r="J38" s="417">
        <v>135</v>
      </c>
      <c r="K38" s="318">
        <v>3.6</v>
      </c>
      <c r="L38" s="360">
        <f>K38*0.92</f>
        <v>3.3120000000000003</v>
      </c>
      <c r="M38" s="360">
        <v>6.1</v>
      </c>
      <c r="N38" s="360">
        <v>26.7</v>
      </c>
      <c r="O38" s="360">
        <v>0.1</v>
      </c>
      <c r="P38" s="360">
        <v>10186</v>
      </c>
      <c r="Q38" s="298">
        <v>0.25</v>
      </c>
      <c r="R38" s="445">
        <f t="shared" si="1"/>
        <v>25.056373832895598</v>
      </c>
      <c r="S38" s="181">
        <f t="shared" si="1"/>
        <v>0.66816996887721603</v>
      </c>
      <c r="T38" s="181">
        <f t="shared" si="1"/>
        <v>0.61471637136703883</v>
      </c>
      <c r="U38" s="181">
        <f t="shared" si="1"/>
        <v>1.1321768917086159</v>
      </c>
      <c r="V38" s="181">
        <f t="shared" si="1"/>
        <v>4.9555939358393513</v>
      </c>
      <c r="W38" s="181">
        <f t="shared" si="1"/>
        <v>1.8560276913255999E-2</v>
      </c>
      <c r="X38" s="181">
        <f t="shared" si="1"/>
        <v>1890.549806384256</v>
      </c>
      <c r="Y38" s="104">
        <f t="shared" si="1"/>
        <v>4.6400692283139998E-2</v>
      </c>
      <c r="Z38" s="231" t="s">
        <v>927</v>
      </c>
      <c r="AA38" s="231"/>
      <c r="AB38" s="360" t="s">
        <v>957</v>
      </c>
      <c r="AC38" s="231">
        <f>12.6/0.048</f>
        <v>262.5</v>
      </c>
      <c r="AD38" s="423">
        <f>AE38*2000*453.592/(AC38)</f>
        <v>10518.586517251204</v>
      </c>
      <c r="AE38" s="418">
        <f t="shared" si="2"/>
        <v>3.0436261671044029</v>
      </c>
      <c r="AF38" s="240">
        <f t="shared" si="2"/>
        <v>0.13183003112278402</v>
      </c>
      <c r="AG38" s="240">
        <f>AF38*0.92</f>
        <v>0.1212836286329613</v>
      </c>
      <c r="AH38" s="240">
        <f t="shared" si="2"/>
        <v>0.16782310829138414</v>
      </c>
      <c r="AI38" s="240">
        <f t="shared" si="2"/>
        <v>0.44440606416064909</v>
      </c>
      <c r="AJ38" s="318">
        <f>$AD38*0.12*0.00220462/2000</f>
        <v>1.3913691724597411E-3</v>
      </c>
      <c r="AK38" s="180">
        <f>$AD38*10182*0.00220462/2000</f>
        <v>118.05767428320902</v>
      </c>
      <c r="AL38" s="231">
        <v>1.2408998614110291</v>
      </c>
      <c r="AM38" s="439">
        <f t="shared" si="3"/>
        <v>3.7768352889468355</v>
      </c>
      <c r="AN38" s="147">
        <f t="shared" si="3"/>
        <v>0.16358786735007436</v>
      </c>
      <c r="AO38" s="147">
        <f>AN38*0.92</f>
        <v>0.15050083796206842</v>
      </c>
      <c r="AP38" s="297">
        <f t="shared" si="3"/>
        <v>0.20825167182034671</v>
      </c>
      <c r="AQ38" s="297">
        <f t="shared" si="3"/>
        <v>0.55146342342717036</v>
      </c>
      <c r="AR38" s="297">
        <f t="shared" si="3"/>
        <v>1.7265498132768709E-3</v>
      </c>
      <c r="AS38" s="438">
        <f t="shared" si="3"/>
        <v>146.4977516565425</v>
      </c>
      <c r="AT38" s="111"/>
    </row>
    <row r="39" spans="1:46" ht="17.25" customHeight="1" x14ac:dyDescent="0.25">
      <c r="A39" s="231" t="s">
        <v>912</v>
      </c>
      <c r="B39" s="303">
        <v>5.0999999999999996</v>
      </c>
      <c r="C39" s="360">
        <v>0.1</v>
      </c>
      <c r="D39" s="360">
        <v>0.1</v>
      </c>
      <c r="E39" s="360">
        <v>0.2</v>
      </c>
      <c r="F39" s="360">
        <v>1</v>
      </c>
      <c r="G39" s="360"/>
      <c r="H39" s="298">
        <v>387</v>
      </c>
      <c r="I39" s="231">
        <f>34084</f>
        <v>34084</v>
      </c>
      <c r="J39" s="231">
        <v>135</v>
      </c>
      <c r="K39" s="318">
        <v>3.6</v>
      </c>
      <c r="L39" s="360">
        <f>K39*0.92</f>
        <v>3.3120000000000003</v>
      </c>
      <c r="M39" s="360">
        <v>6.1</v>
      </c>
      <c r="N39" s="360">
        <v>26.7</v>
      </c>
      <c r="O39" s="360">
        <v>0.1</v>
      </c>
      <c r="P39" s="360">
        <v>10186</v>
      </c>
      <c r="Q39" s="298">
        <v>0.25</v>
      </c>
      <c r="R39" s="445">
        <f t="shared" si="1"/>
        <v>5.0721091231553999</v>
      </c>
      <c r="S39" s="181">
        <f t="shared" si="1"/>
        <v>0.13525624328414401</v>
      </c>
      <c r="T39" s="181">
        <f t="shared" si="1"/>
        <v>0.1244357438214125</v>
      </c>
      <c r="U39" s="181">
        <f t="shared" si="1"/>
        <v>0.22918419000924398</v>
      </c>
      <c r="V39" s="181">
        <f t="shared" si="1"/>
        <v>1.003150471024068</v>
      </c>
      <c r="W39" s="181">
        <f t="shared" si="1"/>
        <v>3.7571178690040002E-3</v>
      </c>
      <c r="X39" s="181">
        <f t="shared" si="1"/>
        <v>382.7000261367474</v>
      </c>
      <c r="Y39" s="104">
        <f t="shared" si="1"/>
        <v>9.3927946725100003E-3</v>
      </c>
      <c r="Z39" s="231"/>
      <c r="AA39" s="231"/>
      <c r="AB39" s="360"/>
      <c r="AC39" s="231"/>
      <c r="AD39" s="424"/>
      <c r="AE39" s="418"/>
      <c r="AF39" s="240"/>
      <c r="AG39" s="240"/>
      <c r="AH39" s="240"/>
      <c r="AI39" s="240"/>
      <c r="AJ39" s="318"/>
      <c r="AK39" s="180"/>
      <c r="AL39" s="231"/>
      <c r="AM39" s="439"/>
      <c r="AN39" s="147"/>
      <c r="AO39" s="147"/>
      <c r="AP39" s="297"/>
      <c r="AQ39" s="297"/>
      <c r="AR39" s="297"/>
      <c r="AS39" s="438"/>
      <c r="AT39" s="111"/>
    </row>
    <row r="40" spans="1:46" ht="15.75" thickBot="1" x14ac:dyDescent="0.3">
      <c r="A40" s="417" t="s">
        <v>815</v>
      </c>
      <c r="B40" s="346">
        <v>48.6</v>
      </c>
      <c r="C40" s="360">
        <v>1.9</v>
      </c>
      <c r="D40" s="360">
        <v>1.7</v>
      </c>
      <c r="E40" s="360">
        <v>4.0999999999999996</v>
      </c>
      <c r="F40" s="360">
        <v>9.1999999999999993</v>
      </c>
      <c r="G40" s="360">
        <v>4.9000000000000002E-2</v>
      </c>
      <c r="H40" s="298">
        <v>3445</v>
      </c>
      <c r="I40" s="417">
        <f>102253</f>
        <v>102253</v>
      </c>
      <c r="J40" s="417">
        <v>135</v>
      </c>
      <c r="K40" s="318">
        <v>3.6</v>
      </c>
      <c r="L40" s="360">
        <f>K40*0.92</f>
        <v>3.3120000000000003</v>
      </c>
      <c r="M40" s="360">
        <v>6.1</v>
      </c>
      <c r="N40" s="360">
        <v>26.7</v>
      </c>
      <c r="O40" s="360">
        <v>0.1</v>
      </c>
      <c r="P40" s="360">
        <v>10186</v>
      </c>
      <c r="Q40" s="298">
        <v>0.25</v>
      </c>
      <c r="R40" s="445">
        <f t="shared" si="1"/>
        <v>15.216476181493048</v>
      </c>
      <c r="S40" s="181">
        <f t="shared" si="1"/>
        <v>0.40577269817314798</v>
      </c>
      <c r="T40" s="181">
        <f t="shared" si="1"/>
        <v>0.37331088231929621</v>
      </c>
      <c r="U40" s="181">
        <f t="shared" si="1"/>
        <v>0.6875592941267229</v>
      </c>
      <c r="V40" s="181">
        <f t="shared" si="1"/>
        <v>3.0094808447841808</v>
      </c>
      <c r="W40" s="181">
        <f t="shared" si="1"/>
        <v>1.1271463838143E-2</v>
      </c>
      <c r="X40" s="181">
        <f t="shared" si="1"/>
        <v>1148.1113065532459</v>
      </c>
      <c r="Y40" s="104">
        <f t="shared" si="1"/>
        <v>2.8178659595357498E-2</v>
      </c>
      <c r="Z40" s="419" t="s">
        <v>925</v>
      </c>
      <c r="AA40" s="419"/>
      <c r="AB40" s="299" t="s">
        <v>958</v>
      </c>
      <c r="AC40" s="62">
        <f>1/0.048</f>
        <v>20.833333333333332</v>
      </c>
      <c r="AD40" s="425">
        <f>AE40*2000*453.592/(AC40)</f>
        <v>1453679.9362448838</v>
      </c>
      <c r="AE40" s="430">
        <f>B40-R40</f>
        <v>33.383523818506951</v>
      </c>
      <c r="AF40" s="431">
        <f>C40-S40</f>
        <v>1.4942273018268519</v>
      </c>
      <c r="AG40" s="431">
        <f>AF40*0.92</f>
        <v>1.3746891176807039</v>
      </c>
      <c r="AH40" s="431">
        <f>E40-U40</f>
        <v>3.4124407058732769</v>
      </c>
      <c r="AI40" s="431">
        <f>F40-V40</f>
        <v>6.190519155215819</v>
      </c>
      <c r="AJ40" s="319">
        <f>$AD40*0.12*0.00220462/2000</f>
        <v>0.19228871166265174</v>
      </c>
      <c r="AK40" s="199">
        <f>$AD40*10182*0.00220462/2000</f>
        <v>16315.697184576002</v>
      </c>
      <c r="AL40" s="231">
        <v>1.2408998614110291</v>
      </c>
      <c r="AM40" s="439">
        <f t="shared" ref="AM40:AS40" si="4">$AL$37*AE40</f>
        <v>41.425610079797067</v>
      </c>
      <c r="AN40" s="147">
        <f t="shared" si="4"/>
        <v>1.8541864517535165</v>
      </c>
      <c r="AO40" s="147">
        <f>AN40*0.92</f>
        <v>1.7058515356132353</v>
      </c>
      <c r="AP40" s="297">
        <f t="shared" si="4"/>
        <v>4.2344971989915035</v>
      </c>
      <c r="AQ40" s="297">
        <f t="shared" si="4"/>
        <v>7.6818143617696313</v>
      </c>
      <c r="AR40" s="297">
        <f t="shared" si="4"/>
        <v>0.23861103565308989</v>
      </c>
      <c r="AS40" s="438">
        <f t="shared" si="4"/>
        <v>20246.146375164681</v>
      </c>
      <c r="AT40" s="111"/>
    </row>
    <row r="41" spans="1:46" ht="15.75" thickBot="1" x14ac:dyDescent="0.3">
      <c r="A41" s="62"/>
      <c r="B41" s="414">
        <f>SUM(B36:B40)</f>
        <v>214.99999999999997</v>
      </c>
      <c r="C41" s="21">
        <f>SUM(C36:C40)</f>
        <v>7.8999999999999986</v>
      </c>
      <c r="D41" s="21">
        <v>7.3</v>
      </c>
      <c r="E41" s="21">
        <v>17</v>
      </c>
      <c r="F41" s="21">
        <v>41</v>
      </c>
      <c r="G41" s="21">
        <f>SUM(G36:G40)</f>
        <v>0.19800000000000001</v>
      </c>
      <c r="H41" s="415">
        <v>15330</v>
      </c>
      <c r="I41" s="62">
        <f>882783-310849</f>
        <v>571934</v>
      </c>
      <c r="J41" s="62"/>
      <c r="K41" s="208"/>
      <c r="L41" s="299"/>
      <c r="M41" s="299"/>
      <c r="N41" s="299"/>
      <c r="O41" s="299"/>
      <c r="P41" s="299"/>
      <c r="Q41" s="300"/>
      <c r="R41" s="208"/>
      <c r="S41" s="299"/>
      <c r="T41" s="299"/>
      <c r="U41" s="299"/>
      <c r="V41" s="299"/>
      <c r="W41" s="299"/>
      <c r="X41" s="299"/>
      <c r="Y41" s="300"/>
      <c r="Z41" s="62"/>
      <c r="AA41" s="62"/>
      <c r="AB41" s="300"/>
      <c r="AC41" s="426"/>
      <c r="AD41" s="426"/>
      <c r="AE41" s="420"/>
      <c r="AF41" s="421"/>
      <c r="AG41" s="421"/>
      <c r="AH41" s="421"/>
      <c r="AI41" s="421"/>
      <c r="AJ41" s="421"/>
      <c r="AK41" s="434"/>
      <c r="AL41" s="62"/>
      <c r="AM41" s="228"/>
      <c r="AN41" s="299"/>
      <c r="AO41" s="299"/>
      <c r="AP41" s="299"/>
      <c r="AQ41" s="299"/>
      <c r="AR41" s="299"/>
      <c r="AS41" s="209"/>
      <c r="AT41" s="111"/>
    </row>
    <row r="42" spans="1:46" ht="17.25" x14ac:dyDescent="0.25">
      <c r="A42" s="562" t="s">
        <v>1017</v>
      </c>
      <c r="B42" s="305"/>
      <c r="C42" s="305"/>
      <c r="D42" s="305"/>
      <c r="E42" s="305"/>
      <c r="F42" s="305"/>
      <c r="G42" s="305"/>
      <c r="H42" s="305"/>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row>
    <row r="43" spans="1:46" ht="15.75" thickBot="1" x14ac:dyDescent="0.3">
      <c r="A43" s="177" t="s">
        <v>1009</v>
      </c>
      <c r="I43">
        <f>SUM(I36:I40)</f>
        <v>571934</v>
      </c>
    </row>
    <row r="44" spans="1:46" ht="15.75" thickBot="1" x14ac:dyDescent="0.3">
      <c r="A44" s="404" t="s">
        <v>942</v>
      </c>
      <c r="B44" s="405"/>
      <c r="C44" s="405"/>
      <c r="D44" s="406"/>
      <c r="E44" s="404" t="s">
        <v>943</v>
      </c>
      <c r="F44" s="405"/>
      <c r="G44" s="405"/>
      <c r="H44" s="405"/>
      <c r="I44" s="405"/>
      <c r="J44" s="405"/>
      <c r="K44" s="405"/>
      <c r="L44" s="406"/>
      <c r="M44" s="404" t="s">
        <v>945</v>
      </c>
      <c r="N44" s="405"/>
      <c r="O44" s="405"/>
      <c r="P44" s="405"/>
      <c r="Q44" s="405"/>
      <c r="R44" s="405"/>
      <c r="S44" s="405"/>
      <c r="T44" s="406"/>
      <c r="U44" s="409" t="s">
        <v>944</v>
      </c>
      <c r="V44" s="410"/>
      <c r="W44" s="410"/>
      <c r="X44" s="410"/>
      <c r="Y44" s="410"/>
      <c r="Z44" s="411"/>
      <c r="AA44" s="320"/>
      <c r="AB44" s="422"/>
      <c r="AC44" s="422"/>
      <c r="AD44" s="422"/>
      <c r="AE44" s="210"/>
      <c r="AF44" s="412"/>
    </row>
    <row r="45" spans="1:46" ht="15.75" thickBot="1" x14ac:dyDescent="0.3">
      <c r="A45" s="336"/>
      <c r="B45" s="337"/>
      <c r="C45" s="337" t="s">
        <v>538</v>
      </c>
      <c r="D45" s="407" t="s">
        <v>147</v>
      </c>
      <c r="E45" s="408" t="s">
        <v>96</v>
      </c>
      <c r="F45" s="26" t="s">
        <v>10</v>
      </c>
      <c r="G45" s="26" t="s">
        <v>7</v>
      </c>
      <c r="H45" s="27" t="s">
        <v>95</v>
      </c>
      <c r="I45" s="28" t="s">
        <v>17</v>
      </c>
      <c r="J45" s="26" t="s">
        <v>69</v>
      </c>
      <c r="K45" s="63" t="s">
        <v>16</v>
      </c>
      <c r="L45" s="164" t="s">
        <v>94</v>
      </c>
      <c r="M45" s="408" t="s">
        <v>96</v>
      </c>
      <c r="N45" s="26" t="s">
        <v>10</v>
      </c>
      <c r="O45" s="26" t="s">
        <v>7</v>
      </c>
      <c r="P45" s="27" t="s">
        <v>95</v>
      </c>
      <c r="Q45" s="28" t="s">
        <v>17</v>
      </c>
      <c r="R45" s="26" t="s">
        <v>69</v>
      </c>
      <c r="S45" s="63" t="s">
        <v>16</v>
      </c>
      <c r="T45" s="164" t="s">
        <v>94</v>
      </c>
      <c r="U45" s="403" t="s">
        <v>96</v>
      </c>
      <c r="V45" s="26" t="s">
        <v>10</v>
      </c>
      <c r="W45" s="26" t="s">
        <v>7</v>
      </c>
      <c r="X45" s="27" t="s">
        <v>95</v>
      </c>
      <c r="Y45" s="28" t="s">
        <v>17</v>
      </c>
      <c r="Z45" s="402" t="s">
        <v>69</v>
      </c>
      <c r="AA45" s="320"/>
      <c r="AB45" s="422"/>
      <c r="AC45" s="422"/>
      <c r="AD45" s="422"/>
      <c r="AE45" s="210"/>
      <c r="AF45" s="412"/>
    </row>
    <row r="46" spans="1:46" ht="15.75" thickBot="1" x14ac:dyDescent="0.3">
      <c r="A46" s="303" t="s">
        <v>113</v>
      </c>
      <c r="B46" s="360">
        <v>15</v>
      </c>
      <c r="C46" s="360">
        <v>173464751</v>
      </c>
      <c r="D46" s="298">
        <v>194281</v>
      </c>
      <c r="E46" s="204">
        <f t="shared" ref="E46:E51" si="5">135*0.00220462262</f>
        <v>0.2976240537</v>
      </c>
      <c r="F46" s="183">
        <f t="shared" ref="F46:F51" si="6">1.28*20.8*0.00220462262</f>
        <v>5.8695872634880006E-2</v>
      </c>
      <c r="G46" s="183">
        <f t="shared" ref="G46:G51" si="7">3.6*0.00220462262</f>
        <v>7.9366414319999995E-3</v>
      </c>
      <c r="H46" s="183">
        <f t="shared" ref="H46:H51" si="8">G46*0.97</f>
        <v>7.698542189039999E-3</v>
      </c>
      <c r="I46" s="183">
        <f t="shared" ref="I46:I51" si="9">3200*0.978*(0.00002)*2*0.00220462262</f>
        <v>2.7598347806208004E-4</v>
      </c>
      <c r="J46" s="183">
        <f t="shared" ref="J46:J51" si="10">6.1*0.00220462262*1.053</f>
        <v>1.4160952475045998E-2</v>
      </c>
      <c r="K46" s="360">
        <v>1.8364499999999999E-4</v>
      </c>
      <c r="L46" s="298">
        <f t="shared" ref="L46:L51" si="11">10217*0.00220462262</f>
        <v>22.52462930854</v>
      </c>
      <c r="M46" s="303">
        <f t="shared" ref="M46:T50" si="12">$D46*E46/2000</f>
        <v>28.911349388444851</v>
      </c>
      <c r="N46" s="360">
        <f t="shared" si="12"/>
        <v>5.7017464156885609</v>
      </c>
      <c r="O46" s="360">
        <f t="shared" si="12"/>
        <v>0.770969317025196</v>
      </c>
      <c r="P46" s="360">
        <f t="shared" si="12"/>
        <v>0.74784023751443995</v>
      </c>
      <c r="Q46" s="360">
        <f t="shared" si="12"/>
        <v>2.6809173050689486E-2</v>
      </c>
      <c r="R46" s="360">
        <f t="shared" si="12"/>
        <v>1.3756020039022057</v>
      </c>
      <c r="S46" s="360">
        <f t="shared" si="12"/>
        <v>1.7839367122500002E-2</v>
      </c>
      <c r="T46" s="298">
        <f t="shared" si="12"/>
        <v>2188.0537533462298</v>
      </c>
      <c r="U46" s="318">
        <v>0</v>
      </c>
      <c r="V46" s="360">
        <v>0</v>
      </c>
      <c r="W46" s="360">
        <v>0</v>
      </c>
      <c r="X46" s="360">
        <v>0</v>
      </c>
      <c r="Y46" s="360">
        <v>0</v>
      </c>
      <c r="Z46" s="298">
        <v>0</v>
      </c>
      <c r="AA46" s="320"/>
      <c r="AB46" s="422"/>
      <c r="AC46" s="422"/>
      <c r="AD46" s="422"/>
      <c r="AE46" s="210"/>
      <c r="AF46" s="412"/>
    </row>
    <row r="47" spans="1:46" ht="15.75" thickBot="1" x14ac:dyDescent="0.3">
      <c r="A47" s="303" t="s">
        <v>114</v>
      </c>
      <c r="B47" s="360">
        <v>8</v>
      </c>
      <c r="C47" s="360">
        <f>34692950+30432413</f>
        <v>65125363</v>
      </c>
      <c r="D47" s="298">
        <f>38856+34084</f>
        <v>72940</v>
      </c>
      <c r="E47" s="303">
        <f t="shared" si="5"/>
        <v>0.2976240537</v>
      </c>
      <c r="F47" s="360">
        <f t="shared" si="6"/>
        <v>5.8695872634880006E-2</v>
      </c>
      <c r="G47" s="360">
        <f t="shared" si="7"/>
        <v>7.9366414319999995E-3</v>
      </c>
      <c r="H47" s="360">
        <f t="shared" si="8"/>
        <v>7.698542189039999E-3</v>
      </c>
      <c r="I47" s="360">
        <f t="shared" si="9"/>
        <v>2.7598347806208004E-4</v>
      </c>
      <c r="J47" s="360">
        <f t="shared" si="10"/>
        <v>1.4160952475045998E-2</v>
      </c>
      <c r="K47" s="360">
        <v>1.8364499999999999E-4</v>
      </c>
      <c r="L47" s="298">
        <f t="shared" si="11"/>
        <v>22.52462930854</v>
      </c>
      <c r="M47" s="303">
        <f t="shared" si="12"/>
        <v>10.854349238438999</v>
      </c>
      <c r="N47" s="360">
        <f t="shared" si="12"/>
        <v>2.1406384749940739</v>
      </c>
      <c r="O47" s="360">
        <f t="shared" si="12"/>
        <v>0.28944931302504001</v>
      </c>
      <c r="P47" s="360">
        <f t="shared" si="12"/>
        <v>0.28076583363428875</v>
      </c>
      <c r="Q47" s="360">
        <f t="shared" si="12"/>
        <v>1.006511744492406E-2</v>
      </c>
      <c r="R47" s="360">
        <f t="shared" si="12"/>
        <v>0.51644993676492756</v>
      </c>
      <c r="S47" s="360">
        <f t="shared" si="12"/>
        <v>6.6975331499999997E-3</v>
      </c>
      <c r="T47" s="298">
        <f t="shared" si="12"/>
        <v>821.47323088245389</v>
      </c>
      <c r="U47" s="318">
        <f>104.3-M47</f>
        <v>93.445650761560998</v>
      </c>
      <c r="V47" s="360">
        <f>19.4-N47</f>
        <v>17.259361525005925</v>
      </c>
      <c r="W47" s="360">
        <f>4.3-O47</f>
        <v>4.0105506869749599</v>
      </c>
      <c r="X47" s="360">
        <f>W47*0.92</f>
        <v>3.6897066320169634</v>
      </c>
      <c r="Y47" s="360">
        <f>0.1-Q47</f>
        <v>8.9934882555075951E-2</v>
      </c>
      <c r="Z47" s="298">
        <f>10-R47</f>
        <v>9.4835500632350715</v>
      </c>
      <c r="AA47" s="320" t="s">
        <v>926</v>
      </c>
      <c r="AB47" s="422"/>
      <c r="AC47" s="422"/>
      <c r="AD47" s="422"/>
      <c r="AE47" s="210"/>
      <c r="AF47" s="412"/>
    </row>
    <row r="48" spans="1:46" ht="15.75" thickBot="1" x14ac:dyDescent="0.3">
      <c r="A48" s="303" t="s">
        <v>115</v>
      </c>
      <c r="B48" s="360">
        <v>13</v>
      </c>
      <c r="C48" s="360">
        <v>150336118</v>
      </c>
      <c r="D48" s="298">
        <v>168376</v>
      </c>
      <c r="E48" s="303">
        <f t="shared" si="5"/>
        <v>0.2976240537</v>
      </c>
      <c r="F48" s="360">
        <f t="shared" si="6"/>
        <v>5.8695872634880006E-2</v>
      </c>
      <c r="G48" s="360">
        <f t="shared" si="7"/>
        <v>7.9366414319999995E-3</v>
      </c>
      <c r="H48" s="360">
        <f t="shared" si="8"/>
        <v>7.698542189039999E-3</v>
      </c>
      <c r="I48" s="360">
        <f t="shared" si="9"/>
        <v>2.7598347806208004E-4</v>
      </c>
      <c r="J48" s="360">
        <f t="shared" si="10"/>
        <v>1.4160952475045998E-2</v>
      </c>
      <c r="K48" s="360">
        <v>1.8364499999999999E-4</v>
      </c>
      <c r="L48" s="298">
        <f t="shared" si="11"/>
        <v>22.52462930854</v>
      </c>
      <c r="M48" s="303">
        <f t="shared" si="12"/>
        <v>25.056373832895598</v>
      </c>
      <c r="N48" s="360">
        <f t="shared" si="12"/>
        <v>4.9414881253852778</v>
      </c>
      <c r="O48" s="360">
        <f t="shared" si="12"/>
        <v>0.66816996887721603</v>
      </c>
      <c r="P48" s="360">
        <f t="shared" si="12"/>
        <v>0.64812486981089945</v>
      </c>
      <c r="Q48" s="360">
        <f t="shared" si="12"/>
        <v>2.3234497051090392E-2</v>
      </c>
      <c r="R48" s="360">
        <f t="shared" si="12"/>
        <v>1.1921822669691726</v>
      </c>
      <c r="S48" s="360">
        <f t="shared" si="12"/>
        <v>1.5460705259999999E-2</v>
      </c>
      <c r="T48" s="298">
        <f t="shared" si="12"/>
        <v>1896.3034922273655</v>
      </c>
      <c r="U48" s="318">
        <f>28.1-M48</f>
        <v>3.0436261671044029</v>
      </c>
      <c r="V48" s="360">
        <f>5.4-N48</f>
        <v>0.45851187461472254</v>
      </c>
      <c r="W48" s="360">
        <f>0.8-O48</f>
        <v>0.13183003112278402</v>
      </c>
      <c r="X48" s="360">
        <f>W48*0.92</f>
        <v>0.1212836286329613</v>
      </c>
      <c r="Y48" s="360">
        <f>((U48*2000*453.592/150))*0.1*0.00220462/2000</f>
        <v>2.0290800431704554E-3</v>
      </c>
      <c r="Z48" s="298">
        <f>1.3-R48</f>
        <v>0.10781773303082742</v>
      </c>
      <c r="AA48" s="320" t="s">
        <v>946</v>
      </c>
      <c r="AB48" s="422"/>
      <c r="AC48" s="422"/>
      <c r="AD48" s="422"/>
      <c r="AE48" s="210"/>
      <c r="AF48" s="412"/>
    </row>
    <row r="49" spans="1:32" ht="15.75" thickBot="1" x14ac:dyDescent="0.3">
      <c r="A49" s="303" t="s">
        <v>116</v>
      </c>
      <c r="B49" s="360">
        <v>5</v>
      </c>
      <c r="C49" s="360">
        <v>30432413</v>
      </c>
      <c r="D49" s="298">
        <v>34084</v>
      </c>
      <c r="E49" s="303">
        <f t="shared" si="5"/>
        <v>0.2976240537</v>
      </c>
      <c r="F49" s="360">
        <f t="shared" si="6"/>
        <v>5.8695872634880006E-2</v>
      </c>
      <c r="G49" s="360">
        <f t="shared" si="7"/>
        <v>7.9366414319999995E-3</v>
      </c>
      <c r="H49" s="360">
        <f t="shared" si="8"/>
        <v>7.698542189039999E-3</v>
      </c>
      <c r="I49" s="360">
        <f t="shared" si="9"/>
        <v>2.7598347806208004E-4</v>
      </c>
      <c r="J49" s="360">
        <f t="shared" si="10"/>
        <v>1.4160952475045998E-2</v>
      </c>
      <c r="K49" s="360">
        <v>1.8364499999999999E-4</v>
      </c>
      <c r="L49" s="298">
        <f t="shared" si="11"/>
        <v>22.52462930854</v>
      </c>
      <c r="M49" s="303">
        <f t="shared" si="12"/>
        <v>5.0721091231553999</v>
      </c>
      <c r="N49" s="360">
        <f t="shared" si="12"/>
        <v>1.000295061443625</v>
      </c>
      <c r="O49" s="360">
        <f t="shared" si="12"/>
        <v>0.13525624328414398</v>
      </c>
      <c r="P49" s="360">
        <f t="shared" si="12"/>
        <v>0.13119855598561966</v>
      </c>
      <c r="Q49" s="360">
        <f t="shared" si="12"/>
        <v>4.7033104331339675E-3</v>
      </c>
      <c r="R49" s="360">
        <f t="shared" si="12"/>
        <v>0.2413309520797339</v>
      </c>
      <c r="S49" s="360">
        <f t="shared" si="12"/>
        <v>3.12967809E-3</v>
      </c>
      <c r="T49" s="298">
        <f t="shared" si="12"/>
        <v>383.86473267613871</v>
      </c>
      <c r="U49" s="318">
        <v>0</v>
      </c>
      <c r="V49" s="360">
        <v>0</v>
      </c>
      <c r="W49" s="360">
        <v>0</v>
      </c>
      <c r="X49" s="360">
        <v>0</v>
      </c>
      <c r="Y49" s="360">
        <v>0</v>
      </c>
      <c r="Z49" s="298">
        <v>0</v>
      </c>
      <c r="AA49" s="320"/>
      <c r="AB49" s="422"/>
      <c r="AC49" s="422"/>
      <c r="AD49" s="422"/>
      <c r="AE49" s="210"/>
      <c r="AF49" s="412"/>
    </row>
    <row r="50" spans="1:32" ht="15.75" thickBot="1" x14ac:dyDescent="0.3">
      <c r="A50" s="303" t="s">
        <v>117</v>
      </c>
      <c r="B50" s="360">
        <v>15</v>
      </c>
      <c r="C50" s="360">
        <v>91297238</v>
      </c>
      <c r="D50" s="298">
        <v>102253</v>
      </c>
      <c r="E50" s="303">
        <f t="shared" si="5"/>
        <v>0.2976240537</v>
      </c>
      <c r="F50" s="360">
        <f t="shared" si="6"/>
        <v>5.8695872634880006E-2</v>
      </c>
      <c r="G50" s="360">
        <f t="shared" si="7"/>
        <v>7.9366414319999995E-3</v>
      </c>
      <c r="H50" s="360">
        <f t="shared" si="8"/>
        <v>7.698542189039999E-3</v>
      </c>
      <c r="I50" s="360">
        <f t="shared" si="9"/>
        <v>2.7598347806208004E-4</v>
      </c>
      <c r="J50" s="360">
        <f t="shared" si="10"/>
        <v>1.4160952475045998E-2</v>
      </c>
      <c r="K50" s="360">
        <v>1.8364499999999999E-4</v>
      </c>
      <c r="L50" s="298">
        <f t="shared" si="11"/>
        <v>22.52462930854</v>
      </c>
      <c r="M50" s="303">
        <f t="shared" si="12"/>
        <v>15.21647618149305</v>
      </c>
      <c r="N50" s="360">
        <f t="shared" si="12"/>
        <v>3.0009145322671924</v>
      </c>
      <c r="O50" s="360">
        <f t="shared" si="12"/>
        <v>0.40577269817314798</v>
      </c>
      <c r="P50" s="360">
        <f t="shared" si="12"/>
        <v>0.3935995172279535</v>
      </c>
      <c r="Q50" s="360">
        <f t="shared" si="12"/>
        <v>1.4110069291140935E-2</v>
      </c>
      <c r="R50" s="360">
        <f t="shared" si="12"/>
        <v>0.72399993671543927</v>
      </c>
      <c r="S50" s="360">
        <f t="shared" si="12"/>
        <v>9.3891260925000001E-3</v>
      </c>
      <c r="T50" s="298">
        <f t="shared" si="12"/>
        <v>1151.6054603430703</v>
      </c>
      <c r="U50" s="318">
        <f>48.6-M50</f>
        <v>33.383523818506951</v>
      </c>
      <c r="V50" s="360">
        <f>9.2-N50</f>
        <v>6.1990854677328073</v>
      </c>
      <c r="W50" s="360">
        <f>1.9-O50</f>
        <v>1.4942273018268519</v>
      </c>
      <c r="X50" s="360">
        <f>W50*0.92</f>
        <v>1.3746891176807039</v>
      </c>
      <c r="Y50" s="360">
        <f>((U50*2000*453.592/150))*0.1*0.00220462/2000</f>
        <v>2.2255637923918027E-2</v>
      </c>
      <c r="Z50" s="298">
        <f>4.1-R50</f>
        <v>3.3760000632845601</v>
      </c>
      <c r="AA50" s="320" t="s">
        <v>947</v>
      </c>
      <c r="AB50" s="422"/>
      <c r="AC50" s="422"/>
      <c r="AD50" s="422"/>
      <c r="AE50" s="210"/>
      <c r="AF50" s="412"/>
    </row>
    <row r="51" spans="1:32" ht="15.75" thickBot="1" x14ac:dyDescent="0.3">
      <c r="A51" s="228" t="s">
        <v>119</v>
      </c>
      <c r="B51" s="299"/>
      <c r="C51" s="299">
        <f>SUM(C48:C50)</f>
        <v>272065769</v>
      </c>
      <c r="D51" s="300">
        <f>SUM(D48:D50)</f>
        <v>304713</v>
      </c>
      <c r="E51" s="442">
        <f t="shared" si="5"/>
        <v>0.2976240537</v>
      </c>
      <c r="F51" s="443">
        <f t="shared" si="6"/>
        <v>5.8695872634880006E-2</v>
      </c>
      <c r="G51" s="443">
        <f t="shared" si="7"/>
        <v>7.9366414319999995E-3</v>
      </c>
      <c r="H51" s="443">
        <f t="shared" si="8"/>
        <v>7.698542189039999E-3</v>
      </c>
      <c r="I51" s="443">
        <f t="shared" si="9"/>
        <v>2.7598347806208004E-4</v>
      </c>
      <c r="J51" s="443">
        <f t="shared" si="10"/>
        <v>1.4160952475045998E-2</v>
      </c>
      <c r="K51" s="299">
        <v>1.8364499999999999E-4</v>
      </c>
      <c r="L51" s="300">
        <f t="shared" si="11"/>
        <v>22.52462930854</v>
      </c>
      <c r="M51" s="228">
        <f>SUM(M46:M50)</f>
        <v>85.110657764427899</v>
      </c>
      <c r="N51" s="299">
        <f t="shared" ref="N51:T51" si="13">SUM(N46:N50)</f>
        <v>16.78508260977873</v>
      </c>
      <c r="O51" s="299">
        <f t="shared" si="13"/>
        <v>2.2696175403847443</v>
      </c>
      <c r="P51" s="299">
        <f t="shared" si="13"/>
        <v>2.2015290141732011</v>
      </c>
      <c r="Q51" s="299">
        <f t="shared" si="13"/>
        <v>7.8922167270978838E-2</v>
      </c>
      <c r="R51" s="299">
        <f t="shared" si="13"/>
        <v>4.0495650964314791</v>
      </c>
      <c r="S51" s="299">
        <f t="shared" si="13"/>
        <v>5.2516409714999997E-2</v>
      </c>
      <c r="T51" s="300">
        <f t="shared" si="13"/>
        <v>6441.3006694752576</v>
      </c>
      <c r="U51" s="208"/>
      <c r="V51" s="299"/>
      <c r="W51" s="299"/>
      <c r="X51" s="299"/>
      <c r="Y51" s="299"/>
      <c r="Z51" s="300"/>
      <c r="AA51" s="320"/>
      <c r="AB51" s="422"/>
      <c r="AC51" s="422"/>
      <c r="AD51" s="422"/>
      <c r="AE51" s="210"/>
      <c r="AF51" s="412"/>
    </row>
    <row r="52" spans="1:32" x14ac:dyDescent="0.25">
      <c r="Q52">
        <f>Y48*150</f>
        <v>0.30436200647556833</v>
      </c>
    </row>
    <row r="53" spans="1:32" x14ac:dyDescent="0.25">
      <c r="M53">
        <f>U48*2000*453.592</f>
        <v>2761128.9607784408</v>
      </c>
      <c r="Q53">
        <f>Q52*0.002205</f>
        <v>6.7111822427862817E-4</v>
      </c>
    </row>
    <row r="56" spans="1:32" x14ac:dyDescent="0.25">
      <c r="A56" s="66"/>
      <c r="B56" s="360"/>
      <c r="C56" s="360" t="s">
        <v>909</v>
      </c>
      <c r="D56" s="360" t="s">
        <v>911</v>
      </c>
      <c r="E56" s="360" t="s">
        <v>910</v>
      </c>
      <c r="F56" s="360" t="s">
        <v>910</v>
      </c>
      <c r="G56" s="360"/>
      <c r="H56" s="360" t="s">
        <v>119</v>
      </c>
    </row>
    <row r="57" spans="1:32" x14ac:dyDescent="0.25">
      <c r="A57" s="66" t="s">
        <v>120</v>
      </c>
      <c r="B57" s="360">
        <v>34001</v>
      </c>
      <c r="C57" s="296">
        <v>24853.332278682559</v>
      </c>
      <c r="D57" s="360"/>
      <c r="E57" s="360"/>
      <c r="F57" s="360"/>
      <c r="G57" s="360"/>
      <c r="H57" s="360"/>
      <c r="K57" t="s">
        <v>910</v>
      </c>
    </row>
    <row r="58" spans="1:32" x14ac:dyDescent="0.25">
      <c r="A58" s="66" t="s">
        <v>113</v>
      </c>
      <c r="B58" s="360">
        <v>34003</v>
      </c>
      <c r="C58" s="296">
        <v>245201.11371667433</v>
      </c>
      <c r="D58" s="296">
        <f>1170781-F73-F74</f>
        <v>1004235</v>
      </c>
      <c r="E58" s="296"/>
      <c r="F58" s="360"/>
      <c r="G58" s="66" t="s">
        <v>113</v>
      </c>
      <c r="H58" s="296">
        <f>SUM(D58:F58)</f>
        <v>1004235</v>
      </c>
      <c r="I58" s="108"/>
      <c r="J58" s="6" t="s">
        <v>113</v>
      </c>
      <c r="K58" s="108">
        <v>1004235</v>
      </c>
      <c r="L58" s="108">
        <v>184289</v>
      </c>
    </row>
    <row r="59" spans="1:32" x14ac:dyDescent="0.25">
      <c r="A59" s="66" t="s">
        <v>88</v>
      </c>
      <c r="B59" s="360">
        <v>34005</v>
      </c>
      <c r="C59" s="296">
        <v>48801</v>
      </c>
      <c r="D59" s="360"/>
      <c r="E59" s="360"/>
      <c r="F59" s="360"/>
      <c r="G59" s="360"/>
      <c r="H59" s="360"/>
      <c r="I59" s="108"/>
      <c r="J59" s="6" t="s">
        <v>114</v>
      </c>
      <c r="K59" s="108">
        <v>227261.13063509113</v>
      </c>
      <c r="L59" s="108">
        <f>36858+28765</f>
        <v>65623</v>
      </c>
    </row>
    <row r="60" spans="1:32" x14ac:dyDescent="0.25">
      <c r="A60" s="66" t="s">
        <v>87</v>
      </c>
      <c r="B60" s="360">
        <v>34007</v>
      </c>
      <c r="C60" s="296">
        <v>122986.16183807084</v>
      </c>
      <c r="D60" s="360"/>
      <c r="E60" s="360"/>
      <c r="F60" s="360"/>
      <c r="G60" s="360"/>
      <c r="H60" s="360"/>
      <c r="I60" s="108"/>
      <c r="J60" s="6" t="s">
        <v>115</v>
      </c>
      <c r="K60" s="108">
        <v>417342.62013438344</v>
      </c>
      <c r="L60" s="108">
        <v>159717</v>
      </c>
    </row>
    <row r="61" spans="1:32" x14ac:dyDescent="0.25">
      <c r="A61" s="66" t="s">
        <v>121</v>
      </c>
      <c r="B61" s="360">
        <v>34009</v>
      </c>
      <c r="C61" s="296">
        <v>9370.9285640934231</v>
      </c>
      <c r="D61" s="360"/>
      <c r="E61" s="360"/>
      <c r="F61" s="360"/>
      <c r="G61" s="360"/>
      <c r="H61" s="360"/>
      <c r="I61" s="108"/>
      <c r="J61" s="6" t="s">
        <v>116</v>
      </c>
      <c r="K61" s="108">
        <v>494690.54789715545</v>
      </c>
      <c r="L61" s="108">
        <v>28765</v>
      </c>
    </row>
    <row r="62" spans="1:32" x14ac:dyDescent="0.25">
      <c r="A62" s="66" t="s">
        <v>114</v>
      </c>
      <c r="B62" s="360">
        <v>34013</v>
      </c>
      <c r="C62" s="296">
        <v>140849.13063509113</v>
      </c>
      <c r="D62" s="360"/>
      <c r="E62" s="296">
        <f>SUM(C62:D62)</f>
        <v>140849.13063509113</v>
      </c>
      <c r="F62" s="304">
        <v>86412</v>
      </c>
      <c r="G62" s="66" t="s">
        <v>114</v>
      </c>
      <c r="H62" s="296">
        <f>SUM(E62:F62)</f>
        <v>227261.13063509113</v>
      </c>
      <c r="I62" s="108"/>
      <c r="J62" t="s">
        <v>117</v>
      </c>
      <c r="K62" s="7">
        <v>455951.23921688902</v>
      </c>
      <c r="L62" s="108">
        <v>86294</v>
      </c>
    </row>
    <row r="63" spans="1:32" x14ac:dyDescent="0.25">
      <c r="A63" s="66" t="s">
        <v>123</v>
      </c>
      <c r="B63" s="360">
        <v>34015</v>
      </c>
      <c r="C63" s="296">
        <v>158847.24394577043</v>
      </c>
      <c r="D63" s="360"/>
      <c r="E63" s="360"/>
      <c r="F63" s="360"/>
      <c r="G63" s="360"/>
      <c r="H63" s="360"/>
      <c r="I63" s="108"/>
      <c r="L63" s="108">
        <f>SUM(L58:L62)</f>
        <v>524688</v>
      </c>
    </row>
    <row r="64" spans="1:32" x14ac:dyDescent="0.25">
      <c r="A64" s="66" t="s">
        <v>115</v>
      </c>
      <c r="B64" s="360">
        <v>34017</v>
      </c>
      <c r="C64" s="296">
        <v>179951.62013438341</v>
      </c>
      <c r="D64" s="296">
        <f>188494-F76</f>
        <v>188494</v>
      </c>
      <c r="E64" s="296">
        <f>SUM(C64:D64)</f>
        <v>368445.62013438344</v>
      </c>
      <c r="F64" s="360">
        <v>48897</v>
      </c>
      <c r="G64" s="66" t="s">
        <v>115</v>
      </c>
      <c r="H64" s="296">
        <f>SUM(E64:F64)</f>
        <v>417342.62013438344</v>
      </c>
      <c r="I64" s="108"/>
      <c r="L64" s="108"/>
    </row>
    <row r="65" spans="1:12" x14ac:dyDescent="0.25">
      <c r="A65" s="66" t="s">
        <v>124</v>
      </c>
      <c r="B65" s="360">
        <v>34019</v>
      </c>
      <c r="C65" s="296">
        <v>654944.96518165921</v>
      </c>
      <c r="D65" s="360"/>
      <c r="E65" s="360"/>
      <c r="F65" s="360"/>
      <c r="G65" s="360"/>
      <c r="H65" s="360"/>
      <c r="I65" s="108"/>
      <c r="L65" s="6"/>
    </row>
    <row r="66" spans="1:12" x14ac:dyDescent="0.25">
      <c r="A66" s="66" t="s">
        <v>125</v>
      </c>
      <c r="B66" s="360">
        <v>34021</v>
      </c>
      <c r="C66" s="296">
        <v>15902.588014981273</v>
      </c>
      <c r="D66" s="296"/>
      <c r="E66" s="360"/>
      <c r="F66" s="360"/>
      <c r="G66" s="360"/>
      <c r="H66" s="360"/>
      <c r="I66" s="108"/>
      <c r="L66" s="6"/>
    </row>
    <row r="67" spans="1:12" x14ac:dyDescent="0.25">
      <c r="A67" s="66" t="s">
        <v>116</v>
      </c>
      <c r="B67" s="360">
        <v>34023</v>
      </c>
      <c r="C67" s="296">
        <v>358163.54789715545</v>
      </c>
      <c r="D67" s="360"/>
      <c r="E67" s="296">
        <f>C67</f>
        <v>358163.54789715545</v>
      </c>
      <c r="F67" s="360">
        <v>136527</v>
      </c>
      <c r="G67" s="66" t="s">
        <v>116</v>
      </c>
      <c r="H67" s="296">
        <f>SUM(E67:F67)</f>
        <v>494690.54789715545</v>
      </c>
      <c r="I67" s="108"/>
      <c r="L67" s="6"/>
    </row>
    <row r="68" spans="1:12" x14ac:dyDescent="0.25">
      <c r="A68" s="66" t="s">
        <v>126</v>
      </c>
      <c r="B68" s="360">
        <v>34025</v>
      </c>
      <c r="C68" s="296">
        <v>127152.80148829066</v>
      </c>
      <c r="D68" s="360"/>
      <c r="E68" s="360"/>
      <c r="F68" s="360"/>
      <c r="G68" s="360"/>
      <c r="H68" s="360"/>
      <c r="I68" s="7"/>
    </row>
    <row r="69" spans="1:12" x14ac:dyDescent="0.25">
      <c r="A69" s="66" t="s">
        <v>127</v>
      </c>
      <c r="B69" s="360">
        <v>34027</v>
      </c>
      <c r="C69" s="296">
        <v>17758.200651583247</v>
      </c>
      <c r="D69" s="360"/>
      <c r="E69" s="360"/>
      <c r="F69" s="360"/>
      <c r="G69" s="360"/>
      <c r="H69" s="360"/>
      <c r="I69" s="7"/>
    </row>
    <row r="70" spans="1:12" x14ac:dyDescent="0.25">
      <c r="A70" s="66" t="s">
        <v>128</v>
      </c>
      <c r="B70" s="360">
        <v>34029</v>
      </c>
      <c r="C70" s="296">
        <v>3930.1775005471659</v>
      </c>
      <c r="D70" s="360"/>
      <c r="E70" s="360"/>
      <c r="F70" s="360"/>
      <c r="G70" s="360"/>
      <c r="H70" s="360"/>
      <c r="I70" s="7"/>
    </row>
    <row r="71" spans="1:12" x14ac:dyDescent="0.25">
      <c r="A71" s="66" t="s">
        <v>129</v>
      </c>
      <c r="B71" s="360">
        <v>34031</v>
      </c>
      <c r="C71" s="296">
        <v>64432.409443797631</v>
      </c>
      <c r="D71" s="360"/>
      <c r="E71" s="360"/>
      <c r="F71" s="360"/>
      <c r="G71" s="360"/>
      <c r="H71" s="360"/>
      <c r="I71" s="7"/>
    </row>
    <row r="72" spans="1:12" x14ac:dyDescent="0.25">
      <c r="A72" s="66" t="s">
        <v>130</v>
      </c>
      <c r="B72" s="360">
        <v>34033</v>
      </c>
      <c r="C72" s="296">
        <v>19091.084279643743</v>
      </c>
      <c r="D72" s="360"/>
      <c r="E72" s="360"/>
      <c r="F72" s="360"/>
      <c r="G72" s="360"/>
      <c r="H72" s="360"/>
      <c r="I72" s="7"/>
    </row>
    <row r="73" spans="1:12" x14ac:dyDescent="0.25">
      <c r="A73" s="66" t="s">
        <v>131</v>
      </c>
      <c r="B73" s="360">
        <v>34035</v>
      </c>
      <c r="C73" s="296">
        <v>459433.41844305996</v>
      </c>
      <c r="D73" s="296"/>
      <c r="E73" s="296"/>
      <c r="F73" s="360"/>
      <c r="G73" s="360"/>
      <c r="H73" s="360"/>
      <c r="I73" s="7"/>
    </row>
    <row r="74" spans="1:12" x14ac:dyDescent="0.25">
      <c r="A74" s="66" t="s">
        <v>117</v>
      </c>
      <c r="B74" s="360">
        <v>34039</v>
      </c>
      <c r="C74" s="296">
        <v>286302.23921688902</v>
      </c>
      <c r="D74" s="296">
        <v>3103</v>
      </c>
      <c r="E74" s="296">
        <f>SUM(C74:D74)</f>
        <v>289405.23921688902</v>
      </c>
      <c r="F74" s="293">
        <v>166546</v>
      </c>
      <c r="G74" s="66" t="s">
        <v>117</v>
      </c>
      <c r="H74" s="296">
        <f>SUM(E74:F74)</f>
        <v>455951.23921688902</v>
      </c>
      <c r="I74" s="7"/>
    </row>
    <row r="75" spans="1:12" x14ac:dyDescent="0.25">
      <c r="A75" s="66" t="s">
        <v>133</v>
      </c>
      <c r="B75" s="360">
        <v>34041</v>
      </c>
      <c r="C75" s="296">
        <v>182087.03676962649</v>
      </c>
      <c r="D75" s="360"/>
      <c r="E75" s="360"/>
      <c r="F75" s="360"/>
      <c r="G75" s="360"/>
      <c r="H75" s="360"/>
      <c r="I75" s="7"/>
    </row>
    <row r="76" spans="1:12" x14ac:dyDescent="0.25">
      <c r="B76" s="487" t="s">
        <v>248</v>
      </c>
      <c r="C76" s="488">
        <v>3120059</v>
      </c>
      <c r="D76">
        <f>SUM(D57:D75)</f>
        <v>1195832</v>
      </c>
      <c r="I76" s="7"/>
    </row>
  </sheetData>
  <mergeCells count="2">
    <mergeCell ref="R34:Y34"/>
    <mergeCell ref="AE34:AK34"/>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A2" sqref="A2"/>
    </sheetView>
  </sheetViews>
  <sheetFormatPr defaultRowHeight="15" x14ac:dyDescent="0.25"/>
  <cols>
    <col min="1" max="1" width="14.140625" customWidth="1"/>
    <col min="5" max="5" width="12.5703125" bestFit="1" customWidth="1"/>
    <col min="6" max="12" width="9.42578125" bestFit="1" customWidth="1"/>
    <col min="13" max="13" width="10.140625" bestFit="1" customWidth="1"/>
  </cols>
  <sheetData>
    <row r="1" spans="1:18" ht="15.75" thickBot="1" x14ac:dyDescent="0.3">
      <c r="A1" s="31" t="s">
        <v>1043</v>
      </c>
    </row>
    <row r="2" spans="1:18" x14ac:dyDescent="0.25">
      <c r="A2" s="476"/>
      <c r="B2" s="477"/>
      <c r="C2" s="477"/>
      <c r="D2" s="477"/>
      <c r="E2" s="337" t="s">
        <v>404</v>
      </c>
      <c r="F2" s="337" t="s">
        <v>96</v>
      </c>
      <c r="G2" s="337" t="s">
        <v>10</v>
      </c>
      <c r="H2" s="337" t="s">
        <v>7</v>
      </c>
      <c r="I2" s="337" t="s">
        <v>95</v>
      </c>
      <c r="J2" s="337" t="s">
        <v>17</v>
      </c>
      <c r="K2" s="337" t="s">
        <v>8</v>
      </c>
      <c r="L2" s="337" t="s">
        <v>16</v>
      </c>
      <c r="M2" s="338" t="s">
        <v>94</v>
      </c>
    </row>
    <row r="3" spans="1:18" x14ac:dyDescent="0.25">
      <c r="A3" s="303"/>
      <c r="B3" s="360"/>
      <c r="C3" s="360" t="s">
        <v>901</v>
      </c>
      <c r="D3" s="360" t="s">
        <v>79</v>
      </c>
      <c r="E3" s="295">
        <f>DSUM('NJT COMMUTER-YARD EMIS CALC'!$C$5:$R$135,'NJT COMMUTER-YARD EMIS CALC'!J5,'NJT COMMUTER EMIS CTY'!$D$25:$D$26)</f>
        <v>531545.6792873051</v>
      </c>
      <c r="F3" s="360">
        <f>DSUM('NJT COMMUTER-YARD EMIS CALC'!$C$5:$R$135,'NJT COMMUTER-YARD EMIS CALC'!K5,'NJT COMMUTER EMIS CTY'!$D$25:$D$26)</f>
        <v>68.824648527995478</v>
      </c>
      <c r="G3" s="360">
        <f>DSUM('NJT COMMUTER-YARD EMIS CALC'!$C$5:$R$135,'NJT COMMUTER-YARD EMIS CALC'!L5,'NJT COMMUTER EMIS CTY'!$D$25:$D$26)</f>
        <v>16.360602164369212</v>
      </c>
      <c r="H3" s="360">
        <f>DSUM('NJT COMMUTER-YARD EMIS CALC'!$C$5:$R$135,'NJT COMMUTER-YARD EMIS CALC'!M5,'NJT COMMUTER EMIS CTY'!$D$25:$D$26)</f>
        <v>1.720616213199887</v>
      </c>
      <c r="I3" s="360">
        <f>DSUM('NJT COMMUTER-YARD EMIS CALC'!$C$5:$R$135,'NJT COMMUTER-YARD EMIS CALC'!N5,'NJT COMMUTER EMIS CTY'!$D$25:$D$26)</f>
        <v>1.6689977268038902</v>
      </c>
      <c r="J3" s="360">
        <f>DSUM('NJT COMMUTER-YARD EMIS CALC'!$C$5:$R$135,'NJT COMMUTER-YARD EMIS CALC'!O5,'NJT COMMUTER EMIS CTY'!$D$25:$D$26)</f>
        <v>0.88679678672821016</v>
      </c>
      <c r="K3" s="360">
        <f>DSUM('NJT COMMUTER-YARD EMIS CALC'!$C$5:$R$135,'NJT COMMUTER-YARD EMIS CALC'!P5,'NJT COMMUTER EMIS CTY'!$D$25:$D$26)</f>
        <v>2.9765431476777184</v>
      </c>
      <c r="L3" s="360">
        <f>DSUM('NJT COMMUTER-YARD EMIS CALC'!$C$5:$R$135,'NJT COMMUTER-YARD EMIS CALC'!Q5,'NJT COMMUTER EMIS CTY'!$D$25:$D$26)</f>
        <v>5.1188314435078951E-2</v>
      </c>
      <c r="M3" s="360">
        <f>DSUM('NJT COMMUTER-YARD EMIS CALC'!$C$5:$R$135,'NJT COMMUTER-YARD EMIS CALC'!R5,'NJT COMMUTER EMIS CTY'!$D$25:$D$26)</f>
        <v>6278.4056608083019</v>
      </c>
      <c r="Q3">
        <v>2018</v>
      </c>
      <c r="R3">
        <v>2022</v>
      </c>
    </row>
    <row r="4" spans="1:18" x14ac:dyDescent="0.25">
      <c r="A4" s="451" t="s">
        <v>75</v>
      </c>
      <c r="B4" s="18" t="s">
        <v>76</v>
      </c>
      <c r="C4" s="18" t="s">
        <v>120</v>
      </c>
      <c r="D4" s="18" t="s">
        <v>37</v>
      </c>
      <c r="E4" s="110">
        <f t="dataTable" ref="E4:M24" dt2D="0" dtr="0" r1="D26"/>
        <v>531545.6792873051</v>
      </c>
      <c r="F4" s="110">
        <v>68.824648527995478</v>
      </c>
      <c r="G4" s="110">
        <v>16.360602164369212</v>
      </c>
      <c r="H4" s="110">
        <v>1.720616213199887</v>
      </c>
      <c r="I4" s="110">
        <v>1.6689977268038902</v>
      </c>
      <c r="J4" s="110">
        <v>0.88679678672821016</v>
      </c>
      <c r="K4" s="110">
        <v>2.9765431476777184</v>
      </c>
      <c r="L4" s="110">
        <v>5.1188314435078951E-2</v>
      </c>
      <c r="M4" s="339">
        <v>6278.4056608083019</v>
      </c>
      <c r="Q4">
        <v>2022</v>
      </c>
      <c r="R4">
        <v>2</v>
      </c>
    </row>
    <row r="5" spans="1:18" x14ac:dyDescent="0.25">
      <c r="A5" s="451" t="s">
        <v>75</v>
      </c>
      <c r="B5" s="18" t="s">
        <v>76</v>
      </c>
      <c r="C5" s="18" t="s">
        <v>113</v>
      </c>
      <c r="D5" s="18" t="s">
        <v>65</v>
      </c>
      <c r="E5" s="110">
        <v>3877188.2303268742</v>
      </c>
      <c r="F5" s="110">
        <v>502.01916340833475</v>
      </c>
      <c r="G5" s="110">
        <v>119.33712684449557</v>
      </c>
      <c r="H5" s="110">
        <v>12.550479085208368</v>
      </c>
      <c r="I5" s="110">
        <v>12.173964712652115</v>
      </c>
      <c r="J5" s="110">
        <v>6.4684526620634761</v>
      </c>
      <c r="K5" s="110">
        <v>21.711432354618672</v>
      </c>
      <c r="L5" s="110">
        <v>0.37337662216361717</v>
      </c>
      <c r="M5" s="339">
        <v>45795.801719133538</v>
      </c>
    </row>
    <row r="6" spans="1:18" x14ac:dyDescent="0.25">
      <c r="A6" s="451" t="s">
        <v>75</v>
      </c>
      <c r="B6" s="18" t="s">
        <v>76</v>
      </c>
      <c r="C6" s="18" t="s">
        <v>88</v>
      </c>
      <c r="D6" s="18" t="s">
        <v>21</v>
      </c>
      <c r="E6" s="110">
        <v>0</v>
      </c>
      <c r="F6" s="110">
        <v>0</v>
      </c>
      <c r="G6" s="110">
        <v>0</v>
      </c>
      <c r="H6" s="110">
        <v>0</v>
      </c>
      <c r="I6" s="110">
        <v>0</v>
      </c>
      <c r="J6" s="110">
        <v>0</v>
      </c>
      <c r="K6" s="110">
        <v>0</v>
      </c>
      <c r="L6" s="110">
        <v>0</v>
      </c>
      <c r="M6" s="339">
        <v>0</v>
      </c>
    </row>
    <row r="7" spans="1:18" x14ac:dyDescent="0.25">
      <c r="A7" s="451" t="s">
        <v>75</v>
      </c>
      <c r="B7" s="18" t="s">
        <v>76</v>
      </c>
      <c r="C7" s="18" t="s">
        <v>87</v>
      </c>
      <c r="D7" s="18" t="s">
        <v>38</v>
      </c>
      <c r="E7" s="110">
        <v>512464.55233853002</v>
      </c>
      <c r="F7" s="110">
        <v>66.354020119298212</v>
      </c>
      <c r="G7" s="110">
        <v>15.773298496930316</v>
      </c>
      <c r="H7" s="110">
        <v>1.6588505029824547</v>
      </c>
      <c r="I7" s="110">
        <v>1.6090849878929812</v>
      </c>
      <c r="J7" s="110">
        <v>0.85496305592258204</v>
      </c>
      <c r="K7" s="110">
        <v>2.8696928808380053</v>
      </c>
      <c r="L7" s="110">
        <v>4.9350785198947908E-2</v>
      </c>
      <c r="M7" s="339">
        <v>6053.0269960613368</v>
      </c>
    </row>
    <row r="8" spans="1:18" x14ac:dyDescent="0.25">
      <c r="A8" s="451" t="s">
        <v>75</v>
      </c>
      <c r="B8" s="18" t="s">
        <v>76</v>
      </c>
      <c r="C8" s="18" t="s">
        <v>121</v>
      </c>
      <c r="D8" s="18" t="s">
        <v>35</v>
      </c>
      <c r="E8" s="110">
        <v>0</v>
      </c>
      <c r="F8" s="110">
        <v>0</v>
      </c>
      <c r="G8" s="110">
        <v>0</v>
      </c>
      <c r="H8" s="110">
        <v>0</v>
      </c>
      <c r="I8" s="110">
        <v>0</v>
      </c>
      <c r="J8" s="110">
        <v>0</v>
      </c>
      <c r="K8" s="110">
        <v>0</v>
      </c>
      <c r="L8" s="110">
        <v>0</v>
      </c>
      <c r="M8" s="339">
        <v>0</v>
      </c>
    </row>
    <row r="9" spans="1:18" x14ac:dyDescent="0.25">
      <c r="A9" s="451" t="s">
        <v>75</v>
      </c>
      <c r="B9" s="18" t="s">
        <v>76</v>
      </c>
      <c r="C9" s="18" t="s">
        <v>122</v>
      </c>
      <c r="D9" s="18" t="s">
        <v>39</v>
      </c>
      <c r="E9" s="110">
        <v>0</v>
      </c>
      <c r="F9" s="110">
        <v>0</v>
      </c>
      <c r="G9" s="110">
        <v>0</v>
      </c>
      <c r="H9" s="110">
        <v>0</v>
      </c>
      <c r="I9" s="110">
        <v>0</v>
      </c>
      <c r="J9" s="110">
        <v>0</v>
      </c>
      <c r="K9" s="110">
        <v>0</v>
      </c>
      <c r="L9" s="110">
        <v>0</v>
      </c>
      <c r="M9" s="339">
        <v>0</v>
      </c>
    </row>
    <row r="10" spans="1:18" x14ac:dyDescent="0.25">
      <c r="A10" s="451" t="s">
        <v>75</v>
      </c>
      <c r="B10" s="18" t="s">
        <v>76</v>
      </c>
      <c r="C10" s="18" t="s">
        <v>114</v>
      </c>
      <c r="D10" s="18" t="s">
        <v>40</v>
      </c>
      <c r="E10" s="110">
        <v>753471.94050554989</v>
      </c>
      <c r="F10" s="110">
        <v>97.559708415900403</v>
      </c>
      <c r="G10" s="110">
        <v>23.19133640057975</v>
      </c>
      <c r="H10" s="110">
        <v>2.4389927103975095</v>
      </c>
      <c r="I10" s="110">
        <v>2.3658229290855841</v>
      </c>
      <c r="J10" s="110">
        <v>1.2570443552961992</v>
      </c>
      <c r="K10" s="110">
        <v>4.2192831752226629</v>
      </c>
      <c r="L10" s="110">
        <v>7.2560007750077732E-2</v>
      </c>
      <c r="M10" s="339">
        <v>8899.7101864754841</v>
      </c>
    </row>
    <row r="11" spans="1:18" x14ac:dyDescent="0.25">
      <c r="A11" s="451" t="s">
        <v>75</v>
      </c>
      <c r="B11" s="18" t="s">
        <v>76</v>
      </c>
      <c r="C11" s="18" t="s">
        <v>123</v>
      </c>
      <c r="D11" s="18" t="s">
        <v>41</v>
      </c>
      <c r="E11" s="110">
        <v>0</v>
      </c>
      <c r="F11" s="110">
        <v>0</v>
      </c>
      <c r="G11" s="110">
        <v>0</v>
      </c>
      <c r="H11" s="110">
        <v>0</v>
      </c>
      <c r="I11" s="110">
        <v>0</v>
      </c>
      <c r="J11" s="110">
        <v>0</v>
      </c>
      <c r="K11" s="110">
        <v>0</v>
      </c>
      <c r="L11" s="110">
        <v>0</v>
      </c>
      <c r="M11" s="339">
        <v>0</v>
      </c>
    </row>
    <row r="12" spans="1:18" x14ac:dyDescent="0.25">
      <c r="A12" s="451" t="s">
        <v>75</v>
      </c>
      <c r="B12" s="18" t="s">
        <v>76</v>
      </c>
      <c r="C12" s="18" t="s">
        <v>115</v>
      </c>
      <c r="D12" s="18" t="s">
        <v>42</v>
      </c>
      <c r="E12" s="110">
        <v>1580030.0899469894</v>
      </c>
      <c r="F12" s="110">
        <v>204.58263483594422</v>
      </c>
      <c r="G12" s="110">
        <v>48.632214909573023</v>
      </c>
      <c r="H12" s="110">
        <v>5.1145658708986037</v>
      </c>
      <c r="I12" s="110">
        <v>4.9611288947716456</v>
      </c>
      <c r="J12" s="110">
        <v>2.6360210632838821</v>
      </c>
      <c r="K12" s="110">
        <v>8.8478336305209488</v>
      </c>
      <c r="L12" s="110">
        <v>0.15215828142848423</v>
      </c>
      <c r="M12" s="339">
        <v>18662.685536775371</v>
      </c>
    </row>
    <row r="13" spans="1:18" x14ac:dyDescent="0.25">
      <c r="A13" s="451" t="s">
        <v>75</v>
      </c>
      <c r="B13" s="18" t="s">
        <v>76</v>
      </c>
      <c r="C13" s="18" t="s">
        <v>124</v>
      </c>
      <c r="D13" s="18" t="s">
        <v>24</v>
      </c>
      <c r="E13" s="110">
        <v>946260.25978807651</v>
      </c>
      <c r="F13" s="110">
        <v>122.52198133421919</v>
      </c>
      <c r="G13" s="110">
        <v>29.125225277162965</v>
      </c>
      <c r="H13" s="110">
        <v>3.0630495333554797</v>
      </c>
      <c r="I13" s="110">
        <v>2.9711580473548151</v>
      </c>
      <c r="J13" s="110">
        <v>1.5786800466778035</v>
      </c>
      <c r="K13" s="110">
        <v>5.298856903452597</v>
      </c>
      <c r="L13" s="110">
        <v>9.1125691738095538E-2</v>
      </c>
      <c r="M13" s="339">
        <v>11176.848957961764</v>
      </c>
    </row>
    <row r="14" spans="1:18" x14ac:dyDescent="0.25">
      <c r="A14" s="451" t="s">
        <v>75</v>
      </c>
      <c r="B14" s="18" t="s">
        <v>76</v>
      </c>
      <c r="C14" s="18" t="s">
        <v>125</v>
      </c>
      <c r="D14" s="18" t="s">
        <v>43</v>
      </c>
      <c r="E14" s="110">
        <v>248646.0835600034</v>
      </c>
      <c r="F14" s="110">
        <v>32.194748213972623</v>
      </c>
      <c r="G14" s="110">
        <v>7.6531515754357775</v>
      </c>
      <c r="H14" s="110">
        <v>0.80486870534931543</v>
      </c>
      <c r="I14" s="110">
        <v>0.78072264418883597</v>
      </c>
      <c r="J14" s="110">
        <v>0.41482520980926579</v>
      </c>
      <c r="K14" s="110">
        <v>1.3923653696325049</v>
      </c>
      <c r="L14" s="110">
        <v>2.3944835607328671E-2</v>
      </c>
      <c r="M14" s="339">
        <v>2936.9084151978418</v>
      </c>
    </row>
    <row r="15" spans="1:18" x14ac:dyDescent="0.25">
      <c r="A15" s="451" t="s">
        <v>75</v>
      </c>
      <c r="B15" s="18" t="s">
        <v>76</v>
      </c>
      <c r="C15" s="18" t="s">
        <v>116</v>
      </c>
      <c r="D15" s="18" t="s">
        <v>44</v>
      </c>
      <c r="E15" s="110">
        <v>944985.13007111382</v>
      </c>
      <c r="F15" s="110">
        <v>122.35687726505392</v>
      </c>
      <c r="G15" s="110">
        <v>29.08597768129281</v>
      </c>
      <c r="H15" s="110">
        <v>3.0589219316263474</v>
      </c>
      <c r="I15" s="110">
        <v>2.9671542736775569</v>
      </c>
      <c r="J15" s="110">
        <v>1.5765527018799295</v>
      </c>
      <c r="K15" s="110">
        <v>5.2917164472898932</v>
      </c>
      <c r="L15" s="110">
        <v>9.1002895629612585E-2</v>
      </c>
      <c r="M15" s="339">
        <v>11161.787634080854</v>
      </c>
    </row>
    <row r="16" spans="1:18" x14ac:dyDescent="0.25">
      <c r="A16" s="451" t="s">
        <v>75</v>
      </c>
      <c r="B16" s="18" t="s">
        <v>76</v>
      </c>
      <c r="C16" s="18" t="s">
        <v>126</v>
      </c>
      <c r="D16" s="18" t="s">
        <v>45</v>
      </c>
      <c r="E16" s="110">
        <v>2385167.5854352834</v>
      </c>
      <c r="F16" s="110">
        <v>308.83201038912404</v>
      </c>
      <c r="G16" s="110">
        <v>73.413780755357493</v>
      </c>
      <c r="H16" s="110">
        <v>7.7208002597281</v>
      </c>
      <c r="I16" s="110">
        <v>7.4891762519362572</v>
      </c>
      <c r="J16" s="110">
        <v>3.979260923366533</v>
      </c>
      <c r="K16" s="110">
        <v>13.356432963596776</v>
      </c>
      <c r="L16" s="110">
        <v>0.22969372737131619</v>
      </c>
      <c r="M16" s="339">
        <v>28172.648662015003</v>
      </c>
    </row>
    <row r="17" spans="1:13" x14ac:dyDescent="0.25">
      <c r="A17" s="451" t="s">
        <v>75</v>
      </c>
      <c r="B17" s="18" t="s">
        <v>76</v>
      </c>
      <c r="C17" s="18" t="s">
        <v>127</v>
      </c>
      <c r="D17" s="18" t="s">
        <v>50</v>
      </c>
      <c r="E17" s="110">
        <v>1278816.142878551</v>
      </c>
      <c r="F17" s="110">
        <v>165.58138838331286</v>
      </c>
      <c r="G17" s="110">
        <v>39.361061467118944</v>
      </c>
      <c r="H17" s="110">
        <v>4.1395347095828212</v>
      </c>
      <c r="I17" s="110">
        <v>4.0153486682953368</v>
      </c>
      <c r="J17" s="110">
        <v>2.1334949949012731</v>
      </c>
      <c r="K17" s="110">
        <v>7.1610993665275959</v>
      </c>
      <c r="L17" s="110">
        <v>0.123151114527149</v>
      </c>
      <c r="M17" s="339">
        <v>15104.866474217031</v>
      </c>
    </row>
    <row r="18" spans="1:13" x14ac:dyDescent="0.25">
      <c r="A18" s="451" t="s">
        <v>75</v>
      </c>
      <c r="B18" s="18" t="s">
        <v>76</v>
      </c>
      <c r="C18" s="18" t="s">
        <v>128</v>
      </c>
      <c r="D18" s="18" t="s">
        <v>22</v>
      </c>
      <c r="E18" s="110">
        <v>98442.889373890255</v>
      </c>
      <c r="F18" s="110">
        <v>12.746406424227994</v>
      </c>
      <c r="G18" s="110">
        <v>3.0300028985593399</v>
      </c>
      <c r="H18" s="110">
        <v>0.31866016060569979</v>
      </c>
      <c r="I18" s="110">
        <v>0.30910035578752876</v>
      </c>
      <c r="J18" s="110">
        <v>0.16423581523615535</v>
      </c>
      <c r="K18" s="110">
        <v>0.55125931640781733</v>
      </c>
      <c r="L18" s="110">
        <v>9.4801364615075649E-3</v>
      </c>
      <c r="M18" s="339">
        <v>1162.7681646101553</v>
      </c>
    </row>
    <row r="19" spans="1:13" x14ac:dyDescent="0.25">
      <c r="A19" s="451" t="s">
        <v>75</v>
      </c>
      <c r="B19" s="18" t="s">
        <v>76</v>
      </c>
      <c r="C19" s="18" t="s">
        <v>129</v>
      </c>
      <c r="D19" s="18" t="s">
        <v>66</v>
      </c>
      <c r="E19" s="110">
        <v>1261614.9975380159</v>
      </c>
      <c r="F19" s="110">
        <v>163.35418039635562</v>
      </c>
      <c r="G19" s="110">
        <v>38.83162231136226</v>
      </c>
      <c r="H19" s="110">
        <v>4.0838545099088908</v>
      </c>
      <c r="I19" s="110">
        <v>3.9613388746116232</v>
      </c>
      <c r="J19" s="110">
        <v>2.1047977050719511</v>
      </c>
      <c r="K19" s="110">
        <v>7.0647765982488151</v>
      </c>
      <c r="L19" s="110">
        <v>0.12149462916635109</v>
      </c>
      <c r="M19" s="339">
        <v>14901.693402763976</v>
      </c>
    </row>
    <row r="20" spans="1:13" x14ac:dyDescent="0.25">
      <c r="A20" s="451" t="s">
        <v>75</v>
      </c>
      <c r="B20" s="18" t="s">
        <v>76</v>
      </c>
      <c r="C20" s="18" t="s">
        <v>130</v>
      </c>
      <c r="D20" s="18" t="s">
        <v>46</v>
      </c>
      <c r="E20" s="110">
        <v>0</v>
      </c>
      <c r="F20" s="110">
        <v>0</v>
      </c>
      <c r="G20" s="110">
        <v>0</v>
      </c>
      <c r="H20" s="110">
        <v>0</v>
      </c>
      <c r="I20" s="110">
        <v>0</v>
      </c>
      <c r="J20" s="110">
        <v>0</v>
      </c>
      <c r="K20" s="110">
        <v>0</v>
      </c>
      <c r="L20" s="110">
        <v>0</v>
      </c>
      <c r="M20" s="339">
        <v>0</v>
      </c>
    </row>
    <row r="21" spans="1:13" x14ac:dyDescent="0.25">
      <c r="A21" s="451" t="s">
        <v>75</v>
      </c>
      <c r="B21" s="18" t="s">
        <v>76</v>
      </c>
      <c r="C21" s="18" t="s">
        <v>131</v>
      </c>
      <c r="D21" s="18" t="s">
        <v>47</v>
      </c>
      <c r="E21" s="110">
        <v>965656.64002383419</v>
      </c>
      <c r="F21" s="110">
        <v>125.0334288061115</v>
      </c>
      <c r="G21" s="110">
        <v>29.722232219052795</v>
      </c>
      <c r="H21" s="110">
        <v>3.1258357201527871</v>
      </c>
      <c r="I21" s="110">
        <v>3.0320606485482036</v>
      </c>
      <c r="J21" s="110">
        <v>1.6110397258878595</v>
      </c>
      <c r="K21" s="110">
        <v>5.4074725218843112</v>
      </c>
      <c r="L21" s="110">
        <v>9.2993580141857088E-2</v>
      </c>
      <c r="M21" s="339">
        <v>11405.951268857511</v>
      </c>
    </row>
    <row r="22" spans="1:13" x14ac:dyDescent="0.25">
      <c r="A22" s="451" t="s">
        <v>75</v>
      </c>
      <c r="B22" s="18" t="s">
        <v>76</v>
      </c>
      <c r="C22" s="18" t="s">
        <v>132</v>
      </c>
      <c r="D22" s="18" t="s">
        <v>67</v>
      </c>
      <c r="E22" s="110">
        <v>0</v>
      </c>
      <c r="F22" s="110">
        <v>0</v>
      </c>
      <c r="G22" s="110">
        <v>0</v>
      </c>
      <c r="H22" s="110">
        <v>0</v>
      </c>
      <c r="I22" s="110">
        <v>0</v>
      </c>
      <c r="J22" s="110">
        <v>0</v>
      </c>
      <c r="K22" s="110">
        <v>0</v>
      </c>
      <c r="L22" s="110">
        <v>0</v>
      </c>
      <c r="M22" s="339">
        <v>0</v>
      </c>
    </row>
    <row r="23" spans="1:13" x14ac:dyDescent="0.25">
      <c r="A23" s="451" t="s">
        <v>75</v>
      </c>
      <c r="B23" s="18" t="s">
        <v>76</v>
      </c>
      <c r="C23" s="18" t="s">
        <v>117</v>
      </c>
      <c r="D23" s="18" t="s">
        <v>48</v>
      </c>
      <c r="E23" s="110">
        <v>1448566.7864631081</v>
      </c>
      <c r="F23" s="110">
        <v>187.56073811252662</v>
      </c>
      <c r="G23" s="110">
        <v>44.585866888463478</v>
      </c>
      <c r="H23" s="110">
        <v>4.6890184528131655</v>
      </c>
      <c r="I23" s="110">
        <v>4.5483478992287694</v>
      </c>
      <c r="J23" s="110">
        <v>2.4166961028054272</v>
      </c>
      <c r="K23" s="110">
        <v>8.1116669934772894</v>
      </c>
      <c r="L23" s="110">
        <v>0.13949825016940245</v>
      </c>
      <c r="M23" s="339">
        <v>17109.893404425755</v>
      </c>
    </row>
    <row r="24" spans="1:13" ht="15.75" thickBot="1" x14ac:dyDescent="0.3">
      <c r="A24" s="451" t="s">
        <v>75</v>
      </c>
      <c r="B24" s="18" t="s">
        <v>76</v>
      </c>
      <c r="C24" s="34" t="s">
        <v>133</v>
      </c>
      <c r="D24" s="34" t="s">
        <v>25</v>
      </c>
      <c r="E24" s="340">
        <v>64425.803411954592</v>
      </c>
      <c r="F24" s="340">
        <v>8.3418668399425471</v>
      </c>
      <c r="G24" s="340">
        <v>1.9829809173806283</v>
      </c>
      <c r="H24" s="340">
        <v>0.20854667099856367</v>
      </c>
      <c r="I24" s="340">
        <v>0.20229027086860674</v>
      </c>
      <c r="J24" s="340">
        <v>0.10748388647370422</v>
      </c>
      <c r="K24" s="340">
        <v>0.36077084463672948</v>
      </c>
      <c r="L24" s="340">
        <v>6.2042612917208913E-3</v>
      </c>
      <c r="M24" s="341">
        <v>760.97190628297335</v>
      </c>
    </row>
    <row r="25" spans="1:13" ht="15.75" thickBot="1" x14ac:dyDescent="0.3">
      <c r="A25" s="525"/>
      <c r="B25" s="463"/>
      <c r="C25" s="526"/>
      <c r="D25" s="526" t="s">
        <v>79</v>
      </c>
      <c r="E25" s="342">
        <f>SUM(E4:E24)</f>
        <v>16897282.81094908</v>
      </c>
      <c r="F25" s="343">
        <f t="shared" ref="F25:M25" si="0">SUM(F4:F24)</f>
        <v>2187.8638014723201</v>
      </c>
      <c r="G25" s="343">
        <f t="shared" si="0"/>
        <v>520.08648080713431</v>
      </c>
      <c r="H25" s="343">
        <f t="shared" si="0"/>
        <v>54.696595036807992</v>
      </c>
      <c r="I25" s="343">
        <f t="shared" si="0"/>
        <v>53.055697185703757</v>
      </c>
      <c r="J25" s="343">
        <f t="shared" si="0"/>
        <v>28.190345035404256</v>
      </c>
      <c r="K25" s="343">
        <f t="shared" si="0"/>
        <v>94.621202514032348</v>
      </c>
      <c r="L25" s="343">
        <f t="shared" si="0"/>
        <v>1.6272231330805469</v>
      </c>
      <c r="M25" s="344">
        <f t="shared" si="0"/>
        <v>199583.9683896669</v>
      </c>
    </row>
    <row r="26" spans="1:13" x14ac:dyDescent="0.25">
      <c r="D26" s="524" t="s">
        <v>37</v>
      </c>
      <c r="E26" s="10">
        <f>'NJT COMMUTER-YARD EMIS CALC'!J137</f>
        <v>16897282.81094908</v>
      </c>
      <c r="F26" s="10">
        <f>'NJT COMMUTER-YARD EMIS CALC'!K136</f>
        <v>2187.8638014723201</v>
      </c>
      <c r="G26" s="10">
        <f>'NJT COMMUTER-YARD EMIS CALC'!L136</f>
        <v>520.08648080713454</v>
      </c>
      <c r="H26" s="10">
        <f>'NJT COMMUTER-YARD EMIS CALC'!M136</f>
        <v>54.696595036807977</v>
      </c>
      <c r="I26" s="10">
        <f>'NJT COMMUTER-YARD EMIS CALC'!N136</f>
        <v>53.055697185703721</v>
      </c>
      <c r="J26" s="10">
        <f>'NJT COMMUTER-YARD EMIS CALC'!O136</f>
        <v>28.190345035404246</v>
      </c>
      <c r="K26" s="10">
        <f>'NJT COMMUTER-YARD EMIS CALC'!P136</f>
        <v>94.621202514032333</v>
      </c>
      <c r="L26" s="10">
        <f>'NJT COMMUTER-YARD EMIS CALC'!Q136</f>
        <v>1.6272231330805473</v>
      </c>
      <c r="M26" s="10">
        <f>'NJT COMMUTER-YARD EMIS CALC'!R136</f>
        <v>0</v>
      </c>
    </row>
    <row r="27" spans="1:13" x14ac:dyDescent="0.25">
      <c r="E27" s="10"/>
      <c r="F27" s="10"/>
      <c r="G27" s="10"/>
      <c r="H27" s="10"/>
      <c r="I27" s="10"/>
      <c r="J27" s="10"/>
      <c r="K27" s="10"/>
      <c r="L27" s="10"/>
      <c r="M27" s="10"/>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workbookViewId="0">
      <selection activeCell="K6" sqref="K6"/>
    </sheetView>
  </sheetViews>
  <sheetFormatPr defaultRowHeight="15" x14ac:dyDescent="0.25"/>
  <cols>
    <col min="5" max="5" width="10.5703125" bestFit="1" customWidth="1"/>
    <col min="9" max="9" width="13.5703125" customWidth="1"/>
    <col min="10" max="10" width="12.42578125" customWidth="1"/>
    <col min="11" max="11" width="9.5703125" bestFit="1" customWidth="1"/>
  </cols>
  <sheetData>
    <row r="1" spans="1:18" x14ac:dyDescent="0.25">
      <c r="A1" s="143" t="s">
        <v>1044</v>
      </c>
      <c r="B1" s="143"/>
      <c r="C1" s="143"/>
    </row>
    <row r="2" spans="1:18" x14ac:dyDescent="0.25">
      <c r="A2" s="30"/>
      <c r="B2" s="30"/>
      <c r="C2" s="30"/>
      <c r="D2" s="30"/>
      <c r="E2" s="30"/>
      <c r="F2" s="30"/>
      <c r="G2" s="30"/>
      <c r="H2" s="30"/>
      <c r="I2" s="30"/>
      <c r="J2" s="30"/>
      <c r="K2" s="30"/>
      <c r="L2" s="30"/>
      <c r="M2" s="30"/>
      <c r="N2" s="30"/>
      <c r="O2" s="30"/>
      <c r="P2" s="30"/>
    </row>
    <row r="3" spans="1:18" x14ac:dyDescent="0.25">
      <c r="A3" s="101" t="s">
        <v>393</v>
      </c>
      <c r="B3" s="30"/>
      <c r="C3" s="30"/>
      <c r="D3" s="30"/>
      <c r="E3" s="30"/>
      <c r="F3" s="30"/>
      <c r="G3" s="30"/>
      <c r="H3" s="30" t="s">
        <v>394</v>
      </c>
      <c r="I3" s="30"/>
      <c r="J3" s="30"/>
      <c r="K3" s="30">
        <v>17942921.699999999</v>
      </c>
      <c r="L3" s="30">
        <v>1223918</v>
      </c>
      <c r="M3" s="30"/>
      <c r="N3" s="30"/>
      <c r="O3" s="30"/>
      <c r="P3" s="30"/>
    </row>
    <row r="4" spans="1:18" ht="15.75" thickBot="1" x14ac:dyDescent="0.3">
      <c r="A4" s="101" t="s">
        <v>395</v>
      </c>
      <c r="B4" s="30"/>
      <c r="C4" s="30"/>
      <c r="D4" s="30"/>
      <c r="E4" s="30"/>
      <c r="F4" s="30"/>
      <c r="G4" s="30"/>
      <c r="H4" s="30" t="s">
        <v>396</v>
      </c>
      <c r="I4" s="30"/>
      <c r="J4" s="30"/>
      <c r="K4" s="30"/>
      <c r="L4" s="30"/>
      <c r="M4" s="30"/>
      <c r="N4" s="30"/>
      <c r="O4" s="30"/>
      <c r="P4" s="30"/>
    </row>
    <row r="5" spans="1:18" x14ac:dyDescent="0.25">
      <c r="A5" s="144" t="s">
        <v>68</v>
      </c>
      <c r="B5" s="144" t="s">
        <v>397</v>
      </c>
      <c r="C5" s="144" t="s">
        <v>79</v>
      </c>
      <c r="D5" s="30" t="s">
        <v>398</v>
      </c>
      <c r="E5" s="30" t="s">
        <v>399</v>
      </c>
      <c r="F5" s="144" t="s">
        <v>400</v>
      </c>
      <c r="G5" s="30" t="s">
        <v>401</v>
      </c>
      <c r="H5" s="30" t="s">
        <v>402</v>
      </c>
      <c r="I5" s="30" t="s">
        <v>403</v>
      </c>
      <c r="J5" s="30" t="s">
        <v>404</v>
      </c>
      <c r="K5" s="26" t="s">
        <v>96</v>
      </c>
      <c r="L5" s="26" t="s">
        <v>10</v>
      </c>
      <c r="M5" s="26" t="s">
        <v>7</v>
      </c>
      <c r="N5" s="27" t="s">
        <v>95</v>
      </c>
      <c r="O5" s="28" t="s">
        <v>17</v>
      </c>
      <c r="P5" s="26" t="s">
        <v>8</v>
      </c>
      <c r="Q5" s="63" t="s">
        <v>16</v>
      </c>
      <c r="R5" s="64" t="s">
        <v>94</v>
      </c>
    </row>
    <row r="6" spans="1:18" x14ac:dyDescent="0.25">
      <c r="A6" s="144" t="s">
        <v>115</v>
      </c>
      <c r="B6" s="144"/>
      <c r="C6" s="145">
        <v>34017</v>
      </c>
      <c r="D6" s="30">
        <v>4.5</v>
      </c>
      <c r="E6" s="30">
        <v>1.2</v>
      </c>
      <c r="F6" s="146">
        <f>E6*D6</f>
        <v>5.3999999999999995</v>
      </c>
      <c r="G6" s="30">
        <f>F6/$F$9</f>
        <v>0.17702596380802516</v>
      </c>
      <c r="H6" s="103">
        <v>0.10860702945647474</v>
      </c>
      <c r="I6" s="103">
        <v>17942921.699999999</v>
      </c>
      <c r="J6" s="103">
        <f>I6*H6*G6</f>
        <v>344975.35071723198</v>
      </c>
      <c r="K6" s="103">
        <f>$J6*'RAIL EMIS FACTOR'!C$4/2000</f>
        <v>44.667482380384982</v>
      </c>
      <c r="L6" s="103">
        <f>$J6*'RAIL EMIS FACTOR'!D$4/2000</f>
        <v>10.618098668708656</v>
      </c>
      <c r="M6" s="103">
        <f>$J6*'RAIL EMIS FACTOR'!E$4/2000</f>
        <v>1.1166870595096243</v>
      </c>
      <c r="N6" s="103">
        <f>$J6*'RAIL EMIS FACTOR'!F$4/2000</f>
        <v>1.0831864477243356</v>
      </c>
      <c r="O6" s="103">
        <f>$J6*'RAIL EMIS FACTOR'!G$4/2000</f>
        <v>0.57553479303351573</v>
      </c>
      <c r="P6" s="103">
        <f>$J6*'RAIL EMIS FACTOR'!H$4/2000</f>
        <v>1.9317888495902564</v>
      </c>
      <c r="Q6" s="103">
        <f>$J6*'RAIL EMIS FACTOR'!I$4/2000</f>
        <v>3.3221428398293174E-2</v>
      </c>
      <c r="R6" s="103">
        <f>$J6*'RAIL EMIS FACTOR'!J$4/2000</f>
        <v>4074.7113167892262</v>
      </c>
    </row>
    <row r="7" spans="1:18" x14ac:dyDescent="0.25">
      <c r="A7" s="144" t="s">
        <v>113</v>
      </c>
      <c r="B7" s="144"/>
      <c r="C7" s="145">
        <v>34003</v>
      </c>
      <c r="D7" s="30">
        <v>20.420000000000002</v>
      </c>
      <c r="E7" s="30">
        <v>1.2</v>
      </c>
      <c r="F7" s="146">
        <f>E7*D7</f>
        <v>24.504000000000001</v>
      </c>
      <c r="G7" s="30">
        <f>F7/$F$9</f>
        <v>0.80330448465774984</v>
      </c>
      <c r="H7" s="103">
        <v>0.10860702945647474</v>
      </c>
      <c r="I7" s="103">
        <v>17942921.699999999</v>
      </c>
      <c r="J7" s="103">
        <f>I7*H7*G7</f>
        <v>1565421.4803657508</v>
      </c>
      <c r="K7" s="103">
        <f>$J7*'RAIL EMIS FACTOR'!C$4/2000</f>
        <v>202.69110893499143</v>
      </c>
      <c r="L7" s="103">
        <f>$J7*'RAIL EMIS FACTOR'!D$4/2000</f>
        <v>48.182572181117969</v>
      </c>
      <c r="M7" s="103">
        <f>$J7*'RAIL EMIS FACTOR'!E$4/2000</f>
        <v>5.0672777233747857</v>
      </c>
      <c r="N7" s="103">
        <f>$J7*'RAIL EMIS FACTOR'!F$4/2000</f>
        <v>4.9152593916735414</v>
      </c>
      <c r="O7" s="103">
        <f>$J7*'RAIL EMIS FACTOR'!G$4/2000</f>
        <v>2.6116489941654208</v>
      </c>
      <c r="P7" s="103">
        <f>$J7*'RAIL EMIS FACTOR'!H$4/2000</f>
        <v>8.7660285130295659</v>
      </c>
      <c r="Q7" s="103">
        <f>$J7*'RAIL EMIS FACTOR'!I$4/2000</f>
        <v>0.15075145953181035</v>
      </c>
      <c r="R7" s="103">
        <f>$J7*'RAIL EMIS FACTOR'!J$4/2000</f>
        <v>18490.134464185783</v>
      </c>
    </row>
    <row r="8" spans="1:18" x14ac:dyDescent="0.25">
      <c r="A8" s="144" t="s">
        <v>407</v>
      </c>
      <c r="B8" s="144"/>
      <c r="C8" s="144"/>
      <c r="D8" s="30">
        <v>0.5</v>
      </c>
      <c r="E8" s="30">
        <v>1.2</v>
      </c>
      <c r="F8" s="146">
        <f>E8*D8</f>
        <v>0.6</v>
      </c>
      <c r="G8" s="30">
        <f>F8/$F$9</f>
        <v>1.9669551534225019E-2</v>
      </c>
      <c r="H8" s="181">
        <v>0</v>
      </c>
      <c r="I8" s="181">
        <v>17942921.699999999</v>
      </c>
      <c r="J8" s="181">
        <f>I8*H8*G8</f>
        <v>0</v>
      </c>
      <c r="K8" s="103"/>
      <c r="L8" s="103"/>
      <c r="M8" s="103"/>
      <c r="N8" s="103"/>
      <c r="O8" s="103"/>
      <c r="P8" s="103"/>
    </row>
    <row r="9" spans="1:18" x14ac:dyDescent="0.25">
      <c r="A9" s="144"/>
      <c r="B9" s="144"/>
      <c r="C9" s="144"/>
      <c r="D9" s="30"/>
      <c r="E9" s="30"/>
      <c r="F9" s="146">
        <f>SUM(F6:F8)</f>
        <v>30.504000000000001</v>
      </c>
      <c r="G9" s="30">
        <f>SUM(G6:G8)</f>
        <v>1</v>
      </c>
      <c r="H9" s="103"/>
      <c r="I9" s="103"/>
      <c r="J9" s="103"/>
      <c r="K9" s="103"/>
      <c r="L9" s="103"/>
      <c r="M9" s="103"/>
      <c r="N9" s="103"/>
      <c r="O9" s="103"/>
      <c r="P9" s="103"/>
    </row>
    <row r="10" spans="1:18" x14ac:dyDescent="0.25">
      <c r="A10" s="144"/>
      <c r="B10" s="147"/>
      <c r="C10" s="144"/>
      <c r="D10" s="30"/>
      <c r="E10" s="30"/>
      <c r="F10" s="144"/>
      <c r="G10" s="30"/>
      <c r="H10" s="103"/>
      <c r="I10" s="103"/>
      <c r="J10" s="103"/>
      <c r="K10" s="103"/>
      <c r="L10" s="103"/>
      <c r="M10" s="103"/>
      <c r="N10" s="103"/>
      <c r="O10" s="103"/>
      <c r="P10" s="103"/>
    </row>
    <row r="11" spans="1:18" x14ac:dyDescent="0.25">
      <c r="A11" s="148" t="s">
        <v>408</v>
      </c>
      <c r="B11" s="144"/>
      <c r="C11" s="144"/>
      <c r="D11" s="30"/>
      <c r="E11" s="30"/>
      <c r="F11" s="144"/>
      <c r="G11" s="30"/>
      <c r="H11" s="103"/>
      <c r="I11" s="103"/>
      <c r="J11" s="103"/>
      <c r="K11" s="103"/>
      <c r="L11" s="103"/>
      <c r="M11" s="103"/>
      <c r="N11" s="103"/>
      <c r="O11" s="103"/>
      <c r="P11" s="103"/>
    </row>
    <row r="12" spans="1:18" x14ac:dyDescent="0.25">
      <c r="A12" s="144" t="s">
        <v>115</v>
      </c>
      <c r="B12" s="144"/>
      <c r="C12" s="145">
        <v>34017</v>
      </c>
      <c r="D12" s="30">
        <v>4.5</v>
      </c>
      <c r="E12" s="30">
        <v>1.2</v>
      </c>
      <c r="F12" s="146">
        <f>E12*D12</f>
        <v>5.3999999999999995</v>
      </c>
      <c r="G12" s="30">
        <f>F12/$F$15</f>
        <v>6.1714285714285708E-2</v>
      </c>
      <c r="H12" s="103">
        <v>0.16044659023035537</v>
      </c>
      <c r="I12" s="103">
        <v>17942921.699999999</v>
      </c>
      <c r="J12" s="103">
        <f>I12*H12*G12</f>
        <v>177668.06022731835</v>
      </c>
      <c r="K12" s="103">
        <f>$J12*'RAIL EMIS FACTOR'!C$4/2000</f>
        <v>23.004498533768736</v>
      </c>
      <c r="L12" s="103">
        <f>$J12*'RAIL EMIS FACTOR'!D$4/2000</f>
        <v>5.4684979371701683</v>
      </c>
      <c r="M12" s="103">
        <f>$J12*'RAIL EMIS FACTOR'!E$4/2000</f>
        <v>0.57511246334421839</v>
      </c>
      <c r="N12" s="103">
        <f>$J12*'RAIL EMIS FACTOR'!F$4/2000</f>
        <v>0.55785908944389173</v>
      </c>
      <c r="O12" s="103">
        <f>$J12*'RAIL EMIS FACTOR'!G$4/2000</f>
        <v>0.29641001903179787</v>
      </c>
      <c r="P12" s="103">
        <f>$J12*'RAIL EMIS FACTOR'!H$4/2000</f>
        <v>0.9949034821238304</v>
      </c>
      <c r="Q12" s="103">
        <f>$J12*'RAIL EMIS FACTOR'!I$4/2000</f>
        <v>1.7109589798905776E-2</v>
      </c>
      <c r="R12" s="103">
        <f>$J12*'RAIL EMIS FACTOR'!J$4/2000</f>
        <v>2098.5442992813855</v>
      </c>
    </row>
    <row r="13" spans="1:18" x14ac:dyDescent="0.25">
      <c r="A13" s="144" t="s">
        <v>113</v>
      </c>
      <c r="B13" s="144"/>
      <c r="C13" s="145">
        <v>34003</v>
      </c>
      <c r="D13" s="30">
        <v>20.5</v>
      </c>
      <c r="E13" s="30">
        <v>1.2</v>
      </c>
      <c r="F13" s="146">
        <f>E13*D13</f>
        <v>24.599999999999998</v>
      </c>
      <c r="G13" s="30">
        <f>F13/$F$15</f>
        <v>0.28114285714285714</v>
      </c>
      <c r="H13" s="103">
        <v>0.16044659023035537</v>
      </c>
      <c r="I13" s="103">
        <v>17942921.699999999</v>
      </c>
      <c r="J13" s="103">
        <f>I13*H13*G13</f>
        <v>809376.71881333913</v>
      </c>
      <c r="K13" s="103">
        <f>$J13*'RAIL EMIS FACTOR'!C$4/2000</f>
        <v>104.7982710982798</v>
      </c>
      <c r="L13" s="103">
        <f>$J13*'RAIL EMIS FACTOR'!D$4/2000</f>
        <v>24.91204615821966</v>
      </c>
      <c r="M13" s="103">
        <f>$J13*'RAIL EMIS FACTOR'!E$4/2000</f>
        <v>2.619956777456995</v>
      </c>
      <c r="N13" s="103">
        <f>$J13*'RAIL EMIS FACTOR'!F$4/2000</f>
        <v>2.5413580741332846</v>
      </c>
      <c r="O13" s="103">
        <f>$J13*'RAIL EMIS FACTOR'!G$4/2000</f>
        <v>1.3503123089226348</v>
      </c>
      <c r="P13" s="103">
        <f>$J13*'RAIL EMIS FACTOR'!H$4/2000</f>
        <v>4.5323380852307826</v>
      </c>
      <c r="Q13" s="103">
        <f>$J13*'RAIL EMIS FACTOR'!I$4/2000</f>
        <v>7.7943686861681863E-2</v>
      </c>
      <c r="R13" s="103">
        <f>$J13*'RAIL EMIS FACTOR'!J$4/2000</f>
        <v>9560.0351411707561</v>
      </c>
    </row>
    <row r="14" spans="1:18" x14ac:dyDescent="0.25">
      <c r="A14" s="144" t="s">
        <v>407</v>
      </c>
      <c r="B14" s="144"/>
      <c r="C14" s="144"/>
      <c r="D14" s="30"/>
      <c r="E14" s="30"/>
      <c r="F14" s="146">
        <v>57.5</v>
      </c>
      <c r="G14" s="30">
        <f>F14/$F$15</f>
        <v>0.65714285714285714</v>
      </c>
      <c r="H14" s="181">
        <v>0</v>
      </c>
      <c r="I14" s="181">
        <v>17942921.699999999</v>
      </c>
      <c r="J14" s="181">
        <f>I14*H14*G14</f>
        <v>0</v>
      </c>
      <c r="K14" s="103"/>
      <c r="L14" s="103"/>
      <c r="M14" s="103"/>
      <c r="N14" s="103"/>
      <c r="O14" s="103"/>
      <c r="P14" s="103"/>
    </row>
    <row r="15" spans="1:18" x14ac:dyDescent="0.25">
      <c r="A15" s="144" t="s">
        <v>409</v>
      </c>
      <c r="B15" s="144"/>
      <c r="C15" s="144"/>
      <c r="D15" s="30"/>
      <c r="E15" s="30"/>
      <c r="F15" s="110">
        <f>SUM(F12:F14)</f>
        <v>87.5</v>
      </c>
      <c r="G15" s="110">
        <f>SUM(G12:G14)</f>
        <v>1</v>
      </c>
      <c r="H15" s="103"/>
      <c r="I15" s="103"/>
      <c r="J15" s="103"/>
      <c r="K15" s="103"/>
      <c r="L15" s="103"/>
      <c r="M15" s="103"/>
      <c r="N15" s="103"/>
      <c r="O15" s="103"/>
      <c r="P15" s="103"/>
    </row>
    <row r="16" spans="1:18" x14ac:dyDescent="0.25">
      <c r="A16" s="144"/>
      <c r="B16" s="144"/>
      <c r="C16" s="144"/>
      <c r="D16" s="30"/>
      <c r="E16" s="30"/>
      <c r="F16" s="110"/>
      <c r="G16" s="110"/>
      <c r="H16" s="103"/>
      <c r="I16" s="103"/>
      <c r="J16" s="103"/>
      <c r="K16" s="103"/>
      <c r="L16" s="103"/>
      <c r="M16" s="103"/>
      <c r="N16" s="103"/>
      <c r="O16" s="103"/>
      <c r="P16" s="103"/>
    </row>
    <row r="17" spans="1:18" x14ac:dyDescent="0.25">
      <c r="A17" s="30"/>
      <c r="B17" s="30"/>
      <c r="C17" s="30"/>
      <c r="D17" s="30"/>
      <c r="E17" s="30"/>
      <c r="F17" s="30"/>
      <c r="G17" s="30"/>
      <c r="H17" s="103"/>
      <c r="I17" s="103"/>
      <c r="J17" s="103"/>
      <c r="K17" s="103"/>
      <c r="L17" s="103"/>
      <c r="M17" s="103"/>
      <c r="N17" s="103"/>
      <c r="O17" s="103"/>
      <c r="P17" s="103"/>
    </row>
    <row r="18" spans="1:18" x14ac:dyDescent="0.25">
      <c r="A18" s="144"/>
      <c r="B18" s="144"/>
      <c r="C18" s="144"/>
      <c r="D18" s="30"/>
      <c r="E18" s="144"/>
      <c r="F18" s="30"/>
      <c r="G18" s="30"/>
      <c r="H18" s="103"/>
      <c r="I18" s="103"/>
      <c r="J18" s="103"/>
      <c r="K18" s="103"/>
      <c r="L18" s="103"/>
      <c r="M18" s="103"/>
      <c r="N18" s="103"/>
      <c r="O18" s="103"/>
      <c r="P18" s="103"/>
    </row>
    <row r="19" spans="1:18" x14ac:dyDescent="0.25">
      <c r="A19" s="148" t="s">
        <v>410</v>
      </c>
      <c r="B19" s="144" t="s">
        <v>411</v>
      </c>
      <c r="C19" s="144"/>
      <c r="D19" s="144"/>
      <c r="E19" s="110"/>
      <c r="F19" s="30"/>
      <c r="G19" s="30"/>
      <c r="H19" s="103"/>
      <c r="I19" s="103"/>
      <c r="J19" s="103"/>
      <c r="K19" s="103"/>
      <c r="L19" s="103"/>
      <c r="M19" s="103"/>
      <c r="N19" s="103"/>
      <c r="O19" s="103"/>
      <c r="P19" s="103"/>
    </row>
    <row r="20" spans="1:18" x14ac:dyDescent="0.25">
      <c r="A20" s="103" t="s">
        <v>412</v>
      </c>
      <c r="B20" s="144"/>
      <c r="C20" s="145">
        <v>34017</v>
      </c>
      <c r="D20" s="144">
        <v>4.25</v>
      </c>
      <c r="E20" s="30">
        <v>1.2</v>
      </c>
      <c r="F20" s="110">
        <f>D20*1.2</f>
        <v>5.0999999999999996</v>
      </c>
      <c r="G20" s="30">
        <f>F20/F24</f>
        <v>0.21794871794871798</v>
      </c>
      <c r="H20" s="103">
        <v>0.13985912812805004</v>
      </c>
      <c r="I20" s="103">
        <v>17942921.699999999</v>
      </c>
      <c r="J20" s="103">
        <f>I20*H20*G20</f>
        <v>546938.25058386906</v>
      </c>
      <c r="K20" s="103">
        <f>$J20*'RAIL EMIS FACTOR'!C$4/2000</f>
        <v>70.817681959945389</v>
      </c>
      <c r="L20" s="103">
        <f>$J20*'RAIL EMIS FACTOR'!D$4/2000</f>
        <v>16.83437468304988</v>
      </c>
      <c r="M20" s="103">
        <f>$J20*'RAIL EMIS FACTOR'!E$4/2000</f>
        <v>1.7704420489986346</v>
      </c>
      <c r="N20" s="103">
        <f>$J20*'RAIL EMIS FACTOR'!F$4/2000</f>
        <v>1.7173287875286756</v>
      </c>
      <c r="O20" s="103">
        <f>$J20*'RAIL EMIS FACTOR'!G$4/2000</f>
        <v>0.91247676739060546</v>
      </c>
      <c r="P20" s="103">
        <f>$J20*'RAIL EMIS FACTOR'!H$4/2000</f>
        <v>3.0627382846212807</v>
      </c>
      <c r="Q20" s="103">
        <f>$J20*'RAIL EMIS FACTOR'!I$4/2000</f>
        <v>5.2670632531520496E-2</v>
      </c>
      <c r="R20" s="103">
        <f>$J20*'RAIL EMIS FACTOR'!J$4/2000</f>
        <v>6460.216576649661</v>
      </c>
    </row>
    <row r="21" spans="1:18" x14ac:dyDescent="0.25">
      <c r="A21" s="144" t="s">
        <v>413</v>
      </c>
      <c r="B21" s="144"/>
      <c r="C21" s="145">
        <v>34003</v>
      </c>
      <c r="D21" s="144">
        <v>2.75</v>
      </c>
      <c r="E21" s="30">
        <v>1.2</v>
      </c>
      <c r="F21" s="110">
        <f>D21*1.2</f>
        <v>3.3</v>
      </c>
      <c r="G21" s="30">
        <f>F21/F24</f>
        <v>0.14102564102564105</v>
      </c>
      <c r="H21" s="103">
        <v>0.13985912812805004</v>
      </c>
      <c r="I21" s="103">
        <v>17942921.699999999</v>
      </c>
      <c r="J21" s="103">
        <f>I21*H21*G21</f>
        <v>353901.22096603288</v>
      </c>
      <c r="K21" s="103">
        <f>$J21*'RAIL EMIS FACTOR'!C$4/2000</f>
        <v>45.823205974082313</v>
      </c>
      <c r="L21" s="103">
        <f>$J21*'RAIL EMIS FACTOR'!D$4/2000</f>
        <v>10.892830677267566</v>
      </c>
      <c r="M21" s="103">
        <f>$J21*'RAIL EMIS FACTOR'!E$4/2000</f>
        <v>1.1455801493520577</v>
      </c>
      <c r="N21" s="103">
        <f>$J21*'RAIL EMIS FACTOR'!F$4/2000</f>
        <v>1.1112127448714957</v>
      </c>
      <c r="O21" s="103">
        <f>$J21*'RAIL EMIS FACTOR'!G$4/2000</f>
        <v>0.59042614360568579</v>
      </c>
      <c r="P21" s="103">
        <f>$J21*'RAIL EMIS FACTOR'!H$4/2000</f>
        <v>1.9817718312255346</v>
      </c>
      <c r="Q21" s="103">
        <f>$J21*'RAIL EMIS FACTOR'!I$4/2000</f>
        <v>3.408099752039561E-2</v>
      </c>
      <c r="R21" s="103">
        <f>$J21*'RAIL EMIS FACTOR'!J$4/2000</f>
        <v>4180.1401378321334</v>
      </c>
    </row>
    <row r="22" spans="1:18" x14ac:dyDescent="0.25">
      <c r="A22" s="144" t="s">
        <v>414</v>
      </c>
      <c r="B22" s="144"/>
      <c r="C22" s="145">
        <v>34031</v>
      </c>
      <c r="D22" s="144">
        <v>7.75</v>
      </c>
      <c r="E22" s="30">
        <v>1.2</v>
      </c>
      <c r="F22" s="110">
        <f>D22*1.2</f>
        <v>9.2999999999999989</v>
      </c>
      <c r="G22" s="30">
        <f>F22/F24</f>
        <v>0.39743589743589747</v>
      </c>
      <c r="H22" s="103">
        <v>0.13985912812805004</v>
      </c>
      <c r="I22" s="103">
        <v>17942921.699999999</v>
      </c>
      <c r="J22" s="103">
        <f>I22*H22*G22</f>
        <v>997357.98635881988</v>
      </c>
      <c r="K22" s="103">
        <f>$J22*'RAIL EMIS FACTOR'!C$4/2000</f>
        <v>129.13812592695922</v>
      </c>
      <c r="L22" s="103">
        <f>$J22*'RAIL EMIS FACTOR'!D$4/2000</f>
        <v>30.697977363208597</v>
      </c>
      <c r="M22" s="103">
        <f>$J22*'RAIL EMIS FACTOR'!E$4/2000</f>
        <v>3.2284531481739807</v>
      </c>
      <c r="N22" s="103">
        <f>$J22*'RAIL EMIS FACTOR'!F$4/2000</f>
        <v>3.1315995537287606</v>
      </c>
      <c r="O22" s="103">
        <f>$J22*'RAIL EMIS FACTOR'!G$4/2000</f>
        <v>1.6639282228887506</v>
      </c>
      <c r="P22" s="103">
        <f>$J22*'RAIL EMIS FACTOR'!H$4/2000</f>
        <v>5.5849933425446876</v>
      </c>
      <c r="Q22" s="103">
        <f>$J22*'RAIL EMIS FACTOR'!I$4/2000</f>
        <v>9.6046447557478543E-2</v>
      </c>
      <c r="R22" s="103">
        <f>$J22*'RAIL EMIS FACTOR'!J$4/2000</f>
        <v>11780.394933890557</v>
      </c>
    </row>
    <row r="23" spans="1:18" x14ac:dyDescent="0.25">
      <c r="A23" s="144" t="s">
        <v>413</v>
      </c>
      <c r="B23" s="144"/>
      <c r="C23" s="145">
        <v>34003</v>
      </c>
      <c r="D23" s="144">
        <v>4.75</v>
      </c>
      <c r="E23" s="30">
        <v>1.2</v>
      </c>
      <c r="F23" s="110">
        <f>D23*1.2</f>
        <v>5.7</v>
      </c>
      <c r="G23" s="30">
        <f>F23/F24</f>
        <v>0.24358974358974364</v>
      </c>
      <c r="H23" s="103">
        <v>0.13985912812805004</v>
      </c>
      <c r="I23" s="103">
        <v>17942921.699999999</v>
      </c>
      <c r="J23" s="103">
        <f>I23*H23*G23</f>
        <v>611283.92712314776</v>
      </c>
      <c r="K23" s="103">
        <f>$J23*'RAIL EMIS FACTOR'!C$4/2000</f>
        <v>79.149173955233081</v>
      </c>
      <c r="L23" s="103">
        <f>$J23*'RAIL EMIS FACTOR'!D$4/2000</f>
        <v>18.814889351643977</v>
      </c>
      <c r="M23" s="103">
        <f>$J23*'RAIL EMIS FACTOR'!E$4/2000</f>
        <v>1.9787293488808271</v>
      </c>
      <c r="N23" s="103">
        <f>$J23*'RAIL EMIS FACTOR'!F$4/2000</f>
        <v>1.919367468414402</v>
      </c>
      <c r="O23" s="103">
        <f>$J23*'RAIL EMIS FACTOR'!G$4/2000</f>
        <v>1.019826975318912</v>
      </c>
      <c r="P23" s="103">
        <f>$J23*'RAIL EMIS FACTOR'!H$4/2000</f>
        <v>3.4230604357531962</v>
      </c>
      <c r="Q23" s="103">
        <f>$J23*'RAIL EMIS FACTOR'!I$4/2000</f>
        <v>5.8867177535228792E-2</v>
      </c>
      <c r="R23" s="103">
        <f>$J23*'RAIL EMIS FACTOR'!J$4/2000</f>
        <v>7220.2420562555035</v>
      </c>
    </row>
    <row r="24" spans="1:18" x14ac:dyDescent="0.25">
      <c r="A24" s="144"/>
      <c r="B24" s="144"/>
      <c r="C24" s="144"/>
      <c r="D24" s="144"/>
      <c r="E24" s="30"/>
      <c r="F24" s="110">
        <f>SUM(F20:F23)</f>
        <v>23.399999999999995</v>
      </c>
      <c r="G24" s="30">
        <f>SUM(G20:G23)</f>
        <v>1.0000000000000002</v>
      </c>
      <c r="H24" s="103"/>
      <c r="I24" s="103"/>
      <c r="J24" s="103"/>
      <c r="K24" s="103"/>
      <c r="L24" s="103"/>
      <c r="M24" s="103"/>
      <c r="N24" s="103"/>
      <c r="O24" s="103"/>
      <c r="P24" s="103"/>
    </row>
    <row r="25" spans="1:18" x14ac:dyDescent="0.25">
      <c r="A25" s="144"/>
      <c r="B25" s="144"/>
      <c r="C25" s="144"/>
      <c r="D25" s="144"/>
      <c r="E25" s="110"/>
      <c r="F25" s="30"/>
      <c r="G25" s="30"/>
      <c r="H25" s="103"/>
      <c r="I25" s="103"/>
      <c r="J25" s="103"/>
      <c r="K25" s="103"/>
      <c r="L25" s="103"/>
      <c r="M25" s="103"/>
      <c r="N25" s="103"/>
      <c r="O25" s="103"/>
      <c r="P25" s="103"/>
    </row>
    <row r="26" spans="1:18" x14ac:dyDescent="0.25">
      <c r="A26" s="148" t="s">
        <v>415</v>
      </c>
      <c r="B26" s="148"/>
      <c r="C26" s="144" t="s">
        <v>411</v>
      </c>
      <c r="D26" s="110"/>
      <c r="E26" s="110"/>
      <c r="F26" s="110"/>
      <c r="G26" s="110"/>
      <c r="H26" s="103"/>
      <c r="I26" s="103"/>
      <c r="J26" s="103"/>
      <c r="K26" s="103"/>
      <c r="L26" s="103"/>
      <c r="M26" s="103"/>
      <c r="N26" s="103"/>
      <c r="O26" s="103"/>
      <c r="P26" s="103"/>
    </row>
    <row r="27" spans="1:18" x14ac:dyDescent="0.25">
      <c r="A27" s="144" t="s">
        <v>412</v>
      </c>
      <c r="B27" s="144"/>
      <c r="C27" s="145">
        <v>34017</v>
      </c>
      <c r="D27" s="110">
        <v>4.5</v>
      </c>
      <c r="E27" s="110">
        <v>1.2</v>
      </c>
      <c r="F27" s="110">
        <f>E27*D27</f>
        <v>5.3999999999999995</v>
      </c>
      <c r="G27" s="110">
        <f>F27/$F$30</f>
        <v>0.17821782178217821</v>
      </c>
      <c r="H27" s="103">
        <v>4.7248517841821658E-2</v>
      </c>
      <c r="I27" s="103">
        <v>17942921.699999999</v>
      </c>
      <c r="J27" s="103">
        <f>I27*H27*G27</f>
        <v>151088.87336023228</v>
      </c>
      <c r="K27" s="103">
        <f>$J27*'RAIL EMIS FACTOR'!C$4/2000</f>
        <v>19.563019719116653</v>
      </c>
      <c r="L27" s="103">
        <f>$J27*'RAIL EMIS FACTOR'!D$4/2000</f>
        <v>4.6504092589443013</v>
      </c>
      <c r="M27" s="103">
        <f>$J27*'RAIL EMIS FACTOR'!E$4/2000</f>
        <v>0.48907549297791625</v>
      </c>
      <c r="N27" s="103">
        <f>$J27*'RAIL EMIS FACTOR'!F$4/2000</f>
        <v>0.47440322818857872</v>
      </c>
      <c r="O27" s="103">
        <f>$J27*'RAIL EMIS FACTOR'!G$4/2000</f>
        <v>0.25206700501429402</v>
      </c>
      <c r="P27" s="103">
        <f>$J27*'RAIL EMIS FACTOR'!H$4/2000</f>
        <v>0.84606566888801105</v>
      </c>
      <c r="Q27" s="103">
        <f>$J27*'RAIL EMIS FACTOR'!I$4/2000</f>
        <v>1.454999082595328E-2</v>
      </c>
      <c r="R27" s="103">
        <f>$J27*'RAIL EMIS FACTOR'!J$4/2000</f>
        <v>1784.6015399126325</v>
      </c>
    </row>
    <row r="28" spans="1:18" x14ac:dyDescent="0.25">
      <c r="A28" s="144" t="s">
        <v>413</v>
      </c>
      <c r="B28" s="144"/>
      <c r="C28" s="145">
        <v>34003</v>
      </c>
      <c r="D28" s="110">
        <v>16</v>
      </c>
      <c r="E28" s="110">
        <v>1.2</v>
      </c>
      <c r="F28" s="110">
        <f>E28*D28</f>
        <v>19.2</v>
      </c>
      <c r="G28" s="110">
        <f>F28/$F$30</f>
        <v>0.63366336633663367</v>
      </c>
      <c r="H28" s="103">
        <v>4.7248517841821658E-2</v>
      </c>
      <c r="I28" s="103">
        <v>17942921.699999999</v>
      </c>
      <c r="J28" s="103">
        <f>I28*H28*G28</f>
        <v>537204.88305860362</v>
      </c>
      <c r="K28" s="103">
        <f>$J28*'RAIL EMIS FACTOR'!C$4/2000</f>
        <v>69.557403445748093</v>
      </c>
      <c r="L28" s="103">
        <f>$J28*'RAIL EMIS FACTOR'!D$4/2000</f>
        <v>16.534788476246405</v>
      </c>
      <c r="M28" s="103">
        <f>$J28*'RAIL EMIS FACTOR'!E$4/2000</f>
        <v>1.7389350861437021</v>
      </c>
      <c r="N28" s="103">
        <f>$J28*'RAIL EMIS FACTOR'!F$4/2000</f>
        <v>1.6867670335593909</v>
      </c>
      <c r="O28" s="103">
        <f>$J28*'RAIL EMIS FACTOR'!G$4/2000</f>
        <v>0.89623824005082309</v>
      </c>
      <c r="P28" s="103">
        <f>$J28*'RAIL EMIS FACTOR'!H$4/2000</f>
        <v>3.0082334893795948</v>
      </c>
      <c r="Q28" s="103">
        <f>$J28*'RAIL EMIS FACTOR'!I$4/2000</f>
        <v>5.1733300714500552E-2</v>
      </c>
      <c r="R28" s="103">
        <f>$J28*'RAIL EMIS FACTOR'!J$4/2000</f>
        <v>6345.2499196893596</v>
      </c>
    </row>
    <row r="29" spans="1:18" x14ac:dyDescent="0.25">
      <c r="A29" s="144" t="s">
        <v>416</v>
      </c>
      <c r="B29" s="144"/>
      <c r="C29" s="144"/>
      <c r="D29" s="110">
        <v>4.75</v>
      </c>
      <c r="E29" s="110">
        <v>1.2</v>
      </c>
      <c r="F29" s="110">
        <f>E29*D29</f>
        <v>5.7</v>
      </c>
      <c r="G29" s="110">
        <f>F29/$F$30</f>
        <v>0.18811881188118815</v>
      </c>
      <c r="H29" s="181">
        <v>0</v>
      </c>
      <c r="I29" s="181">
        <v>17942921.699999999</v>
      </c>
      <c r="J29" s="181">
        <f>I29*H29*G29</f>
        <v>0</v>
      </c>
      <c r="K29" s="103"/>
      <c r="L29" s="103"/>
      <c r="M29" s="103"/>
      <c r="N29" s="103"/>
      <c r="O29" s="103"/>
      <c r="P29" s="103"/>
    </row>
    <row r="30" spans="1:18" x14ac:dyDescent="0.25">
      <c r="A30" s="144"/>
      <c r="B30" s="144"/>
      <c r="C30" s="144"/>
      <c r="D30" s="110"/>
      <c r="E30" s="110"/>
      <c r="F30" s="110">
        <f>SUM(F27:F29)</f>
        <v>30.299999999999997</v>
      </c>
      <c r="G30" s="110">
        <f>SUM(G27:G29)</f>
        <v>1</v>
      </c>
      <c r="H30" s="103"/>
      <c r="I30" s="103"/>
      <c r="J30" s="103"/>
      <c r="K30" s="103"/>
      <c r="L30" s="103"/>
      <c r="M30" s="103"/>
      <c r="N30" s="103"/>
      <c r="O30" s="103"/>
      <c r="P30" s="103"/>
    </row>
    <row r="31" spans="1:18" x14ac:dyDescent="0.25">
      <c r="A31" s="144"/>
      <c r="B31" s="144"/>
      <c r="C31" s="144"/>
      <c r="D31" s="110"/>
      <c r="E31" s="110"/>
      <c r="F31" s="110"/>
      <c r="G31" s="110"/>
      <c r="H31" s="103"/>
      <c r="I31" s="103"/>
      <c r="J31" s="103"/>
      <c r="K31" s="103"/>
      <c r="L31" s="103"/>
      <c r="M31" s="103"/>
      <c r="N31" s="103"/>
      <c r="O31" s="103"/>
      <c r="P31" s="103"/>
    </row>
    <row r="32" spans="1:18" x14ac:dyDescent="0.25">
      <c r="A32" s="144"/>
      <c r="B32" s="144"/>
      <c r="C32" s="144"/>
      <c r="D32" s="146"/>
      <c r="E32" s="110"/>
      <c r="F32" s="110"/>
      <c r="G32" s="110"/>
      <c r="H32" s="103"/>
      <c r="I32" s="103"/>
      <c r="J32" s="103"/>
      <c r="K32" s="103"/>
      <c r="L32" s="103"/>
      <c r="M32" s="103"/>
      <c r="N32" s="103"/>
      <c r="O32" s="103"/>
      <c r="P32" s="103"/>
    </row>
    <row r="33" spans="1:18" x14ac:dyDescent="0.25">
      <c r="A33" s="148" t="s">
        <v>417</v>
      </c>
      <c r="B33" s="144"/>
      <c r="C33" s="144"/>
      <c r="D33" s="146"/>
      <c r="E33" s="110"/>
      <c r="F33" s="110"/>
      <c r="G33" s="110"/>
      <c r="H33" s="103"/>
      <c r="I33" s="103"/>
      <c r="J33" s="103"/>
      <c r="K33" s="103"/>
      <c r="L33" s="103"/>
      <c r="M33" s="103"/>
      <c r="N33" s="103"/>
      <c r="O33" s="103"/>
      <c r="P33" s="103"/>
    </row>
    <row r="34" spans="1:18" x14ac:dyDescent="0.25">
      <c r="A34" s="144" t="s">
        <v>418</v>
      </c>
      <c r="B34" s="144" t="s">
        <v>419</v>
      </c>
      <c r="C34" s="144">
        <v>34013</v>
      </c>
      <c r="D34" s="146">
        <v>8.75</v>
      </c>
      <c r="E34" s="30">
        <f>2+7/16</f>
        <v>2.4375</v>
      </c>
      <c r="F34" s="110">
        <f t="shared" ref="F34:F49" si="0">D34/E34</f>
        <v>3.5897435897435899</v>
      </c>
      <c r="G34" s="110">
        <f t="shared" ref="G34:G49" si="1">F34/$F$50</f>
        <v>8.3770317021693255E-2</v>
      </c>
      <c r="H34" s="103">
        <v>0</v>
      </c>
      <c r="I34" s="103">
        <v>17942921.699999999</v>
      </c>
      <c r="J34" s="103">
        <f t="shared" ref="J34:J49" si="2">I34*H34*G34</f>
        <v>0</v>
      </c>
      <c r="K34" s="103">
        <f>$J34*'RAIL EMIS FACTOR'!C$4/2000</f>
        <v>0</v>
      </c>
      <c r="L34" s="103">
        <f>$J34*'RAIL EMIS FACTOR'!D$4/2000</f>
        <v>0</v>
      </c>
      <c r="M34" s="103">
        <f>$J34*'RAIL EMIS FACTOR'!E$4/2000</f>
        <v>0</v>
      </c>
      <c r="N34" s="103">
        <f>$J34*'RAIL EMIS FACTOR'!F$4/2000</f>
        <v>0</v>
      </c>
      <c r="O34" s="103">
        <f>$J34*'RAIL EMIS FACTOR'!G$4/2000</f>
        <v>0</v>
      </c>
      <c r="P34" s="103">
        <f>$J34*'RAIL EMIS FACTOR'!H$4/2000</f>
        <v>0</v>
      </c>
      <c r="Q34" s="103">
        <f>$J34*'RAIL EMIS FACTOR'!I$4/2000</f>
        <v>0</v>
      </c>
      <c r="R34" s="103">
        <f>$J34*'RAIL EMIS FACTOR'!J$4/2000</f>
        <v>0</v>
      </c>
    </row>
    <row r="35" spans="1:18" x14ac:dyDescent="0.25">
      <c r="A35" s="144" t="s">
        <v>420</v>
      </c>
      <c r="B35" s="144" t="s">
        <v>421</v>
      </c>
      <c r="C35" s="144">
        <v>34039</v>
      </c>
      <c r="D35" s="146">
        <v>6.5</v>
      </c>
      <c r="E35" s="30">
        <f>2+7/16</f>
        <v>2.4375</v>
      </c>
      <c r="F35" s="110">
        <f t="shared" si="0"/>
        <v>2.6666666666666665</v>
      </c>
      <c r="G35" s="110">
        <f t="shared" si="1"/>
        <v>6.2229378358972132E-2</v>
      </c>
      <c r="H35" s="103">
        <v>0</v>
      </c>
      <c r="I35" s="103">
        <v>17942921.699999999</v>
      </c>
      <c r="J35" s="103">
        <f t="shared" si="2"/>
        <v>0</v>
      </c>
      <c r="K35" s="103">
        <f>$J35*'RAIL EMIS FACTOR'!C$4/2000</f>
        <v>0</v>
      </c>
      <c r="L35" s="103">
        <f>$J35*'RAIL EMIS FACTOR'!D$4/2000</f>
        <v>0</v>
      </c>
      <c r="M35" s="103">
        <f>$J35*'RAIL EMIS FACTOR'!E$4/2000</f>
        <v>0</v>
      </c>
      <c r="N35" s="103">
        <f>$J35*'RAIL EMIS FACTOR'!F$4/2000</f>
        <v>0</v>
      </c>
      <c r="O35" s="103">
        <f>$J35*'RAIL EMIS FACTOR'!G$4/2000</f>
        <v>0</v>
      </c>
      <c r="P35" s="103">
        <f>$J35*'RAIL EMIS FACTOR'!H$4/2000</f>
        <v>0</v>
      </c>
      <c r="Q35" s="103">
        <f>$J35*'RAIL EMIS FACTOR'!I$4/2000</f>
        <v>0</v>
      </c>
      <c r="R35" s="103">
        <f>$J35*'RAIL EMIS FACTOR'!J$4/2000</f>
        <v>0</v>
      </c>
    </row>
    <row r="36" spans="1:18" x14ac:dyDescent="0.25">
      <c r="A36" s="144" t="s">
        <v>420</v>
      </c>
      <c r="B36" s="144" t="s">
        <v>422</v>
      </c>
      <c r="C36" s="144">
        <v>34039</v>
      </c>
      <c r="D36" s="146">
        <v>7</v>
      </c>
      <c r="E36" s="30">
        <f>2+7/16</f>
        <v>2.4375</v>
      </c>
      <c r="F36" s="110">
        <f t="shared" si="0"/>
        <v>2.8717948717948718</v>
      </c>
      <c r="G36" s="110">
        <f t="shared" si="1"/>
        <v>6.701625361735461E-2</v>
      </c>
      <c r="H36" s="103">
        <v>0</v>
      </c>
      <c r="I36" s="103">
        <v>17942921.699999999</v>
      </c>
      <c r="J36" s="103">
        <f t="shared" si="2"/>
        <v>0</v>
      </c>
      <c r="K36" s="103">
        <f>$J36*'RAIL EMIS FACTOR'!C$4/2000</f>
        <v>0</v>
      </c>
      <c r="L36" s="103">
        <f>$J36*'RAIL EMIS FACTOR'!D$4/2000</f>
        <v>0</v>
      </c>
      <c r="M36" s="103">
        <f>$J36*'RAIL EMIS FACTOR'!E$4/2000</f>
        <v>0</v>
      </c>
      <c r="N36" s="103">
        <f>$J36*'RAIL EMIS FACTOR'!F$4/2000</f>
        <v>0</v>
      </c>
      <c r="O36" s="103">
        <f>$J36*'RAIL EMIS FACTOR'!G$4/2000</f>
        <v>0</v>
      </c>
      <c r="P36" s="103">
        <f>$J36*'RAIL EMIS FACTOR'!H$4/2000</f>
        <v>0</v>
      </c>
      <c r="Q36" s="103">
        <f>$J36*'RAIL EMIS FACTOR'!I$4/2000</f>
        <v>0</v>
      </c>
      <c r="R36" s="103">
        <f>$J36*'RAIL EMIS FACTOR'!J$4/2000</f>
        <v>0</v>
      </c>
    </row>
    <row r="37" spans="1:18" x14ac:dyDescent="0.25">
      <c r="A37" s="144" t="s">
        <v>420</v>
      </c>
      <c r="B37" s="144" t="s">
        <v>423</v>
      </c>
      <c r="C37" s="144">
        <v>39039</v>
      </c>
      <c r="D37" s="146">
        <v>5</v>
      </c>
      <c r="E37" s="30">
        <f>2+7/16</f>
        <v>2.4375</v>
      </c>
      <c r="F37" s="110">
        <f t="shared" si="0"/>
        <v>2.0512820512820511</v>
      </c>
      <c r="G37" s="110">
        <f t="shared" si="1"/>
        <v>4.7868752583824711E-2</v>
      </c>
      <c r="H37" s="103">
        <v>0</v>
      </c>
      <c r="I37" s="103">
        <v>17942921.699999999</v>
      </c>
      <c r="J37" s="103">
        <f t="shared" si="2"/>
        <v>0</v>
      </c>
      <c r="K37" s="103">
        <f>$J37*'RAIL EMIS FACTOR'!C$4/2000</f>
        <v>0</v>
      </c>
      <c r="L37" s="103">
        <f>$J37*'RAIL EMIS FACTOR'!D$4/2000</f>
        <v>0</v>
      </c>
      <c r="M37" s="103">
        <f>$J37*'RAIL EMIS FACTOR'!E$4/2000</f>
        <v>0</v>
      </c>
      <c r="N37" s="103">
        <f>$J37*'RAIL EMIS FACTOR'!F$4/2000</f>
        <v>0</v>
      </c>
      <c r="O37" s="103">
        <f>$J37*'RAIL EMIS FACTOR'!G$4/2000</f>
        <v>0</v>
      </c>
      <c r="P37" s="103">
        <f>$J37*'RAIL EMIS FACTOR'!H$4/2000</f>
        <v>0</v>
      </c>
      <c r="Q37" s="103">
        <f>$J37*'RAIL EMIS FACTOR'!I$4/2000</f>
        <v>0</v>
      </c>
      <c r="R37" s="103">
        <f>$J37*'RAIL EMIS FACTOR'!J$4/2000</f>
        <v>0</v>
      </c>
    </row>
    <row r="38" spans="1:18" x14ac:dyDescent="0.25">
      <c r="A38" s="144" t="s">
        <v>424</v>
      </c>
      <c r="B38" s="144" t="s">
        <v>425</v>
      </c>
      <c r="C38" s="144">
        <v>34023</v>
      </c>
      <c r="D38" s="146">
        <v>2.5</v>
      </c>
      <c r="E38" s="30">
        <f>1+3/8</f>
        <v>1.375</v>
      </c>
      <c r="F38" s="110">
        <f t="shared" si="0"/>
        <v>1.8181818181818181</v>
      </c>
      <c r="G38" s="110">
        <f t="shared" si="1"/>
        <v>4.2429121608390089E-2</v>
      </c>
      <c r="H38" s="103">
        <v>0</v>
      </c>
      <c r="I38" s="103">
        <v>17942921.699999999</v>
      </c>
      <c r="J38" s="103">
        <f t="shared" si="2"/>
        <v>0</v>
      </c>
      <c r="K38" s="103">
        <f>$J38*'RAIL EMIS FACTOR'!C$4/2000</f>
        <v>0</v>
      </c>
      <c r="L38" s="103">
        <f>$J38*'RAIL EMIS FACTOR'!D$4/2000</f>
        <v>0</v>
      </c>
      <c r="M38" s="103">
        <f>$J38*'RAIL EMIS FACTOR'!E$4/2000</f>
        <v>0</v>
      </c>
      <c r="N38" s="103">
        <f>$J38*'RAIL EMIS FACTOR'!F$4/2000</f>
        <v>0</v>
      </c>
      <c r="O38" s="103">
        <f>$J38*'RAIL EMIS FACTOR'!G$4/2000</f>
        <v>0</v>
      </c>
      <c r="P38" s="103">
        <f>$J38*'RAIL EMIS FACTOR'!H$4/2000</f>
        <v>0</v>
      </c>
      <c r="Q38" s="103">
        <f>$J38*'RAIL EMIS FACTOR'!I$4/2000</f>
        <v>0</v>
      </c>
      <c r="R38" s="103">
        <f>$J38*'RAIL EMIS FACTOR'!J$4/2000</f>
        <v>0</v>
      </c>
    </row>
    <row r="39" spans="1:18" x14ac:dyDescent="0.25">
      <c r="A39" s="144" t="s">
        <v>424</v>
      </c>
      <c r="B39" s="144" t="s">
        <v>426</v>
      </c>
      <c r="C39" s="144">
        <v>34023</v>
      </c>
      <c r="D39" s="146">
        <v>4.5</v>
      </c>
      <c r="E39" s="30">
        <v>1.375</v>
      </c>
      <c r="F39" s="110">
        <f t="shared" si="0"/>
        <v>3.2727272727272729</v>
      </c>
      <c r="G39" s="110">
        <f t="shared" si="1"/>
        <v>7.637241889510217E-2</v>
      </c>
      <c r="H39" s="103">
        <v>0</v>
      </c>
      <c r="I39" s="103">
        <v>17942921.699999999</v>
      </c>
      <c r="J39" s="103">
        <f t="shared" si="2"/>
        <v>0</v>
      </c>
      <c r="K39" s="103">
        <f>$J39*'RAIL EMIS FACTOR'!C$4/2000</f>
        <v>0</v>
      </c>
      <c r="L39" s="103">
        <f>$J39*'RAIL EMIS FACTOR'!D$4/2000</f>
        <v>0</v>
      </c>
      <c r="M39" s="103">
        <f>$J39*'RAIL EMIS FACTOR'!E$4/2000</f>
        <v>0</v>
      </c>
      <c r="N39" s="103">
        <f>$J39*'RAIL EMIS FACTOR'!F$4/2000</f>
        <v>0</v>
      </c>
      <c r="O39" s="103">
        <f>$J39*'RAIL EMIS FACTOR'!G$4/2000</f>
        <v>0</v>
      </c>
      <c r="P39" s="103">
        <f>$J39*'RAIL EMIS FACTOR'!H$4/2000</f>
        <v>0</v>
      </c>
      <c r="Q39" s="103">
        <f>$J39*'RAIL EMIS FACTOR'!I$4/2000</f>
        <v>0</v>
      </c>
      <c r="R39" s="103">
        <f>$J39*'RAIL EMIS FACTOR'!J$4/2000</f>
        <v>0</v>
      </c>
    </row>
    <row r="40" spans="1:18" x14ac:dyDescent="0.25">
      <c r="A40" s="144" t="s">
        <v>424</v>
      </c>
      <c r="B40" s="144" t="s">
        <v>427</v>
      </c>
      <c r="C40" s="304">
        <v>34023</v>
      </c>
      <c r="D40" s="146">
        <v>2</v>
      </c>
      <c r="E40" s="30">
        <f>1.375</f>
        <v>1.375</v>
      </c>
      <c r="F40" s="110">
        <f t="shared" si="0"/>
        <v>1.4545454545454546</v>
      </c>
      <c r="G40" s="110">
        <f t="shared" si="1"/>
        <v>3.3943297286712075E-2</v>
      </c>
      <c r="H40" s="103">
        <v>0</v>
      </c>
      <c r="I40" s="103">
        <v>17942921.699999999</v>
      </c>
      <c r="J40" s="103">
        <f t="shared" si="2"/>
        <v>0</v>
      </c>
      <c r="K40" s="103">
        <f>$J40*'RAIL EMIS FACTOR'!C$4/2000</f>
        <v>0</v>
      </c>
      <c r="L40" s="103">
        <f>$J40*'RAIL EMIS FACTOR'!D$4/2000</f>
        <v>0</v>
      </c>
      <c r="M40" s="103">
        <f>$J40*'RAIL EMIS FACTOR'!E$4/2000</f>
        <v>0</v>
      </c>
      <c r="N40" s="103">
        <f>$J40*'RAIL EMIS FACTOR'!F$4/2000</f>
        <v>0</v>
      </c>
      <c r="O40" s="103">
        <f>$J40*'RAIL EMIS FACTOR'!G$4/2000</f>
        <v>0</v>
      </c>
      <c r="P40" s="103">
        <f>$J40*'RAIL EMIS FACTOR'!H$4/2000</f>
        <v>0</v>
      </c>
      <c r="Q40" s="103">
        <f>$J40*'RAIL EMIS FACTOR'!I$4/2000</f>
        <v>0</v>
      </c>
      <c r="R40" s="103">
        <f>$J40*'RAIL EMIS FACTOR'!J$4/2000</f>
        <v>0</v>
      </c>
    </row>
    <row r="41" spans="1:18" x14ac:dyDescent="0.25">
      <c r="A41" s="144" t="s">
        <v>424</v>
      </c>
      <c r="B41" s="144" t="s">
        <v>428</v>
      </c>
      <c r="C41" s="304">
        <v>34023</v>
      </c>
      <c r="D41" s="146">
        <v>4</v>
      </c>
      <c r="E41" s="30">
        <f>1.375</f>
        <v>1.375</v>
      </c>
      <c r="F41" s="110">
        <f t="shared" si="0"/>
        <v>2.9090909090909092</v>
      </c>
      <c r="G41" s="110">
        <f t="shared" si="1"/>
        <v>6.788659457342415E-2</v>
      </c>
      <c r="H41" s="103">
        <v>0</v>
      </c>
      <c r="I41" s="103">
        <v>17942921.699999999</v>
      </c>
      <c r="J41" s="103">
        <f t="shared" si="2"/>
        <v>0</v>
      </c>
      <c r="K41" s="103">
        <f>$J41*'RAIL EMIS FACTOR'!C$4/2000</f>
        <v>0</v>
      </c>
      <c r="L41" s="103">
        <f>$J41*'RAIL EMIS FACTOR'!D$4/2000</f>
        <v>0</v>
      </c>
      <c r="M41" s="103">
        <f>$J41*'RAIL EMIS FACTOR'!E$4/2000</f>
        <v>0</v>
      </c>
      <c r="N41" s="103">
        <f>$J41*'RAIL EMIS FACTOR'!F$4/2000</f>
        <v>0</v>
      </c>
      <c r="O41" s="103">
        <f>$J41*'RAIL EMIS FACTOR'!G$4/2000</f>
        <v>0</v>
      </c>
      <c r="P41" s="103">
        <f>$J41*'RAIL EMIS FACTOR'!H$4/2000</f>
        <v>0</v>
      </c>
      <c r="Q41" s="103">
        <f>$J41*'RAIL EMIS FACTOR'!I$4/2000</f>
        <v>0</v>
      </c>
      <c r="R41" s="103">
        <f>$J41*'RAIL EMIS FACTOR'!J$4/2000</f>
        <v>0</v>
      </c>
    </row>
    <row r="42" spans="1:18" x14ac:dyDescent="0.25">
      <c r="A42" s="144" t="s">
        <v>424</v>
      </c>
      <c r="B42" s="144" t="s">
        <v>429</v>
      </c>
      <c r="C42" s="304">
        <v>34023</v>
      </c>
      <c r="D42" s="146">
        <v>5.25</v>
      </c>
      <c r="E42" s="30">
        <f>1.375</f>
        <v>1.375</v>
      </c>
      <c r="F42" s="110">
        <f t="shared" si="0"/>
        <v>3.8181818181818183</v>
      </c>
      <c r="G42" s="110">
        <f t="shared" si="1"/>
        <v>8.9101155377619201E-2</v>
      </c>
      <c r="H42" s="103">
        <v>0</v>
      </c>
      <c r="I42" s="103">
        <v>17942921.699999999</v>
      </c>
      <c r="J42" s="103">
        <f t="shared" si="2"/>
        <v>0</v>
      </c>
      <c r="K42" s="103">
        <f>$J42*'RAIL EMIS FACTOR'!C$4/2000</f>
        <v>0</v>
      </c>
      <c r="L42" s="103">
        <f>$J42*'RAIL EMIS FACTOR'!D$4/2000</f>
        <v>0</v>
      </c>
      <c r="M42" s="103">
        <f>$J42*'RAIL EMIS FACTOR'!E$4/2000</f>
        <v>0</v>
      </c>
      <c r="N42" s="103">
        <f>$J42*'RAIL EMIS FACTOR'!F$4/2000</f>
        <v>0</v>
      </c>
      <c r="O42" s="103">
        <f>$J42*'RAIL EMIS FACTOR'!G$4/2000</f>
        <v>0</v>
      </c>
      <c r="P42" s="103">
        <f>$J42*'RAIL EMIS FACTOR'!H$4/2000</f>
        <v>0</v>
      </c>
      <c r="Q42" s="103">
        <f>$J42*'RAIL EMIS FACTOR'!I$4/2000</f>
        <v>0</v>
      </c>
      <c r="R42" s="103">
        <f>$J42*'RAIL EMIS FACTOR'!J$4/2000</f>
        <v>0</v>
      </c>
    </row>
    <row r="43" spans="1:18" x14ac:dyDescent="0.25">
      <c r="A43" s="144" t="s">
        <v>430</v>
      </c>
      <c r="B43" s="144" t="s">
        <v>431</v>
      </c>
      <c r="C43" s="304">
        <v>34025</v>
      </c>
      <c r="D43" s="110">
        <v>3.5</v>
      </c>
      <c r="E43" s="30">
        <v>1.25</v>
      </c>
      <c r="F43" s="110">
        <f t="shared" si="0"/>
        <v>2.8</v>
      </c>
      <c r="G43" s="110">
        <f t="shared" si="1"/>
        <v>6.5340847276920744E-2</v>
      </c>
      <c r="H43" s="103">
        <v>0</v>
      </c>
      <c r="I43" s="103">
        <v>17942921.699999999</v>
      </c>
      <c r="J43" s="103">
        <f t="shared" si="2"/>
        <v>0</v>
      </c>
      <c r="K43" s="103">
        <f>$J43*'RAIL EMIS FACTOR'!C$4/2000</f>
        <v>0</v>
      </c>
      <c r="L43" s="103">
        <f>$J43*'RAIL EMIS FACTOR'!D$4/2000</f>
        <v>0</v>
      </c>
      <c r="M43" s="103">
        <f>$J43*'RAIL EMIS FACTOR'!E$4/2000</f>
        <v>0</v>
      </c>
      <c r="N43" s="103">
        <f>$J43*'RAIL EMIS FACTOR'!F$4/2000</f>
        <v>0</v>
      </c>
      <c r="O43" s="103">
        <f>$J43*'RAIL EMIS FACTOR'!G$4/2000</f>
        <v>0</v>
      </c>
      <c r="P43" s="103">
        <f>$J43*'RAIL EMIS FACTOR'!H$4/2000</f>
        <v>0</v>
      </c>
      <c r="Q43" s="103">
        <f>$J43*'RAIL EMIS FACTOR'!I$4/2000</f>
        <v>0</v>
      </c>
      <c r="R43" s="103">
        <f>$J43*'RAIL EMIS FACTOR'!J$4/2000</f>
        <v>0</v>
      </c>
    </row>
    <row r="44" spans="1:18" x14ac:dyDescent="0.25">
      <c r="A44" s="144" t="s">
        <v>430</v>
      </c>
      <c r="B44" s="144" t="s">
        <v>432</v>
      </c>
      <c r="C44" s="304">
        <v>34025</v>
      </c>
      <c r="D44" s="110">
        <v>2.5</v>
      </c>
      <c r="E44" s="30">
        <v>1.25</v>
      </c>
      <c r="F44" s="110">
        <f t="shared" si="0"/>
        <v>2</v>
      </c>
      <c r="G44" s="110">
        <f t="shared" si="1"/>
        <v>4.6672033769229099E-2</v>
      </c>
      <c r="H44" s="103">
        <v>0</v>
      </c>
      <c r="I44" s="103">
        <v>17942921.699999999</v>
      </c>
      <c r="J44" s="103">
        <f t="shared" si="2"/>
        <v>0</v>
      </c>
      <c r="K44" s="103">
        <f>$J44*'RAIL EMIS FACTOR'!C$4/2000</f>
        <v>0</v>
      </c>
      <c r="L44" s="103">
        <f>$J44*'RAIL EMIS FACTOR'!D$4/2000</f>
        <v>0</v>
      </c>
      <c r="M44" s="103">
        <f>$J44*'RAIL EMIS FACTOR'!E$4/2000</f>
        <v>0</v>
      </c>
      <c r="N44" s="103">
        <f>$J44*'RAIL EMIS FACTOR'!F$4/2000</f>
        <v>0</v>
      </c>
      <c r="O44" s="103">
        <f>$J44*'RAIL EMIS FACTOR'!G$4/2000</f>
        <v>0</v>
      </c>
      <c r="P44" s="103">
        <f>$J44*'RAIL EMIS FACTOR'!H$4/2000</f>
        <v>0</v>
      </c>
      <c r="Q44" s="103">
        <f>$J44*'RAIL EMIS FACTOR'!I$4/2000</f>
        <v>0</v>
      </c>
      <c r="R44" s="103">
        <f>$J44*'RAIL EMIS FACTOR'!J$4/2000</f>
        <v>0</v>
      </c>
    </row>
    <row r="45" spans="1:18" x14ac:dyDescent="0.25">
      <c r="A45" s="144" t="s">
        <v>430</v>
      </c>
      <c r="B45" s="144" t="s">
        <v>433</v>
      </c>
      <c r="C45" s="304">
        <v>34025</v>
      </c>
      <c r="D45" s="110">
        <v>3</v>
      </c>
      <c r="E45" s="30">
        <v>1.25</v>
      </c>
      <c r="F45" s="110">
        <f t="shared" si="0"/>
        <v>2.4</v>
      </c>
      <c r="G45" s="110">
        <f t="shared" si="1"/>
        <v>5.6006440523074921E-2</v>
      </c>
      <c r="H45" s="103">
        <v>0</v>
      </c>
      <c r="I45" s="103">
        <v>17942921.699999999</v>
      </c>
      <c r="J45" s="103">
        <f t="shared" si="2"/>
        <v>0</v>
      </c>
      <c r="K45" s="103">
        <f>$J45*'RAIL EMIS FACTOR'!C$4/2000</f>
        <v>0</v>
      </c>
      <c r="L45" s="103">
        <f>$J45*'RAIL EMIS FACTOR'!D$4/2000</f>
        <v>0</v>
      </c>
      <c r="M45" s="103">
        <f>$J45*'RAIL EMIS FACTOR'!E$4/2000</f>
        <v>0</v>
      </c>
      <c r="N45" s="103">
        <f>$J45*'RAIL EMIS FACTOR'!F$4/2000</f>
        <v>0</v>
      </c>
      <c r="O45" s="103">
        <f>$J45*'RAIL EMIS FACTOR'!G$4/2000</f>
        <v>0</v>
      </c>
      <c r="P45" s="103">
        <f>$J45*'RAIL EMIS FACTOR'!H$4/2000</f>
        <v>0</v>
      </c>
      <c r="Q45" s="103">
        <f>$J45*'RAIL EMIS FACTOR'!I$4/2000</f>
        <v>0</v>
      </c>
      <c r="R45" s="103">
        <f>$J45*'RAIL EMIS FACTOR'!J$4/2000</f>
        <v>0</v>
      </c>
    </row>
    <row r="46" spans="1:18" x14ac:dyDescent="0.25">
      <c r="A46" s="144" t="s">
        <v>430</v>
      </c>
      <c r="B46" s="144" t="s">
        <v>434</v>
      </c>
      <c r="C46" s="304">
        <v>34025</v>
      </c>
      <c r="D46" s="110">
        <v>2.5</v>
      </c>
      <c r="E46" s="30">
        <v>1.25</v>
      </c>
      <c r="F46" s="110">
        <f t="shared" si="0"/>
        <v>2</v>
      </c>
      <c r="G46" s="110">
        <f t="shared" si="1"/>
        <v>4.6672033769229099E-2</v>
      </c>
      <c r="H46" s="103">
        <v>0</v>
      </c>
      <c r="I46" s="103">
        <v>17942921.699999999</v>
      </c>
      <c r="J46" s="103">
        <f t="shared" si="2"/>
        <v>0</v>
      </c>
      <c r="K46" s="103">
        <f>$J46*'RAIL EMIS FACTOR'!C$4/2000</f>
        <v>0</v>
      </c>
      <c r="L46" s="103">
        <f>$J46*'RAIL EMIS FACTOR'!D$4/2000</f>
        <v>0</v>
      </c>
      <c r="M46" s="103">
        <f>$J46*'RAIL EMIS FACTOR'!E$4/2000</f>
        <v>0</v>
      </c>
      <c r="N46" s="103">
        <f>$J46*'RAIL EMIS FACTOR'!F$4/2000</f>
        <v>0</v>
      </c>
      <c r="O46" s="103">
        <f>$J46*'RAIL EMIS FACTOR'!G$4/2000</f>
        <v>0</v>
      </c>
      <c r="P46" s="103">
        <f>$J46*'RAIL EMIS FACTOR'!H$4/2000</f>
        <v>0</v>
      </c>
      <c r="Q46" s="103">
        <f>$J46*'RAIL EMIS FACTOR'!I$4/2000</f>
        <v>0</v>
      </c>
      <c r="R46" s="103">
        <f>$J46*'RAIL EMIS FACTOR'!J$4/2000</f>
        <v>0</v>
      </c>
    </row>
    <row r="47" spans="1:18" x14ac:dyDescent="0.25">
      <c r="A47" s="144" t="s">
        <v>430</v>
      </c>
      <c r="B47" s="144" t="s">
        <v>435</v>
      </c>
      <c r="C47" s="304">
        <v>34025</v>
      </c>
      <c r="D47" s="110">
        <v>2.25</v>
      </c>
      <c r="E47" s="30">
        <v>1.25</v>
      </c>
      <c r="F47" s="110">
        <f t="shared" si="0"/>
        <v>1.8</v>
      </c>
      <c r="G47" s="110">
        <f t="shared" si="1"/>
        <v>4.2004830392306194E-2</v>
      </c>
      <c r="H47" s="103">
        <v>0</v>
      </c>
      <c r="I47" s="103">
        <v>17942921.699999999</v>
      </c>
      <c r="J47" s="103">
        <f t="shared" si="2"/>
        <v>0</v>
      </c>
      <c r="K47" s="103">
        <f>$J47*'RAIL EMIS FACTOR'!C$4/2000</f>
        <v>0</v>
      </c>
      <c r="L47" s="103">
        <f>$J47*'RAIL EMIS FACTOR'!D$4/2000</f>
        <v>0</v>
      </c>
      <c r="M47" s="103">
        <f>$J47*'RAIL EMIS FACTOR'!E$4/2000</f>
        <v>0</v>
      </c>
      <c r="N47" s="103">
        <f>$J47*'RAIL EMIS FACTOR'!F$4/2000</f>
        <v>0</v>
      </c>
      <c r="O47" s="103">
        <f>$J47*'RAIL EMIS FACTOR'!G$4/2000</f>
        <v>0</v>
      </c>
      <c r="P47" s="103">
        <f>$J47*'RAIL EMIS FACTOR'!H$4/2000</f>
        <v>0</v>
      </c>
      <c r="Q47" s="103">
        <f>$J47*'RAIL EMIS FACTOR'!I$4/2000</f>
        <v>0</v>
      </c>
      <c r="R47" s="103">
        <f>$J47*'RAIL EMIS FACTOR'!J$4/2000</f>
        <v>0</v>
      </c>
    </row>
    <row r="48" spans="1:18" x14ac:dyDescent="0.25">
      <c r="A48" s="144" t="s">
        <v>430</v>
      </c>
      <c r="B48" s="144" t="s">
        <v>436</v>
      </c>
      <c r="C48" s="304">
        <v>34025</v>
      </c>
      <c r="D48" s="110">
        <v>7.5</v>
      </c>
      <c r="E48" s="30">
        <v>1.25</v>
      </c>
      <c r="F48" s="110">
        <f t="shared" si="0"/>
        <v>6</v>
      </c>
      <c r="G48" s="110">
        <f t="shared" si="1"/>
        <v>0.1400161013076873</v>
      </c>
      <c r="H48" s="103">
        <v>0</v>
      </c>
      <c r="I48" s="103">
        <v>17942921.699999999</v>
      </c>
      <c r="J48" s="103">
        <f t="shared" si="2"/>
        <v>0</v>
      </c>
      <c r="K48" s="103">
        <f>$J48*'RAIL EMIS FACTOR'!C$4/2000</f>
        <v>0</v>
      </c>
      <c r="L48" s="103">
        <f>$J48*'RAIL EMIS FACTOR'!D$4/2000</f>
        <v>0</v>
      </c>
      <c r="M48" s="103">
        <f>$J48*'RAIL EMIS FACTOR'!E$4/2000</f>
        <v>0</v>
      </c>
      <c r="N48" s="103">
        <f>$J48*'RAIL EMIS FACTOR'!F$4/2000</f>
        <v>0</v>
      </c>
      <c r="O48" s="103">
        <f>$J48*'RAIL EMIS FACTOR'!G$4/2000</f>
        <v>0</v>
      </c>
      <c r="P48" s="103">
        <f>$J48*'RAIL EMIS FACTOR'!H$4/2000</f>
        <v>0</v>
      </c>
      <c r="Q48" s="103">
        <f>$J48*'RAIL EMIS FACTOR'!I$4/2000</f>
        <v>0</v>
      </c>
      <c r="R48" s="103">
        <f>$J48*'RAIL EMIS FACTOR'!J$4/2000</f>
        <v>0</v>
      </c>
    </row>
    <row r="49" spans="1:18" x14ac:dyDescent="0.25">
      <c r="A49" s="144" t="s">
        <v>430</v>
      </c>
      <c r="B49" s="144" t="s">
        <v>437</v>
      </c>
      <c r="C49" s="304">
        <v>34025</v>
      </c>
      <c r="D49" s="110">
        <v>1.75</v>
      </c>
      <c r="E49" s="30">
        <v>1.25</v>
      </c>
      <c r="F49" s="110">
        <f t="shared" si="0"/>
        <v>1.4</v>
      </c>
      <c r="G49" s="110">
        <f t="shared" si="1"/>
        <v>3.2670423638460372E-2</v>
      </c>
      <c r="H49" s="103">
        <v>0</v>
      </c>
      <c r="I49" s="103">
        <v>17942921.699999999</v>
      </c>
      <c r="J49" s="103">
        <f t="shared" si="2"/>
        <v>0</v>
      </c>
      <c r="K49" s="103">
        <f>$J49*'RAIL EMIS FACTOR'!C$4/2000</f>
        <v>0</v>
      </c>
      <c r="L49" s="103">
        <f>$J49*'RAIL EMIS FACTOR'!D$4/2000</f>
        <v>0</v>
      </c>
      <c r="M49" s="103">
        <f>$J49*'RAIL EMIS FACTOR'!E$4/2000</f>
        <v>0</v>
      </c>
      <c r="N49" s="103">
        <f>$J49*'RAIL EMIS FACTOR'!F$4/2000</f>
        <v>0</v>
      </c>
      <c r="O49" s="103">
        <f>$J49*'RAIL EMIS FACTOR'!G$4/2000</f>
        <v>0</v>
      </c>
      <c r="P49" s="103">
        <f>$J49*'RAIL EMIS FACTOR'!H$4/2000</f>
        <v>0</v>
      </c>
      <c r="Q49" s="103">
        <f>$J49*'RAIL EMIS FACTOR'!I$4/2000</f>
        <v>0</v>
      </c>
      <c r="R49" s="103">
        <f>$J49*'RAIL EMIS FACTOR'!J$4/2000</f>
        <v>0</v>
      </c>
    </row>
    <row r="50" spans="1:18" x14ac:dyDescent="0.25">
      <c r="A50" s="144"/>
      <c r="B50" s="144"/>
      <c r="C50" s="181"/>
      <c r="D50" s="110"/>
      <c r="E50" s="110"/>
      <c r="F50" s="110">
        <f>SUM(F34:F49)</f>
        <v>42.852214452214447</v>
      </c>
      <c r="G50" s="110">
        <f>SUM(G34:G49)</f>
        <v>1</v>
      </c>
      <c r="H50" s="103"/>
      <c r="I50" s="103"/>
      <c r="J50" s="103"/>
      <c r="K50" s="103"/>
      <c r="L50" s="103"/>
      <c r="M50" s="103"/>
      <c r="N50" s="103"/>
      <c r="O50" s="103"/>
      <c r="P50" s="103"/>
    </row>
    <row r="51" spans="1:18" x14ac:dyDescent="0.25">
      <c r="A51" s="30"/>
      <c r="B51" s="30"/>
      <c r="C51" s="181"/>
      <c r="D51" s="30"/>
      <c r="E51" s="30"/>
      <c r="F51" s="30"/>
      <c r="G51" s="30"/>
      <c r="H51" s="103"/>
      <c r="I51" s="103"/>
      <c r="J51" s="103"/>
      <c r="K51" s="103"/>
      <c r="L51" s="103"/>
      <c r="M51" s="103"/>
      <c r="N51" s="103"/>
      <c r="O51" s="103"/>
      <c r="P51" s="103"/>
    </row>
    <row r="52" spans="1:18" x14ac:dyDescent="0.25">
      <c r="A52" s="144"/>
      <c r="B52" s="144"/>
      <c r="C52" s="181"/>
      <c r="D52" s="30"/>
      <c r="E52" s="144"/>
      <c r="F52" s="30"/>
      <c r="G52" s="30"/>
      <c r="H52" s="103"/>
      <c r="I52" s="103"/>
      <c r="J52" s="103"/>
      <c r="K52" s="103"/>
      <c r="L52" s="103"/>
      <c r="M52" s="103"/>
      <c r="N52" s="103"/>
      <c r="O52" s="103"/>
      <c r="P52" s="103"/>
    </row>
    <row r="53" spans="1:18" x14ac:dyDescent="0.25">
      <c r="A53" s="148" t="s">
        <v>438</v>
      </c>
      <c r="B53" s="148"/>
      <c r="C53" s="181" t="s">
        <v>411</v>
      </c>
      <c r="D53" s="110"/>
      <c r="E53" s="110"/>
      <c r="F53" s="110"/>
      <c r="G53" s="110"/>
      <c r="H53" s="103"/>
      <c r="I53" s="103"/>
      <c r="J53" s="103"/>
      <c r="K53" s="103"/>
      <c r="L53" s="103"/>
      <c r="M53" s="103"/>
      <c r="N53" s="103"/>
      <c r="O53" s="103"/>
      <c r="P53" s="103"/>
    </row>
    <row r="54" spans="1:18" x14ac:dyDescent="0.25">
      <c r="A54" s="144" t="s">
        <v>430</v>
      </c>
      <c r="B54" s="144" t="s">
        <v>439</v>
      </c>
      <c r="C54" s="304">
        <v>34025</v>
      </c>
      <c r="D54" s="110">
        <v>37.125</v>
      </c>
      <c r="E54" s="30">
        <v>1.25</v>
      </c>
      <c r="F54" s="110">
        <f>D54/E54</f>
        <v>29.7</v>
      </c>
      <c r="G54" s="110">
        <f>F54/F56</f>
        <v>0.96036299155105875</v>
      </c>
      <c r="H54" s="103">
        <v>0.13841728322367775</v>
      </c>
      <c r="I54" s="103">
        <v>17942921.699999999</v>
      </c>
      <c r="J54" s="103">
        <f>I54*H54*G54</f>
        <v>2385167.5854352834</v>
      </c>
      <c r="K54" s="103">
        <f>$J54*'RAIL EMIS FACTOR'!C$4/2000</f>
        <v>308.83201038912404</v>
      </c>
      <c r="L54" s="103">
        <f>$J54*'RAIL EMIS FACTOR'!D$4/2000</f>
        <v>73.413780755357493</v>
      </c>
      <c r="M54" s="103">
        <f>$J54*'RAIL EMIS FACTOR'!E$4/2000</f>
        <v>7.7208002597281</v>
      </c>
      <c r="N54" s="103">
        <f>$J54*'RAIL EMIS FACTOR'!F$4/2000</f>
        <v>7.4891762519362572</v>
      </c>
      <c r="O54" s="103">
        <f>$J54*'RAIL EMIS FACTOR'!G$4/2000</f>
        <v>3.979260923366533</v>
      </c>
      <c r="P54" s="103">
        <f>$J54*'RAIL EMIS FACTOR'!H$4/2000</f>
        <v>13.356432963596776</v>
      </c>
      <c r="Q54" s="103">
        <f>$J54*'RAIL EMIS FACTOR'!I$4/2000</f>
        <v>0.22969372737131619</v>
      </c>
      <c r="R54" s="103">
        <f>$J54*'RAIL EMIS FACTOR'!J$4/2000</f>
        <v>28172.648662015003</v>
      </c>
    </row>
    <row r="55" spans="1:18" x14ac:dyDescent="0.25">
      <c r="A55" s="144" t="s">
        <v>263</v>
      </c>
      <c r="B55" s="144" t="s">
        <v>440</v>
      </c>
      <c r="C55" s="145">
        <v>34029</v>
      </c>
      <c r="D55" s="144">
        <v>2.375</v>
      </c>
      <c r="E55" s="30">
        <f>1+15/16</f>
        <v>1.9375</v>
      </c>
      <c r="F55" s="110">
        <f>D55/E55</f>
        <v>1.2258064516129032</v>
      </c>
      <c r="G55" s="110">
        <f>F55/F56</f>
        <v>3.9637008448941274E-2</v>
      </c>
      <c r="H55" s="103">
        <v>0.13841728322367775</v>
      </c>
      <c r="I55" s="103">
        <v>17942921.699999999</v>
      </c>
      <c r="J55" s="103">
        <f>I55*H55*G55</f>
        <v>98442.889373890255</v>
      </c>
      <c r="K55" s="103">
        <f>$J55*'RAIL EMIS FACTOR'!C$4/2000</f>
        <v>12.746406424227994</v>
      </c>
      <c r="L55" s="103">
        <f>$J55*'RAIL EMIS FACTOR'!D$4/2000</f>
        <v>3.0300028985593399</v>
      </c>
      <c r="M55" s="103">
        <f>$J55*'RAIL EMIS FACTOR'!E$4/2000</f>
        <v>0.31866016060569979</v>
      </c>
      <c r="N55" s="103">
        <f>$J55*'RAIL EMIS FACTOR'!F$4/2000</f>
        <v>0.30910035578752876</v>
      </c>
      <c r="O55" s="103">
        <f>$J55*'RAIL EMIS FACTOR'!G$4/2000</f>
        <v>0.16423581523615535</v>
      </c>
      <c r="P55" s="103">
        <f>$J55*'RAIL EMIS FACTOR'!H$4/2000</f>
        <v>0.55125931640781733</v>
      </c>
      <c r="Q55" s="103">
        <f>$J55*'RAIL EMIS FACTOR'!I$4/2000</f>
        <v>9.4801364615075649E-3</v>
      </c>
      <c r="R55" s="103">
        <f>$J55*'RAIL EMIS FACTOR'!J$4/2000</f>
        <v>1162.7681646101553</v>
      </c>
    </row>
    <row r="56" spans="1:18" x14ac:dyDescent="0.25">
      <c r="A56" s="144"/>
      <c r="B56" s="144"/>
      <c r="C56" s="145"/>
      <c r="D56" s="103"/>
      <c r="E56" s="30"/>
      <c r="F56" s="110">
        <f>SUM(F54:F55)</f>
        <v>30.925806451612903</v>
      </c>
      <c r="G56" s="110">
        <f>SUM(G54:G55)</f>
        <v>1</v>
      </c>
      <c r="H56" s="103"/>
      <c r="I56" s="103"/>
      <c r="J56" s="103"/>
      <c r="K56" s="103"/>
      <c r="L56" s="103"/>
      <c r="M56" s="103"/>
      <c r="N56" s="103"/>
      <c r="O56" s="103"/>
      <c r="P56" s="103"/>
    </row>
    <row r="57" spans="1:18" x14ac:dyDescent="0.25">
      <c r="A57" s="144"/>
      <c r="B57" s="144"/>
      <c r="C57" s="145"/>
      <c r="D57" s="103"/>
      <c r="E57" s="30"/>
      <c r="F57" s="110"/>
      <c r="G57" s="110"/>
      <c r="H57" s="103"/>
      <c r="I57" s="103"/>
      <c r="J57" s="103"/>
      <c r="K57" s="103"/>
      <c r="L57" s="103"/>
      <c r="M57" s="103"/>
      <c r="N57" s="103"/>
      <c r="O57" s="103"/>
      <c r="P57" s="103"/>
    </row>
    <row r="58" spans="1:18" x14ac:dyDescent="0.25">
      <c r="A58" s="144"/>
      <c r="B58" s="144"/>
      <c r="C58" s="304"/>
      <c r="D58" s="110"/>
      <c r="E58" s="110"/>
      <c r="F58" s="110"/>
      <c r="G58" s="110"/>
      <c r="H58" s="103"/>
      <c r="I58" s="103"/>
      <c r="J58" s="103"/>
      <c r="K58" s="103"/>
      <c r="L58" s="103"/>
      <c r="M58" s="103"/>
      <c r="N58" s="103"/>
      <c r="O58" s="103"/>
      <c r="P58" s="103"/>
    </row>
    <row r="59" spans="1:18" x14ac:dyDescent="0.25">
      <c r="A59" s="148" t="s">
        <v>441</v>
      </c>
      <c r="B59" s="148"/>
      <c r="C59" s="304" t="s">
        <v>411</v>
      </c>
      <c r="D59" s="110"/>
      <c r="E59" s="110"/>
      <c r="F59" s="110"/>
      <c r="G59" s="110"/>
      <c r="H59" s="103"/>
      <c r="I59" s="103"/>
      <c r="J59" s="103"/>
      <c r="K59" s="103"/>
      <c r="L59" s="103"/>
      <c r="M59" s="103"/>
      <c r="N59" s="103"/>
      <c r="O59" s="103"/>
      <c r="P59" s="103"/>
    </row>
    <row r="60" spans="1:18" x14ac:dyDescent="0.25">
      <c r="A60" s="144" t="s">
        <v>442</v>
      </c>
      <c r="B60" s="144"/>
      <c r="C60" s="145">
        <v>34001</v>
      </c>
      <c r="D60" s="110">
        <f>10.5+10+3/8+3.5</f>
        <v>24.375</v>
      </c>
      <c r="E60" s="110">
        <v>1.2</v>
      </c>
      <c r="F60" s="110">
        <f>E60*D60</f>
        <v>29.25</v>
      </c>
      <c r="G60" s="110">
        <f>F60/F63</f>
        <v>0.4342984409799554</v>
      </c>
      <c r="H60" s="103">
        <v>1</v>
      </c>
      <c r="I60" s="103">
        <v>1223918</v>
      </c>
      <c r="J60" s="103">
        <f>I60*H60*G60</f>
        <v>531545.6792873051</v>
      </c>
      <c r="K60" s="103">
        <f>$J60*'RAIL EMIS FACTOR'!C$4/2000</f>
        <v>68.824648527995478</v>
      </c>
      <c r="L60" s="103">
        <f>$J60*'RAIL EMIS FACTOR'!D$4/2000</f>
        <v>16.360602164369212</v>
      </c>
      <c r="M60" s="103">
        <f>$J60*'RAIL EMIS FACTOR'!E$4/2000</f>
        <v>1.720616213199887</v>
      </c>
      <c r="N60" s="103">
        <f>$J60*'RAIL EMIS FACTOR'!F$4/2000</f>
        <v>1.6689977268038902</v>
      </c>
      <c r="O60" s="103">
        <f>$J60*'RAIL EMIS FACTOR'!G$4/2000</f>
        <v>0.88679678672821016</v>
      </c>
      <c r="P60" s="103">
        <f>$J60*'RAIL EMIS FACTOR'!H$4/2000</f>
        <v>2.9765431476777184</v>
      </c>
      <c r="Q60" s="103">
        <f>$J60*'RAIL EMIS FACTOR'!I$4/2000</f>
        <v>5.1188314435078951E-2</v>
      </c>
      <c r="R60" s="103">
        <f>$J60*'RAIL EMIS FACTOR'!J$4/2000</f>
        <v>6278.4056608083019</v>
      </c>
    </row>
    <row r="61" spans="1:18" x14ac:dyDescent="0.25">
      <c r="A61" s="144" t="s">
        <v>443</v>
      </c>
      <c r="B61" s="144"/>
      <c r="C61" s="145">
        <v>34007</v>
      </c>
      <c r="D61" s="110">
        <f>2.5+16.5+4.5</f>
        <v>23.5</v>
      </c>
      <c r="E61" s="110">
        <v>1.2</v>
      </c>
      <c r="F61" s="110">
        <f>E61*D61</f>
        <v>28.2</v>
      </c>
      <c r="G61" s="110">
        <f>F61/F63</f>
        <v>0.4187082405345211</v>
      </c>
      <c r="H61" s="103">
        <v>1</v>
      </c>
      <c r="I61" s="103">
        <v>1223918</v>
      </c>
      <c r="J61" s="103">
        <f>I61*H61*G61</f>
        <v>512464.55233853002</v>
      </c>
      <c r="K61" s="103">
        <f>$J61*'RAIL EMIS FACTOR'!C$4/2000</f>
        <v>66.354020119298212</v>
      </c>
      <c r="L61" s="103">
        <f>$J61*'RAIL EMIS FACTOR'!D$4/2000</f>
        <v>15.773298496930316</v>
      </c>
      <c r="M61" s="103">
        <f>$J61*'RAIL EMIS FACTOR'!E$4/2000</f>
        <v>1.6588505029824547</v>
      </c>
      <c r="N61" s="103">
        <f>$J61*'RAIL EMIS FACTOR'!F$4/2000</f>
        <v>1.6090849878929812</v>
      </c>
      <c r="O61" s="103">
        <f>$J61*'RAIL EMIS FACTOR'!G$4/2000</f>
        <v>0.85496305592258204</v>
      </c>
      <c r="P61" s="103">
        <f>$J61*'RAIL EMIS FACTOR'!H$4/2000</f>
        <v>2.8696928808380053</v>
      </c>
      <c r="Q61" s="103">
        <f>$J61*'RAIL EMIS FACTOR'!I$4/2000</f>
        <v>4.9350785198947908E-2</v>
      </c>
      <c r="R61" s="103">
        <f>$J61*'RAIL EMIS FACTOR'!J$4/2000</f>
        <v>6053.0269960613368</v>
      </c>
    </row>
    <row r="62" spans="1:18" x14ac:dyDescent="0.25">
      <c r="A62" s="144" t="s">
        <v>444</v>
      </c>
      <c r="B62" s="144"/>
      <c r="C62" s="304"/>
      <c r="D62" s="110">
        <v>8.25</v>
      </c>
      <c r="E62" s="110">
        <v>1.2</v>
      </c>
      <c r="F62" s="110">
        <f>E62*D62</f>
        <v>9.9</v>
      </c>
      <c r="G62" s="110">
        <f>F62/F63</f>
        <v>0.14699331848552338</v>
      </c>
      <c r="H62" s="103">
        <v>0</v>
      </c>
      <c r="I62" s="181">
        <v>1223918</v>
      </c>
      <c r="J62" s="181">
        <f>I62*H62*G62</f>
        <v>0</v>
      </c>
      <c r="K62" s="103"/>
      <c r="L62" s="103"/>
      <c r="M62" s="103"/>
      <c r="N62" s="103"/>
      <c r="O62" s="103"/>
      <c r="P62" s="103"/>
    </row>
    <row r="63" spans="1:18" x14ac:dyDescent="0.25">
      <c r="A63" s="144"/>
      <c r="B63" s="144"/>
      <c r="C63" s="304"/>
      <c r="D63" s="110"/>
      <c r="E63" s="110"/>
      <c r="F63" s="110">
        <f>SUM(F60:F62)</f>
        <v>67.350000000000009</v>
      </c>
      <c r="G63" s="110">
        <f>SUM(G60:G62)</f>
        <v>1</v>
      </c>
      <c r="H63" s="103"/>
      <c r="I63" s="103"/>
      <c r="J63" s="103"/>
      <c r="K63" s="103"/>
      <c r="L63" s="103"/>
      <c r="M63" s="103"/>
      <c r="N63" s="103"/>
      <c r="O63" s="103"/>
      <c r="P63" s="103"/>
    </row>
    <row r="64" spans="1:18" x14ac:dyDescent="0.25">
      <c r="A64" s="30"/>
      <c r="B64" s="30"/>
      <c r="C64" s="304"/>
      <c r="D64" s="110"/>
      <c r="E64" s="110"/>
      <c r="F64" s="110"/>
      <c r="G64" s="110"/>
      <c r="H64" s="103"/>
      <c r="I64" s="103"/>
      <c r="J64" s="103"/>
      <c r="K64" s="103"/>
      <c r="L64" s="103"/>
      <c r="M64" s="103"/>
      <c r="N64" s="103"/>
      <c r="O64" s="103"/>
      <c r="P64" s="103"/>
    </row>
    <row r="65" spans="1:18" x14ac:dyDescent="0.25">
      <c r="A65" s="101" t="s">
        <v>445</v>
      </c>
      <c r="B65" s="30"/>
      <c r="C65" s="304"/>
      <c r="D65" s="110" t="s">
        <v>411</v>
      </c>
      <c r="E65" s="110"/>
      <c r="F65" s="110"/>
      <c r="G65" s="110"/>
      <c r="H65" s="103"/>
      <c r="I65" s="103"/>
      <c r="J65" s="103"/>
      <c r="K65" s="103"/>
      <c r="L65" s="103"/>
      <c r="M65" s="103"/>
      <c r="N65" s="103"/>
      <c r="O65" s="103"/>
      <c r="P65" s="103"/>
    </row>
    <row r="66" spans="1:18" x14ac:dyDescent="0.25">
      <c r="A66" s="144" t="s">
        <v>418</v>
      </c>
      <c r="B66" s="144"/>
      <c r="C66" s="145">
        <v>34013</v>
      </c>
      <c r="D66" s="144">
        <v>8.75</v>
      </c>
      <c r="E66" s="30">
        <f>2+7/16</f>
        <v>2.4375</v>
      </c>
      <c r="F66" s="110">
        <f>D66/E66</f>
        <v>3.5897435897435899</v>
      </c>
      <c r="G66" s="110">
        <f>F66/$F$70</f>
        <v>7.3263558515699337E-2</v>
      </c>
      <c r="H66" s="103">
        <v>5.6582565461081855E-2</v>
      </c>
      <c r="I66" s="103">
        <v>17942921.699999999</v>
      </c>
      <c r="J66" s="103">
        <f>I66*H66*G66</f>
        <v>74381.307047864262</v>
      </c>
      <c r="K66" s="103">
        <f>$J66*'RAIL EMIS FACTOR'!C$4/2000</f>
        <v>9.6309075853764234</v>
      </c>
      <c r="L66" s="103">
        <f>$J66*'RAIL EMIS FACTOR'!D$4/2000</f>
        <v>2.2894043174380529</v>
      </c>
      <c r="M66" s="103">
        <f>$J66*'RAIL EMIS FACTOR'!E$4/2000</f>
        <v>0.24077268963441059</v>
      </c>
      <c r="N66" s="103">
        <f>$J66*'RAIL EMIS FACTOR'!F$4/2000</f>
        <v>0.23354950894537824</v>
      </c>
      <c r="O66" s="103">
        <f>$J66*'RAIL EMIS FACTOR'!G$4/2000</f>
        <v>0.12409301148140429</v>
      </c>
      <c r="P66" s="103">
        <f>$J66*'RAIL EMIS FACTOR'!H$4/2000</f>
        <v>0.4165195550182707</v>
      </c>
      <c r="Q66" s="103">
        <f>$J66*'RAIL EMIS FACTOR'!I$4/2000</f>
        <v>7.1629850107393462E-3</v>
      </c>
      <c r="R66" s="103">
        <f>$J66*'RAIL EMIS FACTOR'!J$4/2000</f>
        <v>878.56234642670472</v>
      </c>
    </row>
    <row r="67" spans="1:18" x14ac:dyDescent="0.25">
      <c r="A67" s="144" t="s">
        <v>420</v>
      </c>
      <c r="B67" s="144"/>
      <c r="C67" s="145">
        <v>34039</v>
      </c>
      <c r="D67" s="144">
        <v>18.5</v>
      </c>
      <c r="E67" s="30">
        <f>2+7/16</f>
        <v>2.4375</v>
      </c>
      <c r="F67" s="110">
        <f>D67/E67</f>
        <v>7.5897435897435894</v>
      </c>
      <c r="G67" s="110">
        <f>F67/$F$70</f>
        <v>0.1549000951474786</v>
      </c>
      <c r="H67" s="103">
        <v>5.6582565461081855E-2</v>
      </c>
      <c r="I67" s="103">
        <v>17942921.699999999</v>
      </c>
      <c r="J67" s="103">
        <f>I67*H67*G67</f>
        <v>157263.33490119874</v>
      </c>
      <c r="K67" s="103">
        <f>$J67*'RAIL EMIS FACTOR'!C$4/2000</f>
        <v>20.3624903233673</v>
      </c>
      <c r="L67" s="103">
        <f>$J67*'RAIL EMIS FACTOR'!D$4/2000</f>
        <v>4.8404548425833127</v>
      </c>
      <c r="M67" s="103">
        <f>$J67*'RAIL EMIS FACTOR'!E$4/2000</f>
        <v>0.50906225808418248</v>
      </c>
      <c r="N67" s="103">
        <f>$J67*'RAIL EMIS FACTOR'!F$4/2000</f>
        <v>0.49379039034165695</v>
      </c>
      <c r="O67" s="103">
        <f>$J67*'RAIL EMIS FACTOR'!G$4/2000</f>
        <v>0.26236808141782625</v>
      </c>
      <c r="P67" s="103">
        <f>$J67*'RAIL EMIS FACTOR'!H$4/2000</f>
        <v>0.8806413448957725</v>
      </c>
      <c r="Q67" s="103">
        <f>$J67*'RAIL EMIS FACTOR'!I$4/2000</f>
        <v>1.5144596879848905E-2</v>
      </c>
      <c r="R67" s="103">
        <f>$J67*'RAIL EMIS FACTOR'!J$4/2000</f>
        <v>1857.5318181593188</v>
      </c>
    </row>
    <row r="68" spans="1:18" x14ac:dyDescent="0.25">
      <c r="A68" s="144" t="s">
        <v>424</v>
      </c>
      <c r="B68" s="144"/>
      <c r="C68" s="145">
        <v>34023</v>
      </c>
      <c r="D68" s="144">
        <v>35.5</v>
      </c>
      <c r="E68" s="30">
        <f>1+3/8</f>
        <v>1.375</v>
      </c>
      <c r="F68" s="110">
        <f>D68/E68</f>
        <v>25.818181818181817</v>
      </c>
      <c r="G68" s="110">
        <f>F68/$F$70</f>
        <v>0.52692673644148424</v>
      </c>
      <c r="H68" s="103">
        <v>5.6582565461081855E-2</v>
      </c>
      <c r="I68" s="103">
        <v>17942921.699999999</v>
      </c>
      <c r="J68" s="103">
        <f>I68*H68*G68</f>
        <v>534965.81614424963</v>
      </c>
      <c r="K68" s="103">
        <f>$J68*'RAIL EMIS FACTOR'!C$4/2000</f>
        <v>69.267488581577453</v>
      </c>
      <c r="L68" s="103">
        <f>$J68*'RAIL EMIS FACTOR'!D$4/2000</f>
        <v>16.465871571392121</v>
      </c>
      <c r="M68" s="103">
        <f>$J68*'RAIL EMIS FACTOR'!E$4/2000</f>
        <v>1.731687214539436</v>
      </c>
      <c r="N68" s="103">
        <f>$J68*'RAIL EMIS FACTOR'!F$4/2000</f>
        <v>1.6797365981032526</v>
      </c>
      <c r="O68" s="103">
        <f>$J68*'RAIL EMIS FACTOR'!G$4/2000</f>
        <v>0.8925027241350868</v>
      </c>
      <c r="P68" s="103">
        <f>$J68*'RAIL EMIS FACTOR'!H$4/2000</f>
        <v>2.9956951892093282</v>
      </c>
      <c r="Q68" s="103">
        <f>$J68*'RAIL EMIS FACTOR'!I$4/2000</f>
        <v>5.151767660970713E-2</v>
      </c>
      <c r="R68" s="103">
        <f>$J68*'RAIL EMIS FACTOR'!J$4/2000</f>
        <v>6318.8029539105064</v>
      </c>
    </row>
    <row r="69" spans="1:18" x14ac:dyDescent="0.25">
      <c r="A69" s="144" t="s">
        <v>262</v>
      </c>
      <c r="B69" s="144"/>
      <c r="C69" s="145">
        <v>34021</v>
      </c>
      <c r="D69" s="144">
        <v>21</v>
      </c>
      <c r="E69" s="30">
        <v>1.75</v>
      </c>
      <c r="F69" s="110">
        <f>D69/E69</f>
        <v>12</v>
      </c>
      <c r="G69" s="110">
        <f>F69/$F$70</f>
        <v>0.24490960989533778</v>
      </c>
      <c r="H69" s="103">
        <v>5.6582565461081855E-2</v>
      </c>
      <c r="I69" s="103">
        <v>17942921.699999999</v>
      </c>
      <c r="J69" s="103">
        <f>I69*H69*G69</f>
        <v>248646.0835600034</v>
      </c>
      <c r="K69" s="103">
        <f>$J69*'RAIL EMIS FACTOR'!C$4/2000</f>
        <v>32.194748213972623</v>
      </c>
      <c r="L69" s="103">
        <f>$J69*'RAIL EMIS FACTOR'!D$4/2000</f>
        <v>7.6531515754357775</v>
      </c>
      <c r="M69" s="103">
        <f>$J69*'RAIL EMIS FACTOR'!E$4/2000</f>
        <v>0.80486870534931543</v>
      </c>
      <c r="N69" s="103">
        <f>$J69*'RAIL EMIS FACTOR'!F$4/2000</f>
        <v>0.78072264418883597</v>
      </c>
      <c r="O69" s="103">
        <f>$J69*'RAIL EMIS FACTOR'!G$4/2000</f>
        <v>0.41482520980926579</v>
      </c>
      <c r="P69" s="103">
        <f>$J69*'RAIL EMIS FACTOR'!H$4/2000</f>
        <v>1.3923653696325049</v>
      </c>
      <c r="Q69" s="103">
        <f>$J69*'RAIL EMIS FACTOR'!I$4/2000</f>
        <v>2.3944835607328671E-2</v>
      </c>
      <c r="R69" s="103">
        <f>$J69*'RAIL EMIS FACTOR'!J$4/2000</f>
        <v>2936.9084151978418</v>
      </c>
    </row>
    <row r="70" spans="1:18" x14ac:dyDescent="0.25">
      <c r="A70" s="144"/>
      <c r="B70" s="144"/>
      <c r="C70" s="304"/>
      <c r="D70" s="144"/>
      <c r="E70" s="30"/>
      <c r="F70" s="110">
        <f>SUM(F66:F69)</f>
        <v>48.997668997668995</v>
      </c>
      <c r="G70" s="110">
        <f>F70/$F$70</f>
        <v>1</v>
      </c>
      <c r="H70" s="103"/>
      <c r="I70" s="103"/>
      <c r="J70" s="103"/>
      <c r="K70" s="103"/>
      <c r="L70" s="103"/>
      <c r="M70" s="103"/>
      <c r="N70" s="103"/>
      <c r="O70" s="103"/>
      <c r="P70" s="103"/>
    </row>
    <row r="71" spans="1:18" x14ac:dyDescent="0.25">
      <c r="A71" s="144"/>
      <c r="B71" s="144"/>
      <c r="C71" s="304"/>
      <c r="D71" s="144"/>
      <c r="E71" s="30"/>
      <c r="F71" s="144"/>
      <c r="G71" s="144"/>
      <c r="H71" s="103"/>
      <c r="I71" s="103"/>
      <c r="J71" s="103"/>
      <c r="K71" s="103"/>
      <c r="L71" s="103"/>
      <c r="M71" s="103"/>
      <c r="N71" s="103"/>
      <c r="O71" s="103"/>
      <c r="P71" s="103"/>
    </row>
    <row r="72" spans="1:18" x14ac:dyDescent="0.25">
      <c r="A72" s="101" t="s">
        <v>448</v>
      </c>
      <c r="B72" s="30"/>
      <c r="C72" s="304"/>
      <c r="D72" s="30"/>
      <c r="E72" s="30"/>
      <c r="F72" s="30"/>
      <c r="G72" s="30"/>
      <c r="H72" s="103"/>
      <c r="I72" s="103"/>
      <c r="J72" s="103"/>
      <c r="K72" s="103"/>
      <c r="L72" s="103"/>
      <c r="M72" s="103"/>
      <c r="N72" s="103"/>
      <c r="O72" s="103"/>
      <c r="P72" s="103"/>
    </row>
    <row r="73" spans="1:18" x14ac:dyDescent="0.25">
      <c r="A73" s="30"/>
      <c r="B73" s="30"/>
      <c r="C73" s="304"/>
      <c r="D73" s="30"/>
      <c r="E73" s="30"/>
      <c r="F73" s="30"/>
      <c r="G73" s="30"/>
      <c r="H73" s="103"/>
      <c r="I73" s="103"/>
      <c r="J73" s="103"/>
      <c r="K73" s="103"/>
      <c r="L73" s="103"/>
      <c r="M73" s="103"/>
      <c r="N73" s="103"/>
      <c r="O73" s="103"/>
      <c r="P73" s="103"/>
    </row>
    <row r="74" spans="1:18" x14ac:dyDescent="0.25">
      <c r="A74" s="144" t="s">
        <v>262</v>
      </c>
      <c r="B74" s="144"/>
      <c r="C74" s="145">
        <v>34021</v>
      </c>
      <c r="D74" s="144">
        <f>7.75</f>
        <v>7.75</v>
      </c>
      <c r="E74" s="30">
        <v>1.75</v>
      </c>
      <c r="F74" s="110">
        <f>D74/E74</f>
        <v>4.4285714285714288</v>
      </c>
      <c r="G74" s="110">
        <f>F74/$F$76</f>
        <v>0.98412698412698418</v>
      </c>
      <c r="H74" s="103">
        <v>0</v>
      </c>
      <c r="I74" s="103">
        <v>17942921.699999999</v>
      </c>
      <c r="J74" s="103">
        <f>I74*H74*G74</f>
        <v>0</v>
      </c>
      <c r="K74" s="103">
        <f>$J74*'RAIL EMIS FACTOR'!C$4/2000</f>
        <v>0</v>
      </c>
      <c r="L74" s="103">
        <f>$J74*'RAIL EMIS FACTOR'!D$4/2000</f>
        <v>0</v>
      </c>
      <c r="M74" s="103">
        <f>$J74*'RAIL EMIS FACTOR'!E$4/2000</f>
        <v>0</v>
      </c>
      <c r="N74" s="103">
        <f>$J74*'RAIL EMIS FACTOR'!F$4/2000</f>
        <v>0</v>
      </c>
      <c r="O74" s="103">
        <f>$J74*'RAIL EMIS FACTOR'!G$4/2000</f>
        <v>0</v>
      </c>
      <c r="P74" s="103">
        <f>$J74*'RAIL EMIS FACTOR'!H$4/2000</f>
        <v>0</v>
      </c>
      <c r="Q74" s="103">
        <f>$J74*'RAIL EMIS FACTOR'!I$4/2000</f>
        <v>0</v>
      </c>
      <c r="R74" s="103">
        <f>$J74*'RAIL EMIS FACTOR'!J$4/2000</f>
        <v>0</v>
      </c>
    </row>
    <row r="75" spans="1:18" x14ac:dyDescent="0.25">
      <c r="A75" s="30" t="s">
        <v>262</v>
      </c>
      <c r="B75" s="30"/>
      <c r="C75" s="145">
        <v>34021</v>
      </c>
      <c r="D75" s="30">
        <f>1/8</f>
        <v>0.125</v>
      </c>
      <c r="E75" s="30">
        <v>1.75</v>
      </c>
      <c r="F75" s="110">
        <f>D75/E75</f>
        <v>7.1428571428571425E-2</v>
      </c>
      <c r="G75" s="110">
        <f>F75/$F$76</f>
        <v>1.5873015873015872E-2</v>
      </c>
      <c r="H75" s="103">
        <v>0</v>
      </c>
      <c r="I75" s="103">
        <v>17942921.699999999</v>
      </c>
      <c r="J75" s="103">
        <f>I75*H75*G75</f>
        <v>0</v>
      </c>
      <c r="K75" s="103">
        <f>$J75*'RAIL EMIS FACTOR'!C$4/2000</f>
        <v>0</v>
      </c>
      <c r="L75" s="103">
        <f>$J75*'RAIL EMIS FACTOR'!D$4/2000</f>
        <v>0</v>
      </c>
      <c r="M75" s="103">
        <f>$J75*'RAIL EMIS FACTOR'!E$4/2000</f>
        <v>0</v>
      </c>
      <c r="N75" s="103">
        <f>$J75*'RAIL EMIS FACTOR'!F$4/2000</f>
        <v>0</v>
      </c>
      <c r="O75" s="103">
        <f>$J75*'RAIL EMIS FACTOR'!G$4/2000</f>
        <v>0</v>
      </c>
      <c r="P75" s="103">
        <f>$J75*'RAIL EMIS FACTOR'!H$4/2000</f>
        <v>0</v>
      </c>
      <c r="Q75" s="103">
        <f>$J75*'RAIL EMIS FACTOR'!I$4/2000</f>
        <v>0</v>
      </c>
      <c r="R75" s="103">
        <f>$J75*'RAIL EMIS FACTOR'!J$4/2000</f>
        <v>0</v>
      </c>
    </row>
    <row r="76" spans="1:18" x14ac:dyDescent="0.25">
      <c r="A76" s="30"/>
      <c r="B76" s="30"/>
      <c r="C76" s="304"/>
      <c r="D76" s="30"/>
      <c r="E76" s="30"/>
      <c r="F76" s="110">
        <f>SUM(F74:F75)</f>
        <v>4.5</v>
      </c>
      <c r="G76" s="110"/>
      <c r="H76" s="103"/>
      <c r="I76" s="103"/>
      <c r="J76" s="103"/>
      <c r="K76" s="103"/>
      <c r="L76" s="103"/>
      <c r="M76" s="103"/>
      <c r="N76" s="103"/>
      <c r="O76" s="103"/>
      <c r="P76" s="103"/>
    </row>
    <row r="77" spans="1:18" x14ac:dyDescent="0.25">
      <c r="A77" s="30"/>
      <c r="B77" s="30"/>
      <c r="C77" s="304"/>
      <c r="D77" s="30"/>
      <c r="E77" s="30"/>
      <c r="F77" s="30"/>
      <c r="G77" s="30"/>
      <c r="H77" s="103"/>
      <c r="I77" s="103"/>
      <c r="J77" s="103"/>
      <c r="K77" s="103"/>
      <c r="L77" s="103"/>
      <c r="M77" s="103"/>
      <c r="N77" s="103"/>
      <c r="O77" s="103"/>
      <c r="P77" s="103"/>
    </row>
    <row r="78" spans="1:18" x14ac:dyDescent="0.25">
      <c r="A78" s="30"/>
      <c r="B78" s="30"/>
      <c r="C78" s="304"/>
      <c r="D78" s="30"/>
      <c r="E78" s="30"/>
      <c r="F78" s="30"/>
      <c r="G78" s="30"/>
      <c r="H78" s="103"/>
      <c r="I78" s="103"/>
      <c r="J78" s="103"/>
      <c r="K78" s="103"/>
      <c r="L78" s="103"/>
      <c r="M78" s="103"/>
      <c r="N78" s="103"/>
      <c r="O78" s="103"/>
      <c r="P78" s="103"/>
    </row>
    <row r="79" spans="1:18" x14ac:dyDescent="0.25">
      <c r="A79" s="30"/>
      <c r="B79" s="30"/>
      <c r="C79" s="304"/>
      <c r="D79" s="30"/>
      <c r="E79" s="30"/>
      <c r="F79" s="30"/>
      <c r="G79" s="30"/>
      <c r="H79" s="103"/>
      <c r="I79" s="103"/>
      <c r="J79" s="103"/>
      <c r="K79" s="103"/>
      <c r="L79" s="103"/>
      <c r="M79" s="103"/>
      <c r="N79" s="103"/>
      <c r="O79" s="103"/>
      <c r="P79" s="103"/>
    </row>
    <row r="80" spans="1:18" x14ac:dyDescent="0.25">
      <c r="A80" s="101" t="s">
        <v>449</v>
      </c>
      <c r="B80" s="30"/>
      <c r="C80" s="304"/>
      <c r="D80" s="30"/>
      <c r="E80" s="30"/>
      <c r="F80" s="30"/>
      <c r="G80" s="30"/>
      <c r="H80" s="103"/>
      <c r="I80" s="103"/>
      <c r="J80" s="103"/>
      <c r="K80" s="103"/>
      <c r="L80" s="103"/>
      <c r="M80" s="103"/>
      <c r="N80" s="103"/>
      <c r="O80" s="103"/>
      <c r="P80" s="103"/>
    </row>
    <row r="81" spans="1:18" x14ac:dyDescent="0.25">
      <c r="A81" s="30" t="s">
        <v>450</v>
      </c>
      <c r="B81" s="30" t="s">
        <v>451</v>
      </c>
      <c r="C81" s="145">
        <v>34017</v>
      </c>
      <c r="D81" s="30">
        <v>17.75</v>
      </c>
      <c r="E81" s="30">
        <v>2.375</v>
      </c>
      <c r="F81" s="110">
        <f>D81/E81</f>
        <v>7.4736842105263159</v>
      </c>
      <c r="G81" s="110">
        <f>F81/$F$94</f>
        <v>0.1290964976838824</v>
      </c>
      <c r="H81" s="103">
        <v>3.93306946705664E-2</v>
      </c>
      <c r="I81" s="103">
        <v>17942921.699999999</v>
      </c>
      <c r="J81" s="103">
        <f>I81*H81*G81</f>
        <v>91104.376306069084</v>
      </c>
      <c r="K81" s="103">
        <f>$J81*'RAIL EMIS FACTOR'!C$4/2000</f>
        <v>11.796214178684597</v>
      </c>
      <c r="L81" s="103">
        <f>$J81*'RAIL EMIS FACTOR'!D$4/2000</f>
        <v>2.8041286276187383</v>
      </c>
      <c r="M81" s="103">
        <f>$J81*'RAIL EMIS FACTOR'!E$4/2000</f>
        <v>0.29490535446711486</v>
      </c>
      <c r="N81" s="103">
        <f>$J81*'RAIL EMIS FACTOR'!F$4/2000</f>
        <v>0.28605819383310144</v>
      </c>
      <c r="O81" s="103">
        <f>$J81*'RAIL EMIS FACTOR'!G$4/2000</f>
        <v>0.15199270977693616</v>
      </c>
      <c r="P81" s="103">
        <f>$J81*'RAIL EMIS FACTOR'!H$4/2000</f>
        <v>0.51016519855993259</v>
      </c>
      <c r="Q81" s="103">
        <f>$J81*'RAIL EMIS FACTOR'!I$4/2000</f>
        <v>8.7734312261170122E-3</v>
      </c>
      <c r="R81" s="103">
        <f>$J81*'RAIL EMIS FACTOR'!J$4/2000</f>
        <v>1076.0885737823262</v>
      </c>
    </row>
    <row r="82" spans="1:18" x14ac:dyDescent="0.25">
      <c r="A82" s="30"/>
      <c r="B82" s="30"/>
      <c r="C82" s="304"/>
      <c r="D82" s="30"/>
      <c r="E82" s="30"/>
      <c r="F82" s="110"/>
      <c r="G82" s="110"/>
      <c r="H82" s="103"/>
      <c r="I82" s="103"/>
      <c r="J82" s="103"/>
      <c r="K82" s="103"/>
      <c r="L82" s="103"/>
      <c r="M82" s="103"/>
      <c r="N82" s="103"/>
      <c r="O82" s="103"/>
      <c r="P82" s="103"/>
    </row>
    <row r="83" spans="1:18" x14ac:dyDescent="0.25">
      <c r="A83" s="30"/>
      <c r="B83" s="30"/>
      <c r="C83" s="304"/>
      <c r="D83" s="30"/>
      <c r="E83" s="30"/>
      <c r="F83" s="110"/>
      <c r="G83" s="110"/>
      <c r="H83" s="103"/>
      <c r="I83" s="103"/>
      <c r="J83" s="103"/>
      <c r="K83" s="103"/>
      <c r="L83" s="103"/>
      <c r="M83" s="103"/>
      <c r="N83" s="103"/>
      <c r="O83" s="103"/>
      <c r="P83" s="103"/>
    </row>
    <row r="84" spans="1:18" x14ac:dyDescent="0.25">
      <c r="A84" s="30"/>
      <c r="B84" s="30"/>
      <c r="C84" s="304"/>
      <c r="D84" s="30"/>
      <c r="E84" s="30"/>
      <c r="F84" s="110"/>
      <c r="G84" s="110"/>
      <c r="H84" s="103"/>
      <c r="I84" s="103"/>
      <c r="J84" s="103"/>
      <c r="K84" s="103"/>
      <c r="L84" s="103"/>
      <c r="M84" s="103"/>
      <c r="N84" s="103"/>
      <c r="O84" s="103"/>
      <c r="P84" s="103"/>
    </row>
    <row r="85" spans="1:18" x14ac:dyDescent="0.25">
      <c r="A85" s="30" t="s">
        <v>418</v>
      </c>
      <c r="B85" s="30" t="s">
        <v>452</v>
      </c>
      <c r="C85" s="145">
        <v>34013</v>
      </c>
      <c r="D85" s="30">
        <v>25.25</v>
      </c>
      <c r="E85" s="30">
        <f>2+3/8</f>
        <v>2.375</v>
      </c>
      <c r="F85" s="110">
        <f>D85/E85</f>
        <v>10.631578947368421</v>
      </c>
      <c r="G85" s="110">
        <f>F85/$F$94</f>
        <v>0.18364431360664962</v>
      </c>
      <c r="H85" s="103">
        <v>3.93306946705664E-2</v>
      </c>
      <c r="I85" s="103">
        <v>17942921.699999999</v>
      </c>
      <c r="J85" s="103">
        <f>I85*H85*G85</f>
        <v>129599.18319595743</v>
      </c>
      <c r="K85" s="103">
        <f>$J85*'RAIL EMIS FACTOR'!C$4/2000</f>
        <v>16.780530028833017</v>
      </c>
      <c r="L85" s="103">
        <f>$J85*'RAIL EMIS FACTOR'!D$4/2000</f>
        <v>3.9889717097111634</v>
      </c>
      <c r="M85" s="103">
        <f>$J85*'RAIL EMIS FACTOR'!E$4/2000</f>
        <v>0.41951325072082546</v>
      </c>
      <c r="N85" s="103">
        <f>$J85*'RAIL EMIS FACTOR'!F$4/2000</f>
        <v>0.40692785319920061</v>
      </c>
      <c r="O85" s="103">
        <f>$J85*'RAIL EMIS FACTOR'!G$4/2000</f>
        <v>0.21621498151366972</v>
      </c>
      <c r="P85" s="103">
        <f>$J85*'RAIL EMIS FACTOR'!H$4/2000</f>
        <v>0.72572795851483363</v>
      </c>
      <c r="Q85" s="103">
        <f>$J85*'RAIL EMIS FACTOR'!I$4/2000</f>
        <v>1.2480514842786172E-2</v>
      </c>
      <c r="R85" s="103">
        <f>$J85*'RAIL EMIS FACTOR'!J$4/2000</f>
        <v>1530.7738866480977</v>
      </c>
    </row>
    <row r="86" spans="1:18" x14ac:dyDescent="0.25">
      <c r="A86" s="30"/>
      <c r="B86" s="30"/>
      <c r="C86" s="304"/>
      <c r="D86" s="30"/>
      <c r="E86" s="30"/>
      <c r="F86" s="110"/>
      <c r="G86" s="110"/>
      <c r="H86" s="103"/>
      <c r="I86" s="103"/>
      <c r="J86" s="103"/>
      <c r="K86" s="103"/>
      <c r="L86" s="103"/>
      <c r="M86" s="103"/>
      <c r="N86" s="103"/>
      <c r="O86" s="103"/>
      <c r="P86" s="103"/>
    </row>
    <row r="87" spans="1:18" x14ac:dyDescent="0.25">
      <c r="A87" s="30"/>
      <c r="B87" s="30"/>
      <c r="C87" s="304"/>
      <c r="D87" s="30"/>
      <c r="E87" s="30"/>
      <c r="F87" s="110"/>
      <c r="G87" s="110"/>
      <c r="H87" s="103"/>
      <c r="I87" s="103"/>
      <c r="J87" s="103"/>
      <c r="K87" s="103"/>
      <c r="L87" s="103"/>
      <c r="M87" s="103"/>
      <c r="N87" s="103"/>
      <c r="O87" s="103"/>
      <c r="P87" s="103"/>
    </row>
    <row r="88" spans="1:18" x14ac:dyDescent="0.25">
      <c r="A88" s="30"/>
      <c r="B88" s="30"/>
      <c r="C88" s="304"/>
      <c r="D88" s="30"/>
      <c r="E88" s="30"/>
      <c r="F88" s="110"/>
      <c r="G88" s="110"/>
      <c r="H88" s="103"/>
      <c r="I88" s="103"/>
      <c r="J88" s="103"/>
      <c r="K88" s="103"/>
      <c r="L88" s="103"/>
      <c r="M88" s="103"/>
      <c r="N88" s="103"/>
      <c r="O88" s="103"/>
      <c r="P88" s="103"/>
    </row>
    <row r="89" spans="1:18" x14ac:dyDescent="0.25">
      <c r="A89" s="30"/>
      <c r="B89" s="30"/>
      <c r="C89" s="304"/>
      <c r="D89" s="30"/>
      <c r="E89" s="30"/>
      <c r="F89" s="110"/>
      <c r="G89" s="110"/>
      <c r="H89" s="103"/>
      <c r="I89" s="103"/>
      <c r="J89" s="103"/>
      <c r="K89" s="103"/>
      <c r="L89" s="103"/>
      <c r="M89" s="103"/>
      <c r="N89" s="103"/>
      <c r="O89" s="103"/>
      <c r="P89" s="103"/>
    </row>
    <row r="90" spans="1:18" x14ac:dyDescent="0.25">
      <c r="A90" s="30"/>
      <c r="B90" s="30"/>
      <c r="C90" s="304"/>
      <c r="D90" s="30"/>
      <c r="E90" s="30"/>
      <c r="F90" s="110"/>
      <c r="G90" s="110"/>
      <c r="H90" s="103"/>
      <c r="I90" s="103"/>
      <c r="J90" s="103"/>
      <c r="K90" s="103"/>
      <c r="L90" s="103"/>
      <c r="M90" s="103"/>
      <c r="N90" s="103"/>
      <c r="O90" s="103"/>
      <c r="P90" s="103"/>
    </row>
    <row r="91" spans="1:18" x14ac:dyDescent="0.25">
      <c r="A91" s="30" t="s">
        <v>420</v>
      </c>
      <c r="B91" s="30" t="s">
        <v>453</v>
      </c>
      <c r="C91" s="145">
        <v>34039</v>
      </c>
      <c r="D91" s="30">
        <v>7.75</v>
      </c>
      <c r="E91" s="30">
        <v>2.375</v>
      </c>
      <c r="F91" s="110">
        <f>D91/E91</f>
        <v>3.263157894736842</v>
      </c>
      <c r="G91" s="110">
        <f>F91/$F$94</f>
        <v>5.6366076453526121E-2</v>
      </c>
      <c r="H91" s="103">
        <v>3.93306946705664E-2</v>
      </c>
      <c r="I91" s="103">
        <v>17942921.699999999</v>
      </c>
      <c r="J91" s="103">
        <f>I91*H91*G91</f>
        <v>39777.967119551293</v>
      </c>
      <c r="K91" s="103">
        <f>$J91*'RAIL EMIS FACTOR'!C$4/2000</f>
        <v>5.1504597118200355</v>
      </c>
      <c r="L91" s="103">
        <f>$J91*'RAIL EMIS FACTOR'!D$4/2000</f>
        <v>1.2243378514955057</v>
      </c>
      <c r="M91" s="103">
        <f>$J91*'RAIL EMIS FACTOR'!E$4/2000</f>
        <v>0.12876149279550089</v>
      </c>
      <c r="N91" s="103">
        <f>$J91*'RAIL EMIS FACTOR'!F$4/2000</f>
        <v>0.12489864801163585</v>
      </c>
      <c r="O91" s="103">
        <f>$J91*'RAIL EMIS FACTOR'!G$4/2000</f>
        <v>6.6363014127958045E-2</v>
      </c>
      <c r="P91" s="103">
        <f>$J91*'RAIL EMIS FACTOR'!H$4/2000</f>
        <v>0.22274818528673113</v>
      </c>
      <c r="Q91" s="103">
        <f>$J91*'RAIL EMIS FACTOR'!I$4/2000</f>
        <v>3.8306530705581321E-3</v>
      </c>
      <c r="R91" s="103">
        <f>$J91*'RAIL EMIS FACTOR'!J$4/2000</f>
        <v>469.84148996129738</v>
      </c>
    </row>
    <row r="92" spans="1:18" x14ac:dyDescent="0.25">
      <c r="A92" s="30" t="s">
        <v>454</v>
      </c>
      <c r="B92" s="30" t="s">
        <v>455</v>
      </c>
      <c r="C92" s="145">
        <v>34027</v>
      </c>
      <c r="D92" s="30">
        <v>44</v>
      </c>
      <c r="E92" s="30">
        <f>1+5/16</f>
        <v>1.3125</v>
      </c>
      <c r="F92" s="110">
        <f>D92/E92</f>
        <v>33.523809523809526</v>
      </c>
      <c r="G92" s="110">
        <f>F92/$F$94</f>
        <v>0.57907268712931292</v>
      </c>
      <c r="H92" s="103">
        <v>3.93306946705664E-2</v>
      </c>
      <c r="I92" s="103">
        <v>17942921.699999999</v>
      </c>
      <c r="J92" s="103">
        <f>I92*H92*G92</f>
        <v>408655.98171360837</v>
      </c>
      <c r="K92" s="103">
        <f>$J92*'RAIL EMIS FACTOR'!C$4/2000</f>
        <v>52.912864136178797</v>
      </c>
      <c r="L92" s="103">
        <f>$J92*'RAIL EMIS FACTOR'!D$4/2000</f>
        <v>12.57814370322879</v>
      </c>
      <c r="M92" s="103">
        <f>$J92*'RAIL EMIS FACTOR'!E$4/2000</f>
        <v>1.32282160340447</v>
      </c>
      <c r="N92" s="103">
        <f>$J92*'RAIL EMIS FACTOR'!F$4/2000</f>
        <v>1.2831369553023357</v>
      </c>
      <c r="O92" s="103">
        <f>$J92*'RAIL EMIS FACTOR'!G$4/2000</f>
        <v>0.68177548154805434</v>
      </c>
      <c r="P92" s="103">
        <f>$J92*'RAIL EMIS FACTOR'!H$4/2000</f>
        <v>2.2883868866323467</v>
      </c>
      <c r="Q92" s="103">
        <f>$J92*'RAIL EMIS FACTOR'!I$4/2000</f>
        <v>3.9353928933783082E-2</v>
      </c>
      <c r="R92" s="103">
        <f>$J92*'RAIL EMIS FACTOR'!J$4/2000</f>
        <v>4826.8815435655251</v>
      </c>
    </row>
    <row r="93" spans="1:18" x14ac:dyDescent="0.25">
      <c r="A93" s="144" t="s">
        <v>457</v>
      </c>
      <c r="B93" s="144" t="s">
        <v>458</v>
      </c>
      <c r="C93" s="145">
        <v>34041</v>
      </c>
      <c r="D93" s="103">
        <v>2.25</v>
      </c>
      <c r="E93" s="30">
        <v>0.75</v>
      </c>
      <c r="F93" s="110">
        <f>D93/E93</f>
        <v>3</v>
      </c>
      <c r="G93" s="110">
        <f>F93/$F$94</f>
        <v>5.1820425126628857E-2</v>
      </c>
      <c r="H93" s="103">
        <v>3.93306946705664E-2</v>
      </c>
      <c r="I93" s="103">
        <v>17942921.699999999</v>
      </c>
      <c r="J93" s="103">
        <f>I93*H93*G93</f>
        <v>36570.066545393929</v>
      </c>
      <c r="K93" s="103">
        <f>$J93*'RAIL EMIS FACTOR'!C$4/2000</f>
        <v>4.7351000576410005</v>
      </c>
      <c r="L93" s="103">
        <f>$J93*'RAIL EMIS FACTOR'!D$4/2000</f>
        <v>1.1256009279878034</v>
      </c>
      <c r="M93" s="103">
        <f>$J93*'RAIL EMIS FACTOR'!E$4/2000</f>
        <v>0.118377501441025</v>
      </c>
      <c r="N93" s="103">
        <f>$J93*'RAIL EMIS FACTOR'!F$4/2000</f>
        <v>0.11482617639779424</v>
      </c>
      <c r="O93" s="103">
        <f>$J93*'RAIL EMIS FACTOR'!G$4/2000</f>
        <v>6.101115814989691E-2</v>
      </c>
      <c r="P93" s="103">
        <f>$J93*'RAIL EMIS FACTOR'!H$4/2000</f>
        <v>0.20478462195715602</v>
      </c>
      <c r="Q93" s="103">
        <f>$J93*'RAIL EMIS FACTOR'!I$4/2000</f>
        <v>3.5217294358357016E-3</v>
      </c>
      <c r="R93" s="103">
        <f>$J93*'RAIL EMIS FACTOR'!J$4/2000</f>
        <v>431.95104722248306</v>
      </c>
    </row>
    <row r="94" spans="1:18" x14ac:dyDescent="0.25">
      <c r="A94" s="144"/>
      <c r="B94" s="144"/>
      <c r="C94" s="304"/>
      <c r="D94" s="144"/>
      <c r="E94" s="30"/>
      <c r="F94" s="144">
        <f>SUM(F81:F93)</f>
        <v>57.892230576441108</v>
      </c>
      <c r="G94" s="144">
        <f>SUM(G81:G93)</f>
        <v>0.99999999999999989</v>
      </c>
      <c r="H94" s="103"/>
      <c r="I94" s="103"/>
      <c r="J94" s="103"/>
      <c r="K94" s="103"/>
      <c r="L94" s="103"/>
      <c r="M94" s="103"/>
      <c r="N94" s="103"/>
      <c r="O94" s="103"/>
      <c r="P94" s="103"/>
    </row>
    <row r="95" spans="1:18" x14ac:dyDescent="0.25">
      <c r="A95" s="144"/>
      <c r="B95" s="144"/>
      <c r="C95" s="304"/>
      <c r="D95" s="144"/>
      <c r="E95" s="30"/>
      <c r="F95" s="144"/>
      <c r="G95" s="144"/>
      <c r="H95" s="103"/>
      <c r="I95" s="103"/>
      <c r="J95" s="103"/>
      <c r="K95" s="103"/>
      <c r="L95" s="103"/>
      <c r="M95" s="103"/>
      <c r="N95" s="103"/>
      <c r="O95" s="103"/>
      <c r="P95" s="103"/>
    </row>
    <row r="96" spans="1:18" x14ac:dyDescent="0.25">
      <c r="A96" s="144"/>
      <c r="B96" s="144"/>
      <c r="C96" s="304"/>
      <c r="D96" s="144"/>
      <c r="E96" s="30"/>
      <c r="F96" s="144"/>
      <c r="G96" s="144"/>
      <c r="H96" s="103"/>
      <c r="I96" s="103"/>
      <c r="J96" s="103"/>
      <c r="K96" s="103"/>
      <c r="L96" s="103"/>
      <c r="M96" s="103"/>
      <c r="N96" s="103"/>
      <c r="O96" s="103"/>
      <c r="P96" s="103"/>
    </row>
    <row r="97" spans="1:18" x14ac:dyDescent="0.25">
      <c r="A97" s="148" t="s">
        <v>460</v>
      </c>
      <c r="B97" s="144"/>
      <c r="C97" s="304"/>
      <c r="D97" s="144"/>
      <c r="E97" s="30"/>
      <c r="F97" s="144"/>
      <c r="G97" s="144"/>
      <c r="H97" s="103"/>
      <c r="I97" s="103"/>
      <c r="J97" s="103"/>
      <c r="K97" s="103"/>
      <c r="L97" s="103"/>
      <c r="M97" s="103"/>
      <c r="N97" s="103"/>
      <c r="O97" s="103"/>
      <c r="P97" s="103"/>
    </row>
    <row r="98" spans="1:18" x14ac:dyDescent="0.25">
      <c r="A98" s="144" t="s">
        <v>418</v>
      </c>
      <c r="B98" s="144" t="s">
        <v>419</v>
      </c>
      <c r="C98" s="145">
        <v>34013</v>
      </c>
      <c r="D98" s="144">
        <v>1</v>
      </c>
      <c r="E98" s="30">
        <f>2+3/8</f>
        <v>2.375</v>
      </c>
      <c r="F98" s="110">
        <f>D98/E98</f>
        <v>0.42105263157894735</v>
      </c>
      <c r="G98" s="110">
        <f>F98/$F$102</f>
        <v>3.9999999999999994E-2</v>
      </c>
      <c r="H98" s="103">
        <v>0</v>
      </c>
      <c r="I98" s="103">
        <v>17942921.699999999</v>
      </c>
      <c r="J98" s="103">
        <f>I98*H98*G98</f>
        <v>0</v>
      </c>
      <c r="K98" s="103">
        <f>$J98*'RAIL EMIS FACTOR'!C$4/2000</f>
        <v>0</v>
      </c>
      <c r="L98" s="103">
        <f>$J98*'RAIL EMIS FACTOR'!D$4/2000</f>
        <v>0</v>
      </c>
      <c r="M98" s="103">
        <f>$J98*'RAIL EMIS FACTOR'!E$4/2000</f>
        <v>0</v>
      </c>
      <c r="N98" s="103">
        <f>$J98*'RAIL EMIS FACTOR'!F$4/2000</f>
        <v>0</v>
      </c>
      <c r="O98" s="103">
        <f>$J98*'RAIL EMIS FACTOR'!G$4/2000</f>
        <v>0</v>
      </c>
      <c r="P98" s="103">
        <f>$J98*'RAIL EMIS FACTOR'!H$4/2000</f>
        <v>0</v>
      </c>
      <c r="Q98" s="103">
        <f>$J98*'RAIL EMIS FACTOR'!I$4/2000</f>
        <v>0</v>
      </c>
      <c r="R98" s="103">
        <f>$J98*'RAIL EMIS FACTOR'!J$4/2000</f>
        <v>0</v>
      </c>
    </row>
    <row r="99" spans="1:18" x14ac:dyDescent="0.25">
      <c r="A99" s="144" t="s">
        <v>450</v>
      </c>
      <c r="B99" s="144" t="s">
        <v>451</v>
      </c>
      <c r="C99" s="145">
        <v>34017</v>
      </c>
      <c r="D99" s="144">
        <v>21</v>
      </c>
      <c r="E99" s="30">
        <f>2+3/8</f>
        <v>2.375</v>
      </c>
      <c r="F99" s="110">
        <f>D99/E99</f>
        <v>8.8421052631578956</v>
      </c>
      <c r="G99" s="110">
        <f>F99/$F$102</f>
        <v>0.84</v>
      </c>
      <c r="H99" s="103">
        <v>0</v>
      </c>
      <c r="I99" s="103">
        <v>17942921.699999999</v>
      </c>
      <c r="J99" s="103">
        <f>I99*H99*G99</f>
        <v>0</v>
      </c>
      <c r="K99" s="103">
        <f>$J99*'RAIL EMIS FACTOR'!C$4/2000</f>
        <v>0</v>
      </c>
      <c r="L99" s="103">
        <f>$J99*'RAIL EMIS FACTOR'!D$4/2000</f>
        <v>0</v>
      </c>
      <c r="M99" s="103">
        <f>$J99*'RAIL EMIS FACTOR'!E$4/2000</f>
        <v>0</v>
      </c>
      <c r="N99" s="103">
        <f>$J99*'RAIL EMIS FACTOR'!F$4/2000</f>
        <v>0</v>
      </c>
      <c r="O99" s="103">
        <f>$J99*'RAIL EMIS FACTOR'!G$4/2000</f>
        <v>0</v>
      </c>
      <c r="P99" s="103">
        <f>$J99*'RAIL EMIS FACTOR'!H$4/2000</f>
        <v>0</v>
      </c>
      <c r="Q99" s="103">
        <f>$J99*'RAIL EMIS FACTOR'!I$4/2000</f>
        <v>0</v>
      </c>
      <c r="R99" s="103">
        <f>$J99*'RAIL EMIS FACTOR'!J$4/2000</f>
        <v>0</v>
      </c>
    </row>
    <row r="100" spans="1:18" x14ac:dyDescent="0.25">
      <c r="A100" s="30" t="s">
        <v>461</v>
      </c>
      <c r="B100" s="30"/>
      <c r="C100" s="304"/>
      <c r="D100" s="144">
        <f>SUM(D99:D99)</f>
        <v>21</v>
      </c>
      <c r="E100" s="30"/>
      <c r="F100" s="110">
        <f>SUM(F98:F99)</f>
        <v>9.2631578947368425</v>
      </c>
      <c r="G100" s="110"/>
      <c r="H100" s="103"/>
      <c r="I100" s="103"/>
      <c r="J100" s="103"/>
      <c r="K100" s="103"/>
      <c r="L100" s="103"/>
      <c r="M100" s="103"/>
      <c r="N100" s="103"/>
      <c r="O100" s="103"/>
      <c r="P100" s="103"/>
    </row>
    <row r="101" spans="1:18" x14ac:dyDescent="0.25">
      <c r="A101" s="144" t="s">
        <v>462</v>
      </c>
      <c r="B101" s="144"/>
      <c r="C101" s="304"/>
      <c r="D101" s="144">
        <v>3</v>
      </c>
      <c r="E101" s="30">
        <f>2+3/8</f>
        <v>2.375</v>
      </c>
      <c r="F101" s="110">
        <f>D101/E101</f>
        <v>1.263157894736842</v>
      </c>
      <c r="G101" s="110"/>
      <c r="H101" s="103"/>
      <c r="I101" s="103"/>
      <c r="J101" s="103"/>
      <c r="K101" s="103"/>
      <c r="L101" s="103"/>
      <c r="M101" s="103"/>
      <c r="N101" s="103"/>
      <c r="O101" s="103"/>
      <c r="P101" s="103"/>
    </row>
    <row r="102" spans="1:18" x14ac:dyDescent="0.25">
      <c r="A102" s="144" t="s">
        <v>463</v>
      </c>
      <c r="B102" s="144"/>
      <c r="C102" s="304"/>
      <c r="D102" s="144"/>
      <c r="E102" s="30"/>
      <c r="F102" s="110">
        <f>SUM(F100:F101)</f>
        <v>10.526315789473685</v>
      </c>
      <c r="G102" s="110"/>
      <c r="H102" s="103"/>
      <c r="I102" s="103"/>
      <c r="J102" s="103"/>
      <c r="K102" s="103"/>
      <c r="L102" s="103"/>
      <c r="M102" s="103"/>
      <c r="N102" s="103"/>
      <c r="O102" s="103"/>
      <c r="P102" s="103"/>
    </row>
    <row r="103" spans="1:18" x14ac:dyDescent="0.25">
      <c r="A103" s="144"/>
      <c r="B103" s="144"/>
      <c r="C103" s="304"/>
      <c r="D103" s="144"/>
      <c r="E103" s="30"/>
      <c r="F103" s="110"/>
      <c r="G103" s="110"/>
      <c r="H103" s="103"/>
      <c r="I103" s="103"/>
      <c r="J103" s="103"/>
      <c r="K103" s="103"/>
      <c r="L103" s="103"/>
      <c r="M103" s="103"/>
      <c r="N103" s="103"/>
      <c r="O103" s="103"/>
      <c r="P103" s="103"/>
    </row>
    <row r="104" spans="1:18" x14ac:dyDescent="0.25">
      <c r="A104" s="148" t="s">
        <v>464</v>
      </c>
      <c r="B104" s="144"/>
      <c r="C104" s="304"/>
      <c r="D104" s="144"/>
      <c r="E104" s="30"/>
      <c r="F104" s="144"/>
      <c r="G104" s="144"/>
      <c r="H104" s="103"/>
      <c r="I104" s="103"/>
      <c r="J104" s="103"/>
      <c r="K104" s="103"/>
      <c r="L104" s="103"/>
      <c r="M104" s="103"/>
      <c r="N104" s="103"/>
      <c r="O104" s="103"/>
      <c r="P104" s="103"/>
    </row>
    <row r="105" spans="1:18" x14ac:dyDescent="0.25">
      <c r="A105" s="144"/>
      <c r="B105" s="144"/>
      <c r="C105" s="304"/>
      <c r="D105" s="144"/>
      <c r="E105" s="30"/>
      <c r="F105" s="110"/>
      <c r="G105" s="110"/>
      <c r="H105" s="103"/>
      <c r="I105" s="103"/>
      <c r="J105" s="103"/>
      <c r="K105" s="103"/>
      <c r="L105" s="103"/>
      <c r="M105" s="103"/>
      <c r="N105" s="103"/>
      <c r="O105" s="103"/>
      <c r="P105" s="103"/>
    </row>
    <row r="106" spans="1:18" x14ac:dyDescent="0.25">
      <c r="A106" s="144"/>
      <c r="B106" s="144"/>
      <c r="C106" s="304"/>
      <c r="D106" s="144"/>
      <c r="E106" s="30"/>
      <c r="F106" s="110"/>
      <c r="G106" s="110"/>
      <c r="H106" s="103"/>
      <c r="I106" s="103"/>
      <c r="J106" s="103"/>
      <c r="K106" s="103"/>
      <c r="L106" s="103"/>
      <c r="M106" s="103"/>
      <c r="N106" s="103"/>
      <c r="O106" s="103"/>
      <c r="P106" s="103"/>
    </row>
    <row r="107" spans="1:18" x14ac:dyDescent="0.25">
      <c r="A107" s="144"/>
      <c r="B107" s="144"/>
      <c r="C107" s="304"/>
      <c r="D107" s="144"/>
      <c r="E107" s="30"/>
      <c r="F107" s="110"/>
      <c r="G107" s="110"/>
      <c r="H107" s="103"/>
      <c r="I107" s="103"/>
      <c r="J107" s="103"/>
      <c r="K107" s="103"/>
      <c r="L107" s="103"/>
      <c r="M107" s="103"/>
      <c r="N107" s="103"/>
      <c r="O107" s="103"/>
      <c r="P107" s="103"/>
    </row>
    <row r="108" spans="1:18" x14ac:dyDescent="0.25">
      <c r="A108" s="144" t="s">
        <v>450</v>
      </c>
      <c r="B108" s="144" t="s">
        <v>465</v>
      </c>
      <c r="C108" s="145">
        <v>34017</v>
      </c>
      <c r="D108" s="144">
        <v>17.75</v>
      </c>
      <c r="E108" s="30">
        <v>2.375</v>
      </c>
      <c r="F108" s="110">
        <f>D108/E108</f>
        <v>7.4736842105263159</v>
      </c>
      <c r="G108" s="110">
        <f>F108/$F$113</f>
        <v>0.18473339190376431</v>
      </c>
      <c r="H108" s="103">
        <v>1.3168335788190926E-3</v>
      </c>
      <c r="I108" s="103">
        <v>17942921.699999999</v>
      </c>
      <c r="J108" s="103">
        <f>I108*H108*G108</f>
        <v>4364.8513584665534</v>
      </c>
      <c r="K108" s="103">
        <f>$J108*'RAIL EMIS FACTOR'!C$4/2000</f>
        <v>0.56516188980445137</v>
      </c>
      <c r="L108" s="103">
        <f>$J108*'RAIL EMIS FACTOR'!D$4/2000</f>
        <v>0.13434705494780103</v>
      </c>
      <c r="M108" s="103">
        <f>$J108*'RAIL EMIS FACTOR'!E$4/2000</f>
        <v>1.4129047245111282E-2</v>
      </c>
      <c r="N108" s="103">
        <f>$J108*'RAIL EMIS FACTOR'!F$4/2000</f>
        <v>1.3705175827757942E-2</v>
      </c>
      <c r="O108" s="103">
        <f>$J108*'RAIL EMIS FACTOR'!G$4/2000</f>
        <v>7.2820386094084597E-3</v>
      </c>
      <c r="P108" s="103">
        <f>$J108*'RAIL EMIS FACTOR'!H$4/2000</f>
        <v>2.4442242516382152E-2</v>
      </c>
      <c r="Q108" s="103">
        <f>$J108*'RAIL EMIS FACTOR'!I$4/2000</f>
        <v>4.2033900849150149E-4</v>
      </c>
      <c r="R108" s="103">
        <f>$J108*'RAIL EMIS FACTOR'!J$4/2000</f>
        <v>51.555884179750706</v>
      </c>
    </row>
    <row r="109" spans="1:18" x14ac:dyDescent="0.25">
      <c r="A109" s="144" t="s">
        <v>418</v>
      </c>
      <c r="B109" s="144" t="s">
        <v>466</v>
      </c>
      <c r="C109" s="145">
        <v>34013</v>
      </c>
      <c r="D109" s="144">
        <v>25.25</v>
      </c>
      <c r="E109" s="30">
        <v>2.375</v>
      </c>
      <c r="F109" s="110">
        <f>D109/E109</f>
        <v>10.631578947368421</v>
      </c>
      <c r="G109" s="110">
        <f>F109/$F$113</f>
        <v>0.26278975468000276</v>
      </c>
      <c r="H109" s="103">
        <v>1.3168335788190926E-3</v>
      </c>
      <c r="I109" s="103">
        <v>17942921.699999999</v>
      </c>
      <c r="J109" s="103">
        <f>I109*H109*G109</f>
        <v>6209.1547493679136</v>
      </c>
      <c r="K109" s="103">
        <f>$J109*'RAIL EMIS FACTOR'!C$4/2000</f>
        <v>0.80396268831337436</v>
      </c>
      <c r="L109" s="103">
        <f>$J109*'RAIL EMIS FACTOR'!D$4/2000</f>
        <v>0.1911134161933507</v>
      </c>
      <c r="M109" s="103">
        <f>$J109*'RAIL EMIS FACTOR'!E$4/2000</f>
        <v>2.0099067207834356E-2</v>
      </c>
      <c r="N109" s="103">
        <f>$J109*'RAIL EMIS FACTOR'!F$4/2000</f>
        <v>1.9496095191599325E-2</v>
      </c>
      <c r="O109" s="103">
        <f>$J109*'RAIL EMIS FACTOR'!G$4/2000</f>
        <v>1.0358956331693724E-2</v>
      </c>
      <c r="P109" s="103">
        <f>$J109*'RAIL EMIS FACTOR'!H$4/2000</f>
        <v>3.476995062189573E-2</v>
      </c>
      <c r="Q109" s="103">
        <f>$J109*'RAIL EMIS FACTOR'!I$4/2000</f>
        <v>5.9794704024847386E-4</v>
      </c>
      <c r="R109" s="103">
        <f>$J109*'RAIL EMIS FACTOR'!J$4/2000</f>
        <v>73.340060593729874</v>
      </c>
    </row>
    <row r="110" spans="1:18" x14ac:dyDescent="0.25">
      <c r="A110" s="144" t="s">
        <v>420</v>
      </c>
      <c r="B110" s="30" t="s">
        <v>467</v>
      </c>
      <c r="C110" s="145">
        <v>34039</v>
      </c>
      <c r="D110" s="30">
        <v>16.75</v>
      </c>
      <c r="E110" s="30">
        <v>2.375</v>
      </c>
      <c r="F110" s="110">
        <f>D110/E110</f>
        <v>7.0526315789473681</v>
      </c>
      <c r="G110" s="110">
        <f>F110/$F$113</f>
        <v>0.17432587686693249</v>
      </c>
      <c r="H110" s="103">
        <v>1.3168335788190926E-3</v>
      </c>
      <c r="I110" s="103">
        <v>17942921.699999999</v>
      </c>
      <c r="J110" s="103">
        <f>I110*H110*G110</f>
        <v>4118.944239679704</v>
      </c>
      <c r="K110" s="103">
        <f>$J110*'RAIL EMIS FACTOR'!C$4/2000</f>
        <v>0.53332178333659475</v>
      </c>
      <c r="L110" s="103">
        <f>$J110*'RAIL EMIS FACTOR'!D$4/2000</f>
        <v>0.12677820678172766</v>
      </c>
      <c r="M110" s="103">
        <f>$J110*'RAIL EMIS FACTOR'!E$4/2000</f>
        <v>1.3333044583414867E-2</v>
      </c>
      <c r="N110" s="103">
        <f>$J110*'RAIL EMIS FACTOR'!F$4/2000</f>
        <v>1.2933053245912421E-2</v>
      </c>
      <c r="O110" s="103">
        <f>$J110*'RAIL EMIS FACTOR'!G$4/2000</f>
        <v>6.8717829131037548E-3</v>
      </c>
      <c r="P110" s="103">
        <f>$J110*'RAIL EMIS FACTOR'!H$4/2000</f>
        <v>2.3065214768980331E-2</v>
      </c>
      <c r="Q110" s="103">
        <f>$J110*'RAIL EMIS FACTOR'!I$4/2000</f>
        <v>3.9665793759057166E-4</v>
      </c>
      <c r="R110" s="103">
        <f>$J110*'RAIL EMIS FACTOR'!J$4/2000</f>
        <v>48.651327324553463</v>
      </c>
    </row>
    <row r="111" spans="1:18" x14ac:dyDescent="0.25">
      <c r="A111" s="144" t="s">
        <v>468</v>
      </c>
      <c r="B111" s="144" t="s">
        <v>469</v>
      </c>
      <c r="C111" s="145">
        <v>34031</v>
      </c>
      <c r="D111" s="144">
        <v>6</v>
      </c>
      <c r="E111" s="30">
        <f>1+5/16</f>
        <v>1.3125</v>
      </c>
      <c r="F111" s="110">
        <f>D111/E111</f>
        <v>4.5714285714285712</v>
      </c>
      <c r="G111" s="110">
        <f>F111/$F$113</f>
        <v>0.11299587754274516</v>
      </c>
      <c r="H111" s="103">
        <v>1.3168335788190926E-3</v>
      </c>
      <c r="I111" s="103">
        <v>17942921.699999999</v>
      </c>
      <c r="J111" s="103">
        <f>I111*H111*G111</f>
        <v>2669.8487182572076</v>
      </c>
      <c r="K111" s="103">
        <f>$J111*'RAIL EMIS FACTOR'!C$4/2000</f>
        <v>0.34569258450815527</v>
      </c>
      <c r="L111" s="103">
        <f>$J111*'RAIL EMIS FACTOR'!D$4/2000</f>
        <v>8.2176065803081497E-2</v>
      </c>
      <c r="M111" s="103">
        <f>$J111*'RAIL EMIS FACTOR'!E$4/2000</f>
        <v>8.6423146127038806E-3</v>
      </c>
      <c r="N111" s="103">
        <f>$J111*'RAIL EMIS FACTOR'!F$4/2000</f>
        <v>8.383045174322765E-3</v>
      </c>
      <c r="O111" s="103">
        <f>$J111*'RAIL EMIS FACTOR'!G$4/2000</f>
        <v>4.4542047027367635E-3</v>
      </c>
      <c r="P111" s="103">
        <f>$J111*'RAIL EMIS FACTOR'!H$4/2000</f>
        <v>1.4950586971791094E-2</v>
      </c>
      <c r="Q111" s="103">
        <f>$J111*'RAIL EMIS FACTOR'!I$4/2000</f>
        <v>2.5710876978152203E-4</v>
      </c>
      <c r="R111" s="103">
        <f>$J111*'RAIL EMIS FACTOR'!J$4/2000</f>
        <v>31.535188713569845</v>
      </c>
    </row>
    <row r="112" spans="1:18" x14ac:dyDescent="0.25">
      <c r="A112" s="144" t="s">
        <v>470</v>
      </c>
      <c r="B112" s="144" t="s">
        <v>471</v>
      </c>
      <c r="C112" s="145">
        <v>34035</v>
      </c>
      <c r="D112" s="144">
        <v>22.125</v>
      </c>
      <c r="E112" s="30">
        <f>2+1/16</f>
        <v>2.0625</v>
      </c>
      <c r="F112" s="110">
        <f>D112/E112</f>
        <v>10.727272727272727</v>
      </c>
      <c r="G112" s="110">
        <f>F112/$F$113</f>
        <v>0.26515509900655543</v>
      </c>
      <c r="H112" s="103">
        <v>1.3168335788190926E-3</v>
      </c>
      <c r="I112" s="103">
        <v>17942921.699999999</v>
      </c>
      <c r="J112" s="103">
        <f>I112*H112*G112</f>
        <v>6265.0427309103789</v>
      </c>
      <c r="K112" s="103">
        <f>$J112*'RAIL EMIS FACTOR'!C$4/2000</f>
        <v>0.81119907614697806</v>
      </c>
      <c r="L112" s="103">
        <f>$J112*'RAIL EMIS FACTOR'!D$4/2000</f>
        <v>0.19283360895836738</v>
      </c>
      <c r="M112" s="103">
        <f>$J112*'RAIL EMIS FACTOR'!E$4/2000</f>
        <v>2.0279976903674449E-2</v>
      </c>
      <c r="N112" s="103">
        <f>$J112*'RAIL EMIS FACTOR'!F$4/2000</f>
        <v>1.9671577596564217E-2</v>
      </c>
      <c r="O112" s="103">
        <f>$J112*'RAIL EMIS FACTOR'!G$4/2000</f>
        <v>1.0452196262672065E-2</v>
      </c>
      <c r="P112" s="103">
        <f>$J112*'RAIL EMIS FACTOR'!H$4/2000</f>
        <v>3.5082911473577963E-2</v>
      </c>
      <c r="Q112" s="103">
        <f>$J112*'RAIL EMIS FACTOR'!I$4/2000</f>
        <v>6.0332910181686689E-4</v>
      </c>
      <c r="R112" s="103">
        <f>$J112*'RAIL EMIS FACTOR'!J$4/2000</f>
        <v>74.000187151729236</v>
      </c>
    </row>
    <row r="113" spans="1:18" x14ac:dyDescent="0.25">
      <c r="A113" s="144"/>
      <c r="B113" s="144"/>
      <c r="C113" s="304"/>
      <c r="D113" s="144"/>
      <c r="E113" s="30"/>
      <c r="F113" s="110">
        <f>SUM(F108:F112)</f>
        <v>40.456596035543399</v>
      </c>
      <c r="G113" s="110">
        <f>SUM(G108:G112)</f>
        <v>1.0000000000000002</v>
      </c>
      <c r="H113" s="103"/>
      <c r="I113" s="103"/>
      <c r="J113" s="103"/>
      <c r="K113" s="103"/>
      <c r="L113" s="103"/>
      <c r="M113" s="103"/>
      <c r="N113" s="103"/>
      <c r="O113" s="103"/>
      <c r="P113" s="103"/>
    </row>
    <row r="114" spans="1:18" x14ac:dyDescent="0.25">
      <c r="A114" s="30"/>
      <c r="B114" s="30"/>
      <c r="C114" s="304"/>
      <c r="D114" s="110"/>
      <c r="E114" s="30"/>
      <c r="F114" s="110"/>
      <c r="G114" s="110"/>
      <c r="H114" s="103"/>
      <c r="I114" s="103"/>
      <c r="J114" s="103"/>
      <c r="K114" s="103"/>
      <c r="L114" s="103"/>
      <c r="M114" s="103"/>
      <c r="N114" s="103"/>
      <c r="O114" s="103"/>
      <c r="P114" s="103"/>
    </row>
    <row r="115" spans="1:18" x14ac:dyDescent="0.25">
      <c r="A115" s="30"/>
      <c r="B115" s="30"/>
      <c r="C115" s="304"/>
      <c r="D115" s="110"/>
      <c r="E115" s="30"/>
      <c r="F115" s="110"/>
      <c r="G115" s="110"/>
      <c r="H115" s="103"/>
      <c r="I115" s="103"/>
      <c r="J115" s="103"/>
      <c r="K115" s="103"/>
      <c r="L115" s="103"/>
      <c r="M115" s="103"/>
      <c r="N115" s="103"/>
      <c r="O115" s="103"/>
      <c r="P115" s="103"/>
    </row>
    <row r="116" spans="1:18" x14ac:dyDescent="0.25">
      <c r="A116" s="101" t="s">
        <v>473</v>
      </c>
      <c r="B116" s="30"/>
      <c r="C116" s="304"/>
      <c r="D116" s="110"/>
      <c r="E116" s="30"/>
      <c r="F116" s="110"/>
      <c r="G116" s="110"/>
      <c r="H116" s="103"/>
      <c r="I116" s="103"/>
      <c r="J116" s="103"/>
      <c r="K116" s="103"/>
      <c r="L116" s="103"/>
      <c r="M116" s="103"/>
      <c r="N116" s="103"/>
      <c r="O116" s="103"/>
      <c r="P116" s="103"/>
    </row>
    <row r="117" spans="1:18" x14ac:dyDescent="0.25">
      <c r="A117" s="30" t="s">
        <v>418</v>
      </c>
      <c r="B117" s="30" t="s">
        <v>419</v>
      </c>
      <c r="C117" s="145">
        <v>34013</v>
      </c>
      <c r="D117" s="30">
        <v>18.125</v>
      </c>
      <c r="E117" s="30">
        <f>2+3/8</f>
        <v>2.375</v>
      </c>
      <c r="F117" s="110">
        <f>D117/E117</f>
        <v>7.6315789473684212</v>
      </c>
      <c r="G117" s="110">
        <f>F117/$F$122</f>
        <v>0.13476479264155863</v>
      </c>
      <c r="H117" s="103">
        <v>8.7914283964737591E-2</v>
      </c>
      <c r="I117" s="103">
        <v>17942921.699999999</v>
      </c>
      <c r="J117" s="103">
        <f>I117*H117*G117</f>
        <v>212583.25503427876</v>
      </c>
      <c r="K117" s="103">
        <f>$J117*'RAIL EMIS FACTOR'!C$4/2000</f>
        <v>27.525325443880231</v>
      </c>
      <c r="L117" s="103">
        <f>$J117*'RAIL EMIS FACTOR'!D$4/2000</f>
        <v>6.5431630769452438</v>
      </c>
      <c r="M117" s="103">
        <f>$J117*'RAIL EMIS FACTOR'!E$4/2000</f>
        <v>0.68813313609700577</v>
      </c>
      <c r="N117" s="103">
        <f>$J117*'RAIL EMIS FACTOR'!F$4/2000</f>
        <v>0.66748914201409559</v>
      </c>
      <c r="O117" s="103">
        <f>$J117*'RAIL EMIS FACTOR'!G$4/2000</f>
        <v>0.35466029510273994</v>
      </c>
      <c r="P117" s="103">
        <f>$J117*'RAIL EMIS FACTOR'!H$4/2000</f>
        <v>1.190421173080956</v>
      </c>
      <c r="Q117" s="103">
        <f>$J117*'RAIL EMIS FACTOR'!I$4/2000</f>
        <v>2.047195363701855E-2</v>
      </c>
      <c r="R117" s="103">
        <f>$J117*'RAIL EMIS FACTOR'!J$4/2000</f>
        <v>2510.94866125111</v>
      </c>
    </row>
    <row r="118" spans="1:18" x14ac:dyDescent="0.25">
      <c r="A118" s="30" t="s">
        <v>450</v>
      </c>
      <c r="B118" s="30" t="s">
        <v>474</v>
      </c>
      <c r="C118" s="145">
        <v>34017</v>
      </c>
      <c r="D118" s="30">
        <v>17.5</v>
      </c>
      <c r="E118" s="30">
        <v>2.375</v>
      </c>
      <c r="F118" s="110">
        <f>D118/E118</f>
        <v>7.3684210526315788</v>
      </c>
      <c r="G118" s="110">
        <f>F118/$F$122</f>
        <v>0.13011773082633246</v>
      </c>
      <c r="H118" s="103">
        <v>8.7914283964737591E-2</v>
      </c>
      <c r="I118" s="103">
        <v>17942921.699999999</v>
      </c>
      <c r="J118" s="103">
        <f>I118*H118*G118</f>
        <v>205252.7979641312</v>
      </c>
      <c r="K118" s="103">
        <f>$J118*'RAIL EMIS FACTOR'!C$4/2000</f>
        <v>26.57617629064298</v>
      </c>
      <c r="L118" s="103">
        <f>$J118*'RAIL EMIS FACTOR'!D$4/2000</f>
        <v>6.3175367639471318</v>
      </c>
      <c r="M118" s="103">
        <f>$J118*'RAIL EMIS FACTOR'!E$4/2000</f>
        <v>0.66440440726607453</v>
      </c>
      <c r="N118" s="103">
        <f>$J118*'RAIL EMIS FACTOR'!F$4/2000</f>
        <v>0.64447227504809224</v>
      </c>
      <c r="O118" s="103">
        <f>$J118*'RAIL EMIS FACTOR'!G$4/2000</f>
        <v>0.34243062975436961</v>
      </c>
      <c r="P118" s="103">
        <f>$J118*'RAIL EMIS FACTOR'!H$4/2000</f>
        <v>1.1493721671126471</v>
      </c>
      <c r="Q118" s="103">
        <f>$J118*'RAIL EMIS FACTOR'!I$4/2000</f>
        <v>1.9766024201259287E-2</v>
      </c>
      <c r="R118" s="103">
        <f>$J118*'RAIL EMIS FACTOR'!J$4/2000</f>
        <v>2424.3642246562445</v>
      </c>
    </row>
    <row r="119" spans="1:18" x14ac:dyDescent="0.25">
      <c r="A119" s="30" t="s">
        <v>454</v>
      </c>
      <c r="B119" s="30" t="s">
        <v>475</v>
      </c>
      <c r="C119" s="145">
        <v>34027</v>
      </c>
      <c r="D119" s="110">
        <v>41</v>
      </c>
      <c r="E119" s="30">
        <f>1+5/16</f>
        <v>1.3125</v>
      </c>
      <c r="F119" s="110">
        <f>D119/E119</f>
        <v>31.238095238095237</v>
      </c>
      <c r="G119" s="110">
        <f>F119/$F$122</f>
        <v>0.55162836633313195</v>
      </c>
      <c r="H119" s="103">
        <v>8.7914283964737591E-2</v>
      </c>
      <c r="I119" s="103">
        <v>17942921.699999999</v>
      </c>
      <c r="J119" s="103">
        <f>I119*H119*G119</f>
        <v>870160.16116494266</v>
      </c>
      <c r="K119" s="103">
        <f>$J119*'RAIL EMIS FACTOR'!C$4/2000</f>
        <v>112.66852424713406</v>
      </c>
      <c r="L119" s="103">
        <f>$J119*'RAIL EMIS FACTOR'!D$4/2000</f>
        <v>26.782917763890158</v>
      </c>
      <c r="M119" s="103">
        <f>$J119*'RAIL EMIS FACTOR'!E$4/2000</f>
        <v>2.816713106178351</v>
      </c>
      <c r="N119" s="103">
        <f>$J119*'RAIL EMIS FACTOR'!F$4/2000</f>
        <v>2.7322117129930006</v>
      </c>
      <c r="O119" s="103">
        <f>$J119*'RAIL EMIS FACTOR'!G$4/2000</f>
        <v>1.4517195133532186</v>
      </c>
      <c r="P119" s="103">
        <f>$J119*'RAIL EMIS FACTOR'!H$4/2000</f>
        <v>4.8727124798952488</v>
      </c>
      <c r="Q119" s="103">
        <f>$J119*'RAIL EMIS FACTOR'!I$4/2000</f>
        <v>8.3797185593365908E-2</v>
      </c>
      <c r="R119" s="103">
        <f>$J119*'RAIL EMIS FACTOR'!J$4/2000</f>
        <v>10277.984930651506</v>
      </c>
    </row>
    <row r="120" spans="1:18" x14ac:dyDescent="0.25">
      <c r="A120" s="30" t="s">
        <v>468</v>
      </c>
      <c r="B120" s="30" t="s">
        <v>476</v>
      </c>
      <c r="C120" s="145">
        <v>34031</v>
      </c>
      <c r="D120" s="110">
        <v>14.875</v>
      </c>
      <c r="E120" s="30">
        <f>3/1.8939393</f>
        <v>1.5840000785664039</v>
      </c>
      <c r="F120" s="110">
        <f>D120/E120</f>
        <v>9.3907823624999995</v>
      </c>
      <c r="G120" s="110">
        <f>F120/$F$122</f>
        <v>0.16583027530111757</v>
      </c>
      <c r="H120" s="103">
        <v>8.7914283964737591E-2</v>
      </c>
      <c r="I120" s="103">
        <v>17942921.699999999</v>
      </c>
      <c r="J120" s="103">
        <f>I120*H120*G120</f>
        <v>261587.16246093885</v>
      </c>
      <c r="K120" s="103">
        <f>$J120*'RAIL EMIS FACTOR'!C$4/2000</f>
        <v>33.870361884888247</v>
      </c>
      <c r="L120" s="103">
        <f>$J120*'RAIL EMIS FACTOR'!D$4/2000</f>
        <v>8.0514688823505782</v>
      </c>
      <c r="M120" s="103">
        <f>$J120*'RAIL EMIS FACTOR'!E$4/2000</f>
        <v>0.84675904712220607</v>
      </c>
      <c r="N120" s="103">
        <f>$J120*'RAIL EMIS FACTOR'!F$4/2000</f>
        <v>0.82135627570853975</v>
      </c>
      <c r="O120" s="103">
        <f>$J120*'RAIL EMIS FACTOR'!G$4/2000</f>
        <v>0.43641527748046371</v>
      </c>
      <c r="P120" s="103">
        <f>$J120*'RAIL EMIS FACTOR'!H$4/2000</f>
        <v>1.4648326687323363</v>
      </c>
      <c r="Q120" s="103">
        <f>$J120*'RAIL EMIS FACTOR'!I$4/2000</f>
        <v>2.5191072839091024E-2</v>
      </c>
      <c r="R120" s="103">
        <f>$J120*'RAIL EMIS FACTOR'!J$4/2000</f>
        <v>3089.7632801598502</v>
      </c>
    </row>
    <row r="121" spans="1:18" x14ac:dyDescent="0.25">
      <c r="A121" s="30" t="s">
        <v>457</v>
      </c>
      <c r="B121" s="30" t="s">
        <v>458</v>
      </c>
      <c r="C121" s="145">
        <v>34041</v>
      </c>
      <c r="D121" s="110">
        <v>2.25</v>
      </c>
      <c r="E121" s="30">
        <v>2.25</v>
      </c>
      <c r="F121" s="110">
        <f>D121/E121</f>
        <v>1</v>
      </c>
      <c r="G121" s="110">
        <f>F121/$F$122</f>
        <v>1.7658834897859407E-2</v>
      </c>
      <c r="H121" s="103">
        <v>8.7914283964737591E-2</v>
      </c>
      <c r="I121" s="103">
        <v>17942921.699999999</v>
      </c>
      <c r="J121" s="103">
        <f>I121*H121*G121</f>
        <v>27855.736866560663</v>
      </c>
      <c r="K121" s="103">
        <f>$J121*'RAIL EMIS FACTOR'!C$4/2000</f>
        <v>3.606766782301547</v>
      </c>
      <c r="L121" s="103">
        <f>$J121*'RAIL EMIS FACTOR'!D$4/2000</f>
        <v>0.857379989392825</v>
      </c>
      <c r="M121" s="103">
        <f>$J121*'RAIL EMIS FACTOR'!E$4/2000</f>
        <v>9.0169169557538675E-2</v>
      </c>
      <c r="N121" s="103">
        <f>$J121*'RAIL EMIS FACTOR'!F$4/2000</f>
        <v>8.7464094470812506E-2</v>
      </c>
      <c r="O121" s="103">
        <f>$J121*'RAIL EMIS FACTOR'!G$4/2000</f>
        <v>4.6472728323807305E-2</v>
      </c>
      <c r="P121" s="103">
        <f>$J121*'RAIL EMIS FACTOR'!H$4/2000</f>
        <v>0.15598622267957349</v>
      </c>
      <c r="Q121" s="103">
        <f>$J121*'RAIL EMIS FACTOR'!I$4/2000</f>
        <v>2.6825318558851893E-3</v>
      </c>
      <c r="R121" s="103">
        <f>$J121*'RAIL EMIS FACTOR'!J$4/2000</f>
        <v>329.0208590604903</v>
      </c>
    </row>
    <row r="122" spans="1:18" x14ac:dyDescent="0.25">
      <c r="A122" s="30"/>
      <c r="B122" s="30"/>
      <c r="C122" s="304"/>
      <c r="D122" s="110"/>
      <c r="E122" s="110"/>
      <c r="F122" s="110">
        <f>SUM(F117:F121)</f>
        <v>56.628877600595239</v>
      </c>
      <c r="G122" s="110">
        <f>SUM(G117:G121)</f>
        <v>1</v>
      </c>
      <c r="H122" s="103"/>
      <c r="I122" s="103"/>
      <c r="J122" s="103"/>
      <c r="K122" s="103"/>
      <c r="L122" s="103"/>
      <c r="M122" s="103"/>
      <c r="N122" s="103"/>
      <c r="O122" s="103"/>
      <c r="P122" s="103"/>
    </row>
    <row r="123" spans="1:18" x14ac:dyDescent="0.25">
      <c r="A123" s="30"/>
      <c r="B123" s="30"/>
      <c r="C123" s="304"/>
      <c r="D123" s="110"/>
      <c r="E123" s="110"/>
      <c r="F123" s="110"/>
      <c r="G123" s="110"/>
      <c r="H123" s="103"/>
      <c r="I123" s="103"/>
      <c r="J123" s="103"/>
      <c r="K123" s="103"/>
      <c r="L123" s="103"/>
      <c r="M123" s="103"/>
      <c r="N123" s="103"/>
      <c r="O123" s="103"/>
      <c r="P123" s="103"/>
    </row>
    <row r="124" spans="1:18" x14ac:dyDescent="0.25">
      <c r="A124" s="30"/>
      <c r="B124" s="30"/>
      <c r="C124" s="304"/>
      <c r="D124" s="110"/>
      <c r="E124" s="110"/>
      <c r="F124" s="110"/>
      <c r="G124" s="110"/>
      <c r="H124" s="103"/>
      <c r="I124" s="103"/>
      <c r="J124" s="103"/>
      <c r="K124" s="103"/>
      <c r="L124" s="103"/>
      <c r="M124" s="103"/>
      <c r="N124" s="103"/>
      <c r="O124" s="103"/>
      <c r="P124" s="103"/>
    </row>
    <row r="125" spans="1:18" x14ac:dyDescent="0.25">
      <c r="A125" s="101" t="s">
        <v>477</v>
      </c>
      <c r="B125" s="30"/>
      <c r="C125" s="304"/>
      <c r="D125" s="110"/>
      <c r="E125" s="110"/>
      <c r="F125" s="110"/>
      <c r="G125" s="110"/>
      <c r="H125" s="103"/>
      <c r="I125" s="103"/>
      <c r="J125" s="103"/>
      <c r="K125" s="103"/>
      <c r="L125" s="103"/>
      <c r="M125" s="103"/>
      <c r="N125" s="103"/>
      <c r="O125" s="103"/>
      <c r="P125" s="103"/>
    </row>
    <row r="126" spans="1:18" x14ac:dyDescent="0.25">
      <c r="A126" s="30" t="s">
        <v>418</v>
      </c>
      <c r="B126" s="30" t="s">
        <v>419</v>
      </c>
      <c r="C126" s="145">
        <v>34013</v>
      </c>
      <c r="D126" s="110">
        <v>7.75</v>
      </c>
      <c r="E126" s="30">
        <f>2+3/8</f>
        <v>2.375</v>
      </c>
      <c r="F126" s="110">
        <f>D126/E126</f>
        <v>3.263157894736842</v>
      </c>
      <c r="G126" s="110">
        <f>F126/$F$131</f>
        <v>7.4923373822227274E-2</v>
      </c>
      <c r="H126" s="103">
        <v>0.21466163095293475</v>
      </c>
      <c r="I126" s="103">
        <v>17942921.699999999</v>
      </c>
      <c r="J126" s="103">
        <f>I126*H126*G126</f>
        <v>288579.12497226143</v>
      </c>
      <c r="K126" s="103">
        <f>$J126*'RAIL EMIS FACTOR'!C$4/2000</f>
        <v>37.36528697846331</v>
      </c>
      <c r="L126" s="103">
        <f>$J126*'RAIL EMIS FACTOR'!D$4/2000</f>
        <v>8.8822625045947081</v>
      </c>
      <c r="M126" s="103">
        <f>$J126*'RAIL EMIS FACTOR'!E$4/2000</f>
        <v>0.9341321744615827</v>
      </c>
      <c r="N126" s="103">
        <f>$J126*'RAIL EMIS FACTOR'!F$4/2000</f>
        <v>0.90610820922773516</v>
      </c>
      <c r="O126" s="103">
        <f>$J126*'RAIL EMIS FACTOR'!G$4/2000</f>
        <v>0.48144693996076648</v>
      </c>
      <c r="P126" s="103">
        <f>$J126*'RAIL EMIS FACTOR'!H$4/2000</f>
        <v>1.6159819380917906</v>
      </c>
      <c r="Q126" s="103">
        <f>$J126*'RAIL EMIS FACTOR'!I$4/2000</f>
        <v>2.7790422468086193E-2</v>
      </c>
      <c r="R126" s="103">
        <f>$J126*'RAIL EMIS FACTOR'!J$4/2000</f>
        <v>3408.5815808835682</v>
      </c>
    </row>
    <row r="127" spans="1:18" x14ac:dyDescent="0.25">
      <c r="A127" s="30" t="s">
        <v>424</v>
      </c>
      <c r="B127" s="30" t="s">
        <v>478</v>
      </c>
      <c r="C127" s="145">
        <v>34023</v>
      </c>
      <c r="D127" s="110">
        <v>6.375</v>
      </c>
      <c r="E127" s="30">
        <f>1+3/8</f>
        <v>1.375</v>
      </c>
      <c r="F127" s="110">
        <f>D127/E127</f>
        <v>4.6363636363636367</v>
      </c>
      <c r="G127" s="110">
        <f>F127/$F$131</f>
        <v>0.10645271148641969</v>
      </c>
      <c r="H127" s="103">
        <v>0.21466163095293475</v>
      </c>
      <c r="I127" s="103">
        <v>17942921.699999999</v>
      </c>
      <c r="J127" s="103">
        <f>I127*H127*G127</f>
        <v>410019.31392686412</v>
      </c>
      <c r="K127" s="103">
        <f>$J127*'RAIL EMIS FACTOR'!C$4/2000</f>
        <v>53.089388683476464</v>
      </c>
      <c r="L127" s="103">
        <f>$J127*'RAIL EMIS FACTOR'!D$4/2000</f>
        <v>12.620106109900691</v>
      </c>
      <c r="M127" s="103">
        <f>$J127*'RAIL EMIS FACTOR'!E$4/2000</f>
        <v>1.3272347170869117</v>
      </c>
      <c r="N127" s="103">
        <f>$J127*'RAIL EMIS FACTOR'!F$4/2000</f>
        <v>1.2874176755743041</v>
      </c>
      <c r="O127" s="103">
        <f>$J127*'RAIL EMIS FACTOR'!G$4/2000</f>
        <v>0.68404997774484266</v>
      </c>
      <c r="P127" s="103">
        <f>$J127*'RAIL EMIS FACTOR'!H$4/2000</f>
        <v>2.296021258080565</v>
      </c>
      <c r="Q127" s="103">
        <f>$J127*'RAIL EMIS FACTOR'!I$4/2000</f>
        <v>3.9485219019905454E-2</v>
      </c>
      <c r="R127" s="103">
        <f>$J127*'RAIL EMIS FACTOR'!J$4/2000</f>
        <v>4842.9846801703488</v>
      </c>
    </row>
    <row r="128" spans="1:18" x14ac:dyDescent="0.25">
      <c r="A128" s="30" t="s">
        <v>470</v>
      </c>
      <c r="B128" s="30" t="s">
        <v>479</v>
      </c>
      <c r="C128" s="145">
        <v>34035</v>
      </c>
      <c r="D128" s="110">
        <v>22.375</v>
      </c>
      <c r="E128" s="30">
        <f>2+1/16</f>
        <v>2.0625</v>
      </c>
      <c r="F128" s="110">
        <f>D128/E128</f>
        <v>10.848484848484848</v>
      </c>
      <c r="G128" s="110">
        <f>F128/$F$131</f>
        <v>0.24908542949109963</v>
      </c>
      <c r="H128" s="103">
        <v>0.21466163095293475</v>
      </c>
      <c r="I128" s="103">
        <v>17942921.699999999</v>
      </c>
      <c r="J128" s="103">
        <f>I128*H128*G128</f>
        <v>959391.59729292383</v>
      </c>
      <c r="K128" s="103">
        <f>$J128*'RAIL EMIS FACTOR'!C$4/2000</f>
        <v>124.22222972996452</v>
      </c>
      <c r="L128" s="103">
        <f>$J128*'RAIL EMIS FACTOR'!D$4/2000</f>
        <v>29.529398610094429</v>
      </c>
      <c r="M128" s="103">
        <f>$J128*'RAIL EMIS FACTOR'!E$4/2000</f>
        <v>3.1055557432491128</v>
      </c>
      <c r="N128" s="103">
        <f>$J128*'RAIL EMIS FACTOR'!F$4/2000</f>
        <v>3.0123890709516394</v>
      </c>
      <c r="O128" s="103">
        <f>$J128*'RAIL EMIS FACTOR'!G$4/2000</f>
        <v>1.6005875296251875</v>
      </c>
      <c r="P128" s="103">
        <f>$J128*'RAIL EMIS FACTOR'!H$4/2000</f>
        <v>5.3723896104107336</v>
      </c>
      <c r="Q128" s="103">
        <f>$J128*'RAIL EMIS FACTOR'!I$4/2000</f>
        <v>9.2390251040040228E-2</v>
      </c>
      <c r="R128" s="103">
        <f>$J128*'RAIL EMIS FACTOR'!J$4/2000</f>
        <v>11331.951081705782</v>
      </c>
    </row>
    <row r="129" spans="1:18" x14ac:dyDescent="0.25">
      <c r="A129" s="30" t="s">
        <v>420</v>
      </c>
      <c r="B129" s="30" t="s">
        <v>480</v>
      </c>
      <c r="C129" s="145">
        <v>34039</v>
      </c>
      <c r="D129" s="110">
        <v>33.5</v>
      </c>
      <c r="E129" s="30">
        <f>2+3/8</f>
        <v>2.375</v>
      </c>
      <c r="F129" s="110">
        <f>D129/E129</f>
        <v>14.105263157894736</v>
      </c>
      <c r="G129" s="110">
        <f>F129/$F$131</f>
        <v>0.32386232555414368</v>
      </c>
      <c r="H129" s="103">
        <v>0.21466163095293475</v>
      </c>
      <c r="I129" s="103">
        <v>17942921.699999999</v>
      </c>
      <c r="J129" s="103">
        <f>I129*H129*G129</f>
        <v>1247406.5402026784</v>
      </c>
      <c r="K129" s="103">
        <f>$J129*'RAIL EMIS FACTOR'!C$4/2000</f>
        <v>161.51446629400269</v>
      </c>
      <c r="L129" s="103">
        <f>$J129*'RAIL EMIS FACTOR'!D$4/2000</f>
        <v>38.394295987602931</v>
      </c>
      <c r="M129" s="103">
        <f>$J129*'RAIL EMIS FACTOR'!E$4/2000</f>
        <v>4.0378616573500672</v>
      </c>
      <c r="N129" s="103">
        <f>$J129*'RAIL EMIS FACTOR'!F$4/2000</f>
        <v>3.9167258076295646</v>
      </c>
      <c r="O129" s="103">
        <f>$J129*'RAIL EMIS FACTOR'!G$4/2000</f>
        <v>2.0810932243465392</v>
      </c>
      <c r="P129" s="103">
        <f>$J129*'RAIL EMIS FACTOR'!H$4/2000</f>
        <v>6.985212248525805</v>
      </c>
      <c r="Q129" s="103">
        <f>$J129*'RAIL EMIS FACTOR'!I$4/2000</f>
        <v>0.12012634228140484</v>
      </c>
      <c r="R129" s="103">
        <f>$J129*'RAIL EMIS FACTOR'!J$4/2000</f>
        <v>14733.868768980585</v>
      </c>
    </row>
    <row r="130" spans="1:18" x14ac:dyDescent="0.25">
      <c r="A130" s="30" t="s">
        <v>481</v>
      </c>
      <c r="B130" s="30" t="s">
        <v>482</v>
      </c>
      <c r="C130" s="145">
        <v>34019</v>
      </c>
      <c r="D130" s="110">
        <v>13.375</v>
      </c>
      <c r="E130" s="30">
        <v>1.25</v>
      </c>
      <c r="F130" s="110">
        <f>D130/E130</f>
        <v>10.7</v>
      </c>
      <c r="G130" s="110">
        <f>F130/$F$131</f>
        <v>0.24567615964610973</v>
      </c>
      <c r="H130" s="103">
        <v>0.21466163095293475</v>
      </c>
      <c r="I130" s="103">
        <v>17942921.699999999</v>
      </c>
      <c r="J130" s="103">
        <f>I130*H130*G130</f>
        <v>946260.25978807651</v>
      </c>
      <c r="K130" s="103">
        <f>$J130*'RAIL EMIS FACTOR'!C$4/2000</f>
        <v>122.52198133421919</v>
      </c>
      <c r="L130" s="103">
        <f>$J130*'RAIL EMIS FACTOR'!D$4/2000</f>
        <v>29.125225277162965</v>
      </c>
      <c r="M130" s="103">
        <f>$J130*'RAIL EMIS FACTOR'!E$4/2000</f>
        <v>3.0630495333554797</v>
      </c>
      <c r="N130" s="103">
        <f>$J130*'RAIL EMIS FACTOR'!F$4/2000</f>
        <v>2.9711580473548151</v>
      </c>
      <c r="O130" s="103">
        <f>$J130*'RAIL EMIS FACTOR'!G$4/2000</f>
        <v>1.5786800466778035</v>
      </c>
      <c r="P130" s="103">
        <f>$J130*'RAIL EMIS FACTOR'!H$4/2000</f>
        <v>5.298856903452597</v>
      </c>
      <c r="Q130" s="103">
        <f>$J130*'RAIL EMIS FACTOR'!I$4/2000</f>
        <v>9.1125691738095538E-2</v>
      </c>
      <c r="R130" s="103">
        <f>$J130*'RAIL EMIS FACTOR'!J$4/2000</f>
        <v>11176.848957961764</v>
      </c>
    </row>
    <row r="131" spans="1:18" x14ac:dyDescent="0.25">
      <c r="A131" s="30"/>
      <c r="B131" s="30"/>
      <c r="C131" s="304"/>
      <c r="D131" s="110">
        <f>SUM(D130:D130)</f>
        <v>13.375</v>
      </c>
      <c r="E131" s="110"/>
      <c r="F131" s="110">
        <f>SUM(F126:F130)</f>
        <v>43.553269537480062</v>
      </c>
      <c r="G131" s="110">
        <f>SUM(G126:G130)</f>
        <v>1</v>
      </c>
      <c r="H131" s="103"/>
      <c r="I131" s="103"/>
      <c r="J131" s="103"/>
      <c r="K131" s="103"/>
      <c r="L131" s="103"/>
      <c r="M131" s="103"/>
      <c r="N131" s="103"/>
      <c r="O131" s="103"/>
      <c r="P131" s="103"/>
    </row>
    <row r="132" spans="1:18" x14ac:dyDescent="0.25">
      <c r="A132" s="30"/>
      <c r="B132" s="30"/>
      <c r="C132" s="304"/>
      <c r="D132" s="110"/>
      <c r="E132" s="110"/>
      <c r="F132" s="110"/>
      <c r="G132" s="110"/>
      <c r="H132" s="103"/>
      <c r="I132" s="103"/>
      <c r="J132" s="103"/>
      <c r="K132" s="103"/>
      <c r="L132" s="103"/>
      <c r="M132" s="103"/>
      <c r="N132" s="103"/>
      <c r="O132" s="103"/>
      <c r="P132" s="103"/>
    </row>
    <row r="133" spans="1:18" x14ac:dyDescent="0.25">
      <c r="A133" s="101" t="s">
        <v>484</v>
      </c>
      <c r="B133" s="30"/>
      <c r="C133" s="304"/>
      <c r="D133" s="110"/>
      <c r="E133" s="110"/>
      <c r="F133" s="110"/>
      <c r="G133" s="110"/>
      <c r="H133" s="103"/>
      <c r="I133" s="103"/>
      <c r="J133" s="103"/>
      <c r="K133" s="103"/>
      <c r="L133" s="103"/>
      <c r="M133" s="103"/>
      <c r="N133" s="103"/>
      <c r="O133" s="103"/>
      <c r="P133" s="103"/>
    </row>
    <row r="134" spans="1:18" x14ac:dyDescent="0.25">
      <c r="A134" s="30" t="s">
        <v>418</v>
      </c>
      <c r="B134" s="30" t="s">
        <v>485</v>
      </c>
      <c r="C134" s="145">
        <v>34013</v>
      </c>
      <c r="D134" s="110">
        <v>12.75</v>
      </c>
      <c r="E134" s="30">
        <f>2+3/8</f>
        <v>2.375</v>
      </c>
      <c r="F134" s="110">
        <f>D134/E134</f>
        <v>5.3684210526315788</v>
      </c>
      <c r="G134" s="110">
        <f>F134/$F$136</f>
        <v>0.41803278688524592</v>
      </c>
      <c r="H134" s="103">
        <v>5.6154424914807051E-3</v>
      </c>
      <c r="I134" s="103">
        <v>17942921.699999999</v>
      </c>
      <c r="J134" s="103">
        <f>I134*H134*G134</f>
        <v>42119.915505820099</v>
      </c>
      <c r="K134" s="103">
        <f>$J134*'RAIL EMIS FACTOR'!C$4/2000</f>
        <v>5.453695691034036</v>
      </c>
      <c r="L134" s="103">
        <f>$J134*'RAIL EMIS FACTOR'!D$4/2000</f>
        <v>1.2964213756972338</v>
      </c>
      <c r="M134" s="103">
        <f>$J134*'RAIL EMIS FACTOR'!E$4/2000</f>
        <v>0.13634239227585088</v>
      </c>
      <c r="N134" s="103">
        <f>$J134*'RAIL EMIS FACTOR'!F$4/2000</f>
        <v>0.13225212050757534</v>
      </c>
      <c r="O134" s="103">
        <f>$J134*'RAIL EMIS FACTOR'!G$4/2000</f>
        <v>7.0270170905925078E-2</v>
      </c>
      <c r="P134" s="103">
        <f>$J134*'RAIL EMIS FACTOR'!H$4/2000</f>
        <v>0.23586259989491659</v>
      </c>
      <c r="Q134" s="103">
        <f>$J134*'RAIL EMIS FACTOR'!I$4/2000</f>
        <v>4.0561847511989919E-3</v>
      </c>
      <c r="R134" s="103">
        <f>$J134*'RAIL EMIS FACTOR'!J$4/2000</f>
        <v>497.50365067227449</v>
      </c>
    </row>
    <row r="135" spans="1:18" x14ac:dyDescent="0.25">
      <c r="A135" s="30" t="s">
        <v>450</v>
      </c>
      <c r="B135" s="30" t="s">
        <v>451</v>
      </c>
      <c r="C135" s="145">
        <v>34017</v>
      </c>
      <c r="D135" s="110">
        <v>17.75</v>
      </c>
      <c r="E135" s="30">
        <f>2+3/8</f>
        <v>2.375</v>
      </c>
      <c r="F135" s="110">
        <f>D135/E135</f>
        <v>7.4736842105263159</v>
      </c>
      <c r="G135" s="110">
        <f>F135/$F$136</f>
        <v>0.58196721311475419</v>
      </c>
      <c r="H135" s="103">
        <v>5.6154424914807051E-3</v>
      </c>
      <c r="I135" s="103">
        <v>17942921.699999999</v>
      </c>
      <c r="J135" s="103">
        <f>I135*H135*G135</f>
        <v>58637.529429671122</v>
      </c>
      <c r="K135" s="103">
        <f>$J135*'RAIL EMIS FACTOR'!C$4/2000</f>
        <v>7.5923998835964026</v>
      </c>
      <c r="L135" s="103">
        <f>$J135*'RAIL EMIS FACTOR'!D$4/2000</f>
        <v>1.8048219151863449</v>
      </c>
      <c r="M135" s="103">
        <f>$J135*'RAIL EMIS FACTOR'!E$4/2000</f>
        <v>0.18980999708991006</v>
      </c>
      <c r="N135" s="103">
        <f>$J135*'RAIL EMIS FACTOR'!F$4/2000</f>
        <v>0.18411569717721274</v>
      </c>
      <c r="O135" s="103">
        <f>$J135*'RAIL EMIS FACTOR'!G$4/2000</f>
        <v>9.7827100672954539E-2</v>
      </c>
      <c r="P135" s="103">
        <f>$J135*'RAIL EMIS FACTOR'!H$4/2000</f>
        <v>0.32835773710860938</v>
      </c>
      <c r="Q135" s="103">
        <f>$J135*'RAIL EMIS FACTOR'!I$4/2000</f>
        <v>5.6468454379436945E-3</v>
      </c>
      <c r="R135" s="103">
        <f>$J135*'RAIL EMIS FACTOR'!J$4/2000</f>
        <v>692.6031215241469</v>
      </c>
    </row>
    <row r="136" spans="1:18" x14ac:dyDescent="0.25">
      <c r="A136" s="30"/>
      <c r="B136" s="30"/>
      <c r="C136" s="304"/>
      <c r="D136" s="110"/>
      <c r="E136" s="110"/>
      <c r="F136" s="110">
        <f>SUM(F134:F135)</f>
        <v>12.842105263157894</v>
      </c>
      <c r="G136" s="110">
        <f>SUM(G134:G135)</f>
        <v>1</v>
      </c>
      <c r="H136" s="103">
        <f>H135+H130+H121+H112+H93+H69+H55+H28+H13+H7+H23</f>
        <v>0.99999999999999989</v>
      </c>
      <c r="I136" s="103"/>
      <c r="J136" s="103"/>
      <c r="K136" s="103">
        <f>SUM(K6:K135)</f>
        <v>2187.8638014723201</v>
      </c>
      <c r="L136" s="181">
        <f t="shared" ref="L136:Q136" si="3">SUM(L6:L135)</f>
        <v>520.08648080713454</v>
      </c>
      <c r="M136" s="181">
        <f t="shared" si="3"/>
        <v>54.696595036807977</v>
      </c>
      <c r="N136" s="181">
        <f t="shared" si="3"/>
        <v>53.055697185703721</v>
      </c>
      <c r="O136" s="181">
        <f>SUM(O6:O135)</f>
        <v>28.190345035404246</v>
      </c>
      <c r="P136" s="181">
        <f t="shared" si="3"/>
        <v>94.621202514032333</v>
      </c>
      <c r="Q136" s="181">
        <f t="shared" si="3"/>
        <v>1.6272231330805473</v>
      </c>
    </row>
    <row r="137" spans="1:18" x14ac:dyDescent="0.25">
      <c r="A137" s="30"/>
      <c r="B137" s="30"/>
      <c r="C137" s="304"/>
      <c r="D137" s="110"/>
      <c r="E137" s="110"/>
      <c r="F137" s="110"/>
      <c r="G137" s="110"/>
      <c r="H137" s="103"/>
      <c r="I137" s="103"/>
      <c r="J137" s="103">
        <f>SUM(J6:J136)</f>
        <v>16897282.81094908</v>
      </c>
      <c r="K137" s="103" t="s">
        <v>899</v>
      </c>
      <c r="L137" s="103"/>
      <c r="M137" s="103"/>
      <c r="N137" s="103"/>
      <c r="O137" s="103"/>
      <c r="P137" s="103"/>
    </row>
    <row r="138" spans="1:18" x14ac:dyDescent="0.25">
      <c r="A138" s="115"/>
      <c r="B138" s="115"/>
      <c r="C138" s="399"/>
      <c r="D138" s="151"/>
      <c r="E138" s="151"/>
      <c r="F138" s="151"/>
      <c r="G138" s="151"/>
      <c r="H138" s="152"/>
      <c r="I138" s="152"/>
      <c r="J138" s="152">
        <f>I135+I61</f>
        <v>19166839.699999999</v>
      </c>
      <c r="K138" s="152" t="s">
        <v>900</v>
      </c>
      <c r="L138" s="152"/>
      <c r="M138" s="152"/>
      <c r="N138" s="152"/>
      <c r="O138" s="152"/>
      <c r="P138" s="152"/>
    </row>
    <row r="139" spans="1:18" x14ac:dyDescent="0.25">
      <c r="A139" s="153" t="s">
        <v>486</v>
      </c>
      <c r="B139" s="154"/>
      <c r="C139" s="400"/>
      <c r="D139" s="155"/>
      <c r="E139" s="155"/>
      <c r="F139" s="155"/>
      <c r="G139" s="155"/>
      <c r="H139" s="156"/>
      <c r="I139" s="156"/>
      <c r="J139" s="156"/>
      <c r="K139" s="156"/>
      <c r="L139" s="156"/>
      <c r="M139" s="156"/>
      <c r="N139" s="156"/>
      <c r="O139" s="156"/>
      <c r="P139" s="156"/>
    </row>
    <row r="140" spans="1:18" ht="15.75" thickBot="1" x14ac:dyDescent="0.3">
      <c r="A140" s="101"/>
      <c r="B140" s="30"/>
      <c r="C140" s="304"/>
      <c r="D140" s="30"/>
      <c r="E140" s="30"/>
      <c r="F140" s="30"/>
      <c r="G140" s="30"/>
      <c r="H140" s="30"/>
      <c r="I140" s="30"/>
      <c r="J140" s="30"/>
      <c r="K140" s="30"/>
      <c r="L140" s="30"/>
      <c r="M140" s="30"/>
      <c r="N140" s="30"/>
      <c r="O140" s="30"/>
      <c r="P140" s="30"/>
    </row>
    <row r="141" spans="1:18" x14ac:dyDescent="0.25">
      <c r="A141" s="30" t="s">
        <v>487</v>
      </c>
      <c r="B141" s="30" t="s">
        <v>488</v>
      </c>
      <c r="C141" s="304" t="s">
        <v>489</v>
      </c>
      <c r="D141" s="30" t="s">
        <v>490</v>
      </c>
      <c r="E141" s="30" t="s">
        <v>491</v>
      </c>
      <c r="F141" s="30"/>
      <c r="G141" s="30"/>
      <c r="H141" s="30"/>
      <c r="I141" s="30"/>
      <c r="J141" s="30" t="s">
        <v>492</v>
      </c>
      <c r="K141" s="26" t="s">
        <v>96</v>
      </c>
      <c r="L141" s="26" t="s">
        <v>10</v>
      </c>
      <c r="M141" s="26" t="s">
        <v>7</v>
      </c>
      <c r="N141" s="27" t="s">
        <v>95</v>
      </c>
      <c r="O141" s="28" t="s">
        <v>17</v>
      </c>
      <c r="P141" s="26" t="s">
        <v>8</v>
      </c>
      <c r="Q141" s="63" t="s">
        <v>16</v>
      </c>
      <c r="R141" s="64" t="s">
        <v>94</v>
      </c>
    </row>
    <row r="142" spans="1:18" x14ac:dyDescent="0.25">
      <c r="A142" s="30" t="s">
        <v>493</v>
      </c>
      <c r="B142" s="30" t="s">
        <v>494</v>
      </c>
      <c r="C142" s="145">
        <v>34027</v>
      </c>
      <c r="D142" s="30" t="s">
        <v>495</v>
      </c>
      <c r="E142" s="149">
        <f>'NJT FUEL USE SUMMARY'!E5</f>
        <v>14864.6</v>
      </c>
      <c r="F142" s="30"/>
      <c r="G142" s="30"/>
      <c r="H142" s="30"/>
      <c r="I142" s="30"/>
      <c r="J142" s="110">
        <f>E142</f>
        <v>14864.6</v>
      </c>
      <c r="K142" s="103">
        <f>$J142*'RAIL EMIS FACTOR'!C$4/2000</f>
        <v>1.9246715952633557</v>
      </c>
      <c r="L142" s="103">
        <f>$J142*'RAIL EMIS FACTOR'!D$4/2000</f>
        <v>0.45752193350260345</v>
      </c>
      <c r="M142" s="103">
        <f>$J142*'RAIL EMIS FACTOR'!E$4/2000</f>
        <v>4.8116789881583889E-2</v>
      </c>
      <c r="N142" s="103">
        <f>$J142*'RAIL EMIS FACTOR'!F$4/2000</f>
        <v>4.6673286185136373E-2</v>
      </c>
      <c r="O142" s="103">
        <f>$J142*'RAIL EMIS FACTOR'!G$4/2000</f>
        <v>2.4799147147004146E-2</v>
      </c>
      <c r="P142" s="103">
        <f>$J142*'RAIL EMIS FACTOR'!H$4/2000</f>
        <v>8.3238609581577166E-2</v>
      </c>
      <c r="Q142" s="103">
        <f>$J142*'RAIL EMIS FACTOR'!I$4/2000</f>
        <v>1.4314739981931164E-3</v>
      </c>
      <c r="R142" s="103">
        <f>$J142*'RAIL EMIS FACTOR'!J$4/2000</f>
        <v>175.57472936433666</v>
      </c>
    </row>
    <row r="143" spans="1:18" x14ac:dyDescent="0.25">
      <c r="A143" s="30" t="s">
        <v>496</v>
      </c>
      <c r="B143" s="30" t="s">
        <v>496</v>
      </c>
      <c r="C143" s="145">
        <v>34017</v>
      </c>
      <c r="D143" s="30" t="s">
        <v>412</v>
      </c>
      <c r="E143" s="233">
        <f>'NJT FUEL USE SUMMARY'!C5</f>
        <v>39826</v>
      </c>
      <c r="F143" s="30"/>
      <c r="G143" s="30"/>
      <c r="H143" s="30"/>
      <c r="I143" s="30"/>
      <c r="J143" s="110">
        <f t="shared" ref="J143:J148" si="4">E143</f>
        <v>39826</v>
      </c>
      <c r="K143" s="103">
        <f>$J143*'RAIL EMIS FACTOR'!C$4/2000</f>
        <v>5.1566790194797303</v>
      </c>
      <c r="L143" s="103">
        <f>$J143*'RAIL EMIS FACTOR'!D$4/2000</f>
        <v>1.2258162697734674</v>
      </c>
      <c r="M143" s="103">
        <f>$J143*'RAIL EMIS FACTOR'!E$4/2000</f>
        <v>0.12891697548699327</v>
      </c>
      <c r="N143" s="103">
        <f>$J143*'RAIL EMIS FACTOR'!F$4/2000</f>
        <v>0.12504946622238347</v>
      </c>
      <c r="O143" s="103">
        <f>$J143*'RAIL EMIS FACTOR'!G$4/2000</f>
        <v>6.6443149111081831E-2</v>
      </c>
      <c r="P143" s="103">
        <f>$J143*'RAIL EMIS FACTOR'!H$4/2000</f>
        <v>0.22301715923710641</v>
      </c>
      <c r="Q143" s="103">
        <f>$J143*'RAIL EMIS FACTOR'!I$4/2000</f>
        <v>3.8352786790118169E-3</v>
      </c>
      <c r="R143" s="103">
        <f>$J143*'RAIL EMIS FACTOR'!J$4/2000</f>
        <v>470.40883519664652</v>
      </c>
    </row>
    <row r="144" spans="1:18" x14ac:dyDescent="0.25">
      <c r="A144" s="30" t="s">
        <v>497</v>
      </c>
      <c r="B144" s="30" t="s">
        <v>497</v>
      </c>
      <c r="C144" s="145">
        <v>34017</v>
      </c>
      <c r="D144" s="30" t="s">
        <v>412</v>
      </c>
      <c r="E144" s="149">
        <f>'NJT FUEL USE SUMMARY'!D5</f>
        <v>212157</v>
      </c>
      <c r="F144" s="30"/>
      <c r="G144" s="30"/>
      <c r="H144" s="30"/>
      <c r="I144" s="30"/>
      <c r="J144" s="110">
        <f t="shared" si="4"/>
        <v>212157</v>
      </c>
      <c r="K144" s="103">
        <f>$J144*'RAIL EMIS FACTOR'!C$4/2000</f>
        <v>27.470133850644334</v>
      </c>
      <c r="L144" s="103">
        <f>$J144*'RAIL EMIS FACTOR'!D$4/2000</f>
        <v>6.5300432467817391</v>
      </c>
      <c r="M144" s="103">
        <f>$J144*'RAIL EMIS FACTOR'!E$4/2000</f>
        <v>0.68675334626610829</v>
      </c>
      <c r="N144" s="103">
        <f>$J144*'RAIL EMIS FACTOR'!F$4/2000</f>
        <v>0.66615074587812506</v>
      </c>
      <c r="O144" s="103">
        <f>$J144*'RAIL EMIS FACTOR'!G$4/2000</f>
        <v>0.35394915848841935</v>
      </c>
      <c r="P144" s="103">
        <f>$J144*'RAIL EMIS FACTOR'!H$4/2000</f>
        <v>1.1880342352299196</v>
      </c>
      <c r="Q144" s="103">
        <f>$J144*'RAIL EMIS FACTOR'!I$4/2000</f>
        <v>2.0430904903909759E-2</v>
      </c>
      <c r="R144" s="103">
        <f>$J144*'RAIL EMIS FACTOR'!J$4/2000</f>
        <v>2505.913906714582</v>
      </c>
    </row>
    <row r="145" spans="1:18" x14ac:dyDescent="0.25">
      <c r="A145" s="30" t="s">
        <v>498</v>
      </c>
      <c r="B145" s="30" t="s">
        <v>498</v>
      </c>
      <c r="C145" s="145">
        <v>34029</v>
      </c>
      <c r="D145" s="30" t="s">
        <v>499</v>
      </c>
      <c r="E145" s="150">
        <f>0</f>
        <v>0</v>
      </c>
      <c r="F145" s="30"/>
      <c r="G145" s="30"/>
      <c r="H145" s="30"/>
      <c r="I145" s="30"/>
      <c r="J145" s="110">
        <f t="shared" si="4"/>
        <v>0</v>
      </c>
      <c r="K145" s="30"/>
      <c r="L145" s="30"/>
      <c r="M145" s="30"/>
      <c r="N145" s="30"/>
      <c r="O145" s="30"/>
      <c r="P145" s="103"/>
    </row>
    <row r="146" spans="1:18" x14ac:dyDescent="0.25">
      <c r="A146" s="30" t="s">
        <v>500</v>
      </c>
      <c r="B146" s="30" t="s">
        <v>498</v>
      </c>
      <c r="C146" s="145">
        <v>34025</v>
      </c>
      <c r="D146" s="30" t="s">
        <v>501</v>
      </c>
      <c r="E146" s="150">
        <f>0</f>
        <v>0</v>
      </c>
      <c r="F146" s="30"/>
      <c r="G146" s="30"/>
      <c r="H146" s="30"/>
      <c r="I146" s="30"/>
      <c r="J146" s="110">
        <f t="shared" si="4"/>
        <v>0</v>
      </c>
      <c r="K146" s="30"/>
      <c r="L146" s="30"/>
      <c r="M146" s="30"/>
      <c r="N146" s="30"/>
      <c r="O146" s="30"/>
      <c r="P146" s="103"/>
    </row>
    <row r="147" spans="1:18" x14ac:dyDescent="0.25">
      <c r="A147" s="30" t="s">
        <v>502</v>
      </c>
      <c r="B147" s="30" t="s">
        <v>503</v>
      </c>
      <c r="C147" s="145">
        <v>34035</v>
      </c>
      <c r="D147" s="30" t="s">
        <v>504</v>
      </c>
      <c r="E147" s="149">
        <f>'NJT FUEL USE SUMMARY'!F5</f>
        <v>1661</v>
      </c>
      <c r="F147" s="30"/>
      <c r="G147" s="30"/>
      <c r="H147" s="30"/>
      <c r="I147" s="30"/>
      <c r="J147" s="110">
        <f t="shared" si="4"/>
        <v>1661</v>
      </c>
      <c r="K147" s="103">
        <f>$J147*'RAIL EMIS FACTOR'!C$4/2000</f>
        <v>0.21506663615115335</v>
      </c>
      <c r="L147" s="103">
        <f>$J147*'RAIL EMIS FACTOR'!D$4/2000</f>
        <v>5.1124411793645602E-2</v>
      </c>
      <c r="M147" s="103">
        <f>$J147*'RAIL EMIS FACTOR'!E$4/2000</f>
        <v>5.3766659037788331E-3</v>
      </c>
      <c r="N147" s="103">
        <f>$J147*'RAIL EMIS FACTOR'!F$4/2000</f>
        <v>5.2153659266654679E-3</v>
      </c>
      <c r="O147" s="103">
        <f>$J147*'RAIL EMIS FACTOR'!G$4/2000</f>
        <v>2.7711060782781832E-3</v>
      </c>
      <c r="P147" s="103">
        <f>$J147*'RAIL EMIS FACTOR'!H$4/2000</f>
        <v>9.3012479659728246E-3</v>
      </c>
      <c r="Q147" s="103">
        <f>$J147*'RAIL EMIS FACTOR'!I$4/2000</f>
        <v>1.5995575467881855E-4</v>
      </c>
      <c r="R147" s="103">
        <f>$J147*'RAIL EMIS FACTOR'!J$4/2000</f>
        <v>19.619069835324407</v>
      </c>
    </row>
    <row r="148" spans="1:18" x14ac:dyDescent="0.25">
      <c r="A148" s="30" t="s">
        <v>505</v>
      </c>
      <c r="B148" s="30" t="s">
        <v>505</v>
      </c>
      <c r="C148" s="145">
        <v>34001</v>
      </c>
      <c r="D148" s="30" t="s">
        <v>506</v>
      </c>
      <c r="E148" s="233">
        <f>'NJT FUEL USE SUMMARY'!B5</f>
        <v>4719</v>
      </c>
      <c r="F148" s="30"/>
      <c r="G148" s="30"/>
      <c r="H148" s="30"/>
      <c r="I148" s="30"/>
      <c r="J148" s="110">
        <f t="shared" si="4"/>
        <v>4719</v>
      </c>
      <c r="K148" s="103">
        <f>$J148*'RAIL EMIS FACTOR'!C$4/2000</f>
        <v>0.61101713184665418</v>
      </c>
      <c r="L148" s="103">
        <f>$J148*'RAIL EMIS FACTOR'!D$4/2000</f>
        <v>0.14524750105611894</v>
      </c>
      <c r="M148" s="103">
        <f>$J148*'RAIL EMIS FACTOR'!E$4/2000</f>
        <v>1.5275428296166354E-2</v>
      </c>
      <c r="N148" s="103">
        <f>$J148*'RAIL EMIS FACTOR'!F$4/2000</f>
        <v>1.4817165447281361E-2</v>
      </c>
      <c r="O148" s="103">
        <f>$J148*'RAIL EMIS FACTOR'!G$4/2000</f>
        <v>7.8728775336512624E-3</v>
      </c>
      <c r="P148" s="103">
        <f>$J148*'RAIL EMIS FACTOR'!H$4/2000</f>
        <v>2.6425399850346636E-2</v>
      </c>
      <c r="Q148" s="103">
        <f>$J148*'RAIL EMIS FACTOR'!I$4/2000</f>
        <v>4.5444383282922622E-4</v>
      </c>
      <c r="R148" s="103">
        <f>$J148*'RAIL EMIS FACTOR'!J$4/2000</f>
        <v>55.73894675068987</v>
      </c>
    </row>
    <row r="149" spans="1:18" x14ac:dyDescent="0.25">
      <c r="C149" s="1"/>
      <c r="I149" t="s">
        <v>119</v>
      </c>
      <c r="J149">
        <f>SUM(J142:J148)</f>
        <v>273227.59999999998</v>
      </c>
    </row>
    <row r="150" spans="1:18" x14ac:dyDescent="0.25">
      <c r="C150" s="1"/>
      <c r="J150" s="234">
        <f>'NJT FUEL USE SUMMARY'!F6</f>
        <v>273227.59999999998</v>
      </c>
    </row>
    <row r="151" spans="1:18" x14ac:dyDescent="0.25">
      <c r="C151" s="1"/>
    </row>
    <row r="152" spans="1:18" x14ac:dyDescent="0.25">
      <c r="C152" s="1"/>
    </row>
    <row r="153" spans="1:18" x14ac:dyDescent="0.25">
      <c r="C153" s="1"/>
    </row>
    <row r="154" spans="1:18" x14ac:dyDescent="0.25">
      <c r="C154" s="1"/>
    </row>
    <row r="155" spans="1:18" x14ac:dyDescent="0.25">
      <c r="C155" s="1"/>
    </row>
    <row r="156" spans="1:18" x14ac:dyDescent="0.25">
      <c r="C156" s="1"/>
    </row>
    <row r="157" spans="1:18" x14ac:dyDescent="0.25">
      <c r="C157" s="1"/>
    </row>
    <row r="158" spans="1:18" x14ac:dyDescent="0.25">
      <c r="C158" s="1"/>
    </row>
    <row r="159" spans="1:18" x14ac:dyDescent="0.25">
      <c r="C159" s="1"/>
    </row>
    <row r="160" spans="1:18" x14ac:dyDescent="0.25">
      <c r="C160" s="1"/>
    </row>
    <row r="161" spans="3:3" x14ac:dyDescent="0.25">
      <c r="C161" s="1"/>
    </row>
    <row r="162" spans="3:3" x14ac:dyDescent="0.25">
      <c r="C162" s="10"/>
    </row>
    <row r="163" spans="3:3" x14ac:dyDescent="0.25">
      <c r="C163" s="10"/>
    </row>
    <row r="164" spans="3:3" x14ac:dyDescent="0.25">
      <c r="C164" s="10"/>
    </row>
    <row r="165" spans="3:3" x14ac:dyDescent="0.25">
      <c r="C165" s="10"/>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topLeftCell="A2" workbookViewId="0">
      <selection activeCell="D16" sqref="D16"/>
    </sheetView>
  </sheetViews>
  <sheetFormatPr defaultRowHeight="15" x14ac:dyDescent="0.25"/>
  <cols>
    <col min="2" max="2" width="10.5703125" customWidth="1"/>
    <col min="3" max="3" width="13.5703125" customWidth="1"/>
    <col min="4" max="6" width="11.5703125" bestFit="1" customWidth="1"/>
    <col min="7" max="7" width="11.5703125" customWidth="1"/>
    <col min="8" max="8" width="10.140625" customWidth="1"/>
  </cols>
  <sheetData>
    <row r="2" spans="1:8" ht="15.75" thickBot="1" x14ac:dyDescent="0.3">
      <c r="A2" s="31" t="s">
        <v>987</v>
      </c>
    </row>
    <row r="3" spans="1:8" x14ac:dyDescent="0.25">
      <c r="A3" s="222"/>
      <c r="B3" s="223" t="s">
        <v>148</v>
      </c>
      <c r="C3" s="223" t="s">
        <v>496</v>
      </c>
      <c r="D3" s="223" t="s">
        <v>508</v>
      </c>
      <c r="E3" s="223" t="s">
        <v>494</v>
      </c>
      <c r="F3" s="223" t="s">
        <v>503</v>
      </c>
      <c r="G3" s="223" t="s">
        <v>985</v>
      </c>
      <c r="H3" s="224" t="s">
        <v>986</v>
      </c>
    </row>
    <row r="4" spans="1:8" x14ac:dyDescent="0.25">
      <c r="A4" s="225" t="s">
        <v>507</v>
      </c>
      <c r="B4" s="160">
        <f>'NJTRANSIT FUEL USE TABLE'!E1464</f>
        <v>1223918</v>
      </c>
      <c r="C4" s="160">
        <f>'NJTRANSIT FUEL USE TABLE'!J9259</f>
        <v>12560962</v>
      </c>
      <c r="D4" s="160">
        <f>'NJTRANSIT FUEL USE TABLE'!O1591</f>
        <v>1341528</v>
      </c>
      <c r="E4" s="160">
        <f>'NJTRANSIT FUEL USE TABLE'!T1830</f>
        <v>1237275.699999999</v>
      </c>
      <c r="F4" s="160">
        <f>'NJTRANSIT FUEL USE TABLE'!Y3999</f>
        <v>2803156</v>
      </c>
      <c r="G4" s="160">
        <f>SUM(C4:F4)</f>
        <v>17942921.699999999</v>
      </c>
      <c r="H4" s="112">
        <f>B4</f>
        <v>1223918</v>
      </c>
    </row>
    <row r="5" spans="1:8" ht="15.75" thickBot="1" x14ac:dyDescent="0.3">
      <c r="A5" s="228" t="s">
        <v>509</v>
      </c>
      <c r="B5" s="170">
        <f>'NJTRANSIT FUEL USE TABLE'!E1465</f>
        <v>4719</v>
      </c>
      <c r="C5" s="170">
        <f>'NJTRANSIT FUEL USE TABLE'!J9260</f>
        <v>39826</v>
      </c>
      <c r="D5" s="170">
        <f>'NJTRANSIT FUEL USE TABLE'!O1592</f>
        <v>212157</v>
      </c>
      <c r="E5" s="170">
        <f>'NJTRANSIT FUEL USE TABLE'!T1831</f>
        <v>14864.6</v>
      </c>
      <c r="F5" s="170">
        <f>'NJTRANSIT FUEL USE TABLE'!Y4000</f>
        <v>1661</v>
      </c>
      <c r="G5" s="229"/>
      <c r="H5" s="230"/>
    </row>
    <row r="6" spans="1:8" x14ac:dyDescent="0.25">
      <c r="E6" t="s">
        <v>983</v>
      </c>
      <c r="F6" s="157">
        <f>SUM(B5:F5)</f>
        <v>273227.59999999998</v>
      </c>
    </row>
    <row r="7" spans="1:8" x14ac:dyDescent="0.25">
      <c r="F7" t="s">
        <v>984</v>
      </c>
      <c r="G7" s="7">
        <f>SUM(B4:F4)</f>
        <v>19166839.699999999</v>
      </c>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38"/>
  <sheetViews>
    <sheetView workbookViewId="0">
      <selection activeCell="J25" sqref="J25"/>
    </sheetView>
  </sheetViews>
  <sheetFormatPr defaultRowHeight="15" x14ac:dyDescent="0.25"/>
  <cols>
    <col min="4" max="4" width="11.140625" customWidth="1"/>
    <col min="5" max="5" width="17.42578125" customWidth="1"/>
    <col min="8" max="8" width="20.85546875" customWidth="1"/>
    <col min="9" max="9" width="14.42578125" customWidth="1"/>
    <col min="10" max="10" width="15.42578125" customWidth="1"/>
    <col min="13" max="13" width="15.5703125" customWidth="1"/>
    <col min="14" max="14" width="12.5703125" customWidth="1"/>
    <col min="15" max="15" width="16.140625" customWidth="1"/>
    <col min="18" max="18" width="21.42578125" customWidth="1"/>
    <col min="19" max="19" width="12.42578125" customWidth="1"/>
    <col min="20" max="20" width="15.5703125" customWidth="1"/>
    <col min="24" max="24" width="12.42578125" customWidth="1"/>
    <col min="25" max="25" width="15.42578125" customWidth="1"/>
  </cols>
  <sheetData>
    <row r="1" spans="1:25" ht="18" thickBot="1" x14ac:dyDescent="0.3">
      <c r="A1" s="288" t="s">
        <v>988</v>
      </c>
      <c r="B1" s="6"/>
      <c r="C1" s="6"/>
      <c r="D1" s="6"/>
      <c r="E1" s="6"/>
      <c r="F1" s="6"/>
      <c r="G1" s="6"/>
      <c r="H1" s="6"/>
      <c r="I1" s="6"/>
      <c r="J1" s="6"/>
      <c r="K1" s="6"/>
      <c r="L1" s="6"/>
      <c r="M1" s="6"/>
      <c r="N1" s="6"/>
    </row>
    <row r="2" spans="1:25" x14ac:dyDescent="0.25">
      <c r="A2" s="592" t="s">
        <v>142</v>
      </c>
      <c r="B2" s="593"/>
      <c r="C2" s="593"/>
      <c r="D2" s="593"/>
      <c r="E2" s="594"/>
      <c r="F2" s="595" t="s">
        <v>91</v>
      </c>
      <c r="G2" s="596"/>
      <c r="H2" s="596"/>
      <c r="I2" s="596"/>
      <c r="J2" s="597"/>
      <c r="K2" s="595" t="s">
        <v>90</v>
      </c>
      <c r="L2" s="596"/>
      <c r="M2" s="596"/>
      <c r="N2" s="596"/>
      <c r="O2" s="598"/>
      <c r="P2" s="592" t="s">
        <v>89</v>
      </c>
      <c r="Q2" s="593"/>
      <c r="R2" s="593"/>
      <c r="S2" s="593"/>
      <c r="T2" s="594"/>
      <c r="U2" s="592" t="s">
        <v>143</v>
      </c>
      <c r="V2" s="593"/>
      <c r="W2" s="593"/>
      <c r="X2" s="593"/>
      <c r="Y2" s="599"/>
    </row>
    <row r="3" spans="1:25" x14ac:dyDescent="0.25">
      <c r="A3" s="29" t="s">
        <v>144</v>
      </c>
      <c r="B3" s="30" t="s">
        <v>145</v>
      </c>
      <c r="C3" s="30" t="s">
        <v>146</v>
      </c>
      <c r="D3" s="30" t="s">
        <v>19</v>
      </c>
      <c r="E3" s="75" t="s">
        <v>147</v>
      </c>
      <c r="F3" s="76" t="s">
        <v>144</v>
      </c>
      <c r="G3" s="77" t="s">
        <v>145</v>
      </c>
      <c r="H3" s="77" t="s">
        <v>146</v>
      </c>
      <c r="I3" s="77" t="s">
        <v>19</v>
      </c>
      <c r="J3" s="78" t="s">
        <v>147</v>
      </c>
      <c r="K3" s="131" t="s">
        <v>144</v>
      </c>
      <c r="L3" s="131" t="s">
        <v>145</v>
      </c>
      <c r="M3" s="131" t="s">
        <v>146</v>
      </c>
      <c r="N3" s="131" t="s">
        <v>19</v>
      </c>
      <c r="O3" s="131" t="s">
        <v>147</v>
      </c>
      <c r="P3" s="131" t="s">
        <v>144</v>
      </c>
      <c r="Q3" s="131" t="s">
        <v>145</v>
      </c>
      <c r="R3" s="131" t="s">
        <v>146</v>
      </c>
      <c r="S3" s="131" t="s">
        <v>19</v>
      </c>
      <c r="T3" s="131" t="s">
        <v>147</v>
      </c>
      <c r="U3" s="131" t="s">
        <v>144</v>
      </c>
      <c r="V3" s="131" t="s">
        <v>145</v>
      </c>
      <c r="W3" s="131" t="s">
        <v>146</v>
      </c>
      <c r="X3" s="131" t="s">
        <v>19</v>
      </c>
      <c r="Y3" s="131" t="s">
        <v>147</v>
      </c>
    </row>
    <row r="4" spans="1:25" x14ac:dyDescent="0.25">
      <c r="A4" s="79" t="s">
        <v>148</v>
      </c>
      <c r="B4" s="12" t="s">
        <v>155</v>
      </c>
      <c r="C4" s="12" t="s">
        <v>153</v>
      </c>
      <c r="D4" s="80">
        <v>41868</v>
      </c>
      <c r="E4" s="81">
        <v>1200</v>
      </c>
      <c r="F4" s="82" t="s">
        <v>150</v>
      </c>
      <c r="G4" s="83" t="s">
        <v>152</v>
      </c>
      <c r="H4" s="83" t="s">
        <v>153</v>
      </c>
      <c r="I4" s="84">
        <v>41648</v>
      </c>
      <c r="J4" s="85">
        <v>1061</v>
      </c>
      <c r="K4" s="132" t="s">
        <v>20</v>
      </c>
      <c r="L4" s="132" t="s">
        <v>152</v>
      </c>
      <c r="M4" s="132" t="s">
        <v>153</v>
      </c>
      <c r="N4" s="133">
        <v>41662</v>
      </c>
      <c r="O4" s="134">
        <v>1257</v>
      </c>
      <c r="P4" s="132" t="s">
        <v>151</v>
      </c>
      <c r="Q4" s="132" t="s">
        <v>152</v>
      </c>
      <c r="R4" s="132" t="s">
        <v>153</v>
      </c>
      <c r="S4" s="133">
        <v>41725</v>
      </c>
      <c r="T4" s="134">
        <v>1427.6</v>
      </c>
      <c r="U4" s="132" t="s">
        <v>154</v>
      </c>
      <c r="V4" s="132" t="s">
        <v>152</v>
      </c>
      <c r="W4" s="132" t="s">
        <v>153</v>
      </c>
      <c r="X4" s="133">
        <v>41635</v>
      </c>
      <c r="Y4" s="134">
        <v>524</v>
      </c>
    </row>
    <row r="5" spans="1:25" x14ac:dyDescent="0.25">
      <c r="A5" s="79" t="s">
        <v>148</v>
      </c>
      <c r="B5" s="12" t="s">
        <v>155</v>
      </c>
      <c r="C5" s="12" t="s">
        <v>153</v>
      </c>
      <c r="D5" s="80">
        <v>41869</v>
      </c>
      <c r="E5" s="81">
        <v>738</v>
      </c>
      <c r="F5" s="82" t="s">
        <v>150</v>
      </c>
      <c r="G5" s="83" t="s">
        <v>152</v>
      </c>
      <c r="H5" s="83" t="s">
        <v>153</v>
      </c>
      <c r="I5" s="84">
        <v>41652</v>
      </c>
      <c r="J5" s="85">
        <v>565</v>
      </c>
      <c r="K5" s="132" t="s">
        <v>20</v>
      </c>
      <c r="L5" s="132" t="s">
        <v>152</v>
      </c>
      <c r="M5" s="132" t="s">
        <v>153</v>
      </c>
      <c r="N5" s="133">
        <v>41665</v>
      </c>
      <c r="O5" s="134">
        <v>1208</v>
      </c>
      <c r="P5" s="132" t="s">
        <v>151</v>
      </c>
      <c r="Q5" s="132" t="s">
        <v>152</v>
      </c>
      <c r="R5" s="132" t="s">
        <v>153</v>
      </c>
      <c r="S5" s="133">
        <v>41726</v>
      </c>
      <c r="T5" s="134">
        <v>468.8</v>
      </c>
      <c r="U5" s="132" t="s">
        <v>154</v>
      </c>
      <c r="V5" s="132" t="s">
        <v>152</v>
      </c>
      <c r="W5" s="132" t="s">
        <v>153</v>
      </c>
      <c r="X5" s="133">
        <v>41635</v>
      </c>
      <c r="Y5" s="134">
        <v>273</v>
      </c>
    </row>
    <row r="6" spans="1:25" x14ac:dyDescent="0.25">
      <c r="A6" s="79" t="s">
        <v>148</v>
      </c>
      <c r="B6" s="12" t="s">
        <v>155</v>
      </c>
      <c r="C6" s="12" t="s">
        <v>153</v>
      </c>
      <c r="D6" s="80">
        <v>41870</v>
      </c>
      <c r="E6" s="81">
        <v>1014</v>
      </c>
      <c r="F6" s="82" t="s">
        <v>150</v>
      </c>
      <c r="G6" s="83" t="s">
        <v>152</v>
      </c>
      <c r="H6" s="83" t="s">
        <v>153</v>
      </c>
      <c r="I6" s="84">
        <v>41654</v>
      </c>
      <c r="J6" s="85">
        <v>838</v>
      </c>
      <c r="K6" s="132" t="s">
        <v>20</v>
      </c>
      <c r="L6" s="132" t="s">
        <v>152</v>
      </c>
      <c r="M6" s="132" t="s">
        <v>153</v>
      </c>
      <c r="N6" s="133">
        <v>41695</v>
      </c>
      <c r="O6" s="134">
        <v>1050</v>
      </c>
      <c r="P6" s="132" t="s">
        <v>151</v>
      </c>
      <c r="Q6" s="132" t="s">
        <v>152</v>
      </c>
      <c r="R6" s="132" t="s">
        <v>153</v>
      </c>
      <c r="S6" s="133">
        <v>41778</v>
      </c>
      <c r="T6" s="134">
        <v>476.9</v>
      </c>
      <c r="U6" s="132" t="s">
        <v>154</v>
      </c>
      <c r="V6" s="132" t="s">
        <v>152</v>
      </c>
      <c r="W6" s="132" t="s">
        <v>153</v>
      </c>
      <c r="X6" s="133">
        <v>41636</v>
      </c>
      <c r="Y6" s="134">
        <v>866</v>
      </c>
    </row>
    <row r="7" spans="1:25" x14ac:dyDescent="0.25">
      <c r="A7" s="79" t="s">
        <v>148</v>
      </c>
      <c r="B7" s="12" t="s">
        <v>155</v>
      </c>
      <c r="C7" s="12" t="s">
        <v>153</v>
      </c>
      <c r="D7" s="80">
        <v>41871</v>
      </c>
      <c r="E7" s="81">
        <v>802</v>
      </c>
      <c r="F7" s="82" t="s">
        <v>150</v>
      </c>
      <c r="G7" s="83" t="s">
        <v>152</v>
      </c>
      <c r="H7" s="83" t="s">
        <v>153</v>
      </c>
      <c r="I7" s="84">
        <v>41655</v>
      </c>
      <c r="J7" s="85">
        <v>1049</v>
      </c>
      <c r="K7" s="132" t="s">
        <v>20</v>
      </c>
      <c r="L7" s="132" t="s">
        <v>152</v>
      </c>
      <c r="M7" s="132" t="s">
        <v>153</v>
      </c>
      <c r="N7" s="133">
        <v>41755</v>
      </c>
      <c r="O7" s="134">
        <v>782</v>
      </c>
      <c r="P7" s="132" t="s">
        <v>151</v>
      </c>
      <c r="Q7" s="132" t="s">
        <v>152</v>
      </c>
      <c r="R7" s="132" t="s">
        <v>153</v>
      </c>
      <c r="S7" s="133">
        <v>41779</v>
      </c>
      <c r="T7" s="134">
        <v>686.8</v>
      </c>
      <c r="U7" s="132" t="s">
        <v>154</v>
      </c>
      <c r="V7" s="132" t="s">
        <v>152</v>
      </c>
      <c r="W7" s="132" t="s">
        <v>153</v>
      </c>
      <c r="X7" s="133">
        <v>41637</v>
      </c>
      <c r="Y7" s="134">
        <v>567</v>
      </c>
    </row>
    <row r="8" spans="1:25" x14ac:dyDescent="0.25">
      <c r="A8" s="79" t="s">
        <v>148</v>
      </c>
      <c r="B8" s="12" t="s">
        <v>155</v>
      </c>
      <c r="C8" s="12" t="s">
        <v>153</v>
      </c>
      <c r="D8" s="80">
        <v>41872</v>
      </c>
      <c r="E8" s="81">
        <v>800</v>
      </c>
      <c r="F8" s="82" t="s">
        <v>150</v>
      </c>
      <c r="G8" s="83" t="s">
        <v>152</v>
      </c>
      <c r="H8" s="83" t="s">
        <v>153</v>
      </c>
      <c r="I8" s="84">
        <v>41696</v>
      </c>
      <c r="J8" s="85">
        <v>510</v>
      </c>
      <c r="K8" s="132" t="s">
        <v>20</v>
      </c>
      <c r="L8" s="132" t="s">
        <v>152</v>
      </c>
      <c r="M8" s="132" t="s">
        <v>153</v>
      </c>
      <c r="N8" s="133">
        <v>41768</v>
      </c>
      <c r="O8" s="134">
        <v>1089</v>
      </c>
      <c r="P8" s="132" t="s">
        <v>151</v>
      </c>
      <c r="Q8" s="132" t="s">
        <v>152</v>
      </c>
      <c r="R8" s="132" t="s">
        <v>153</v>
      </c>
      <c r="S8" s="133">
        <v>41789</v>
      </c>
      <c r="T8" s="134">
        <v>492.6</v>
      </c>
      <c r="U8" s="132" t="s">
        <v>154</v>
      </c>
      <c r="V8" s="132" t="s">
        <v>152</v>
      </c>
      <c r="W8" s="132" t="s">
        <v>153</v>
      </c>
      <c r="X8" s="133">
        <v>41638</v>
      </c>
      <c r="Y8" s="134">
        <v>444</v>
      </c>
    </row>
    <row r="9" spans="1:25" x14ac:dyDescent="0.25">
      <c r="A9" s="79" t="s">
        <v>148</v>
      </c>
      <c r="B9" s="12" t="s">
        <v>155</v>
      </c>
      <c r="C9" s="12" t="s">
        <v>153</v>
      </c>
      <c r="D9" s="80">
        <v>41873</v>
      </c>
      <c r="E9" s="81">
        <v>850</v>
      </c>
      <c r="F9" s="82" t="s">
        <v>150</v>
      </c>
      <c r="G9" s="83" t="s">
        <v>152</v>
      </c>
      <c r="H9" s="83" t="s">
        <v>153</v>
      </c>
      <c r="I9" s="84">
        <v>41698</v>
      </c>
      <c r="J9" s="85">
        <v>1046</v>
      </c>
      <c r="K9" s="132" t="s">
        <v>20</v>
      </c>
      <c r="L9" s="132" t="s">
        <v>152</v>
      </c>
      <c r="M9" s="132" t="s">
        <v>153</v>
      </c>
      <c r="N9" s="133">
        <v>41813</v>
      </c>
      <c r="O9" s="134">
        <v>734</v>
      </c>
      <c r="P9" s="132" t="s">
        <v>151</v>
      </c>
      <c r="Q9" s="132" t="s">
        <v>152</v>
      </c>
      <c r="R9" s="132" t="s">
        <v>153</v>
      </c>
      <c r="S9" s="133">
        <v>41800</v>
      </c>
      <c r="T9" s="134">
        <v>478</v>
      </c>
      <c r="U9" s="132" t="s">
        <v>154</v>
      </c>
      <c r="V9" s="132" t="s">
        <v>152</v>
      </c>
      <c r="W9" s="132" t="s">
        <v>153</v>
      </c>
      <c r="X9" s="133">
        <v>41638</v>
      </c>
      <c r="Y9" s="134">
        <v>320</v>
      </c>
    </row>
    <row r="10" spans="1:25" x14ac:dyDescent="0.25">
      <c r="A10" s="79" t="s">
        <v>148</v>
      </c>
      <c r="B10" s="12" t="s">
        <v>155</v>
      </c>
      <c r="C10" s="12" t="s">
        <v>153</v>
      </c>
      <c r="D10" s="80">
        <v>41874</v>
      </c>
      <c r="E10" s="81">
        <v>910</v>
      </c>
      <c r="F10" s="82" t="s">
        <v>150</v>
      </c>
      <c r="G10" s="83" t="s">
        <v>152</v>
      </c>
      <c r="H10" s="83" t="s">
        <v>153</v>
      </c>
      <c r="I10" s="84">
        <v>41701</v>
      </c>
      <c r="J10" s="85">
        <v>324</v>
      </c>
      <c r="K10" s="132" t="s">
        <v>20</v>
      </c>
      <c r="L10" s="132" t="s">
        <v>152</v>
      </c>
      <c r="M10" s="132" t="s">
        <v>153</v>
      </c>
      <c r="N10" s="133">
        <v>41814</v>
      </c>
      <c r="O10" s="134">
        <v>389</v>
      </c>
      <c r="P10" s="132" t="s">
        <v>151</v>
      </c>
      <c r="Q10" s="132" t="s">
        <v>152</v>
      </c>
      <c r="R10" s="132" t="s">
        <v>153</v>
      </c>
      <c r="S10" s="133">
        <v>41806</v>
      </c>
      <c r="T10" s="134">
        <v>406.4</v>
      </c>
      <c r="U10" s="132" t="s">
        <v>154</v>
      </c>
      <c r="V10" s="132" t="s">
        <v>152</v>
      </c>
      <c r="W10" s="132" t="s">
        <v>153</v>
      </c>
      <c r="X10" s="133">
        <v>41639</v>
      </c>
      <c r="Y10" s="134">
        <v>1122</v>
      </c>
    </row>
    <row r="11" spans="1:25" x14ac:dyDescent="0.25">
      <c r="A11" s="79" t="s">
        <v>148</v>
      </c>
      <c r="B11" s="12" t="s">
        <v>155</v>
      </c>
      <c r="C11" s="12" t="s">
        <v>153</v>
      </c>
      <c r="D11" s="80">
        <v>41875</v>
      </c>
      <c r="E11" s="81">
        <v>750</v>
      </c>
      <c r="F11" s="82" t="s">
        <v>150</v>
      </c>
      <c r="G11" s="83" t="s">
        <v>152</v>
      </c>
      <c r="H11" s="83" t="s">
        <v>153</v>
      </c>
      <c r="I11" s="84">
        <v>41702</v>
      </c>
      <c r="J11" s="85">
        <v>697</v>
      </c>
      <c r="K11" s="132" t="s">
        <v>20</v>
      </c>
      <c r="L11" s="132" t="s">
        <v>152</v>
      </c>
      <c r="M11" s="132" t="s">
        <v>153</v>
      </c>
      <c r="N11" s="133">
        <v>41816</v>
      </c>
      <c r="O11" s="134">
        <v>1241</v>
      </c>
      <c r="P11" s="132" t="s">
        <v>151</v>
      </c>
      <c r="Q11" s="132" t="s">
        <v>152</v>
      </c>
      <c r="R11" s="132" t="s">
        <v>153</v>
      </c>
      <c r="S11" s="133">
        <v>41844</v>
      </c>
      <c r="T11" s="134">
        <v>900.8</v>
      </c>
      <c r="U11" s="132" t="s">
        <v>154</v>
      </c>
      <c r="V11" s="132" t="s">
        <v>152</v>
      </c>
      <c r="W11" s="132" t="s">
        <v>153</v>
      </c>
      <c r="X11" s="133">
        <v>41655</v>
      </c>
      <c r="Y11" s="134">
        <v>500</v>
      </c>
    </row>
    <row r="12" spans="1:25" x14ac:dyDescent="0.25">
      <c r="A12" s="79" t="s">
        <v>148</v>
      </c>
      <c r="B12" s="12" t="s">
        <v>155</v>
      </c>
      <c r="C12" s="12" t="s">
        <v>153</v>
      </c>
      <c r="D12" s="80">
        <v>41876</v>
      </c>
      <c r="E12" s="81">
        <v>930</v>
      </c>
      <c r="F12" s="82" t="s">
        <v>150</v>
      </c>
      <c r="G12" s="83" t="s">
        <v>152</v>
      </c>
      <c r="H12" s="83" t="s">
        <v>153</v>
      </c>
      <c r="I12" s="84">
        <v>41703</v>
      </c>
      <c r="J12" s="85">
        <v>1167</v>
      </c>
      <c r="K12" s="132" t="s">
        <v>20</v>
      </c>
      <c r="L12" s="132" t="s">
        <v>152</v>
      </c>
      <c r="M12" s="132" t="s">
        <v>153</v>
      </c>
      <c r="N12" s="133">
        <v>41817</v>
      </c>
      <c r="O12" s="134">
        <v>567</v>
      </c>
      <c r="P12" s="132" t="s">
        <v>151</v>
      </c>
      <c r="Q12" s="132" t="s">
        <v>152</v>
      </c>
      <c r="R12" s="132" t="s">
        <v>153</v>
      </c>
      <c r="S12" s="133">
        <v>41845</v>
      </c>
      <c r="T12" s="134">
        <v>667.7</v>
      </c>
      <c r="U12" s="132" t="s">
        <v>154</v>
      </c>
      <c r="V12" s="132" t="s">
        <v>152</v>
      </c>
      <c r="W12" s="132" t="s">
        <v>153</v>
      </c>
      <c r="X12" s="133">
        <v>41656</v>
      </c>
      <c r="Y12" s="134">
        <v>430</v>
      </c>
    </row>
    <row r="13" spans="1:25" x14ac:dyDescent="0.25">
      <c r="A13" s="79" t="s">
        <v>148</v>
      </c>
      <c r="B13" s="12" t="s">
        <v>155</v>
      </c>
      <c r="C13" s="12" t="s">
        <v>153</v>
      </c>
      <c r="D13" s="80">
        <v>41877</v>
      </c>
      <c r="E13" s="81">
        <v>610</v>
      </c>
      <c r="F13" s="82" t="s">
        <v>150</v>
      </c>
      <c r="G13" s="83" t="s">
        <v>152</v>
      </c>
      <c r="H13" s="83" t="s">
        <v>153</v>
      </c>
      <c r="I13" s="84">
        <v>41703</v>
      </c>
      <c r="J13" s="85">
        <v>673</v>
      </c>
      <c r="K13" s="132" t="s">
        <v>20</v>
      </c>
      <c r="L13" s="132" t="s">
        <v>152</v>
      </c>
      <c r="M13" s="132" t="s">
        <v>153</v>
      </c>
      <c r="N13" s="133">
        <v>41841</v>
      </c>
      <c r="O13" s="134">
        <v>959</v>
      </c>
      <c r="P13" s="132" t="s">
        <v>151</v>
      </c>
      <c r="Q13" s="132" t="s">
        <v>152</v>
      </c>
      <c r="R13" s="132" t="s">
        <v>153</v>
      </c>
      <c r="S13" s="133">
        <v>41848</v>
      </c>
      <c r="T13" s="134">
        <v>822.8</v>
      </c>
      <c r="U13" s="132" t="s">
        <v>154</v>
      </c>
      <c r="V13" s="132" t="s">
        <v>152</v>
      </c>
      <c r="W13" s="132" t="s">
        <v>153</v>
      </c>
      <c r="X13" s="133">
        <v>41657</v>
      </c>
      <c r="Y13" s="134">
        <v>409</v>
      </c>
    </row>
    <row r="14" spans="1:25" x14ac:dyDescent="0.25">
      <c r="A14" s="79" t="s">
        <v>148</v>
      </c>
      <c r="B14" s="12" t="s">
        <v>155</v>
      </c>
      <c r="C14" s="12" t="s">
        <v>153</v>
      </c>
      <c r="D14" s="80">
        <v>41878</v>
      </c>
      <c r="E14" s="81">
        <v>1201</v>
      </c>
      <c r="F14" s="82" t="s">
        <v>150</v>
      </c>
      <c r="G14" s="83" t="s">
        <v>152</v>
      </c>
      <c r="H14" s="83" t="s">
        <v>153</v>
      </c>
      <c r="I14" s="84">
        <v>41704</v>
      </c>
      <c r="J14" s="85">
        <v>1049</v>
      </c>
      <c r="K14" s="132" t="s">
        <v>20</v>
      </c>
      <c r="L14" s="132" t="s">
        <v>152</v>
      </c>
      <c r="M14" s="132" t="s">
        <v>153</v>
      </c>
      <c r="N14" s="133">
        <v>41963</v>
      </c>
      <c r="O14" s="134">
        <v>1571</v>
      </c>
      <c r="P14" s="132" t="s">
        <v>151</v>
      </c>
      <c r="Q14" s="132" t="s">
        <v>152</v>
      </c>
      <c r="R14" s="132" t="s">
        <v>153</v>
      </c>
      <c r="S14" s="133">
        <v>41876</v>
      </c>
      <c r="T14" s="134">
        <v>474.9</v>
      </c>
      <c r="U14" s="132" t="s">
        <v>154</v>
      </c>
      <c r="V14" s="132" t="s">
        <v>152</v>
      </c>
      <c r="W14" s="132" t="s">
        <v>153</v>
      </c>
      <c r="X14" s="133">
        <v>41666</v>
      </c>
      <c r="Y14" s="134">
        <v>421</v>
      </c>
    </row>
    <row r="15" spans="1:25" x14ac:dyDescent="0.25">
      <c r="A15" s="79" t="s">
        <v>148</v>
      </c>
      <c r="B15" s="12" t="s">
        <v>155</v>
      </c>
      <c r="C15" s="12" t="s">
        <v>153</v>
      </c>
      <c r="D15" s="80">
        <v>41879</v>
      </c>
      <c r="E15" s="81">
        <v>852</v>
      </c>
      <c r="F15" s="82" t="s">
        <v>150</v>
      </c>
      <c r="G15" s="83" t="s">
        <v>152</v>
      </c>
      <c r="H15" s="83" t="s">
        <v>153</v>
      </c>
      <c r="I15" s="84">
        <v>41708</v>
      </c>
      <c r="J15" s="85">
        <v>1235</v>
      </c>
      <c r="K15" s="132" t="s">
        <v>20</v>
      </c>
      <c r="L15" s="132" t="s">
        <v>152</v>
      </c>
      <c r="M15" s="132" t="s">
        <v>153</v>
      </c>
      <c r="N15" s="133">
        <v>41979</v>
      </c>
      <c r="O15" s="134">
        <v>1438</v>
      </c>
      <c r="P15" s="132" t="s">
        <v>151</v>
      </c>
      <c r="Q15" s="132" t="s">
        <v>152</v>
      </c>
      <c r="R15" s="132" t="s">
        <v>153</v>
      </c>
      <c r="S15" s="133">
        <v>41877</v>
      </c>
      <c r="T15" s="134">
        <v>670.6</v>
      </c>
      <c r="U15" s="132" t="s">
        <v>154</v>
      </c>
      <c r="V15" s="132" t="s">
        <v>152</v>
      </c>
      <c r="W15" s="132" t="s">
        <v>153</v>
      </c>
      <c r="X15" s="133">
        <v>41667</v>
      </c>
      <c r="Y15" s="134">
        <v>470</v>
      </c>
    </row>
    <row r="16" spans="1:25" x14ac:dyDescent="0.25">
      <c r="A16" s="79" t="s">
        <v>148</v>
      </c>
      <c r="B16" s="12" t="s">
        <v>155</v>
      </c>
      <c r="C16" s="12" t="s">
        <v>153</v>
      </c>
      <c r="D16" s="80">
        <v>41880</v>
      </c>
      <c r="E16" s="81">
        <v>874</v>
      </c>
      <c r="F16" s="82" t="s">
        <v>150</v>
      </c>
      <c r="G16" s="83" t="s">
        <v>152</v>
      </c>
      <c r="H16" s="83" t="s">
        <v>153</v>
      </c>
      <c r="I16" s="84">
        <v>41709</v>
      </c>
      <c r="J16" s="85">
        <v>764</v>
      </c>
      <c r="K16" s="132" t="s">
        <v>20</v>
      </c>
      <c r="L16" s="132" t="s">
        <v>152</v>
      </c>
      <c r="M16" s="132" t="s">
        <v>153</v>
      </c>
      <c r="N16" s="133">
        <v>41991</v>
      </c>
      <c r="O16" s="134">
        <v>1302</v>
      </c>
      <c r="P16" s="132" t="s">
        <v>151</v>
      </c>
      <c r="Q16" s="132" t="s">
        <v>152</v>
      </c>
      <c r="R16" s="132" t="s">
        <v>153</v>
      </c>
      <c r="S16" s="133">
        <v>41886</v>
      </c>
      <c r="T16" s="134">
        <v>1213.4000000000001</v>
      </c>
      <c r="U16" s="132" t="s">
        <v>154</v>
      </c>
      <c r="V16" s="132" t="s">
        <v>152</v>
      </c>
      <c r="W16" s="132" t="s">
        <v>153</v>
      </c>
      <c r="X16" s="133">
        <v>41668</v>
      </c>
      <c r="Y16" s="134">
        <v>713</v>
      </c>
    </row>
    <row r="17" spans="1:25" x14ac:dyDescent="0.25">
      <c r="A17" s="79" t="s">
        <v>148</v>
      </c>
      <c r="B17" s="12" t="s">
        <v>155</v>
      </c>
      <c r="C17" s="12" t="s">
        <v>153</v>
      </c>
      <c r="D17" s="80">
        <v>41882</v>
      </c>
      <c r="E17" s="81">
        <v>825</v>
      </c>
      <c r="F17" s="82" t="s">
        <v>150</v>
      </c>
      <c r="G17" s="83" t="s">
        <v>152</v>
      </c>
      <c r="H17" s="83" t="s">
        <v>153</v>
      </c>
      <c r="I17" s="84">
        <v>41711</v>
      </c>
      <c r="J17" s="85">
        <v>1176</v>
      </c>
      <c r="K17" s="132" t="s">
        <v>20</v>
      </c>
      <c r="L17" s="132" t="s">
        <v>152</v>
      </c>
      <c r="M17" s="132" t="s">
        <v>153</v>
      </c>
      <c r="N17" s="133">
        <v>42000</v>
      </c>
      <c r="O17" s="134">
        <v>1206</v>
      </c>
      <c r="P17" s="132" t="s">
        <v>151</v>
      </c>
      <c r="Q17" s="132" t="s">
        <v>152</v>
      </c>
      <c r="R17" s="132" t="s">
        <v>153</v>
      </c>
      <c r="S17" s="133">
        <v>41893</v>
      </c>
      <c r="T17" s="134">
        <v>407.1</v>
      </c>
      <c r="U17" s="132" t="s">
        <v>154</v>
      </c>
      <c r="V17" s="132" t="s">
        <v>152</v>
      </c>
      <c r="W17" s="132" t="s">
        <v>153</v>
      </c>
      <c r="X17" s="133">
        <v>41669</v>
      </c>
      <c r="Y17" s="134">
        <v>1031</v>
      </c>
    </row>
    <row r="18" spans="1:25" x14ac:dyDescent="0.25">
      <c r="A18" s="79" t="s">
        <v>148</v>
      </c>
      <c r="B18" s="12" t="s">
        <v>155</v>
      </c>
      <c r="C18" s="12" t="s">
        <v>153</v>
      </c>
      <c r="D18" s="80">
        <v>41883</v>
      </c>
      <c r="E18" s="81">
        <v>840</v>
      </c>
      <c r="F18" s="82" t="s">
        <v>150</v>
      </c>
      <c r="G18" s="83" t="s">
        <v>152</v>
      </c>
      <c r="H18" s="83" t="s">
        <v>153</v>
      </c>
      <c r="I18" s="84">
        <v>41711</v>
      </c>
      <c r="J18" s="85">
        <v>990</v>
      </c>
      <c r="K18" s="132" t="s">
        <v>20</v>
      </c>
      <c r="L18" s="132" t="s">
        <v>155</v>
      </c>
      <c r="M18" s="132" t="s">
        <v>153</v>
      </c>
      <c r="N18" s="133">
        <v>41648</v>
      </c>
      <c r="O18" s="134">
        <v>2064</v>
      </c>
      <c r="P18" s="132" t="s">
        <v>151</v>
      </c>
      <c r="Q18" s="132" t="s">
        <v>155</v>
      </c>
      <c r="R18" s="132" t="s">
        <v>153</v>
      </c>
      <c r="S18" s="133">
        <v>41837</v>
      </c>
      <c r="T18" s="134">
        <v>1082.7</v>
      </c>
      <c r="U18" s="132" t="s">
        <v>154</v>
      </c>
      <c r="V18" s="132" t="s">
        <v>152</v>
      </c>
      <c r="W18" s="132" t="s">
        <v>153</v>
      </c>
      <c r="X18" s="133">
        <v>41670</v>
      </c>
      <c r="Y18" s="134">
        <v>1100</v>
      </c>
    </row>
    <row r="19" spans="1:25" x14ac:dyDescent="0.25">
      <c r="A19" s="79" t="s">
        <v>148</v>
      </c>
      <c r="B19" s="12" t="s">
        <v>155</v>
      </c>
      <c r="C19" s="12" t="s">
        <v>153</v>
      </c>
      <c r="D19" s="80">
        <v>41884</v>
      </c>
      <c r="E19" s="81">
        <v>840</v>
      </c>
      <c r="F19" s="82" t="s">
        <v>150</v>
      </c>
      <c r="G19" s="83" t="s">
        <v>152</v>
      </c>
      <c r="H19" s="83" t="s">
        <v>153</v>
      </c>
      <c r="I19" s="84">
        <v>41715</v>
      </c>
      <c r="J19" s="85">
        <v>1326</v>
      </c>
      <c r="K19" s="132" t="s">
        <v>20</v>
      </c>
      <c r="L19" s="132" t="s">
        <v>155</v>
      </c>
      <c r="M19" s="132" t="s">
        <v>153</v>
      </c>
      <c r="N19" s="133">
        <v>41650</v>
      </c>
      <c r="O19" s="134">
        <v>765</v>
      </c>
      <c r="P19" s="132" t="s">
        <v>151</v>
      </c>
      <c r="Q19" s="132" t="s">
        <v>155</v>
      </c>
      <c r="R19" s="132" t="s">
        <v>153</v>
      </c>
      <c r="S19" s="133">
        <v>41856</v>
      </c>
      <c r="T19" s="134">
        <v>417.9</v>
      </c>
      <c r="U19" s="132" t="s">
        <v>154</v>
      </c>
      <c r="V19" s="132" t="s">
        <v>152</v>
      </c>
      <c r="W19" s="132" t="s">
        <v>153</v>
      </c>
      <c r="X19" s="133">
        <v>41671</v>
      </c>
      <c r="Y19" s="134">
        <v>641</v>
      </c>
    </row>
    <row r="20" spans="1:25" x14ac:dyDescent="0.25">
      <c r="A20" s="79" t="s">
        <v>148</v>
      </c>
      <c r="B20" s="12" t="s">
        <v>155</v>
      </c>
      <c r="C20" s="12" t="s">
        <v>153</v>
      </c>
      <c r="D20" s="80">
        <v>41885</v>
      </c>
      <c r="E20" s="81">
        <v>830</v>
      </c>
      <c r="F20" s="82" t="s">
        <v>150</v>
      </c>
      <c r="G20" s="83" t="s">
        <v>152</v>
      </c>
      <c r="H20" s="83" t="s">
        <v>153</v>
      </c>
      <c r="I20" s="84">
        <v>41717</v>
      </c>
      <c r="J20" s="85">
        <v>1360</v>
      </c>
      <c r="K20" s="132" t="s">
        <v>20</v>
      </c>
      <c r="L20" s="132" t="s">
        <v>155</v>
      </c>
      <c r="M20" s="132" t="s">
        <v>153</v>
      </c>
      <c r="N20" s="133">
        <v>41657</v>
      </c>
      <c r="O20" s="134">
        <v>522</v>
      </c>
      <c r="P20" s="132" t="s">
        <v>151</v>
      </c>
      <c r="Q20" s="132" t="s">
        <v>175</v>
      </c>
      <c r="R20" s="132" t="s">
        <v>153</v>
      </c>
      <c r="S20" s="133">
        <v>41663</v>
      </c>
      <c r="T20" s="134">
        <v>618.4</v>
      </c>
      <c r="U20" s="132" t="s">
        <v>154</v>
      </c>
      <c r="V20" s="132" t="s">
        <v>152</v>
      </c>
      <c r="W20" s="132" t="s">
        <v>153</v>
      </c>
      <c r="X20" s="133">
        <v>41671</v>
      </c>
      <c r="Y20" s="134">
        <v>300</v>
      </c>
    </row>
    <row r="21" spans="1:25" x14ac:dyDescent="0.25">
      <c r="A21" s="79" t="s">
        <v>148</v>
      </c>
      <c r="B21" s="12" t="s">
        <v>155</v>
      </c>
      <c r="C21" s="12" t="s">
        <v>153</v>
      </c>
      <c r="D21" s="80">
        <v>41886</v>
      </c>
      <c r="E21" s="81">
        <v>760</v>
      </c>
      <c r="F21" s="82" t="s">
        <v>150</v>
      </c>
      <c r="G21" s="83" t="s">
        <v>152</v>
      </c>
      <c r="H21" s="83" t="s">
        <v>153</v>
      </c>
      <c r="I21" s="84">
        <v>41718</v>
      </c>
      <c r="J21" s="85">
        <v>1216</v>
      </c>
      <c r="K21" s="132" t="s">
        <v>20</v>
      </c>
      <c r="L21" s="132" t="s">
        <v>155</v>
      </c>
      <c r="M21" s="132" t="s">
        <v>153</v>
      </c>
      <c r="N21" s="133">
        <v>41709</v>
      </c>
      <c r="O21" s="134">
        <v>325</v>
      </c>
      <c r="P21" s="132" t="s">
        <v>151</v>
      </c>
      <c r="Q21" s="132" t="s">
        <v>175</v>
      </c>
      <c r="R21" s="132" t="s">
        <v>153</v>
      </c>
      <c r="S21" s="133">
        <v>41666</v>
      </c>
      <c r="T21" s="134">
        <v>1325.2</v>
      </c>
      <c r="U21" s="132" t="s">
        <v>154</v>
      </c>
      <c r="V21" s="132" t="s">
        <v>152</v>
      </c>
      <c r="W21" s="132" t="s">
        <v>153</v>
      </c>
      <c r="X21" s="133">
        <v>41671</v>
      </c>
      <c r="Y21" s="134">
        <v>400</v>
      </c>
    </row>
    <row r="22" spans="1:25" x14ac:dyDescent="0.25">
      <c r="A22" s="79" t="s">
        <v>148</v>
      </c>
      <c r="B22" s="12" t="s">
        <v>155</v>
      </c>
      <c r="C22" s="12" t="s">
        <v>153</v>
      </c>
      <c r="D22" s="80">
        <v>41887</v>
      </c>
      <c r="E22" s="81">
        <v>721</v>
      </c>
      <c r="F22" s="82" t="s">
        <v>150</v>
      </c>
      <c r="G22" s="83" t="s">
        <v>152</v>
      </c>
      <c r="H22" s="83" t="s">
        <v>153</v>
      </c>
      <c r="I22" s="84">
        <v>41721</v>
      </c>
      <c r="J22" s="85">
        <v>682</v>
      </c>
      <c r="K22" s="132" t="s">
        <v>20</v>
      </c>
      <c r="L22" s="132" t="s">
        <v>155</v>
      </c>
      <c r="M22" s="132" t="s">
        <v>153</v>
      </c>
      <c r="N22" s="133">
        <v>41720</v>
      </c>
      <c r="O22" s="134">
        <v>818</v>
      </c>
      <c r="P22" s="132" t="s">
        <v>151</v>
      </c>
      <c r="Q22" s="132" t="s">
        <v>175</v>
      </c>
      <c r="R22" s="132" t="s">
        <v>153</v>
      </c>
      <c r="S22" s="133">
        <v>41667</v>
      </c>
      <c r="T22" s="134">
        <v>648.1</v>
      </c>
      <c r="U22" s="132" t="s">
        <v>154</v>
      </c>
      <c r="V22" s="132" t="s">
        <v>152</v>
      </c>
      <c r="W22" s="132" t="s">
        <v>153</v>
      </c>
      <c r="X22" s="133">
        <v>41672</v>
      </c>
      <c r="Y22" s="134">
        <v>406</v>
      </c>
    </row>
    <row r="23" spans="1:25" x14ac:dyDescent="0.25">
      <c r="A23" s="79" t="s">
        <v>148</v>
      </c>
      <c r="B23" s="12" t="s">
        <v>155</v>
      </c>
      <c r="C23" s="12" t="s">
        <v>153</v>
      </c>
      <c r="D23" s="80">
        <v>41888</v>
      </c>
      <c r="E23" s="81">
        <v>958</v>
      </c>
      <c r="F23" s="82" t="s">
        <v>150</v>
      </c>
      <c r="G23" s="83" t="s">
        <v>152</v>
      </c>
      <c r="H23" s="83" t="s">
        <v>153</v>
      </c>
      <c r="I23" s="84">
        <v>41723</v>
      </c>
      <c r="J23" s="85">
        <v>818</v>
      </c>
      <c r="K23" s="132" t="s">
        <v>20</v>
      </c>
      <c r="L23" s="132" t="s">
        <v>155</v>
      </c>
      <c r="M23" s="132" t="s">
        <v>153</v>
      </c>
      <c r="N23" s="133">
        <v>41738</v>
      </c>
      <c r="O23" s="134">
        <v>679</v>
      </c>
      <c r="P23" s="132" t="s">
        <v>151</v>
      </c>
      <c r="Q23" s="132" t="s">
        <v>175</v>
      </c>
      <c r="R23" s="132" t="s">
        <v>153</v>
      </c>
      <c r="S23" s="133">
        <v>41710</v>
      </c>
      <c r="T23" s="134">
        <v>432.4</v>
      </c>
      <c r="U23" s="132" t="s">
        <v>154</v>
      </c>
      <c r="V23" s="132" t="s">
        <v>152</v>
      </c>
      <c r="W23" s="132" t="s">
        <v>153</v>
      </c>
      <c r="X23" s="133">
        <v>41672</v>
      </c>
      <c r="Y23" s="134">
        <v>761</v>
      </c>
    </row>
    <row r="24" spans="1:25" x14ac:dyDescent="0.25">
      <c r="A24" s="79" t="s">
        <v>148</v>
      </c>
      <c r="B24" s="12" t="s">
        <v>155</v>
      </c>
      <c r="C24" s="12" t="s">
        <v>153</v>
      </c>
      <c r="D24" s="80">
        <v>41889</v>
      </c>
      <c r="E24" s="81">
        <v>687</v>
      </c>
      <c r="F24" s="82" t="s">
        <v>150</v>
      </c>
      <c r="G24" s="83" t="s">
        <v>152</v>
      </c>
      <c r="H24" s="83" t="s">
        <v>153</v>
      </c>
      <c r="I24" s="84">
        <v>41729</v>
      </c>
      <c r="J24" s="85">
        <v>699</v>
      </c>
      <c r="K24" s="132" t="s">
        <v>20</v>
      </c>
      <c r="L24" s="132" t="s">
        <v>155</v>
      </c>
      <c r="M24" s="132" t="s">
        <v>153</v>
      </c>
      <c r="N24" s="133">
        <v>41866</v>
      </c>
      <c r="O24" s="134">
        <v>656</v>
      </c>
      <c r="P24" s="132" t="s">
        <v>151</v>
      </c>
      <c r="Q24" s="132" t="s">
        <v>175</v>
      </c>
      <c r="R24" s="132" t="s">
        <v>153</v>
      </c>
      <c r="S24" s="133">
        <v>41901</v>
      </c>
      <c r="T24" s="134">
        <v>826.7</v>
      </c>
      <c r="U24" s="132" t="s">
        <v>154</v>
      </c>
      <c r="V24" s="132" t="s">
        <v>152</v>
      </c>
      <c r="W24" s="132" t="s">
        <v>153</v>
      </c>
      <c r="X24" s="133">
        <v>41673</v>
      </c>
      <c r="Y24" s="134">
        <v>851</v>
      </c>
    </row>
    <row r="25" spans="1:25" x14ac:dyDescent="0.25">
      <c r="A25" s="79" t="s">
        <v>148</v>
      </c>
      <c r="B25" s="12" t="s">
        <v>155</v>
      </c>
      <c r="C25" s="12" t="s">
        <v>153</v>
      </c>
      <c r="D25" s="80">
        <v>41890</v>
      </c>
      <c r="E25" s="81">
        <v>906</v>
      </c>
      <c r="F25" s="82" t="s">
        <v>150</v>
      </c>
      <c r="G25" s="83" t="s">
        <v>152</v>
      </c>
      <c r="H25" s="83" t="s">
        <v>153</v>
      </c>
      <c r="I25" s="84">
        <v>41731</v>
      </c>
      <c r="J25" s="85">
        <v>731</v>
      </c>
      <c r="K25" s="132" t="s">
        <v>20</v>
      </c>
      <c r="L25" s="132" t="s">
        <v>155</v>
      </c>
      <c r="M25" s="132" t="s">
        <v>153</v>
      </c>
      <c r="N25" s="133">
        <v>41907</v>
      </c>
      <c r="O25" s="134">
        <v>1302</v>
      </c>
      <c r="P25" s="132" t="s">
        <v>151</v>
      </c>
      <c r="Q25" s="132" t="s">
        <v>175</v>
      </c>
      <c r="R25" s="132" t="s">
        <v>153</v>
      </c>
      <c r="S25" s="133">
        <v>41904</v>
      </c>
      <c r="T25" s="134">
        <v>550</v>
      </c>
      <c r="U25" s="132" t="s">
        <v>154</v>
      </c>
      <c r="V25" s="132" t="s">
        <v>152</v>
      </c>
      <c r="W25" s="132" t="s">
        <v>153</v>
      </c>
      <c r="X25" s="133">
        <v>41674</v>
      </c>
      <c r="Y25" s="134">
        <v>1011</v>
      </c>
    </row>
    <row r="26" spans="1:25" x14ac:dyDescent="0.25">
      <c r="A26" s="79" t="s">
        <v>148</v>
      </c>
      <c r="B26" s="12" t="s">
        <v>155</v>
      </c>
      <c r="C26" s="12" t="s">
        <v>153</v>
      </c>
      <c r="D26" s="80">
        <v>41891</v>
      </c>
      <c r="E26" s="81">
        <v>120</v>
      </c>
      <c r="F26" s="82" t="s">
        <v>150</v>
      </c>
      <c r="G26" s="83" t="s">
        <v>152</v>
      </c>
      <c r="H26" s="83" t="s">
        <v>153</v>
      </c>
      <c r="I26" s="84">
        <v>41746</v>
      </c>
      <c r="J26" s="85">
        <v>271</v>
      </c>
      <c r="K26" s="132" t="s">
        <v>20</v>
      </c>
      <c r="L26" s="132" t="s">
        <v>175</v>
      </c>
      <c r="M26" s="132" t="s">
        <v>153</v>
      </c>
      <c r="N26" s="133">
        <v>41649</v>
      </c>
      <c r="O26" s="134">
        <v>751</v>
      </c>
      <c r="P26" s="132" t="s">
        <v>151</v>
      </c>
      <c r="Q26" s="132" t="s">
        <v>175</v>
      </c>
      <c r="R26" s="132" t="s">
        <v>153</v>
      </c>
      <c r="S26" s="133">
        <v>41904</v>
      </c>
      <c r="T26" s="134">
        <v>894.7</v>
      </c>
      <c r="U26" s="132" t="s">
        <v>154</v>
      </c>
      <c r="V26" s="132" t="s">
        <v>152</v>
      </c>
      <c r="W26" s="132" t="s">
        <v>153</v>
      </c>
      <c r="X26" s="133">
        <v>41675</v>
      </c>
      <c r="Y26" s="134">
        <v>740</v>
      </c>
    </row>
    <row r="27" spans="1:25" x14ac:dyDescent="0.25">
      <c r="A27" s="79" t="s">
        <v>148</v>
      </c>
      <c r="B27" s="12" t="s">
        <v>155</v>
      </c>
      <c r="C27" s="12" t="s">
        <v>153</v>
      </c>
      <c r="D27" s="80">
        <v>41891</v>
      </c>
      <c r="E27" s="81">
        <v>757</v>
      </c>
      <c r="F27" s="82" t="s">
        <v>150</v>
      </c>
      <c r="G27" s="83" t="s">
        <v>152</v>
      </c>
      <c r="H27" s="83" t="s">
        <v>153</v>
      </c>
      <c r="I27" s="84">
        <v>41750</v>
      </c>
      <c r="J27" s="85">
        <v>1041</v>
      </c>
      <c r="K27" s="132" t="s">
        <v>20</v>
      </c>
      <c r="L27" s="132" t="s">
        <v>175</v>
      </c>
      <c r="M27" s="132" t="s">
        <v>153</v>
      </c>
      <c r="N27" s="133">
        <v>41651</v>
      </c>
      <c r="O27" s="134">
        <v>978</v>
      </c>
      <c r="P27" s="132" t="s">
        <v>151</v>
      </c>
      <c r="Q27" s="132" t="s">
        <v>175</v>
      </c>
      <c r="R27" s="132" t="s">
        <v>153</v>
      </c>
      <c r="S27" s="133">
        <v>41905</v>
      </c>
      <c r="T27" s="134">
        <v>504.7</v>
      </c>
      <c r="U27" s="132" t="s">
        <v>154</v>
      </c>
      <c r="V27" s="132" t="s">
        <v>152</v>
      </c>
      <c r="W27" s="132" t="s">
        <v>153</v>
      </c>
      <c r="X27" s="133">
        <v>41676</v>
      </c>
      <c r="Y27" s="134">
        <v>680</v>
      </c>
    </row>
    <row r="28" spans="1:25" x14ac:dyDescent="0.25">
      <c r="A28" s="79" t="s">
        <v>148</v>
      </c>
      <c r="B28" s="12" t="s">
        <v>155</v>
      </c>
      <c r="C28" s="12" t="s">
        <v>153</v>
      </c>
      <c r="D28" s="80">
        <v>41892</v>
      </c>
      <c r="E28" s="81">
        <v>900</v>
      </c>
      <c r="F28" s="82" t="s">
        <v>150</v>
      </c>
      <c r="G28" s="83" t="s">
        <v>152</v>
      </c>
      <c r="H28" s="83" t="s">
        <v>153</v>
      </c>
      <c r="I28" s="84">
        <v>41752</v>
      </c>
      <c r="J28" s="85">
        <v>961</v>
      </c>
      <c r="K28" s="132" t="s">
        <v>20</v>
      </c>
      <c r="L28" s="132" t="s">
        <v>175</v>
      </c>
      <c r="M28" s="132" t="s">
        <v>153</v>
      </c>
      <c r="N28" s="133">
        <v>41656</v>
      </c>
      <c r="O28" s="134">
        <v>547</v>
      </c>
      <c r="P28" s="132" t="s">
        <v>151</v>
      </c>
      <c r="Q28" s="132" t="s">
        <v>156</v>
      </c>
      <c r="R28" s="132" t="s">
        <v>153</v>
      </c>
      <c r="S28" s="133">
        <v>41646</v>
      </c>
      <c r="T28" s="134">
        <v>1108.5</v>
      </c>
      <c r="U28" s="132" t="s">
        <v>154</v>
      </c>
      <c r="V28" s="132" t="s">
        <v>152</v>
      </c>
      <c r="W28" s="132" t="s">
        <v>153</v>
      </c>
      <c r="X28" s="133">
        <v>41677</v>
      </c>
      <c r="Y28" s="134">
        <v>715</v>
      </c>
    </row>
    <row r="29" spans="1:25" x14ac:dyDescent="0.25">
      <c r="A29" s="79" t="s">
        <v>148</v>
      </c>
      <c r="B29" s="12" t="s">
        <v>155</v>
      </c>
      <c r="C29" s="12" t="s">
        <v>153</v>
      </c>
      <c r="D29" s="80">
        <v>41893</v>
      </c>
      <c r="E29" s="81">
        <v>824</v>
      </c>
      <c r="F29" s="82" t="s">
        <v>150</v>
      </c>
      <c r="G29" s="83" t="s">
        <v>152</v>
      </c>
      <c r="H29" s="83" t="s">
        <v>153</v>
      </c>
      <c r="I29" s="84">
        <v>41753</v>
      </c>
      <c r="J29" s="85">
        <v>743</v>
      </c>
      <c r="K29" s="132" t="s">
        <v>20</v>
      </c>
      <c r="L29" s="132" t="s">
        <v>175</v>
      </c>
      <c r="M29" s="132" t="s">
        <v>153</v>
      </c>
      <c r="N29" s="133">
        <v>41658</v>
      </c>
      <c r="O29" s="134">
        <v>1044</v>
      </c>
      <c r="P29" s="132" t="s">
        <v>151</v>
      </c>
      <c r="Q29" s="132" t="s">
        <v>156</v>
      </c>
      <c r="R29" s="132" t="s">
        <v>153</v>
      </c>
      <c r="S29" s="133">
        <v>41647</v>
      </c>
      <c r="T29" s="134">
        <v>582.79999999999995</v>
      </c>
      <c r="U29" s="132" t="s">
        <v>154</v>
      </c>
      <c r="V29" s="132" t="s">
        <v>152</v>
      </c>
      <c r="W29" s="132" t="s">
        <v>153</v>
      </c>
      <c r="X29" s="133">
        <v>41679</v>
      </c>
      <c r="Y29" s="134">
        <v>530</v>
      </c>
    </row>
    <row r="30" spans="1:25" x14ac:dyDescent="0.25">
      <c r="A30" s="79" t="s">
        <v>148</v>
      </c>
      <c r="B30" s="12" t="s">
        <v>155</v>
      </c>
      <c r="C30" s="12" t="s">
        <v>153</v>
      </c>
      <c r="D30" s="80">
        <v>41894</v>
      </c>
      <c r="E30" s="81">
        <v>870</v>
      </c>
      <c r="F30" s="82" t="s">
        <v>150</v>
      </c>
      <c r="G30" s="83" t="s">
        <v>152</v>
      </c>
      <c r="H30" s="83" t="s">
        <v>153</v>
      </c>
      <c r="I30" s="84">
        <v>41758</v>
      </c>
      <c r="J30" s="85">
        <v>928</v>
      </c>
      <c r="K30" s="132" t="s">
        <v>20</v>
      </c>
      <c r="L30" s="132" t="s">
        <v>175</v>
      </c>
      <c r="M30" s="132" t="s">
        <v>153</v>
      </c>
      <c r="N30" s="133">
        <v>41679</v>
      </c>
      <c r="O30" s="134">
        <v>1043</v>
      </c>
      <c r="P30" s="132" t="s">
        <v>151</v>
      </c>
      <c r="Q30" s="132" t="s">
        <v>156</v>
      </c>
      <c r="R30" s="132" t="s">
        <v>153</v>
      </c>
      <c r="S30" s="133">
        <v>41698</v>
      </c>
      <c r="T30" s="134">
        <v>843.9</v>
      </c>
      <c r="U30" s="132" t="s">
        <v>154</v>
      </c>
      <c r="V30" s="132" t="s">
        <v>152</v>
      </c>
      <c r="W30" s="132" t="s">
        <v>153</v>
      </c>
      <c r="X30" s="133">
        <v>41680</v>
      </c>
      <c r="Y30" s="134">
        <v>811</v>
      </c>
    </row>
    <row r="31" spans="1:25" x14ac:dyDescent="0.25">
      <c r="A31" s="79" t="s">
        <v>148</v>
      </c>
      <c r="B31" s="12" t="s">
        <v>155</v>
      </c>
      <c r="C31" s="12" t="s">
        <v>153</v>
      </c>
      <c r="D31" s="80">
        <v>41895</v>
      </c>
      <c r="E31" s="81">
        <v>501</v>
      </c>
      <c r="F31" s="82" t="s">
        <v>150</v>
      </c>
      <c r="G31" s="83" t="s">
        <v>152</v>
      </c>
      <c r="H31" s="83" t="s">
        <v>153</v>
      </c>
      <c r="I31" s="84">
        <v>41759</v>
      </c>
      <c r="J31" s="85">
        <v>1009</v>
      </c>
      <c r="K31" s="132" t="s">
        <v>20</v>
      </c>
      <c r="L31" s="132" t="s">
        <v>175</v>
      </c>
      <c r="M31" s="132" t="s">
        <v>153</v>
      </c>
      <c r="N31" s="133">
        <v>41736</v>
      </c>
      <c r="O31" s="134">
        <v>1490</v>
      </c>
      <c r="P31" s="132" t="s">
        <v>151</v>
      </c>
      <c r="Q31" s="132" t="s">
        <v>156</v>
      </c>
      <c r="R31" s="132" t="s">
        <v>153</v>
      </c>
      <c r="S31" s="133">
        <v>41701</v>
      </c>
      <c r="T31" s="134">
        <v>1421.7</v>
      </c>
      <c r="U31" s="132" t="s">
        <v>154</v>
      </c>
      <c r="V31" s="132" t="s">
        <v>152</v>
      </c>
      <c r="W31" s="132" t="s">
        <v>153</v>
      </c>
      <c r="X31" s="133">
        <v>41681</v>
      </c>
      <c r="Y31" s="134">
        <v>1400</v>
      </c>
    </row>
    <row r="32" spans="1:25" x14ac:dyDescent="0.25">
      <c r="A32" s="79" t="s">
        <v>148</v>
      </c>
      <c r="B32" s="12" t="s">
        <v>155</v>
      </c>
      <c r="C32" s="12" t="s">
        <v>153</v>
      </c>
      <c r="D32" s="80">
        <v>41896</v>
      </c>
      <c r="E32" s="81">
        <v>773</v>
      </c>
      <c r="F32" s="82" t="s">
        <v>150</v>
      </c>
      <c r="G32" s="83" t="s">
        <v>152</v>
      </c>
      <c r="H32" s="83" t="s">
        <v>153</v>
      </c>
      <c r="I32" s="84">
        <v>41761</v>
      </c>
      <c r="J32" s="85">
        <v>1190</v>
      </c>
      <c r="K32" s="132" t="s">
        <v>20</v>
      </c>
      <c r="L32" s="132" t="s">
        <v>175</v>
      </c>
      <c r="M32" s="132" t="s">
        <v>153</v>
      </c>
      <c r="N32" s="133">
        <v>41747</v>
      </c>
      <c r="O32" s="134">
        <v>975</v>
      </c>
      <c r="P32" s="132" t="s">
        <v>151</v>
      </c>
      <c r="Q32" s="132" t="s">
        <v>156</v>
      </c>
      <c r="R32" s="132" t="s">
        <v>153</v>
      </c>
      <c r="S32" s="133">
        <v>41704</v>
      </c>
      <c r="T32" s="134">
        <v>202.3</v>
      </c>
      <c r="U32" s="132" t="s">
        <v>154</v>
      </c>
      <c r="V32" s="132" t="s">
        <v>152</v>
      </c>
      <c r="W32" s="132" t="s">
        <v>153</v>
      </c>
      <c r="X32" s="133">
        <v>41682</v>
      </c>
      <c r="Y32" s="134">
        <v>1000</v>
      </c>
    </row>
    <row r="33" spans="1:25" x14ac:dyDescent="0.25">
      <c r="A33" s="79" t="s">
        <v>148</v>
      </c>
      <c r="B33" s="12" t="s">
        <v>155</v>
      </c>
      <c r="C33" s="12" t="s">
        <v>153</v>
      </c>
      <c r="D33" s="80">
        <v>41897</v>
      </c>
      <c r="E33" s="81">
        <v>974</v>
      </c>
      <c r="F33" s="82" t="s">
        <v>150</v>
      </c>
      <c r="G33" s="83" t="s">
        <v>152</v>
      </c>
      <c r="H33" s="83" t="s">
        <v>153</v>
      </c>
      <c r="I33" s="84">
        <v>41761</v>
      </c>
      <c r="J33" s="85">
        <v>1245</v>
      </c>
      <c r="K33" s="132" t="s">
        <v>20</v>
      </c>
      <c r="L33" s="132" t="s">
        <v>175</v>
      </c>
      <c r="M33" s="132" t="s">
        <v>153</v>
      </c>
      <c r="N33" s="133">
        <v>41764</v>
      </c>
      <c r="O33" s="134">
        <v>1382</v>
      </c>
      <c r="P33" s="132" t="s">
        <v>151</v>
      </c>
      <c r="Q33" s="132" t="s">
        <v>156</v>
      </c>
      <c r="R33" s="132" t="s">
        <v>153</v>
      </c>
      <c r="S33" s="133">
        <v>41705</v>
      </c>
      <c r="T33" s="134">
        <v>639.70000000000005</v>
      </c>
      <c r="U33" s="132" t="s">
        <v>154</v>
      </c>
      <c r="V33" s="132" t="s">
        <v>152</v>
      </c>
      <c r="W33" s="132" t="s">
        <v>153</v>
      </c>
      <c r="X33" s="133">
        <v>41683</v>
      </c>
      <c r="Y33" s="134">
        <v>1076</v>
      </c>
    </row>
    <row r="34" spans="1:25" x14ac:dyDescent="0.25">
      <c r="A34" s="79" t="s">
        <v>148</v>
      </c>
      <c r="B34" s="12" t="s">
        <v>155</v>
      </c>
      <c r="C34" s="12" t="s">
        <v>153</v>
      </c>
      <c r="D34" s="80">
        <v>41898</v>
      </c>
      <c r="E34" s="81">
        <v>580</v>
      </c>
      <c r="F34" s="82" t="s">
        <v>150</v>
      </c>
      <c r="G34" s="83" t="s">
        <v>152</v>
      </c>
      <c r="H34" s="83" t="s">
        <v>153</v>
      </c>
      <c r="I34" s="84">
        <v>41762</v>
      </c>
      <c r="J34" s="85">
        <v>1202</v>
      </c>
      <c r="K34" s="132" t="s">
        <v>20</v>
      </c>
      <c r="L34" s="132" t="s">
        <v>175</v>
      </c>
      <c r="M34" s="132" t="s">
        <v>153</v>
      </c>
      <c r="N34" s="133">
        <v>41776</v>
      </c>
      <c r="O34" s="134">
        <v>1193</v>
      </c>
      <c r="P34" s="132" t="s">
        <v>151</v>
      </c>
      <c r="Q34" s="132" t="s">
        <v>156</v>
      </c>
      <c r="R34" s="132" t="s">
        <v>153</v>
      </c>
      <c r="S34" s="133">
        <v>41708</v>
      </c>
      <c r="T34" s="134">
        <v>765.8</v>
      </c>
      <c r="U34" s="132" t="s">
        <v>154</v>
      </c>
      <c r="V34" s="132" t="s">
        <v>152</v>
      </c>
      <c r="W34" s="132" t="s">
        <v>153</v>
      </c>
      <c r="X34" s="133">
        <v>41684</v>
      </c>
      <c r="Y34" s="134">
        <v>690</v>
      </c>
    </row>
    <row r="35" spans="1:25" x14ac:dyDescent="0.25">
      <c r="A35" s="79" t="s">
        <v>148</v>
      </c>
      <c r="B35" s="12" t="s">
        <v>175</v>
      </c>
      <c r="C35" s="12" t="s">
        <v>153</v>
      </c>
      <c r="D35" s="80">
        <v>41921</v>
      </c>
      <c r="E35" s="81">
        <v>775</v>
      </c>
      <c r="F35" s="82" t="s">
        <v>150</v>
      </c>
      <c r="G35" s="83" t="s">
        <v>152</v>
      </c>
      <c r="H35" s="83" t="s">
        <v>153</v>
      </c>
      <c r="I35" s="84">
        <v>41763</v>
      </c>
      <c r="J35" s="85">
        <v>1359</v>
      </c>
      <c r="K35" s="132" t="s">
        <v>20</v>
      </c>
      <c r="L35" s="132" t="s">
        <v>175</v>
      </c>
      <c r="M35" s="132" t="s">
        <v>153</v>
      </c>
      <c r="N35" s="133">
        <v>41798</v>
      </c>
      <c r="O35" s="134">
        <v>1064</v>
      </c>
      <c r="P35" s="132" t="s">
        <v>151</v>
      </c>
      <c r="Q35" s="132" t="s">
        <v>156</v>
      </c>
      <c r="R35" s="132" t="s">
        <v>153</v>
      </c>
      <c r="S35" s="133">
        <v>41716</v>
      </c>
      <c r="T35" s="134">
        <v>784</v>
      </c>
      <c r="U35" s="132" t="s">
        <v>154</v>
      </c>
      <c r="V35" s="132" t="s">
        <v>152</v>
      </c>
      <c r="W35" s="132" t="s">
        <v>153</v>
      </c>
      <c r="X35" s="133">
        <v>41684</v>
      </c>
      <c r="Y35" s="134">
        <v>620</v>
      </c>
    </row>
    <row r="36" spans="1:25" x14ac:dyDescent="0.25">
      <c r="A36" s="79" t="s">
        <v>148</v>
      </c>
      <c r="B36" s="12" t="s">
        <v>175</v>
      </c>
      <c r="C36" s="12" t="s">
        <v>153</v>
      </c>
      <c r="D36" s="80">
        <v>41922</v>
      </c>
      <c r="E36" s="81">
        <v>900</v>
      </c>
      <c r="F36" s="82" t="s">
        <v>150</v>
      </c>
      <c r="G36" s="83" t="s">
        <v>152</v>
      </c>
      <c r="H36" s="83" t="s">
        <v>153</v>
      </c>
      <c r="I36" s="84">
        <v>41774</v>
      </c>
      <c r="J36" s="85">
        <v>405</v>
      </c>
      <c r="K36" s="132" t="s">
        <v>20</v>
      </c>
      <c r="L36" s="132" t="s">
        <v>175</v>
      </c>
      <c r="M36" s="132" t="s">
        <v>153</v>
      </c>
      <c r="N36" s="133">
        <v>41802</v>
      </c>
      <c r="O36" s="134">
        <v>1369</v>
      </c>
      <c r="P36" s="132" t="s">
        <v>151</v>
      </c>
      <c r="Q36" s="132" t="s">
        <v>156</v>
      </c>
      <c r="R36" s="132" t="s">
        <v>153</v>
      </c>
      <c r="S36" s="133">
        <v>41717</v>
      </c>
      <c r="T36" s="134">
        <v>706.1</v>
      </c>
      <c r="U36" s="132" t="s">
        <v>154</v>
      </c>
      <c r="V36" s="132" t="s">
        <v>152</v>
      </c>
      <c r="W36" s="132" t="s">
        <v>153</v>
      </c>
      <c r="X36" s="133">
        <v>41685</v>
      </c>
      <c r="Y36" s="134">
        <v>302</v>
      </c>
    </row>
    <row r="37" spans="1:25" x14ac:dyDescent="0.25">
      <c r="A37" s="79" t="s">
        <v>148</v>
      </c>
      <c r="B37" s="12" t="s">
        <v>175</v>
      </c>
      <c r="C37" s="12" t="s">
        <v>153</v>
      </c>
      <c r="D37" s="80">
        <v>41923</v>
      </c>
      <c r="E37" s="81">
        <v>801</v>
      </c>
      <c r="F37" s="82" t="s">
        <v>150</v>
      </c>
      <c r="G37" s="83" t="s">
        <v>152</v>
      </c>
      <c r="H37" s="83" t="s">
        <v>153</v>
      </c>
      <c r="I37" s="84">
        <v>41774</v>
      </c>
      <c r="J37" s="85">
        <v>541</v>
      </c>
      <c r="K37" s="132" t="s">
        <v>20</v>
      </c>
      <c r="L37" s="132" t="s">
        <v>175</v>
      </c>
      <c r="M37" s="132" t="s">
        <v>153</v>
      </c>
      <c r="N37" s="133">
        <v>41845</v>
      </c>
      <c r="O37" s="134">
        <v>1429</v>
      </c>
      <c r="P37" s="132" t="s">
        <v>151</v>
      </c>
      <c r="Q37" s="132" t="s">
        <v>156</v>
      </c>
      <c r="R37" s="132" t="s">
        <v>153</v>
      </c>
      <c r="S37" s="133">
        <v>41758</v>
      </c>
      <c r="T37" s="134">
        <v>422.5</v>
      </c>
      <c r="U37" s="132" t="s">
        <v>154</v>
      </c>
      <c r="V37" s="132" t="s">
        <v>152</v>
      </c>
      <c r="W37" s="132" t="s">
        <v>153</v>
      </c>
      <c r="X37" s="133">
        <v>41687</v>
      </c>
      <c r="Y37" s="134">
        <v>380</v>
      </c>
    </row>
    <row r="38" spans="1:25" x14ac:dyDescent="0.25">
      <c r="A38" s="79" t="s">
        <v>148</v>
      </c>
      <c r="B38" s="12" t="s">
        <v>175</v>
      </c>
      <c r="C38" s="12" t="s">
        <v>153</v>
      </c>
      <c r="D38" s="80">
        <v>41924</v>
      </c>
      <c r="E38" s="81">
        <v>902</v>
      </c>
      <c r="F38" s="82" t="s">
        <v>150</v>
      </c>
      <c r="G38" s="83" t="s">
        <v>152</v>
      </c>
      <c r="H38" s="83" t="s">
        <v>153</v>
      </c>
      <c r="I38" s="84">
        <v>41778</v>
      </c>
      <c r="J38" s="85">
        <v>630</v>
      </c>
      <c r="K38" s="132" t="s">
        <v>20</v>
      </c>
      <c r="L38" s="132" t="s">
        <v>175</v>
      </c>
      <c r="M38" s="132" t="s">
        <v>153</v>
      </c>
      <c r="N38" s="133">
        <v>41847</v>
      </c>
      <c r="O38" s="134">
        <v>517</v>
      </c>
      <c r="P38" s="132" t="s">
        <v>151</v>
      </c>
      <c r="Q38" s="132" t="s">
        <v>156</v>
      </c>
      <c r="R38" s="132" t="s">
        <v>153</v>
      </c>
      <c r="S38" s="133">
        <v>41827</v>
      </c>
      <c r="T38" s="134">
        <v>961.3</v>
      </c>
      <c r="U38" s="132" t="s">
        <v>154</v>
      </c>
      <c r="V38" s="132" t="s">
        <v>152</v>
      </c>
      <c r="W38" s="132" t="s">
        <v>153</v>
      </c>
      <c r="X38" s="133">
        <v>41688</v>
      </c>
      <c r="Y38" s="134">
        <v>840</v>
      </c>
    </row>
    <row r="39" spans="1:25" x14ac:dyDescent="0.25">
      <c r="A39" s="79" t="s">
        <v>148</v>
      </c>
      <c r="B39" s="12" t="s">
        <v>175</v>
      </c>
      <c r="C39" s="12" t="s">
        <v>153</v>
      </c>
      <c r="D39" s="80">
        <v>41925</v>
      </c>
      <c r="E39" s="81">
        <v>930</v>
      </c>
      <c r="F39" s="82" t="s">
        <v>150</v>
      </c>
      <c r="G39" s="83" t="s">
        <v>152</v>
      </c>
      <c r="H39" s="83" t="s">
        <v>153</v>
      </c>
      <c r="I39" s="84">
        <v>41780</v>
      </c>
      <c r="J39" s="85">
        <v>660</v>
      </c>
      <c r="K39" s="132" t="s">
        <v>20</v>
      </c>
      <c r="L39" s="132" t="s">
        <v>175</v>
      </c>
      <c r="M39" s="132" t="s">
        <v>153</v>
      </c>
      <c r="N39" s="133">
        <v>41849</v>
      </c>
      <c r="O39" s="134">
        <v>868</v>
      </c>
      <c r="P39" s="132" t="s">
        <v>151</v>
      </c>
      <c r="Q39" s="132" t="s">
        <v>156</v>
      </c>
      <c r="R39" s="132" t="s">
        <v>153</v>
      </c>
      <c r="S39" s="133">
        <v>41834</v>
      </c>
      <c r="T39" s="134">
        <v>1482.6</v>
      </c>
      <c r="U39" s="132" t="s">
        <v>154</v>
      </c>
      <c r="V39" s="132" t="s">
        <v>152</v>
      </c>
      <c r="W39" s="132" t="s">
        <v>153</v>
      </c>
      <c r="X39" s="133">
        <v>41689</v>
      </c>
      <c r="Y39" s="134">
        <v>473</v>
      </c>
    </row>
    <row r="40" spans="1:25" x14ac:dyDescent="0.25">
      <c r="A40" s="79" t="s">
        <v>148</v>
      </c>
      <c r="B40" s="12" t="s">
        <v>175</v>
      </c>
      <c r="C40" s="12" t="s">
        <v>153</v>
      </c>
      <c r="D40" s="80">
        <v>41926</v>
      </c>
      <c r="E40" s="81">
        <v>900</v>
      </c>
      <c r="F40" s="82" t="s">
        <v>150</v>
      </c>
      <c r="G40" s="83" t="s">
        <v>152</v>
      </c>
      <c r="H40" s="83" t="s">
        <v>153</v>
      </c>
      <c r="I40" s="84">
        <v>41782</v>
      </c>
      <c r="J40" s="85">
        <v>1054</v>
      </c>
      <c r="K40" s="132" t="s">
        <v>20</v>
      </c>
      <c r="L40" s="132" t="s">
        <v>175</v>
      </c>
      <c r="M40" s="132" t="s">
        <v>153</v>
      </c>
      <c r="N40" s="133">
        <v>41865</v>
      </c>
      <c r="O40" s="134">
        <v>565</v>
      </c>
      <c r="P40" s="132" t="s">
        <v>151</v>
      </c>
      <c r="Q40" s="132" t="s">
        <v>156</v>
      </c>
      <c r="R40" s="132" t="s">
        <v>153</v>
      </c>
      <c r="S40" s="133">
        <v>41905</v>
      </c>
      <c r="T40" s="134">
        <v>750.6</v>
      </c>
      <c r="U40" s="132" t="s">
        <v>154</v>
      </c>
      <c r="V40" s="132" t="s">
        <v>152</v>
      </c>
      <c r="W40" s="132" t="s">
        <v>153</v>
      </c>
      <c r="X40" s="133">
        <v>41689</v>
      </c>
      <c r="Y40" s="134">
        <v>608</v>
      </c>
    </row>
    <row r="41" spans="1:25" x14ac:dyDescent="0.25">
      <c r="A41" s="79" t="s">
        <v>148</v>
      </c>
      <c r="B41" s="12" t="s">
        <v>175</v>
      </c>
      <c r="C41" s="12" t="s">
        <v>153</v>
      </c>
      <c r="D41" s="80">
        <v>41927</v>
      </c>
      <c r="E41" s="81">
        <v>900</v>
      </c>
      <c r="F41" s="82" t="s">
        <v>150</v>
      </c>
      <c r="G41" s="83" t="s">
        <v>152</v>
      </c>
      <c r="H41" s="83" t="s">
        <v>153</v>
      </c>
      <c r="I41" s="84">
        <v>41785</v>
      </c>
      <c r="J41" s="85">
        <v>839</v>
      </c>
      <c r="K41" s="132" t="s">
        <v>20</v>
      </c>
      <c r="L41" s="132" t="s">
        <v>175</v>
      </c>
      <c r="M41" s="132" t="s">
        <v>153</v>
      </c>
      <c r="N41" s="133">
        <v>41897</v>
      </c>
      <c r="O41" s="134">
        <v>566</v>
      </c>
      <c r="P41" s="132" t="s">
        <v>151</v>
      </c>
      <c r="Q41" s="132" t="s">
        <v>156</v>
      </c>
      <c r="R41" s="132" t="s">
        <v>153</v>
      </c>
      <c r="S41" s="133">
        <v>41914</v>
      </c>
      <c r="T41" s="134">
        <v>681.4</v>
      </c>
      <c r="U41" s="132" t="s">
        <v>154</v>
      </c>
      <c r="V41" s="132" t="s">
        <v>152</v>
      </c>
      <c r="W41" s="132" t="s">
        <v>153</v>
      </c>
      <c r="X41" s="133">
        <v>41690</v>
      </c>
      <c r="Y41" s="134">
        <v>420</v>
      </c>
    </row>
    <row r="42" spans="1:25" x14ac:dyDescent="0.25">
      <c r="A42" s="79" t="s">
        <v>148</v>
      </c>
      <c r="B42" s="12" t="s">
        <v>175</v>
      </c>
      <c r="C42" s="12" t="s">
        <v>153</v>
      </c>
      <c r="D42" s="80">
        <v>41928</v>
      </c>
      <c r="E42" s="81">
        <v>500</v>
      </c>
      <c r="F42" s="82" t="s">
        <v>150</v>
      </c>
      <c r="G42" s="83" t="s">
        <v>152</v>
      </c>
      <c r="H42" s="83" t="s">
        <v>153</v>
      </c>
      <c r="I42" s="84">
        <v>41785</v>
      </c>
      <c r="J42" s="85">
        <v>761</v>
      </c>
      <c r="K42" s="132" t="s">
        <v>20</v>
      </c>
      <c r="L42" s="132" t="s">
        <v>175</v>
      </c>
      <c r="M42" s="132" t="s">
        <v>153</v>
      </c>
      <c r="N42" s="133">
        <v>41951</v>
      </c>
      <c r="O42" s="134">
        <v>867</v>
      </c>
      <c r="P42" s="132" t="s">
        <v>151</v>
      </c>
      <c r="Q42" s="132" t="s">
        <v>156</v>
      </c>
      <c r="R42" s="132" t="s">
        <v>153</v>
      </c>
      <c r="S42" s="133">
        <v>41915</v>
      </c>
      <c r="T42" s="134">
        <v>585.70000000000005</v>
      </c>
      <c r="U42" s="132" t="s">
        <v>154</v>
      </c>
      <c r="V42" s="132" t="s">
        <v>152</v>
      </c>
      <c r="W42" s="132" t="s">
        <v>153</v>
      </c>
      <c r="X42" s="133">
        <v>41691</v>
      </c>
      <c r="Y42" s="134">
        <v>800</v>
      </c>
    </row>
    <row r="43" spans="1:25" x14ac:dyDescent="0.25">
      <c r="A43" s="79" t="s">
        <v>148</v>
      </c>
      <c r="B43" s="12" t="s">
        <v>175</v>
      </c>
      <c r="C43" s="12" t="s">
        <v>153</v>
      </c>
      <c r="D43" s="80">
        <v>41929</v>
      </c>
      <c r="E43" s="81">
        <v>1100</v>
      </c>
      <c r="F43" s="82" t="s">
        <v>150</v>
      </c>
      <c r="G43" s="83" t="s">
        <v>152</v>
      </c>
      <c r="H43" s="83" t="s">
        <v>153</v>
      </c>
      <c r="I43" s="84">
        <v>41787</v>
      </c>
      <c r="J43" s="85">
        <v>1345</v>
      </c>
      <c r="K43" s="132" t="s">
        <v>20</v>
      </c>
      <c r="L43" s="132" t="s">
        <v>156</v>
      </c>
      <c r="M43" s="132" t="s">
        <v>153</v>
      </c>
      <c r="N43" s="133">
        <v>41636</v>
      </c>
      <c r="O43" s="134">
        <v>370</v>
      </c>
      <c r="P43" s="132" t="s">
        <v>151</v>
      </c>
      <c r="Q43" s="132" t="s">
        <v>156</v>
      </c>
      <c r="R43" s="132" t="s">
        <v>153</v>
      </c>
      <c r="S43" s="133">
        <v>41918</v>
      </c>
      <c r="T43" s="134">
        <v>977.5</v>
      </c>
      <c r="U43" s="132" t="s">
        <v>154</v>
      </c>
      <c r="V43" s="132" t="s">
        <v>152</v>
      </c>
      <c r="W43" s="132" t="s">
        <v>153</v>
      </c>
      <c r="X43" s="133">
        <v>41692</v>
      </c>
      <c r="Y43" s="134">
        <v>922</v>
      </c>
    </row>
    <row r="44" spans="1:25" x14ac:dyDescent="0.25">
      <c r="A44" s="79" t="s">
        <v>148</v>
      </c>
      <c r="B44" s="12" t="s">
        <v>175</v>
      </c>
      <c r="C44" s="12" t="s">
        <v>153</v>
      </c>
      <c r="D44" s="80">
        <v>41930</v>
      </c>
      <c r="E44" s="81">
        <v>800</v>
      </c>
      <c r="F44" s="82" t="s">
        <v>150</v>
      </c>
      <c r="G44" s="83" t="s">
        <v>152</v>
      </c>
      <c r="H44" s="83" t="s">
        <v>153</v>
      </c>
      <c r="I44" s="84">
        <v>41789</v>
      </c>
      <c r="J44" s="85">
        <v>604</v>
      </c>
      <c r="K44" s="132" t="s">
        <v>20</v>
      </c>
      <c r="L44" s="132" t="s">
        <v>156</v>
      </c>
      <c r="M44" s="132" t="s">
        <v>153</v>
      </c>
      <c r="N44" s="133">
        <v>41654</v>
      </c>
      <c r="O44" s="134">
        <v>947</v>
      </c>
      <c r="P44" s="132" t="s">
        <v>151</v>
      </c>
      <c r="Q44" s="132" t="s">
        <v>156</v>
      </c>
      <c r="R44" s="132" t="s">
        <v>153</v>
      </c>
      <c r="S44" s="133">
        <v>41918</v>
      </c>
      <c r="T44" s="134">
        <v>695.7</v>
      </c>
      <c r="U44" s="132" t="s">
        <v>154</v>
      </c>
      <c r="V44" s="132" t="s">
        <v>152</v>
      </c>
      <c r="W44" s="132" t="s">
        <v>153</v>
      </c>
      <c r="X44" s="133">
        <v>41693</v>
      </c>
      <c r="Y44" s="134">
        <v>1001</v>
      </c>
    </row>
    <row r="45" spans="1:25" x14ac:dyDescent="0.25">
      <c r="A45" s="79" t="s">
        <v>148</v>
      </c>
      <c r="B45" s="12" t="s">
        <v>175</v>
      </c>
      <c r="C45" s="12" t="s">
        <v>153</v>
      </c>
      <c r="D45" s="80">
        <v>41931</v>
      </c>
      <c r="E45" s="81">
        <v>800</v>
      </c>
      <c r="F45" s="82" t="s">
        <v>150</v>
      </c>
      <c r="G45" s="83" t="s">
        <v>152</v>
      </c>
      <c r="H45" s="83" t="s">
        <v>153</v>
      </c>
      <c r="I45" s="84">
        <v>41791</v>
      </c>
      <c r="J45" s="85">
        <v>624</v>
      </c>
      <c r="K45" s="132" t="s">
        <v>20</v>
      </c>
      <c r="L45" s="132" t="s">
        <v>156</v>
      </c>
      <c r="M45" s="132" t="s">
        <v>153</v>
      </c>
      <c r="N45" s="133">
        <v>41672</v>
      </c>
      <c r="O45" s="134">
        <v>1335</v>
      </c>
      <c r="P45" s="132" t="s">
        <v>151</v>
      </c>
      <c r="Q45" s="132" t="s">
        <v>156</v>
      </c>
      <c r="R45" s="132" t="s">
        <v>153</v>
      </c>
      <c r="S45" s="133">
        <v>41921</v>
      </c>
      <c r="T45" s="134">
        <v>1356.7</v>
      </c>
      <c r="U45" s="132" t="s">
        <v>154</v>
      </c>
      <c r="V45" s="132" t="s">
        <v>152</v>
      </c>
      <c r="W45" s="132" t="s">
        <v>153</v>
      </c>
      <c r="X45" s="133">
        <v>41693</v>
      </c>
      <c r="Y45" s="134">
        <v>346</v>
      </c>
    </row>
    <row r="46" spans="1:25" x14ac:dyDescent="0.25">
      <c r="A46" s="79" t="s">
        <v>148</v>
      </c>
      <c r="B46" s="12" t="s">
        <v>175</v>
      </c>
      <c r="C46" s="12" t="s">
        <v>153</v>
      </c>
      <c r="D46" s="80">
        <v>41932</v>
      </c>
      <c r="E46" s="81">
        <v>1090</v>
      </c>
      <c r="F46" s="82" t="s">
        <v>150</v>
      </c>
      <c r="G46" s="83" t="s">
        <v>152</v>
      </c>
      <c r="H46" s="83" t="s">
        <v>153</v>
      </c>
      <c r="I46" s="84">
        <v>41792</v>
      </c>
      <c r="J46" s="85">
        <v>646</v>
      </c>
      <c r="K46" s="132" t="s">
        <v>20</v>
      </c>
      <c r="L46" s="132" t="s">
        <v>156</v>
      </c>
      <c r="M46" s="132" t="s">
        <v>153</v>
      </c>
      <c r="N46" s="133">
        <v>41727</v>
      </c>
      <c r="O46" s="134">
        <v>700</v>
      </c>
      <c r="P46" s="132" t="s">
        <v>151</v>
      </c>
      <c r="Q46" s="132" t="s">
        <v>156</v>
      </c>
      <c r="R46" s="132" t="s">
        <v>153</v>
      </c>
      <c r="S46" s="133">
        <v>41922</v>
      </c>
      <c r="T46" s="134">
        <v>521.1</v>
      </c>
      <c r="U46" s="132" t="s">
        <v>154</v>
      </c>
      <c r="V46" s="132" t="s">
        <v>152</v>
      </c>
      <c r="W46" s="132" t="s">
        <v>153</v>
      </c>
      <c r="X46" s="133">
        <v>41743</v>
      </c>
      <c r="Y46" s="134">
        <v>1400</v>
      </c>
    </row>
    <row r="47" spans="1:25" x14ac:dyDescent="0.25">
      <c r="A47" s="79" t="s">
        <v>148</v>
      </c>
      <c r="B47" s="12" t="s">
        <v>175</v>
      </c>
      <c r="C47" s="12" t="s">
        <v>153</v>
      </c>
      <c r="D47" s="80">
        <v>41933</v>
      </c>
      <c r="E47" s="81">
        <v>770</v>
      </c>
      <c r="F47" s="82" t="s">
        <v>150</v>
      </c>
      <c r="G47" s="83" t="s">
        <v>152</v>
      </c>
      <c r="H47" s="83" t="s">
        <v>153</v>
      </c>
      <c r="I47" s="84">
        <v>41794</v>
      </c>
      <c r="J47" s="85">
        <v>1129</v>
      </c>
      <c r="K47" s="132" t="s">
        <v>20</v>
      </c>
      <c r="L47" s="132" t="s">
        <v>156</v>
      </c>
      <c r="M47" s="132" t="s">
        <v>153</v>
      </c>
      <c r="N47" s="133">
        <v>41743</v>
      </c>
      <c r="O47" s="134">
        <v>1051</v>
      </c>
      <c r="P47" s="132" t="s">
        <v>151</v>
      </c>
      <c r="Q47" s="132" t="s">
        <v>156</v>
      </c>
      <c r="R47" s="132" t="s">
        <v>153</v>
      </c>
      <c r="S47" s="133">
        <v>41936</v>
      </c>
      <c r="T47" s="134">
        <v>649</v>
      </c>
      <c r="U47" s="132" t="s">
        <v>154</v>
      </c>
      <c r="V47" s="132" t="s">
        <v>152</v>
      </c>
      <c r="W47" s="132" t="s">
        <v>153</v>
      </c>
      <c r="X47" s="133">
        <v>41768</v>
      </c>
      <c r="Y47" s="134">
        <v>450</v>
      </c>
    </row>
    <row r="48" spans="1:25" x14ac:dyDescent="0.25">
      <c r="A48" s="79" t="s">
        <v>148</v>
      </c>
      <c r="B48" s="12" t="s">
        <v>175</v>
      </c>
      <c r="C48" s="12" t="s">
        <v>153</v>
      </c>
      <c r="D48" s="80">
        <v>41935</v>
      </c>
      <c r="E48" s="81">
        <v>850</v>
      </c>
      <c r="F48" s="82" t="s">
        <v>150</v>
      </c>
      <c r="G48" s="83" t="s">
        <v>152</v>
      </c>
      <c r="H48" s="83" t="s">
        <v>153</v>
      </c>
      <c r="I48" s="84">
        <v>41796</v>
      </c>
      <c r="J48" s="85">
        <v>1151</v>
      </c>
      <c r="K48" s="132" t="s">
        <v>20</v>
      </c>
      <c r="L48" s="132" t="s">
        <v>156</v>
      </c>
      <c r="M48" s="132" t="s">
        <v>153</v>
      </c>
      <c r="N48" s="133">
        <v>41767</v>
      </c>
      <c r="O48" s="134">
        <v>221</v>
      </c>
      <c r="P48" s="132" t="s">
        <v>151</v>
      </c>
      <c r="Q48" s="132" t="s">
        <v>156</v>
      </c>
      <c r="R48" s="132" t="s">
        <v>153</v>
      </c>
      <c r="S48" s="133">
        <v>41939</v>
      </c>
      <c r="T48" s="134">
        <v>920.6</v>
      </c>
      <c r="U48" s="132" t="s">
        <v>154</v>
      </c>
      <c r="V48" s="132" t="s">
        <v>152</v>
      </c>
      <c r="W48" s="132" t="s">
        <v>153</v>
      </c>
      <c r="X48" s="133">
        <v>41817</v>
      </c>
      <c r="Y48" s="134">
        <v>205</v>
      </c>
    </row>
    <row r="49" spans="1:25" x14ac:dyDescent="0.25">
      <c r="A49" s="79" t="s">
        <v>148</v>
      </c>
      <c r="B49" s="12" t="s">
        <v>175</v>
      </c>
      <c r="C49" s="12" t="s">
        <v>153</v>
      </c>
      <c r="D49" s="80">
        <v>41936</v>
      </c>
      <c r="E49" s="81">
        <v>780</v>
      </c>
      <c r="F49" s="82" t="s">
        <v>150</v>
      </c>
      <c r="G49" s="83" t="s">
        <v>152</v>
      </c>
      <c r="H49" s="83" t="s">
        <v>153</v>
      </c>
      <c r="I49" s="84">
        <v>41796</v>
      </c>
      <c r="J49" s="85">
        <v>1257</v>
      </c>
      <c r="K49" s="132" t="s">
        <v>20</v>
      </c>
      <c r="L49" s="132" t="s">
        <v>156</v>
      </c>
      <c r="M49" s="132" t="s">
        <v>153</v>
      </c>
      <c r="N49" s="133">
        <v>41796</v>
      </c>
      <c r="O49" s="134">
        <v>900</v>
      </c>
      <c r="P49" s="132" t="s">
        <v>151</v>
      </c>
      <c r="Q49" s="132" t="s">
        <v>156</v>
      </c>
      <c r="R49" s="132" t="s">
        <v>153</v>
      </c>
      <c r="S49" s="133">
        <v>41947</v>
      </c>
      <c r="T49" s="134">
        <v>533.4</v>
      </c>
      <c r="U49" s="132" t="s">
        <v>154</v>
      </c>
      <c r="V49" s="132" t="s">
        <v>152</v>
      </c>
      <c r="W49" s="132" t="s">
        <v>153</v>
      </c>
      <c r="X49" s="133">
        <v>41818</v>
      </c>
      <c r="Y49" s="134">
        <v>558</v>
      </c>
    </row>
    <row r="50" spans="1:25" x14ac:dyDescent="0.25">
      <c r="A50" s="79" t="s">
        <v>148</v>
      </c>
      <c r="B50" s="12" t="s">
        <v>175</v>
      </c>
      <c r="C50" s="12" t="s">
        <v>153</v>
      </c>
      <c r="D50" s="80">
        <v>41937</v>
      </c>
      <c r="E50" s="81">
        <v>1272</v>
      </c>
      <c r="F50" s="82" t="s">
        <v>150</v>
      </c>
      <c r="G50" s="83" t="s">
        <v>152</v>
      </c>
      <c r="H50" s="83" t="s">
        <v>153</v>
      </c>
      <c r="I50" s="84">
        <v>41797</v>
      </c>
      <c r="J50" s="85">
        <v>1139</v>
      </c>
      <c r="K50" s="132" t="s">
        <v>20</v>
      </c>
      <c r="L50" s="132" t="s">
        <v>156</v>
      </c>
      <c r="M50" s="132" t="s">
        <v>153</v>
      </c>
      <c r="N50" s="133">
        <v>41802</v>
      </c>
      <c r="O50" s="134">
        <v>498</v>
      </c>
      <c r="P50" s="132" t="s">
        <v>151</v>
      </c>
      <c r="Q50" s="132" t="s">
        <v>156</v>
      </c>
      <c r="R50" s="132" t="s">
        <v>153</v>
      </c>
      <c r="S50" s="133">
        <v>41953</v>
      </c>
      <c r="T50" s="134">
        <v>460.8</v>
      </c>
      <c r="U50" s="132" t="s">
        <v>154</v>
      </c>
      <c r="V50" s="132" t="s">
        <v>152</v>
      </c>
      <c r="W50" s="132" t="s">
        <v>153</v>
      </c>
      <c r="X50" s="133">
        <v>41820</v>
      </c>
      <c r="Y50" s="134">
        <v>670</v>
      </c>
    </row>
    <row r="51" spans="1:25" x14ac:dyDescent="0.25">
      <c r="A51" s="79" t="s">
        <v>148</v>
      </c>
      <c r="B51" s="12" t="s">
        <v>175</v>
      </c>
      <c r="C51" s="12" t="s">
        <v>153</v>
      </c>
      <c r="D51" s="80">
        <v>41938</v>
      </c>
      <c r="E51" s="81">
        <v>650</v>
      </c>
      <c r="F51" s="82" t="s">
        <v>150</v>
      </c>
      <c r="G51" s="83" t="s">
        <v>152</v>
      </c>
      <c r="H51" s="83" t="s">
        <v>153</v>
      </c>
      <c r="I51" s="84">
        <v>41798</v>
      </c>
      <c r="J51" s="85">
        <v>1238</v>
      </c>
      <c r="K51" s="132" t="s">
        <v>20</v>
      </c>
      <c r="L51" s="132" t="s">
        <v>156</v>
      </c>
      <c r="M51" s="132" t="s">
        <v>153</v>
      </c>
      <c r="N51" s="133">
        <v>41861</v>
      </c>
      <c r="O51" s="134">
        <v>1433</v>
      </c>
      <c r="P51" s="132" t="s">
        <v>151</v>
      </c>
      <c r="Q51" s="132" t="s">
        <v>177</v>
      </c>
      <c r="R51" s="132" t="s">
        <v>153</v>
      </c>
      <c r="S51" s="133">
        <v>41792</v>
      </c>
      <c r="T51" s="134">
        <v>280.5</v>
      </c>
      <c r="U51" s="132" t="s">
        <v>154</v>
      </c>
      <c r="V51" s="132" t="s">
        <v>152</v>
      </c>
      <c r="W51" s="132" t="s">
        <v>153</v>
      </c>
      <c r="X51" s="133">
        <v>41821</v>
      </c>
      <c r="Y51" s="134">
        <v>544</v>
      </c>
    </row>
    <row r="52" spans="1:25" x14ac:dyDescent="0.25">
      <c r="A52" s="79" t="s">
        <v>148</v>
      </c>
      <c r="B52" s="12" t="s">
        <v>175</v>
      </c>
      <c r="C52" s="12" t="s">
        <v>153</v>
      </c>
      <c r="D52" s="80">
        <v>41939</v>
      </c>
      <c r="E52" s="81">
        <v>739</v>
      </c>
      <c r="F52" s="82" t="s">
        <v>150</v>
      </c>
      <c r="G52" s="83" t="s">
        <v>152</v>
      </c>
      <c r="H52" s="83" t="s">
        <v>153</v>
      </c>
      <c r="I52" s="84">
        <v>41800</v>
      </c>
      <c r="J52" s="85">
        <v>1140</v>
      </c>
      <c r="K52" s="132" t="s">
        <v>20</v>
      </c>
      <c r="L52" s="132" t="s">
        <v>156</v>
      </c>
      <c r="M52" s="132" t="s">
        <v>153</v>
      </c>
      <c r="N52" s="133">
        <v>41898</v>
      </c>
      <c r="O52" s="134">
        <v>447</v>
      </c>
      <c r="P52" s="132" t="s">
        <v>151</v>
      </c>
      <c r="Q52" s="132" t="s">
        <v>177</v>
      </c>
      <c r="R52" s="132" t="s">
        <v>153</v>
      </c>
      <c r="S52" s="133">
        <v>41808</v>
      </c>
      <c r="T52" s="134">
        <v>833.9</v>
      </c>
      <c r="U52" s="132" t="s">
        <v>154</v>
      </c>
      <c r="V52" s="132" t="s">
        <v>152</v>
      </c>
      <c r="W52" s="132" t="s">
        <v>153</v>
      </c>
      <c r="X52" s="133">
        <v>41822</v>
      </c>
      <c r="Y52" s="134">
        <v>816</v>
      </c>
    </row>
    <row r="53" spans="1:25" x14ac:dyDescent="0.25">
      <c r="A53" s="79" t="s">
        <v>148</v>
      </c>
      <c r="B53" s="12" t="s">
        <v>175</v>
      </c>
      <c r="C53" s="12" t="s">
        <v>153</v>
      </c>
      <c r="D53" s="80">
        <v>41940</v>
      </c>
      <c r="E53" s="81">
        <v>1020</v>
      </c>
      <c r="F53" s="82" t="s">
        <v>150</v>
      </c>
      <c r="G53" s="83" t="s">
        <v>152</v>
      </c>
      <c r="H53" s="83" t="s">
        <v>153</v>
      </c>
      <c r="I53" s="84">
        <v>41802</v>
      </c>
      <c r="J53" s="85">
        <v>856</v>
      </c>
      <c r="K53" s="132" t="s">
        <v>20</v>
      </c>
      <c r="L53" s="132" t="s">
        <v>156</v>
      </c>
      <c r="M53" s="132" t="s">
        <v>153</v>
      </c>
      <c r="N53" s="133">
        <v>41901</v>
      </c>
      <c r="O53" s="134">
        <v>522</v>
      </c>
      <c r="P53" s="132" t="s">
        <v>151</v>
      </c>
      <c r="Q53" s="132" t="s">
        <v>177</v>
      </c>
      <c r="R53" s="132" t="s">
        <v>153</v>
      </c>
      <c r="S53" s="133">
        <v>41871</v>
      </c>
      <c r="T53" s="134">
        <v>803.4</v>
      </c>
      <c r="U53" s="132" t="s">
        <v>154</v>
      </c>
      <c r="V53" s="132" t="s">
        <v>152</v>
      </c>
      <c r="W53" s="132" t="s">
        <v>153</v>
      </c>
      <c r="X53" s="133">
        <v>41823</v>
      </c>
      <c r="Y53" s="134">
        <v>520</v>
      </c>
    </row>
    <row r="54" spans="1:25" x14ac:dyDescent="0.25">
      <c r="A54" s="79" t="s">
        <v>148</v>
      </c>
      <c r="B54" s="12" t="s">
        <v>175</v>
      </c>
      <c r="C54" s="12" t="s">
        <v>153</v>
      </c>
      <c r="D54" s="80">
        <v>41942</v>
      </c>
      <c r="E54" s="81">
        <v>575</v>
      </c>
      <c r="F54" s="82" t="s">
        <v>150</v>
      </c>
      <c r="G54" s="83" t="s">
        <v>152</v>
      </c>
      <c r="H54" s="83" t="s">
        <v>153</v>
      </c>
      <c r="I54" s="84">
        <v>41803</v>
      </c>
      <c r="J54" s="85">
        <v>824</v>
      </c>
      <c r="K54" s="132" t="s">
        <v>20</v>
      </c>
      <c r="L54" s="132" t="s">
        <v>156</v>
      </c>
      <c r="M54" s="132" t="s">
        <v>153</v>
      </c>
      <c r="N54" s="133">
        <v>41903</v>
      </c>
      <c r="O54" s="134">
        <v>532</v>
      </c>
      <c r="P54" s="132" t="s">
        <v>151</v>
      </c>
      <c r="Q54" s="132" t="s">
        <v>177</v>
      </c>
      <c r="R54" s="132" t="s">
        <v>153</v>
      </c>
      <c r="S54" s="133">
        <v>41872</v>
      </c>
      <c r="T54" s="134">
        <v>770.5</v>
      </c>
      <c r="U54" s="132" t="s">
        <v>154</v>
      </c>
      <c r="V54" s="132" t="s">
        <v>152</v>
      </c>
      <c r="W54" s="132" t="s">
        <v>153</v>
      </c>
      <c r="X54" s="133">
        <v>41828</v>
      </c>
      <c r="Y54" s="134">
        <v>490</v>
      </c>
    </row>
    <row r="55" spans="1:25" x14ac:dyDescent="0.25">
      <c r="A55" s="79" t="s">
        <v>148</v>
      </c>
      <c r="B55" s="12" t="s">
        <v>175</v>
      </c>
      <c r="C55" s="12" t="s">
        <v>153</v>
      </c>
      <c r="D55" s="80">
        <v>41943</v>
      </c>
      <c r="E55" s="81">
        <v>800</v>
      </c>
      <c r="F55" s="82" t="s">
        <v>150</v>
      </c>
      <c r="G55" s="83" t="s">
        <v>152</v>
      </c>
      <c r="H55" s="83" t="s">
        <v>153</v>
      </c>
      <c r="I55" s="84">
        <v>41806</v>
      </c>
      <c r="J55" s="85">
        <v>533</v>
      </c>
      <c r="K55" s="132" t="s">
        <v>20</v>
      </c>
      <c r="L55" s="132" t="s">
        <v>156</v>
      </c>
      <c r="M55" s="132" t="s">
        <v>153</v>
      </c>
      <c r="N55" s="133">
        <v>41927</v>
      </c>
      <c r="O55" s="134">
        <v>641</v>
      </c>
      <c r="P55" s="132" t="s">
        <v>151</v>
      </c>
      <c r="Q55" s="132" t="s">
        <v>178</v>
      </c>
      <c r="R55" s="132" t="s">
        <v>153</v>
      </c>
      <c r="S55" s="133">
        <v>41673</v>
      </c>
      <c r="T55" s="134">
        <v>1183.0999999999999</v>
      </c>
      <c r="U55" s="132" t="s">
        <v>154</v>
      </c>
      <c r="V55" s="132" t="s">
        <v>152</v>
      </c>
      <c r="W55" s="132" t="s">
        <v>153</v>
      </c>
      <c r="X55" s="133">
        <v>41829</v>
      </c>
      <c r="Y55" s="134">
        <v>716</v>
      </c>
    </row>
    <row r="56" spans="1:25" x14ac:dyDescent="0.25">
      <c r="A56" s="79" t="s">
        <v>148</v>
      </c>
      <c r="B56" s="12" t="s">
        <v>175</v>
      </c>
      <c r="C56" s="12" t="s">
        <v>153</v>
      </c>
      <c r="D56" s="80">
        <v>41944</v>
      </c>
      <c r="E56" s="81">
        <v>1031</v>
      </c>
      <c r="F56" s="82" t="s">
        <v>150</v>
      </c>
      <c r="G56" s="83" t="s">
        <v>152</v>
      </c>
      <c r="H56" s="83" t="s">
        <v>153</v>
      </c>
      <c r="I56" s="84">
        <v>41807</v>
      </c>
      <c r="J56" s="85">
        <v>341</v>
      </c>
      <c r="K56" s="132" t="s">
        <v>20</v>
      </c>
      <c r="L56" s="132" t="s">
        <v>156</v>
      </c>
      <c r="M56" s="132" t="s">
        <v>153</v>
      </c>
      <c r="N56" s="133">
        <v>41935</v>
      </c>
      <c r="O56" s="134">
        <v>106</v>
      </c>
      <c r="P56" s="132" t="s">
        <v>151</v>
      </c>
      <c r="Q56" s="132" t="s">
        <v>178</v>
      </c>
      <c r="R56" s="132" t="s">
        <v>153</v>
      </c>
      <c r="S56" s="133">
        <v>41676</v>
      </c>
      <c r="T56" s="134">
        <v>941.9</v>
      </c>
      <c r="U56" s="132" t="s">
        <v>154</v>
      </c>
      <c r="V56" s="132" t="s">
        <v>152</v>
      </c>
      <c r="W56" s="132" t="s">
        <v>153</v>
      </c>
      <c r="X56" s="133">
        <v>41830</v>
      </c>
      <c r="Y56" s="134">
        <v>1031</v>
      </c>
    </row>
    <row r="57" spans="1:25" x14ac:dyDescent="0.25">
      <c r="A57" s="79" t="s">
        <v>148</v>
      </c>
      <c r="B57" s="12" t="s">
        <v>156</v>
      </c>
      <c r="C57" s="12" t="s">
        <v>153</v>
      </c>
      <c r="D57" s="80">
        <v>41962</v>
      </c>
      <c r="E57" s="81">
        <v>320</v>
      </c>
      <c r="F57" s="82" t="s">
        <v>150</v>
      </c>
      <c r="G57" s="83" t="s">
        <v>152</v>
      </c>
      <c r="H57" s="83" t="s">
        <v>153</v>
      </c>
      <c r="I57" s="84">
        <v>41809</v>
      </c>
      <c r="J57" s="85">
        <v>849</v>
      </c>
      <c r="K57" s="132" t="s">
        <v>20</v>
      </c>
      <c r="L57" s="132" t="s">
        <v>156</v>
      </c>
      <c r="M57" s="132" t="s">
        <v>153</v>
      </c>
      <c r="N57" s="133">
        <v>41945</v>
      </c>
      <c r="O57" s="134">
        <v>960</v>
      </c>
      <c r="P57" s="132" t="s">
        <v>151</v>
      </c>
      <c r="Q57" s="132" t="s">
        <v>178</v>
      </c>
      <c r="R57" s="132" t="s">
        <v>153</v>
      </c>
      <c r="S57" s="133">
        <v>41677</v>
      </c>
      <c r="T57" s="134">
        <v>403</v>
      </c>
      <c r="U57" s="132" t="s">
        <v>154</v>
      </c>
      <c r="V57" s="132" t="s">
        <v>152</v>
      </c>
      <c r="W57" s="132" t="s">
        <v>153</v>
      </c>
      <c r="X57" s="133">
        <v>41831</v>
      </c>
      <c r="Y57" s="134">
        <v>1086</v>
      </c>
    </row>
    <row r="58" spans="1:25" x14ac:dyDescent="0.25">
      <c r="A58" s="79" t="s">
        <v>148</v>
      </c>
      <c r="B58" s="12" t="s">
        <v>156</v>
      </c>
      <c r="C58" s="12" t="s">
        <v>153</v>
      </c>
      <c r="D58" s="80">
        <v>41963</v>
      </c>
      <c r="E58" s="81">
        <v>700</v>
      </c>
      <c r="F58" s="82" t="s">
        <v>150</v>
      </c>
      <c r="G58" s="83" t="s">
        <v>152</v>
      </c>
      <c r="H58" s="83" t="s">
        <v>153</v>
      </c>
      <c r="I58" s="84">
        <v>41843</v>
      </c>
      <c r="J58" s="85">
        <v>220</v>
      </c>
      <c r="K58" s="132" t="s">
        <v>20</v>
      </c>
      <c r="L58" s="132" t="s">
        <v>156</v>
      </c>
      <c r="M58" s="132" t="s">
        <v>153</v>
      </c>
      <c r="N58" s="133">
        <v>41961</v>
      </c>
      <c r="O58" s="134">
        <v>1243</v>
      </c>
      <c r="P58" s="132" t="s">
        <v>151</v>
      </c>
      <c r="Q58" s="132" t="s">
        <v>178</v>
      </c>
      <c r="R58" s="132" t="s">
        <v>153</v>
      </c>
      <c r="S58" s="133">
        <v>41732</v>
      </c>
      <c r="T58" s="134">
        <v>543.4</v>
      </c>
      <c r="U58" s="132" t="s">
        <v>154</v>
      </c>
      <c r="V58" s="132" t="s">
        <v>155</v>
      </c>
      <c r="W58" s="132" t="s">
        <v>153</v>
      </c>
      <c r="X58" s="133">
        <v>41635</v>
      </c>
      <c r="Y58" s="134">
        <v>682</v>
      </c>
    </row>
    <row r="59" spans="1:25" x14ac:dyDescent="0.25">
      <c r="A59" s="79" t="s">
        <v>148</v>
      </c>
      <c r="B59" s="12" t="s">
        <v>156</v>
      </c>
      <c r="C59" s="12" t="s">
        <v>153</v>
      </c>
      <c r="D59" s="80">
        <v>41964</v>
      </c>
      <c r="E59" s="81">
        <v>820</v>
      </c>
      <c r="F59" s="82" t="s">
        <v>150</v>
      </c>
      <c r="G59" s="83" t="s">
        <v>152</v>
      </c>
      <c r="H59" s="83" t="s">
        <v>153</v>
      </c>
      <c r="I59" s="84">
        <v>41850</v>
      </c>
      <c r="J59" s="85">
        <v>949</v>
      </c>
      <c r="K59" s="132" t="s">
        <v>20</v>
      </c>
      <c r="L59" s="132" t="s">
        <v>156</v>
      </c>
      <c r="M59" s="132" t="s">
        <v>153</v>
      </c>
      <c r="N59" s="133">
        <v>42000</v>
      </c>
      <c r="O59" s="134">
        <v>1201</v>
      </c>
      <c r="P59" s="132" t="s">
        <v>151</v>
      </c>
      <c r="Q59" s="132" t="s">
        <v>178</v>
      </c>
      <c r="R59" s="132" t="s">
        <v>153</v>
      </c>
      <c r="S59" s="133">
        <v>41816</v>
      </c>
      <c r="T59" s="134">
        <v>520.5</v>
      </c>
      <c r="U59" s="132" t="s">
        <v>154</v>
      </c>
      <c r="V59" s="132" t="s">
        <v>155</v>
      </c>
      <c r="W59" s="132" t="s">
        <v>153</v>
      </c>
      <c r="X59" s="133">
        <v>41637</v>
      </c>
      <c r="Y59" s="134">
        <v>418</v>
      </c>
    </row>
    <row r="60" spans="1:25" x14ac:dyDescent="0.25">
      <c r="A60" s="79" t="s">
        <v>148</v>
      </c>
      <c r="B60" s="12" t="s">
        <v>156</v>
      </c>
      <c r="C60" s="12" t="s">
        <v>153</v>
      </c>
      <c r="D60" s="80">
        <v>41965</v>
      </c>
      <c r="E60" s="81">
        <v>1429</v>
      </c>
      <c r="F60" s="82" t="s">
        <v>150</v>
      </c>
      <c r="G60" s="83" t="s">
        <v>152</v>
      </c>
      <c r="H60" s="83" t="s">
        <v>153</v>
      </c>
      <c r="I60" s="84">
        <v>41851</v>
      </c>
      <c r="J60" s="85">
        <v>1101</v>
      </c>
      <c r="K60" s="132" t="s">
        <v>20</v>
      </c>
      <c r="L60" s="132" t="s">
        <v>177</v>
      </c>
      <c r="M60" s="132" t="s">
        <v>153</v>
      </c>
      <c r="N60" s="133">
        <v>41731</v>
      </c>
      <c r="O60" s="134">
        <v>1436</v>
      </c>
      <c r="P60" s="132" t="s">
        <v>151</v>
      </c>
      <c r="Q60" s="132" t="s">
        <v>178</v>
      </c>
      <c r="R60" s="132" t="s">
        <v>153</v>
      </c>
      <c r="S60" s="133">
        <v>41817</v>
      </c>
      <c r="T60" s="134">
        <v>673.9</v>
      </c>
      <c r="U60" s="132" t="s">
        <v>154</v>
      </c>
      <c r="V60" s="132" t="s">
        <v>155</v>
      </c>
      <c r="W60" s="132" t="s">
        <v>153</v>
      </c>
      <c r="X60" s="133">
        <v>41638</v>
      </c>
      <c r="Y60" s="134">
        <v>877</v>
      </c>
    </row>
    <row r="61" spans="1:25" x14ac:dyDescent="0.25">
      <c r="A61" s="79" t="s">
        <v>148</v>
      </c>
      <c r="B61" s="12" t="s">
        <v>156</v>
      </c>
      <c r="C61" s="12" t="s">
        <v>153</v>
      </c>
      <c r="D61" s="80">
        <v>41966</v>
      </c>
      <c r="E61" s="81">
        <v>812</v>
      </c>
      <c r="F61" s="82" t="s">
        <v>150</v>
      </c>
      <c r="G61" s="83" t="s">
        <v>152</v>
      </c>
      <c r="H61" s="83" t="s">
        <v>153</v>
      </c>
      <c r="I61" s="84">
        <v>41852</v>
      </c>
      <c r="J61" s="85">
        <v>844</v>
      </c>
      <c r="K61" s="132" t="s">
        <v>20</v>
      </c>
      <c r="L61" s="132" t="s">
        <v>177</v>
      </c>
      <c r="M61" s="132" t="s">
        <v>153</v>
      </c>
      <c r="N61" s="133">
        <v>41752</v>
      </c>
      <c r="O61" s="134">
        <v>1256</v>
      </c>
      <c r="P61" s="132" t="s">
        <v>151</v>
      </c>
      <c r="Q61" s="132" t="s">
        <v>178</v>
      </c>
      <c r="R61" s="132" t="s">
        <v>153</v>
      </c>
      <c r="S61" s="133">
        <v>41820</v>
      </c>
      <c r="T61" s="134">
        <v>657.2</v>
      </c>
      <c r="U61" s="132" t="s">
        <v>154</v>
      </c>
      <c r="V61" s="132" t="s">
        <v>155</v>
      </c>
      <c r="W61" s="132" t="s">
        <v>153</v>
      </c>
      <c r="X61" s="133">
        <v>41639</v>
      </c>
      <c r="Y61" s="134">
        <v>609</v>
      </c>
    </row>
    <row r="62" spans="1:25" x14ac:dyDescent="0.25">
      <c r="A62" s="79" t="s">
        <v>148</v>
      </c>
      <c r="B62" s="12" t="s">
        <v>156</v>
      </c>
      <c r="C62" s="12" t="s">
        <v>153</v>
      </c>
      <c r="D62" s="80">
        <v>41967</v>
      </c>
      <c r="E62" s="81">
        <v>508</v>
      </c>
      <c r="F62" s="82" t="s">
        <v>150</v>
      </c>
      <c r="G62" s="83" t="s">
        <v>152</v>
      </c>
      <c r="H62" s="83" t="s">
        <v>153</v>
      </c>
      <c r="I62" s="84">
        <v>41853</v>
      </c>
      <c r="J62" s="85">
        <v>698</v>
      </c>
      <c r="K62" s="132" t="s">
        <v>20</v>
      </c>
      <c r="L62" s="132" t="s">
        <v>177</v>
      </c>
      <c r="M62" s="132" t="s">
        <v>153</v>
      </c>
      <c r="N62" s="133">
        <v>41757</v>
      </c>
      <c r="O62" s="134">
        <v>641</v>
      </c>
      <c r="P62" s="132" t="s">
        <v>151</v>
      </c>
      <c r="Q62" s="132" t="s">
        <v>178</v>
      </c>
      <c r="R62" s="132" t="s">
        <v>153</v>
      </c>
      <c r="S62" s="133">
        <v>41821</v>
      </c>
      <c r="T62" s="134">
        <v>548.6</v>
      </c>
      <c r="U62" s="132" t="s">
        <v>154</v>
      </c>
      <c r="V62" s="132" t="s">
        <v>155</v>
      </c>
      <c r="W62" s="132" t="s">
        <v>153</v>
      </c>
      <c r="X62" s="133">
        <v>41639</v>
      </c>
      <c r="Y62" s="134">
        <v>458</v>
      </c>
    </row>
    <row r="63" spans="1:25" x14ac:dyDescent="0.25">
      <c r="A63" s="79" t="s">
        <v>148</v>
      </c>
      <c r="B63" s="12" t="s">
        <v>156</v>
      </c>
      <c r="C63" s="12" t="s">
        <v>153</v>
      </c>
      <c r="D63" s="80">
        <v>41968</v>
      </c>
      <c r="E63" s="81">
        <v>700</v>
      </c>
      <c r="F63" s="82" t="s">
        <v>150</v>
      </c>
      <c r="G63" s="83" t="s">
        <v>152</v>
      </c>
      <c r="H63" s="83" t="s">
        <v>153</v>
      </c>
      <c r="I63" s="84">
        <v>41854</v>
      </c>
      <c r="J63" s="85">
        <v>481</v>
      </c>
      <c r="K63" s="132" t="s">
        <v>20</v>
      </c>
      <c r="L63" s="132" t="s">
        <v>177</v>
      </c>
      <c r="M63" s="132" t="s">
        <v>153</v>
      </c>
      <c r="N63" s="133">
        <v>41772</v>
      </c>
      <c r="O63" s="134">
        <v>178</v>
      </c>
      <c r="P63" s="132" t="s">
        <v>151</v>
      </c>
      <c r="Q63" s="132" t="s">
        <v>178</v>
      </c>
      <c r="R63" s="132" t="s">
        <v>153</v>
      </c>
      <c r="S63" s="133">
        <v>41822</v>
      </c>
      <c r="T63" s="134">
        <v>671.1</v>
      </c>
      <c r="U63" s="132" t="s">
        <v>154</v>
      </c>
      <c r="V63" s="132" t="s">
        <v>155</v>
      </c>
      <c r="W63" s="132" t="s">
        <v>153</v>
      </c>
      <c r="X63" s="133">
        <v>41641</v>
      </c>
      <c r="Y63" s="134">
        <v>520</v>
      </c>
    </row>
    <row r="64" spans="1:25" x14ac:dyDescent="0.25">
      <c r="A64" s="79" t="s">
        <v>148</v>
      </c>
      <c r="B64" s="12" t="s">
        <v>156</v>
      </c>
      <c r="C64" s="12" t="s">
        <v>153</v>
      </c>
      <c r="D64" s="80">
        <v>41969</v>
      </c>
      <c r="E64" s="81">
        <v>800</v>
      </c>
      <c r="F64" s="82" t="s">
        <v>150</v>
      </c>
      <c r="G64" s="83" t="s">
        <v>152</v>
      </c>
      <c r="H64" s="83" t="s">
        <v>153</v>
      </c>
      <c r="I64" s="84">
        <v>41855</v>
      </c>
      <c r="J64" s="85">
        <v>618</v>
      </c>
      <c r="K64" s="132" t="s">
        <v>20</v>
      </c>
      <c r="L64" s="132" t="s">
        <v>177</v>
      </c>
      <c r="M64" s="132" t="s">
        <v>153</v>
      </c>
      <c r="N64" s="133">
        <v>41808</v>
      </c>
      <c r="O64" s="134">
        <v>1327</v>
      </c>
      <c r="P64" s="132" t="s">
        <v>151</v>
      </c>
      <c r="Q64" s="132" t="s">
        <v>178</v>
      </c>
      <c r="R64" s="132" t="s">
        <v>153</v>
      </c>
      <c r="S64" s="133">
        <v>41823</v>
      </c>
      <c r="T64" s="134">
        <v>648.79999999999995</v>
      </c>
      <c r="U64" s="132" t="s">
        <v>154</v>
      </c>
      <c r="V64" s="132" t="s">
        <v>155</v>
      </c>
      <c r="W64" s="132" t="s">
        <v>153</v>
      </c>
      <c r="X64" s="133">
        <v>41642</v>
      </c>
      <c r="Y64" s="134">
        <v>962</v>
      </c>
    </row>
    <row r="65" spans="1:25" x14ac:dyDescent="0.25">
      <c r="A65" s="79" t="s">
        <v>148</v>
      </c>
      <c r="B65" s="12" t="s">
        <v>156</v>
      </c>
      <c r="C65" s="12" t="s">
        <v>153</v>
      </c>
      <c r="D65" s="80">
        <v>41970</v>
      </c>
      <c r="E65" s="81">
        <v>1213</v>
      </c>
      <c r="F65" s="82" t="s">
        <v>150</v>
      </c>
      <c r="G65" s="83" t="s">
        <v>152</v>
      </c>
      <c r="H65" s="83" t="s">
        <v>153</v>
      </c>
      <c r="I65" s="84">
        <v>41856</v>
      </c>
      <c r="J65" s="85">
        <v>913</v>
      </c>
      <c r="K65" s="132" t="s">
        <v>20</v>
      </c>
      <c r="L65" s="132" t="s">
        <v>177</v>
      </c>
      <c r="M65" s="132" t="s">
        <v>153</v>
      </c>
      <c r="N65" s="133">
        <v>41823</v>
      </c>
      <c r="O65" s="134">
        <v>1251</v>
      </c>
      <c r="P65" s="132" t="s">
        <v>151</v>
      </c>
      <c r="Q65" s="132" t="s">
        <v>178</v>
      </c>
      <c r="R65" s="132" t="s">
        <v>153</v>
      </c>
      <c r="S65" s="133">
        <v>41988</v>
      </c>
      <c r="T65" s="134">
        <v>522.9</v>
      </c>
      <c r="U65" s="132" t="s">
        <v>154</v>
      </c>
      <c r="V65" s="132" t="s">
        <v>155</v>
      </c>
      <c r="W65" s="132" t="s">
        <v>153</v>
      </c>
      <c r="X65" s="133">
        <v>41642</v>
      </c>
      <c r="Y65" s="134">
        <v>539</v>
      </c>
    </row>
    <row r="66" spans="1:25" x14ac:dyDescent="0.25">
      <c r="A66" s="79" t="s">
        <v>148</v>
      </c>
      <c r="B66" s="12" t="s">
        <v>156</v>
      </c>
      <c r="C66" s="12" t="s">
        <v>153</v>
      </c>
      <c r="D66" s="80">
        <v>41971</v>
      </c>
      <c r="E66" s="81">
        <v>600</v>
      </c>
      <c r="F66" s="82" t="s">
        <v>150</v>
      </c>
      <c r="G66" s="83" t="s">
        <v>152</v>
      </c>
      <c r="H66" s="83" t="s">
        <v>153</v>
      </c>
      <c r="I66" s="84">
        <v>41857</v>
      </c>
      <c r="J66" s="85">
        <v>467</v>
      </c>
      <c r="K66" s="132" t="s">
        <v>20</v>
      </c>
      <c r="L66" s="132" t="s">
        <v>177</v>
      </c>
      <c r="M66" s="132" t="s">
        <v>153</v>
      </c>
      <c r="N66" s="133">
        <v>41826</v>
      </c>
      <c r="O66" s="134">
        <v>1061</v>
      </c>
      <c r="P66" s="132" t="s">
        <v>151</v>
      </c>
      <c r="Q66" s="132" t="s">
        <v>179</v>
      </c>
      <c r="R66" s="132" t="s">
        <v>153</v>
      </c>
      <c r="S66" s="133">
        <v>41718</v>
      </c>
      <c r="T66" s="134">
        <v>827.1</v>
      </c>
      <c r="U66" s="132" t="s">
        <v>154</v>
      </c>
      <c r="V66" s="132" t="s">
        <v>155</v>
      </c>
      <c r="W66" s="132" t="s">
        <v>153</v>
      </c>
      <c r="X66" s="133">
        <v>41645</v>
      </c>
      <c r="Y66" s="134">
        <v>1156</v>
      </c>
    </row>
    <row r="67" spans="1:25" x14ac:dyDescent="0.25">
      <c r="A67" s="79" t="s">
        <v>148</v>
      </c>
      <c r="B67" s="12" t="s">
        <v>156</v>
      </c>
      <c r="C67" s="12" t="s">
        <v>153</v>
      </c>
      <c r="D67" s="80">
        <v>41972</v>
      </c>
      <c r="E67" s="81">
        <v>900</v>
      </c>
      <c r="F67" s="82" t="s">
        <v>150</v>
      </c>
      <c r="G67" s="83" t="s">
        <v>152</v>
      </c>
      <c r="H67" s="83" t="s">
        <v>153</v>
      </c>
      <c r="I67" s="84">
        <v>41858</v>
      </c>
      <c r="J67" s="85">
        <v>623</v>
      </c>
      <c r="K67" s="132" t="s">
        <v>20</v>
      </c>
      <c r="L67" s="132" t="s">
        <v>177</v>
      </c>
      <c r="M67" s="132" t="s">
        <v>153</v>
      </c>
      <c r="N67" s="133">
        <v>41839</v>
      </c>
      <c r="O67" s="134">
        <v>865</v>
      </c>
      <c r="P67" s="132" t="s">
        <v>151</v>
      </c>
      <c r="Q67" s="132" t="s">
        <v>179</v>
      </c>
      <c r="R67" s="132" t="s">
        <v>153</v>
      </c>
      <c r="S67" s="133">
        <v>41736</v>
      </c>
      <c r="T67" s="134">
        <v>222.2</v>
      </c>
      <c r="U67" s="132" t="s">
        <v>154</v>
      </c>
      <c r="V67" s="132" t="s">
        <v>155</v>
      </c>
      <c r="W67" s="132" t="s">
        <v>153</v>
      </c>
      <c r="X67" s="133">
        <v>41652</v>
      </c>
      <c r="Y67" s="134">
        <v>352</v>
      </c>
    </row>
    <row r="68" spans="1:25" x14ac:dyDescent="0.25">
      <c r="A68" s="79" t="s">
        <v>148</v>
      </c>
      <c r="B68" s="12" t="s">
        <v>156</v>
      </c>
      <c r="C68" s="12" t="s">
        <v>153</v>
      </c>
      <c r="D68" s="80">
        <v>41973</v>
      </c>
      <c r="E68" s="81">
        <v>1334</v>
      </c>
      <c r="F68" s="82" t="s">
        <v>150</v>
      </c>
      <c r="G68" s="83" t="s">
        <v>152</v>
      </c>
      <c r="H68" s="83" t="s">
        <v>153</v>
      </c>
      <c r="I68" s="84">
        <v>41859</v>
      </c>
      <c r="J68" s="85">
        <v>853</v>
      </c>
      <c r="K68" s="132" t="s">
        <v>20</v>
      </c>
      <c r="L68" s="132" t="s">
        <v>177</v>
      </c>
      <c r="M68" s="132" t="s">
        <v>153</v>
      </c>
      <c r="N68" s="133">
        <v>41887</v>
      </c>
      <c r="O68" s="134">
        <v>1425</v>
      </c>
      <c r="P68" s="132" t="s">
        <v>151</v>
      </c>
      <c r="Q68" s="132" t="s">
        <v>179</v>
      </c>
      <c r="R68" s="132" t="s">
        <v>153</v>
      </c>
      <c r="S68" s="133">
        <v>41737</v>
      </c>
      <c r="T68" s="134">
        <v>520.5</v>
      </c>
      <c r="U68" s="132" t="s">
        <v>154</v>
      </c>
      <c r="V68" s="132" t="s">
        <v>155</v>
      </c>
      <c r="W68" s="132" t="s">
        <v>153</v>
      </c>
      <c r="X68" s="133">
        <v>41653</v>
      </c>
      <c r="Y68" s="134">
        <v>545</v>
      </c>
    </row>
    <row r="69" spans="1:25" x14ac:dyDescent="0.25">
      <c r="A69" s="79" t="s">
        <v>148</v>
      </c>
      <c r="B69" s="12" t="s">
        <v>156</v>
      </c>
      <c r="C69" s="12" t="s">
        <v>153</v>
      </c>
      <c r="D69" s="80">
        <v>41974</v>
      </c>
      <c r="E69" s="81">
        <v>370</v>
      </c>
      <c r="F69" s="82" t="s">
        <v>150</v>
      </c>
      <c r="G69" s="83" t="s">
        <v>152</v>
      </c>
      <c r="H69" s="83" t="s">
        <v>153</v>
      </c>
      <c r="I69" s="84">
        <v>41861</v>
      </c>
      <c r="J69" s="85">
        <v>1257</v>
      </c>
      <c r="K69" s="132" t="s">
        <v>20</v>
      </c>
      <c r="L69" s="132" t="s">
        <v>177</v>
      </c>
      <c r="M69" s="132" t="s">
        <v>153</v>
      </c>
      <c r="N69" s="133">
        <v>41897</v>
      </c>
      <c r="O69" s="134">
        <v>1205</v>
      </c>
      <c r="P69" s="132" t="s">
        <v>151</v>
      </c>
      <c r="Q69" s="132" t="s">
        <v>179</v>
      </c>
      <c r="R69" s="132" t="s">
        <v>153</v>
      </c>
      <c r="S69" s="133">
        <v>41738</v>
      </c>
      <c r="T69" s="134">
        <v>756.3</v>
      </c>
      <c r="U69" s="132" t="s">
        <v>154</v>
      </c>
      <c r="V69" s="132" t="s">
        <v>155</v>
      </c>
      <c r="W69" s="132" t="s">
        <v>153</v>
      </c>
      <c r="X69" s="133">
        <v>41654</v>
      </c>
      <c r="Y69" s="134">
        <v>820</v>
      </c>
    </row>
    <row r="70" spans="1:25" x14ac:dyDescent="0.25">
      <c r="A70" s="79" t="s">
        <v>148</v>
      </c>
      <c r="B70" s="12" t="s">
        <v>156</v>
      </c>
      <c r="C70" s="12" t="s">
        <v>153</v>
      </c>
      <c r="D70" s="80">
        <v>41975</v>
      </c>
      <c r="E70" s="81">
        <v>1102</v>
      </c>
      <c r="F70" s="82" t="s">
        <v>150</v>
      </c>
      <c r="G70" s="83" t="s">
        <v>152</v>
      </c>
      <c r="H70" s="83" t="s">
        <v>153</v>
      </c>
      <c r="I70" s="84">
        <v>41863</v>
      </c>
      <c r="J70" s="85">
        <v>881</v>
      </c>
      <c r="K70" s="132" t="s">
        <v>20</v>
      </c>
      <c r="L70" s="132" t="s">
        <v>177</v>
      </c>
      <c r="M70" s="132" t="s">
        <v>153</v>
      </c>
      <c r="N70" s="133">
        <v>41913</v>
      </c>
      <c r="O70" s="134">
        <v>1056</v>
      </c>
      <c r="P70" s="132" t="s">
        <v>151</v>
      </c>
      <c r="Q70" s="132" t="s">
        <v>179</v>
      </c>
      <c r="R70" s="132" t="s">
        <v>153</v>
      </c>
      <c r="S70" s="133">
        <v>41838</v>
      </c>
      <c r="T70" s="134">
        <v>1004.3</v>
      </c>
      <c r="U70" s="132" t="s">
        <v>154</v>
      </c>
      <c r="V70" s="132" t="s">
        <v>155</v>
      </c>
      <c r="W70" s="132" t="s">
        <v>153</v>
      </c>
      <c r="X70" s="133">
        <v>41655</v>
      </c>
      <c r="Y70" s="134">
        <v>700</v>
      </c>
    </row>
    <row r="71" spans="1:25" x14ac:dyDescent="0.25">
      <c r="A71" s="79" t="s">
        <v>148</v>
      </c>
      <c r="B71" s="12" t="s">
        <v>156</v>
      </c>
      <c r="C71" s="12" t="s">
        <v>153</v>
      </c>
      <c r="D71" s="80">
        <v>41976</v>
      </c>
      <c r="E71" s="81">
        <v>800</v>
      </c>
      <c r="F71" s="82" t="s">
        <v>150</v>
      </c>
      <c r="G71" s="83" t="s">
        <v>152</v>
      </c>
      <c r="H71" s="83" t="s">
        <v>153</v>
      </c>
      <c r="I71" s="84">
        <v>41865</v>
      </c>
      <c r="J71" s="85">
        <v>762</v>
      </c>
      <c r="K71" s="132" t="s">
        <v>20</v>
      </c>
      <c r="L71" s="132" t="s">
        <v>177</v>
      </c>
      <c r="M71" s="132" t="s">
        <v>153</v>
      </c>
      <c r="N71" s="133">
        <v>41915</v>
      </c>
      <c r="O71" s="134">
        <v>469</v>
      </c>
      <c r="P71" s="132" t="s">
        <v>151</v>
      </c>
      <c r="Q71" s="132" t="s">
        <v>179</v>
      </c>
      <c r="R71" s="132" t="s">
        <v>153</v>
      </c>
      <c r="S71" s="133">
        <v>41842</v>
      </c>
      <c r="T71" s="134">
        <v>1175.9000000000001</v>
      </c>
      <c r="U71" s="132" t="s">
        <v>154</v>
      </c>
      <c r="V71" s="132" t="s">
        <v>155</v>
      </c>
      <c r="W71" s="132" t="s">
        <v>153</v>
      </c>
      <c r="X71" s="133">
        <v>41690</v>
      </c>
      <c r="Y71" s="134">
        <v>840</v>
      </c>
    </row>
    <row r="72" spans="1:25" x14ac:dyDescent="0.25">
      <c r="A72" s="79" t="s">
        <v>148</v>
      </c>
      <c r="B72" s="12" t="s">
        <v>156</v>
      </c>
      <c r="C72" s="12" t="s">
        <v>153</v>
      </c>
      <c r="D72" s="80">
        <v>41977</v>
      </c>
      <c r="E72" s="81">
        <v>770</v>
      </c>
      <c r="F72" s="82" t="s">
        <v>150</v>
      </c>
      <c r="G72" s="83" t="s">
        <v>152</v>
      </c>
      <c r="H72" s="83" t="s">
        <v>153</v>
      </c>
      <c r="I72" s="84">
        <v>41867</v>
      </c>
      <c r="J72" s="85">
        <v>1305</v>
      </c>
      <c r="K72" s="132" t="s">
        <v>20</v>
      </c>
      <c r="L72" s="132" t="s">
        <v>177</v>
      </c>
      <c r="M72" s="132" t="s">
        <v>153</v>
      </c>
      <c r="N72" s="133">
        <v>41950</v>
      </c>
      <c r="O72" s="134">
        <v>1562</v>
      </c>
      <c r="P72" s="132" t="s">
        <v>151</v>
      </c>
      <c r="Q72" s="132" t="s">
        <v>179</v>
      </c>
      <c r="R72" s="132" t="s">
        <v>153</v>
      </c>
      <c r="S72" s="133">
        <v>41857</v>
      </c>
      <c r="T72" s="134">
        <v>1019.4</v>
      </c>
      <c r="U72" s="132" t="s">
        <v>154</v>
      </c>
      <c r="V72" s="132" t="s">
        <v>155</v>
      </c>
      <c r="W72" s="132" t="s">
        <v>153</v>
      </c>
      <c r="X72" s="133">
        <v>41691</v>
      </c>
      <c r="Y72" s="134">
        <v>399</v>
      </c>
    </row>
    <row r="73" spans="1:25" x14ac:dyDescent="0.25">
      <c r="A73" s="79" t="s">
        <v>148</v>
      </c>
      <c r="B73" s="12" t="s">
        <v>156</v>
      </c>
      <c r="C73" s="12" t="s">
        <v>153</v>
      </c>
      <c r="D73" s="80">
        <v>41978</v>
      </c>
      <c r="E73" s="81">
        <v>852</v>
      </c>
      <c r="F73" s="82" t="s">
        <v>150</v>
      </c>
      <c r="G73" s="83" t="s">
        <v>152</v>
      </c>
      <c r="H73" s="83" t="s">
        <v>153</v>
      </c>
      <c r="I73" s="84">
        <v>41867</v>
      </c>
      <c r="J73" s="85">
        <v>1002</v>
      </c>
      <c r="K73" s="132" t="s">
        <v>20</v>
      </c>
      <c r="L73" s="132" t="s">
        <v>177</v>
      </c>
      <c r="M73" s="132" t="s">
        <v>153</v>
      </c>
      <c r="N73" s="133">
        <v>41961</v>
      </c>
      <c r="O73" s="134">
        <v>1068</v>
      </c>
      <c r="P73" s="132" t="s">
        <v>151</v>
      </c>
      <c r="Q73" s="132" t="s">
        <v>179</v>
      </c>
      <c r="R73" s="132" t="s">
        <v>153</v>
      </c>
      <c r="S73" s="133">
        <v>41858</v>
      </c>
      <c r="T73" s="134">
        <v>685.7</v>
      </c>
      <c r="U73" s="132" t="s">
        <v>154</v>
      </c>
      <c r="V73" s="132" t="s">
        <v>155</v>
      </c>
      <c r="W73" s="132" t="s">
        <v>153</v>
      </c>
      <c r="X73" s="133">
        <v>41691</v>
      </c>
      <c r="Y73" s="134">
        <v>550</v>
      </c>
    </row>
    <row r="74" spans="1:25" x14ac:dyDescent="0.25">
      <c r="A74" s="79" t="s">
        <v>148</v>
      </c>
      <c r="B74" s="12" t="s">
        <v>156</v>
      </c>
      <c r="C74" s="12" t="s">
        <v>153</v>
      </c>
      <c r="D74" s="80">
        <v>41980</v>
      </c>
      <c r="E74" s="81">
        <v>700</v>
      </c>
      <c r="F74" s="82" t="s">
        <v>150</v>
      </c>
      <c r="G74" s="83" t="s">
        <v>152</v>
      </c>
      <c r="H74" s="83" t="s">
        <v>153</v>
      </c>
      <c r="I74" s="84">
        <v>41869</v>
      </c>
      <c r="J74" s="85">
        <v>962</v>
      </c>
      <c r="K74" s="132" t="s">
        <v>20</v>
      </c>
      <c r="L74" s="132" t="s">
        <v>177</v>
      </c>
      <c r="M74" s="132" t="s">
        <v>153</v>
      </c>
      <c r="N74" s="133">
        <v>41969</v>
      </c>
      <c r="O74" s="134">
        <v>1493</v>
      </c>
      <c r="P74" s="132" t="s">
        <v>151</v>
      </c>
      <c r="Q74" s="132" t="s">
        <v>179</v>
      </c>
      <c r="R74" s="132" t="s">
        <v>153</v>
      </c>
      <c r="S74" s="133">
        <v>41859</v>
      </c>
      <c r="T74" s="134">
        <v>862.4</v>
      </c>
      <c r="U74" s="132" t="s">
        <v>154</v>
      </c>
      <c r="V74" s="132" t="s">
        <v>155</v>
      </c>
      <c r="W74" s="132" t="s">
        <v>153</v>
      </c>
      <c r="X74" s="133">
        <v>41692</v>
      </c>
      <c r="Y74" s="134">
        <v>824</v>
      </c>
    </row>
    <row r="75" spans="1:25" x14ac:dyDescent="0.25">
      <c r="A75" s="79" t="s">
        <v>148</v>
      </c>
      <c r="B75" s="12" t="s">
        <v>156</v>
      </c>
      <c r="C75" s="12" t="s">
        <v>153</v>
      </c>
      <c r="D75" s="80">
        <v>41981</v>
      </c>
      <c r="E75" s="81">
        <v>887</v>
      </c>
      <c r="F75" s="82" t="s">
        <v>150</v>
      </c>
      <c r="G75" s="83" t="s">
        <v>152</v>
      </c>
      <c r="H75" s="83" t="s">
        <v>153</v>
      </c>
      <c r="I75" s="84">
        <v>41869</v>
      </c>
      <c r="J75" s="85">
        <v>731</v>
      </c>
      <c r="K75" s="132" t="s">
        <v>20</v>
      </c>
      <c r="L75" s="132" t="s">
        <v>177</v>
      </c>
      <c r="M75" s="132" t="s">
        <v>153</v>
      </c>
      <c r="N75" s="133">
        <v>41972</v>
      </c>
      <c r="O75" s="134">
        <v>1278</v>
      </c>
      <c r="P75" s="132" t="s">
        <v>151</v>
      </c>
      <c r="Q75" s="132" t="s">
        <v>179</v>
      </c>
      <c r="R75" s="132" t="s">
        <v>153</v>
      </c>
      <c r="S75" s="133">
        <v>41864</v>
      </c>
      <c r="T75" s="134">
        <v>218.3</v>
      </c>
      <c r="U75" s="132" t="s">
        <v>154</v>
      </c>
      <c r="V75" s="132" t="s">
        <v>155</v>
      </c>
      <c r="W75" s="132" t="s">
        <v>153</v>
      </c>
      <c r="X75" s="133">
        <v>41692</v>
      </c>
      <c r="Y75" s="134">
        <v>369</v>
      </c>
    </row>
    <row r="76" spans="1:25" x14ac:dyDescent="0.25">
      <c r="A76" s="79" t="s">
        <v>148</v>
      </c>
      <c r="B76" s="12" t="s">
        <v>156</v>
      </c>
      <c r="C76" s="12" t="s">
        <v>153</v>
      </c>
      <c r="D76" s="80">
        <v>41984</v>
      </c>
      <c r="E76" s="81">
        <v>1715</v>
      </c>
      <c r="F76" s="76" t="s">
        <v>150</v>
      </c>
      <c r="G76" s="77" t="s">
        <v>152</v>
      </c>
      <c r="H76" s="77" t="s">
        <v>153</v>
      </c>
      <c r="I76" s="86">
        <v>41870</v>
      </c>
      <c r="J76" s="78">
        <v>619</v>
      </c>
      <c r="K76" s="132" t="s">
        <v>20</v>
      </c>
      <c r="L76" s="132" t="s">
        <v>177</v>
      </c>
      <c r="M76" s="132" t="s">
        <v>153</v>
      </c>
      <c r="N76" s="133">
        <v>41975</v>
      </c>
      <c r="O76" s="134">
        <v>975</v>
      </c>
      <c r="P76" s="132" t="s">
        <v>151</v>
      </c>
      <c r="Q76" s="132" t="s">
        <v>179</v>
      </c>
      <c r="R76" s="132" t="s">
        <v>153</v>
      </c>
      <c r="S76" s="133">
        <v>41975</v>
      </c>
      <c r="T76" s="134">
        <v>766.2</v>
      </c>
      <c r="U76" s="132" t="s">
        <v>154</v>
      </c>
      <c r="V76" s="132" t="s">
        <v>155</v>
      </c>
      <c r="W76" s="132" t="s">
        <v>153</v>
      </c>
      <c r="X76" s="133">
        <v>41693</v>
      </c>
      <c r="Y76" s="134">
        <v>528</v>
      </c>
    </row>
    <row r="77" spans="1:25" x14ac:dyDescent="0.25">
      <c r="A77" s="79" t="s">
        <v>148</v>
      </c>
      <c r="B77" s="12" t="s">
        <v>156</v>
      </c>
      <c r="C77" s="12" t="s">
        <v>153</v>
      </c>
      <c r="D77" s="80">
        <v>41985</v>
      </c>
      <c r="E77" s="81">
        <v>844</v>
      </c>
      <c r="F77" s="76" t="s">
        <v>150</v>
      </c>
      <c r="G77" s="77" t="s">
        <v>152</v>
      </c>
      <c r="H77" s="77" t="s">
        <v>153</v>
      </c>
      <c r="I77" s="86">
        <v>41872</v>
      </c>
      <c r="J77" s="78">
        <v>802</v>
      </c>
      <c r="K77" s="132" t="s">
        <v>20</v>
      </c>
      <c r="L77" s="132" t="s">
        <v>177</v>
      </c>
      <c r="M77" s="132" t="s">
        <v>153</v>
      </c>
      <c r="N77" s="133">
        <v>41981</v>
      </c>
      <c r="O77" s="134">
        <v>1262</v>
      </c>
      <c r="P77" s="132" t="s">
        <v>151</v>
      </c>
      <c r="Q77" s="132" t="s">
        <v>179</v>
      </c>
      <c r="R77" s="132" t="s">
        <v>153</v>
      </c>
      <c r="S77" s="133">
        <v>41995</v>
      </c>
      <c r="T77" s="134">
        <v>480.1</v>
      </c>
      <c r="U77" s="132" t="s">
        <v>154</v>
      </c>
      <c r="V77" s="132" t="s">
        <v>155</v>
      </c>
      <c r="W77" s="132" t="s">
        <v>153</v>
      </c>
      <c r="X77" s="133">
        <v>41694</v>
      </c>
      <c r="Y77" s="134">
        <v>836</v>
      </c>
    </row>
    <row r="78" spans="1:25" x14ac:dyDescent="0.25">
      <c r="A78" s="79" t="s">
        <v>148</v>
      </c>
      <c r="B78" s="12" t="s">
        <v>156</v>
      </c>
      <c r="C78" s="12" t="s">
        <v>153</v>
      </c>
      <c r="D78" s="80">
        <v>41986</v>
      </c>
      <c r="E78" s="81">
        <v>400</v>
      </c>
      <c r="F78" s="76" t="s">
        <v>150</v>
      </c>
      <c r="G78" s="77" t="s">
        <v>152</v>
      </c>
      <c r="H78" s="77" t="s">
        <v>153</v>
      </c>
      <c r="I78" s="86">
        <v>41872</v>
      </c>
      <c r="J78" s="78">
        <v>534</v>
      </c>
      <c r="K78" s="132" t="s">
        <v>20</v>
      </c>
      <c r="L78" s="132" t="s">
        <v>178</v>
      </c>
      <c r="M78" s="132" t="s">
        <v>153</v>
      </c>
      <c r="N78" s="133">
        <v>41638</v>
      </c>
      <c r="O78" s="134">
        <v>1022</v>
      </c>
      <c r="P78" s="132" t="s">
        <v>151</v>
      </c>
      <c r="Q78" s="132" t="s">
        <v>180</v>
      </c>
      <c r="R78" s="132" t="s">
        <v>153</v>
      </c>
      <c r="S78" s="133">
        <v>41635</v>
      </c>
      <c r="T78" s="134">
        <v>987.6</v>
      </c>
      <c r="U78" s="132" t="s">
        <v>154</v>
      </c>
      <c r="V78" s="132" t="s">
        <v>155</v>
      </c>
      <c r="W78" s="132" t="s">
        <v>153</v>
      </c>
      <c r="X78" s="133">
        <v>41695</v>
      </c>
      <c r="Y78" s="134">
        <v>780</v>
      </c>
    </row>
    <row r="79" spans="1:25" x14ac:dyDescent="0.25">
      <c r="A79" s="79" t="s">
        <v>148</v>
      </c>
      <c r="B79" s="12" t="s">
        <v>156</v>
      </c>
      <c r="C79" s="12" t="s">
        <v>153</v>
      </c>
      <c r="D79" s="80">
        <v>41987</v>
      </c>
      <c r="E79" s="81">
        <v>850</v>
      </c>
      <c r="F79" s="76" t="s">
        <v>150</v>
      </c>
      <c r="G79" s="77" t="s">
        <v>152</v>
      </c>
      <c r="H79" s="77" t="s">
        <v>153</v>
      </c>
      <c r="I79" s="86">
        <v>41878</v>
      </c>
      <c r="J79" s="78">
        <v>737</v>
      </c>
      <c r="K79" s="132" t="s">
        <v>20</v>
      </c>
      <c r="L79" s="132" t="s">
        <v>178</v>
      </c>
      <c r="M79" s="132" t="s">
        <v>153</v>
      </c>
      <c r="N79" s="133">
        <v>41643</v>
      </c>
      <c r="O79" s="134">
        <v>1020</v>
      </c>
      <c r="P79" s="132" t="s">
        <v>151</v>
      </c>
      <c r="Q79" s="132" t="s">
        <v>180</v>
      </c>
      <c r="R79" s="132" t="s">
        <v>153</v>
      </c>
      <c r="S79" s="133">
        <v>41648</v>
      </c>
      <c r="T79" s="134">
        <v>1064.8</v>
      </c>
      <c r="U79" s="132" t="s">
        <v>154</v>
      </c>
      <c r="V79" s="132" t="s">
        <v>155</v>
      </c>
      <c r="W79" s="132" t="s">
        <v>153</v>
      </c>
      <c r="X79" s="133">
        <v>41761</v>
      </c>
      <c r="Y79" s="134">
        <v>461</v>
      </c>
    </row>
    <row r="80" spans="1:25" x14ac:dyDescent="0.25">
      <c r="A80" s="79" t="s">
        <v>148</v>
      </c>
      <c r="B80" s="12" t="s">
        <v>156</v>
      </c>
      <c r="C80" s="12" t="s">
        <v>153</v>
      </c>
      <c r="D80" s="80">
        <v>41988</v>
      </c>
      <c r="E80" s="81">
        <v>800</v>
      </c>
      <c r="F80" s="76" t="s">
        <v>150</v>
      </c>
      <c r="G80" s="77" t="s">
        <v>152</v>
      </c>
      <c r="H80" s="77" t="s">
        <v>153</v>
      </c>
      <c r="I80" s="86">
        <v>41880</v>
      </c>
      <c r="J80" s="78">
        <v>925</v>
      </c>
      <c r="K80" s="132" t="s">
        <v>20</v>
      </c>
      <c r="L80" s="132" t="s">
        <v>178</v>
      </c>
      <c r="M80" s="132" t="s">
        <v>153</v>
      </c>
      <c r="N80" s="133">
        <v>41692</v>
      </c>
      <c r="O80" s="134">
        <v>716</v>
      </c>
      <c r="P80" s="132" t="s">
        <v>151</v>
      </c>
      <c r="Q80" s="132" t="s">
        <v>180</v>
      </c>
      <c r="R80" s="132" t="s">
        <v>153</v>
      </c>
      <c r="S80" s="133">
        <v>41695</v>
      </c>
      <c r="T80" s="134">
        <v>319.8</v>
      </c>
      <c r="U80" s="132" t="s">
        <v>154</v>
      </c>
      <c r="V80" s="132" t="s">
        <v>155</v>
      </c>
      <c r="W80" s="132" t="s">
        <v>153</v>
      </c>
      <c r="X80" s="133">
        <v>41779</v>
      </c>
      <c r="Y80" s="134">
        <v>1181</v>
      </c>
    </row>
    <row r="81" spans="1:25" x14ac:dyDescent="0.25">
      <c r="A81" s="79" t="s">
        <v>148</v>
      </c>
      <c r="B81" s="12" t="s">
        <v>156</v>
      </c>
      <c r="C81" s="12" t="s">
        <v>153</v>
      </c>
      <c r="D81" s="80">
        <v>41989</v>
      </c>
      <c r="E81" s="81">
        <v>820</v>
      </c>
      <c r="F81" s="76" t="s">
        <v>150</v>
      </c>
      <c r="G81" s="77" t="s">
        <v>152</v>
      </c>
      <c r="H81" s="77" t="s">
        <v>153</v>
      </c>
      <c r="I81" s="86">
        <v>41883</v>
      </c>
      <c r="J81" s="78">
        <v>1024</v>
      </c>
      <c r="K81" s="132" t="s">
        <v>20</v>
      </c>
      <c r="L81" s="132" t="s">
        <v>178</v>
      </c>
      <c r="M81" s="132" t="s">
        <v>153</v>
      </c>
      <c r="N81" s="133">
        <v>41763</v>
      </c>
      <c r="O81" s="134">
        <v>496</v>
      </c>
      <c r="P81" s="132" t="s">
        <v>151</v>
      </c>
      <c r="Q81" s="132" t="s">
        <v>180</v>
      </c>
      <c r="R81" s="132" t="s">
        <v>153</v>
      </c>
      <c r="S81" s="133">
        <v>41696</v>
      </c>
      <c r="T81" s="134">
        <v>728.6</v>
      </c>
      <c r="U81" s="132" t="s">
        <v>154</v>
      </c>
      <c r="V81" s="132" t="s">
        <v>155</v>
      </c>
      <c r="W81" s="132" t="s">
        <v>153</v>
      </c>
      <c r="X81" s="133">
        <v>41781</v>
      </c>
      <c r="Y81" s="134">
        <v>550</v>
      </c>
    </row>
    <row r="82" spans="1:25" x14ac:dyDescent="0.25">
      <c r="A82" s="79" t="s">
        <v>148</v>
      </c>
      <c r="B82" s="12" t="s">
        <v>156</v>
      </c>
      <c r="C82" s="12" t="s">
        <v>153</v>
      </c>
      <c r="D82" s="80">
        <v>41990</v>
      </c>
      <c r="E82" s="81">
        <v>750</v>
      </c>
      <c r="F82" s="76" t="s">
        <v>150</v>
      </c>
      <c r="G82" s="77" t="s">
        <v>152</v>
      </c>
      <c r="H82" s="77" t="s">
        <v>153</v>
      </c>
      <c r="I82" s="86">
        <v>41884</v>
      </c>
      <c r="J82" s="78">
        <v>716</v>
      </c>
      <c r="K82" s="132" t="s">
        <v>20</v>
      </c>
      <c r="L82" s="132" t="s">
        <v>178</v>
      </c>
      <c r="M82" s="132" t="s">
        <v>153</v>
      </c>
      <c r="N82" s="133">
        <v>41805</v>
      </c>
      <c r="O82" s="134">
        <v>1222</v>
      </c>
      <c r="P82" s="132" t="s">
        <v>151</v>
      </c>
      <c r="Q82" s="132" t="s">
        <v>180</v>
      </c>
      <c r="R82" s="132" t="s">
        <v>153</v>
      </c>
      <c r="S82" s="133">
        <v>41702</v>
      </c>
      <c r="T82" s="134">
        <v>182.7</v>
      </c>
      <c r="U82" s="132" t="s">
        <v>154</v>
      </c>
      <c r="V82" s="132" t="s">
        <v>155</v>
      </c>
      <c r="W82" s="132" t="s">
        <v>153</v>
      </c>
      <c r="X82" s="133">
        <v>41786</v>
      </c>
      <c r="Y82" s="134">
        <v>400</v>
      </c>
    </row>
    <row r="83" spans="1:25" x14ac:dyDescent="0.25">
      <c r="A83" s="79" t="s">
        <v>148</v>
      </c>
      <c r="B83" s="12" t="s">
        <v>156</v>
      </c>
      <c r="C83" s="12" t="s">
        <v>153</v>
      </c>
      <c r="D83" s="80">
        <v>41991</v>
      </c>
      <c r="E83" s="81">
        <v>750</v>
      </c>
      <c r="F83" s="76" t="s">
        <v>150</v>
      </c>
      <c r="G83" s="77" t="s">
        <v>152</v>
      </c>
      <c r="H83" s="77" t="s">
        <v>153</v>
      </c>
      <c r="I83" s="86">
        <v>41887</v>
      </c>
      <c r="J83" s="78">
        <v>718</v>
      </c>
      <c r="K83" s="132" t="s">
        <v>20</v>
      </c>
      <c r="L83" s="132" t="s">
        <v>178</v>
      </c>
      <c r="M83" s="132" t="s">
        <v>153</v>
      </c>
      <c r="N83" s="133">
        <v>41813</v>
      </c>
      <c r="O83" s="134">
        <v>1165</v>
      </c>
      <c r="P83" s="132" t="s">
        <v>151</v>
      </c>
      <c r="Q83" s="132" t="s">
        <v>180</v>
      </c>
      <c r="R83" s="132" t="s">
        <v>153</v>
      </c>
      <c r="S83" s="133">
        <v>41703</v>
      </c>
      <c r="T83" s="134">
        <v>741.1</v>
      </c>
      <c r="U83" s="132" t="s">
        <v>154</v>
      </c>
      <c r="V83" s="132" t="s">
        <v>155</v>
      </c>
      <c r="W83" s="132" t="s">
        <v>153</v>
      </c>
      <c r="X83" s="133">
        <v>41787</v>
      </c>
      <c r="Y83" s="134">
        <v>720</v>
      </c>
    </row>
    <row r="84" spans="1:25" x14ac:dyDescent="0.25">
      <c r="A84" s="79" t="s">
        <v>148</v>
      </c>
      <c r="B84" s="12" t="s">
        <v>178</v>
      </c>
      <c r="C84" s="12" t="s">
        <v>153</v>
      </c>
      <c r="D84" s="80">
        <v>41860</v>
      </c>
      <c r="E84" s="81">
        <v>1358</v>
      </c>
      <c r="F84" s="76" t="s">
        <v>150</v>
      </c>
      <c r="G84" s="77" t="s">
        <v>152</v>
      </c>
      <c r="H84" s="77" t="s">
        <v>153</v>
      </c>
      <c r="I84" s="86">
        <v>41891</v>
      </c>
      <c r="J84" s="78">
        <v>831</v>
      </c>
      <c r="K84" s="132" t="s">
        <v>20</v>
      </c>
      <c r="L84" s="132" t="s">
        <v>178</v>
      </c>
      <c r="M84" s="132" t="s">
        <v>153</v>
      </c>
      <c r="N84" s="133">
        <v>41841</v>
      </c>
      <c r="O84" s="134">
        <v>1516</v>
      </c>
      <c r="P84" s="132" t="s">
        <v>151</v>
      </c>
      <c r="Q84" s="132" t="s">
        <v>180</v>
      </c>
      <c r="R84" s="132" t="s">
        <v>153</v>
      </c>
      <c r="S84" s="133">
        <v>41866</v>
      </c>
      <c r="T84" s="134">
        <v>1402.5</v>
      </c>
      <c r="U84" s="132" t="s">
        <v>154</v>
      </c>
      <c r="V84" s="132" t="s">
        <v>155</v>
      </c>
      <c r="W84" s="132" t="s">
        <v>153</v>
      </c>
      <c r="X84" s="133">
        <v>41788</v>
      </c>
      <c r="Y84" s="134">
        <v>570</v>
      </c>
    </row>
    <row r="85" spans="1:25" x14ac:dyDescent="0.25">
      <c r="A85" s="79" t="s">
        <v>148</v>
      </c>
      <c r="B85" s="12" t="s">
        <v>178</v>
      </c>
      <c r="C85" s="12" t="s">
        <v>153</v>
      </c>
      <c r="D85" s="80">
        <v>41861</v>
      </c>
      <c r="E85" s="81">
        <v>771</v>
      </c>
      <c r="F85" s="76" t="s">
        <v>150</v>
      </c>
      <c r="G85" s="77" t="s">
        <v>152</v>
      </c>
      <c r="H85" s="77" t="s">
        <v>153</v>
      </c>
      <c r="I85" s="86">
        <v>41891</v>
      </c>
      <c r="J85" s="78">
        <v>459</v>
      </c>
      <c r="K85" s="132" t="s">
        <v>20</v>
      </c>
      <c r="L85" s="132" t="s">
        <v>178</v>
      </c>
      <c r="M85" s="132" t="s">
        <v>153</v>
      </c>
      <c r="N85" s="133">
        <v>41854</v>
      </c>
      <c r="O85" s="134">
        <v>1287</v>
      </c>
      <c r="P85" s="132" t="s">
        <v>151</v>
      </c>
      <c r="Q85" s="132" t="s">
        <v>180</v>
      </c>
      <c r="R85" s="132" t="s">
        <v>153</v>
      </c>
      <c r="S85" s="133">
        <v>41869</v>
      </c>
      <c r="T85" s="134">
        <v>578.79999999999995</v>
      </c>
      <c r="U85" s="132" t="s">
        <v>154</v>
      </c>
      <c r="V85" s="132" t="s">
        <v>155</v>
      </c>
      <c r="W85" s="132" t="s">
        <v>153</v>
      </c>
      <c r="X85" s="133">
        <v>41789</v>
      </c>
      <c r="Y85" s="134">
        <v>631</v>
      </c>
    </row>
    <row r="86" spans="1:25" x14ac:dyDescent="0.25">
      <c r="A86" s="79" t="s">
        <v>148</v>
      </c>
      <c r="B86" s="12" t="s">
        <v>178</v>
      </c>
      <c r="C86" s="12" t="s">
        <v>153</v>
      </c>
      <c r="D86" s="80">
        <v>41862</v>
      </c>
      <c r="E86" s="81">
        <v>800</v>
      </c>
      <c r="F86" s="76" t="s">
        <v>150</v>
      </c>
      <c r="G86" s="77" t="s">
        <v>152</v>
      </c>
      <c r="H86" s="77" t="s">
        <v>153</v>
      </c>
      <c r="I86" s="86">
        <v>41893</v>
      </c>
      <c r="J86" s="78">
        <v>739</v>
      </c>
      <c r="K86" s="132" t="s">
        <v>20</v>
      </c>
      <c r="L86" s="132" t="s">
        <v>178</v>
      </c>
      <c r="M86" s="132" t="s">
        <v>153</v>
      </c>
      <c r="N86" s="133">
        <v>41929</v>
      </c>
      <c r="O86" s="134">
        <v>1412</v>
      </c>
      <c r="P86" s="132" t="s">
        <v>151</v>
      </c>
      <c r="Q86" s="132" t="s">
        <v>180</v>
      </c>
      <c r="R86" s="132" t="s">
        <v>153</v>
      </c>
      <c r="S86" s="133">
        <v>41948</v>
      </c>
      <c r="T86" s="134">
        <v>621.9</v>
      </c>
      <c r="U86" s="132" t="s">
        <v>154</v>
      </c>
      <c r="V86" s="132" t="s">
        <v>155</v>
      </c>
      <c r="W86" s="132" t="s">
        <v>153</v>
      </c>
      <c r="X86" s="133">
        <v>41791</v>
      </c>
      <c r="Y86" s="134">
        <v>377</v>
      </c>
    </row>
    <row r="87" spans="1:25" x14ac:dyDescent="0.25">
      <c r="A87" s="79" t="s">
        <v>148</v>
      </c>
      <c r="B87" s="12" t="s">
        <v>178</v>
      </c>
      <c r="C87" s="12" t="s">
        <v>153</v>
      </c>
      <c r="D87" s="80">
        <v>41863</v>
      </c>
      <c r="E87" s="81">
        <v>1060</v>
      </c>
      <c r="F87" s="76" t="s">
        <v>150</v>
      </c>
      <c r="G87" s="77" t="s">
        <v>152</v>
      </c>
      <c r="H87" s="77" t="s">
        <v>153</v>
      </c>
      <c r="I87" s="86">
        <v>41894</v>
      </c>
      <c r="J87" s="78">
        <v>759</v>
      </c>
      <c r="K87" s="132" t="s">
        <v>20</v>
      </c>
      <c r="L87" s="132" t="s">
        <v>178</v>
      </c>
      <c r="M87" s="132" t="s">
        <v>153</v>
      </c>
      <c r="N87" s="133">
        <v>41947</v>
      </c>
      <c r="O87" s="134">
        <v>691</v>
      </c>
      <c r="P87" s="132" t="s">
        <v>151</v>
      </c>
      <c r="Q87" s="132" t="s">
        <v>180</v>
      </c>
      <c r="R87" s="132" t="s">
        <v>153</v>
      </c>
      <c r="S87" s="133">
        <v>41949</v>
      </c>
      <c r="T87" s="134">
        <v>788.6</v>
      </c>
      <c r="U87" s="132" t="s">
        <v>154</v>
      </c>
      <c r="V87" s="132" t="s">
        <v>155</v>
      </c>
      <c r="W87" s="132" t="s">
        <v>153</v>
      </c>
      <c r="X87" s="133">
        <v>41792</v>
      </c>
      <c r="Y87" s="134">
        <v>1085</v>
      </c>
    </row>
    <row r="88" spans="1:25" x14ac:dyDescent="0.25">
      <c r="A88" s="79" t="s">
        <v>148</v>
      </c>
      <c r="B88" s="12" t="s">
        <v>178</v>
      </c>
      <c r="C88" s="12" t="s">
        <v>153</v>
      </c>
      <c r="D88" s="80">
        <v>41865</v>
      </c>
      <c r="E88" s="81">
        <v>900</v>
      </c>
      <c r="F88" s="76" t="s">
        <v>150</v>
      </c>
      <c r="G88" s="77" t="s">
        <v>152</v>
      </c>
      <c r="H88" s="77" t="s">
        <v>153</v>
      </c>
      <c r="I88" s="86">
        <v>41898</v>
      </c>
      <c r="J88" s="78">
        <v>983</v>
      </c>
      <c r="K88" s="132" t="s">
        <v>20</v>
      </c>
      <c r="L88" s="132" t="s">
        <v>178</v>
      </c>
      <c r="M88" s="132" t="s">
        <v>153</v>
      </c>
      <c r="N88" s="133">
        <v>41978</v>
      </c>
      <c r="O88" s="134">
        <v>633</v>
      </c>
      <c r="P88" s="132" t="s">
        <v>151</v>
      </c>
      <c r="Q88" s="132" t="s">
        <v>180</v>
      </c>
      <c r="R88" s="132" t="s">
        <v>153</v>
      </c>
      <c r="S88" s="133">
        <v>41950</v>
      </c>
      <c r="T88" s="134">
        <v>751.3</v>
      </c>
      <c r="U88" s="132" t="s">
        <v>154</v>
      </c>
      <c r="V88" s="132" t="s">
        <v>155</v>
      </c>
      <c r="W88" s="132" t="s">
        <v>153</v>
      </c>
      <c r="X88" s="133">
        <v>41793</v>
      </c>
      <c r="Y88" s="134">
        <v>900</v>
      </c>
    </row>
    <row r="89" spans="1:25" x14ac:dyDescent="0.25">
      <c r="A89" s="79" t="s">
        <v>148</v>
      </c>
      <c r="B89" s="12" t="s">
        <v>178</v>
      </c>
      <c r="C89" s="12" t="s">
        <v>153</v>
      </c>
      <c r="D89" s="80">
        <v>41865</v>
      </c>
      <c r="E89" s="81">
        <v>1431</v>
      </c>
      <c r="F89" s="76" t="s">
        <v>150</v>
      </c>
      <c r="G89" s="77" t="s">
        <v>152</v>
      </c>
      <c r="H89" s="77" t="s">
        <v>153</v>
      </c>
      <c r="I89" s="86">
        <v>41899</v>
      </c>
      <c r="J89" s="78">
        <v>887</v>
      </c>
      <c r="K89" s="132" t="s">
        <v>20</v>
      </c>
      <c r="L89" s="132" t="s">
        <v>178</v>
      </c>
      <c r="M89" s="132" t="s">
        <v>153</v>
      </c>
      <c r="N89" s="133">
        <v>41981</v>
      </c>
      <c r="O89" s="134">
        <v>1067</v>
      </c>
      <c r="P89" s="132" t="s">
        <v>151</v>
      </c>
      <c r="Q89" s="132" t="s">
        <v>180</v>
      </c>
      <c r="R89" s="132" t="s">
        <v>153</v>
      </c>
      <c r="S89" s="133">
        <v>41953</v>
      </c>
      <c r="T89" s="134">
        <v>377.1</v>
      </c>
      <c r="U89" s="132" t="s">
        <v>154</v>
      </c>
      <c r="V89" s="132" t="s">
        <v>155</v>
      </c>
      <c r="W89" s="132" t="s">
        <v>153</v>
      </c>
      <c r="X89" s="133">
        <v>41794</v>
      </c>
      <c r="Y89" s="134">
        <v>875</v>
      </c>
    </row>
    <row r="90" spans="1:25" x14ac:dyDescent="0.25">
      <c r="A90" s="79" t="s">
        <v>148</v>
      </c>
      <c r="B90" s="12" t="s">
        <v>178</v>
      </c>
      <c r="C90" s="12" t="s">
        <v>153</v>
      </c>
      <c r="D90" s="80">
        <v>41866</v>
      </c>
      <c r="E90" s="81">
        <v>250</v>
      </c>
      <c r="F90" s="76" t="s">
        <v>150</v>
      </c>
      <c r="G90" s="77" t="s">
        <v>152</v>
      </c>
      <c r="H90" s="77" t="s">
        <v>153</v>
      </c>
      <c r="I90" s="86">
        <v>41900</v>
      </c>
      <c r="J90" s="78">
        <v>821</v>
      </c>
      <c r="K90" s="132" t="s">
        <v>20</v>
      </c>
      <c r="L90" s="132" t="s">
        <v>178</v>
      </c>
      <c r="M90" s="132" t="s">
        <v>153</v>
      </c>
      <c r="N90" s="133">
        <v>41985</v>
      </c>
      <c r="O90" s="134">
        <v>1029</v>
      </c>
      <c r="P90" s="132" t="s">
        <v>151</v>
      </c>
      <c r="Q90" s="132" t="s">
        <v>180</v>
      </c>
      <c r="R90" s="132" t="s">
        <v>153</v>
      </c>
      <c r="S90" s="133">
        <v>41955</v>
      </c>
      <c r="T90" s="134">
        <v>1156.9000000000001</v>
      </c>
      <c r="U90" s="132" t="s">
        <v>154</v>
      </c>
      <c r="V90" s="132" t="s">
        <v>155</v>
      </c>
      <c r="W90" s="132" t="s">
        <v>153</v>
      </c>
      <c r="X90" s="133">
        <v>41795</v>
      </c>
      <c r="Y90" s="134">
        <v>837</v>
      </c>
    </row>
    <row r="91" spans="1:25" x14ac:dyDescent="0.25">
      <c r="A91" s="79" t="s">
        <v>148</v>
      </c>
      <c r="B91" s="12" t="s">
        <v>178</v>
      </c>
      <c r="C91" s="12" t="s">
        <v>153</v>
      </c>
      <c r="D91" s="80">
        <v>41867</v>
      </c>
      <c r="E91" s="81">
        <v>1242</v>
      </c>
      <c r="F91" s="76" t="s">
        <v>150</v>
      </c>
      <c r="G91" s="77" t="s">
        <v>165</v>
      </c>
      <c r="H91" s="77" t="s">
        <v>153</v>
      </c>
      <c r="I91" s="86">
        <v>41866</v>
      </c>
      <c r="J91" s="78">
        <v>1166</v>
      </c>
      <c r="K91" s="132" t="s">
        <v>20</v>
      </c>
      <c r="L91" s="132" t="s">
        <v>178</v>
      </c>
      <c r="M91" s="132" t="s">
        <v>153</v>
      </c>
      <c r="N91" s="133">
        <v>41986</v>
      </c>
      <c r="O91" s="134">
        <v>1109</v>
      </c>
      <c r="P91" s="132" t="s">
        <v>151</v>
      </c>
      <c r="Q91" s="132" t="s">
        <v>180</v>
      </c>
      <c r="R91" s="132" t="s">
        <v>153</v>
      </c>
      <c r="S91" s="133">
        <v>41956</v>
      </c>
      <c r="T91" s="134">
        <v>715.7</v>
      </c>
      <c r="U91" s="132" t="s">
        <v>154</v>
      </c>
      <c r="V91" s="132" t="s">
        <v>155</v>
      </c>
      <c r="W91" s="132" t="s">
        <v>153</v>
      </c>
      <c r="X91" s="133">
        <v>41796</v>
      </c>
      <c r="Y91" s="134">
        <v>877</v>
      </c>
    </row>
    <row r="92" spans="1:25" x14ac:dyDescent="0.25">
      <c r="A92" s="79" t="s">
        <v>148</v>
      </c>
      <c r="B92" s="12" t="s">
        <v>178</v>
      </c>
      <c r="C92" s="12" t="s">
        <v>153</v>
      </c>
      <c r="D92" s="80">
        <v>41868</v>
      </c>
      <c r="E92" s="81">
        <v>651</v>
      </c>
      <c r="F92" s="76" t="s">
        <v>150</v>
      </c>
      <c r="G92" s="77" t="s">
        <v>155</v>
      </c>
      <c r="H92" s="77" t="s">
        <v>153</v>
      </c>
      <c r="I92" s="86">
        <v>41661</v>
      </c>
      <c r="J92" s="78">
        <v>881</v>
      </c>
      <c r="K92" s="132" t="s">
        <v>20</v>
      </c>
      <c r="L92" s="132" t="s">
        <v>178</v>
      </c>
      <c r="M92" s="132" t="s">
        <v>153</v>
      </c>
      <c r="N92" s="133">
        <v>42000</v>
      </c>
      <c r="O92" s="134">
        <v>1203</v>
      </c>
      <c r="P92" s="132" t="s">
        <v>151</v>
      </c>
      <c r="Q92" s="132" t="s">
        <v>180</v>
      </c>
      <c r="R92" s="132" t="s">
        <v>153</v>
      </c>
      <c r="S92" s="133">
        <v>41957</v>
      </c>
      <c r="T92" s="134">
        <v>661.9</v>
      </c>
      <c r="U92" s="132" t="s">
        <v>154</v>
      </c>
      <c r="V92" s="132" t="s">
        <v>155</v>
      </c>
      <c r="W92" s="132" t="s">
        <v>153</v>
      </c>
      <c r="X92" s="133">
        <v>41799</v>
      </c>
      <c r="Y92" s="134">
        <v>1114</v>
      </c>
    </row>
    <row r="93" spans="1:25" x14ac:dyDescent="0.25">
      <c r="A93" s="79" t="s">
        <v>148</v>
      </c>
      <c r="B93" s="12" t="s">
        <v>178</v>
      </c>
      <c r="C93" s="12" t="s">
        <v>153</v>
      </c>
      <c r="D93" s="80">
        <v>41869</v>
      </c>
      <c r="E93" s="81">
        <v>770</v>
      </c>
      <c r="F93" s="76" t="s">
        <v>150</v>
      </c>
      <c r="G93" s="77" t="s">
        <v>155</v>
      </c>
      <c r="H93" s="77" t="s">
        <v>153</v>
      </c>
      <c r="I93" s="86">
        <v>41661</v>
      </c>
      <c r="J93" s="78">
        <v>1276</v>
      </c>
      <c r="K93" s="132" t="s">
        <v>20</v>
      </c>
      <c r="L93" s="132" t="s">
        <v>179</v>
      </c>
      <c r="M93" s="132" t="s">
        <v>153</v>
      </c>
      <c r="N93" s="133">
        <v>41672</v>
      </c>
      <c r="O93" s="134">
        <v>721</v>
      </c>
      <c r="P93" s="132" t="s">
        <v>151</v>
      </c>
      <c r="Q93" s="132" t="s">
        <v>180</v>
      </c>
      <c r="R93" s="132" t="s">
        <v>153</v>
      </c>
      <c r="S93" s="133">
        <v>41960</v>
      </c>
      <c r="T93" s="134">
        <v>510</v>
      </c>
      <c r="U93" s="132" t="s">
        <v>154</v>
      </c>
      <c r="V93" s="132" t="s">
        <v>155</v>
      </c>
      <c r="W93" s="132" t="s">
        <v>153</v>
      </c>
      <c r="X93" s="133">
        <v>41807</v>
      </c>
      <c r="Y93" s="134">
        <v>940</v>
      </c>
    </row>
    <row r="94" spans="1:25" x14ac:dyDescent="0.25">
      <c r="A94" s="79" t="s">
        <v>148</v>
      </c>
      <c r="B94" s="12" t="s">
        <v>178</v>
      </c>
      <c r="C94" s="12" t="s">
        <v>153</v>
      </c>
      <c r="D94" s="80">
        <v>41870</v>
      </c>
      <c r="E94" s="81">
        <v>900</v>
      </c>
      <c r="F94" s="76" t="s">
        <v>150</v>
      </c>
      <c r="G94" s="77" t="s">
        <v>155</v>
      </c>
      <c r="H94" s="77" t="s">
        <v>153</v>
      </c>
      <c r="I94" s="86">
        <v>41662</v>
      </c>
      <c r="J94" s="78">
        <v>1163</v>
      </c>
      <c r="K94" s="132" t="s">
        <v>20</v>
      </c>
      <c r="L94" s="132" t="s">
        <v>179</v>
      </c>
      <c r="M94" s="132" t="s">
        <v>153</v>
      </c>
      <c r="N94" s="133">
        <v>41698</v>
      </c>
      <c r="O94" s="134">
        <v>1361</v>
      </c>
      <c r="P94" s="132" t="s">
        <v>151</v>
      </c>
      <c r="Q94" s="132" t="s">
        <v>180</v>
      </c>
      <c r="R94" s="132" t="s">
        <v>153</v>
      </c>
      <c r="S94" s="133">
        <v>41962</v>
      </c>
      <c r="T94" s="134">
        <v>1222.4000000000001</v>
      </c>
      <c r="U94" s="132" t="s">
        <v>154</v>
      </c>
      <c r="V94" s="132" t="s">
        <v>155</v>
      </c>
      <c r="W94" s="132" t="s">
        <v>153</v>
      </c>
      <c r="X94" s="133">
        <v>41830</v>
      </c>
      <c r="Y94" s="134">
        <v>635</v>
      </c>
    </row>
    <row r="95" spans="1:25" x14ac:dyDescent="0.25">
      <c r="A95" s="79" t="s">
        <v>148</v>
      </c>
      <c r="B95" s="12" t="s">
        <v>178</v>
      </c>
      <c r="C95" s="12" t="s">
        <v>153</v>
      </c>
      <c r="D95" s="80">
        <v>41871</v>
      </c>
      <c r="E95" s="81">
        <v>1000</v>
      </c>
      <c r="F95" s="76" t="s">
        <v>150</v>
      </c>
      <c r="G95" s="77" t="s">
        <v>155</v>
      </c>
      <c r="H95" s="77" t="s">
        <v>153</v>
      </c>
      <c r="I95" s="86">
        <v>41663</v>
      </c>
      <c r="J95" s="78">
        <v>1191</v>
      </c>
      <c r="K95" s="132" t="s">
        <v>20</v>
      </c>
      <c r="L95" s="132" t="s">
        <v>179</v>
      </c>
      <c r="M95" s="132" t="s">
        <v>153</v>
      </c>
      <c r="N95" s="133">
        <v>41714</v>
      </c>
      <c r="O95" s="134">
        <v>1054</v>
      </c>
      <c r="P95" s="132" t="s">
        <v>151</v>
      </c>
      <c r="Q95" s="132" t="s">
        <v>180</v>
      </c>
      <c r="R95" s="132" t="s">
        <v>153</v>
      </c>
      <c r="S95" s="133">
        <v>41963</v>
      </c>
      <c r="T95" s="134">
        <v>630.29999999999995</v>
      </c>
      <c r="U95" s="132" t="s">
        <v>154</v>
      </c>
      <c r="V95" s="132" t="s">
        <v>175</v>
      </c>
      <c r="W95" s="132" t="s">
        <v>153</v>
      </c>
      <c r="X95" s="133">
        <v>41635</v>
      </c>
      <c r="Y95" s="134">
        <v>555</v>
      </c>
    </row>
    <row r="96" spans="1:25" x14ac:dyDescent="0.25">
      <c r="A96" s="79" t="s">
        <v>148</v>
      </c>
      <c r="B96" s="12" t="s">
        <v>178</v>
      </c>
      <c r="C96" s="12" t="s">
        <v>153</v>
      </c>
      <c r="D96" s="80">
        <v>41872</v>
      </c>
      <c r="E96" s="81">
        <v>740</v>
      </c>
      <c r="F96" s="76" t="s">
        <v>150</v>
      </c>
      <c r="G96" s="77" t="s">
        <v>155</v>
      </c>
      <c r="H96" s="77" t="s">
        <v>153</v>
      </c>
      <c r="I96" s="86">
        <v>41666</v>
      </c>
      <c r="J96" s="78">
        <v>1835</v>
      </c>
      <c r="K96" s="132" t="s">
        <v>20</v>
      </c>
      <c r="L96" s="132" t="s">
        <v>179</v>
      </c>
      <c r="M96" s="132" t="s">
        <v>153</v>
      </c>
      <c r="N96" s="133">
        <v>41716</v>
      </c>
      <c r="O96" s="134">
        <v>431</v>
      </c>
      <c r="P96" s="132" t="s">
        <v>151</v>
      </c>
      <c r="Q96" s="132" t="s">
        <v>180</v>
      </c>
      <c r="R96" s="132" t="s">
        <v>153</v>
      </c>
      <c r="S96" s="133">
        <v>41964</v>
      </c>
      <c r="T96" s="134">
        <v>875.2</v>
      </c>
      <c r="U96" s="132" t="s">
        <v>154</v>
      </c>
      <c r="V96" s="132" t="s">
        <v>175</v>
      </c>
      <c r="W96" s="132" t="s">
        <v>153</v>
      </c>
      <c r="X96" s="133">
        <v>41636</v>
      </c>
      <c r="Y96" s="134">
        <v>430</v>
      </c>
    </row>
    <row r="97" spans="1:25" x14ac:dyDescent="0.25">
      <c r="A97" s="79" t="s">
        <v>148</v>
      </c>
      <c r="B97" s="12" t="s">
        <v>178</v>
      </c>
      <c r="C97" s="12" t="s">
        <v>153</v>
      </c>
      <c r="D97" s="80">
        <v>41873</v>
      </c>
      <c r="E97" s="81">
        <v>880</v>
      </c>
      <c r="F97" s="76" t="s">
        <v>150</v>
      </c>
      <c r="G97" s="77" t="s">
        <v>155</v>
      </c>
      <c r="H97" s="77" t="s">
        <v>153</v>
      </c>
      <c r="I97" s="86">
        <v>41668</v>
      </c>
      <c r="J97" s="78">
        <v>868</v>
      </c>
      <c r="K97" s="132" t="s">
        <v>20</v>
      </c>
      <c r="L97" s="132" t="s">
        <v>179</v>
      </c>
      <c r="M97" s="132" t="s">
        <v>153</v>
      </c>
      <c r="N97" s="133">
        <v>41717</v>
      </c>
      <c r="O97" s="134">
        <v>375</v>
      </c>
      <c r="P97" s="132" t="s">
        <v>151</v>
      </c>
      <c r="Q97" s="132" t="s">
        <v>180</v>
      </c>
      <c r="R97" s="132" t="s">
        <v>153</v>
      </c>
      <c r="S97" s="133">
        <v>41967</v>
      </c>
      <c r="T97" s="134">
        <v>739.2</v>
      </c>
      <c r="U97" s="132" t="s">
        <v>154</v>
      </c>
      <c r="V97" s="132" t="s">
        <v>175</v>
      </c>
      <c r="W97" s="132" t="s">
        <v>153</v>
      </c>
      <c r="X97" s="133">
        <v>41637</v>
      </c>
      <c r="Y97" s="134">
        <v>933</v>
      </c>
    </row>
    <row r="98" spans="1:25" x14ac:dyDescent="0.25">
      <c r="A98" s="79" t="s">
        <v>148</v>
      </c>
      <c r="B98" s="12" t="s">
        <v>178</v>
      </c>
      <c r="C98" s="12" t="s">
        <v>153</v>
      </c>
      <c r="D98" s="80">
        <v>41874</v>
      </c>
      <c r="E98" s="81">
        <v>500</v>
      </c>
      <c r="F98" s="76" t="s">
        <v>150</v>
      </c>
      <c r="G98" s="77" t="s">
        <v>155</v>
      </c>
      <c r="H98" s="77" t="s">
        <v>153</v>
      </c>
      <c r="I98" s="86">
        <v>41669</v>
      </c>
      <c r="J98" s="78">
        <v>644</v>
      </c>
      <c r="K98" s="132" t="s">
        <v>20</v>
      </c>
      <c r="L98" s="132" t="s">
        <v>179</v>
      </c>
      <c r="M98" s="132" t="s">
        <v>153</v>
      </c>
      <c r="N98" s="133">
        <v>41729</v>
      </c>
      <c r="O98" s="134">
        <v>1242</v>
      </c>
      <c r="P98" s="132" t="s">
        <v>151</v>
      </c>
      <c r="Q98" s="132" t="s">
        <v>180</v>
      </c>
      <c r="R98" s="132" t="s">
        <v>153</v>
      </c>
      <c r="S98" s="133">
        <v>41968</v>
      </c>
      <c r="T98" s="134">
        <v>575.6</v>
      </c>
      <c r="U98" s="132" t="s">
        <v>154</v>
      </c>
      <c r="V98" s="132" t="s">
        <v>175</v>
      </c>
      <c r="W98" s="132" t="s">
        <v>153</v>
      </c>
      <c r="X98" s="133">
        <v>41637</v>
      </c>
      <c r="Y98" s="134">
        <v>265</v>
      </c>
    </row>
    <row r="99" spans="1:25" x14ac:dyDescent="0.25">
      <c r="A99" s="79" t="s">
        <v>148</v>
      </c>
      <c r="B99" s="12" t="s">
        <v>178</v>
      </c>
      <c r="C99" s="12" t="s">
        <v>153</v>
      </c>
      <c r="D99" s="80">
        <v>41875</v>
      </c>
      <c r="E99" s="81">
        <v>900</v>
      </c>
      <c r="F99" s="76" t="s">
        <v>150</v>
      </c>
      <c r="G99" s="77" t="s">
        <v>155</v>
      </c>
      <c r="H99" s="77" t="s">
        <v>153</v>
      </c>
      <c r="I99" s="86">
        <v>41670</v>
      </c>
      <c r="J99" s="78">
        <v>578</v>
      </c>
      <c r="K99" s="132" t="s">
        <v>20</v>
      </c>
      <c r="L99" s="132" t="s">
        <v>179</v>
      </c>
      <c r="M99" s="132" t="s">
        <v>153</v>
      </c>
      <c r="N99" s="133">
        <v>41784</v>
      </c>
      <c r="O99" s="134">
        <v>1347</v>
      </c>
      <c r="P99" s="132" t="s">
        <v>151</v>
      </c>
      <c r="Q99" s="132" t="s">
        <v>180</v>
      </c>
      <c r="R99" s="132" t="s">
        <v>153</v>
      </c>
      <c r="S99" s="133">
        <v>41971</v>
      </c>
      <c r="T99" s="134">
        <v>1071.4000000000001</v>
      </c>
      <c r="U99" s="132" t="s">
        <v>154</v>
      </c>
      <c r="V99" s="132" t="s">
        <v>175</v>
      </c>
      <c r="W99" s="132" t="s">
        <v>153</v>
      </c>
      <c r="X99" s="133">
        <v>41638</v>
      </c>
      <c r="Y99" s="134">
        <v>610</v>
      </c>
    </row>
    <row r="100" spans="1:25" x14ac:dyDescent="0.25">
      <c r="A100" s="79" t="s">
        <v>148</v>
      </c>
      <c r="B100" s="12" t="s">
        <v>178</v>
      </c>
      <c r="C100" s="12" t="s">
        <v>153</v>
      </c>
      <c r="D100" s="80">
        <v>41876</v>
      </c>
      <c r="E100" s="81">
        <v>800</v>
      </c>
      <c r="F100" s="76" t="s">
        <v>150</v>
      </c>
      <c r="G100" s="77" t="s">
        <v>155</v>
      </c>
      <c r="H100" s="77" t="s">
        <v>153</v>
      </c>
      <c r="I100" s="86">
        <v>41672</v>
      </c>
      <c r="J100" s="78">
        <v>1079</v>
      </c>
      <c r="K100" s="132" t="s">
        <v>20</v>
      </c>
      <c r="L100" s="132" t="s">
        <v>179</v>
      </c>
      <c r="M100" s="132" t="s">
        <v>153</v>
      </c>
      <c r="N100" s="133">
        <v>41851</v>
      </c>
      <c r="O100" s="134">
        <v>668</v>
      </c>
      <c r="P100" s="132" t="s">
        <v>151</v>
      </c>
      <c r="Q100" s="132" t="s">
        <v>180</v>
      </c>
      <c r="R100" s="132" t="s">
        <v>153</v>
      </c>
      <c r="S100" s="133">
        <v>41974</v>
      </c>
      <c r="T100" s="134">
        <v>716.9</v>
      </c>
      <c r="U100" s="132" t="s">
        <v>154</v>
      </c>
      <c r="V100" s="132" t="s">
        <v>175</v>
      </c>
      <c r="W100" s="132" t="s">
        <v>153</v>
      </c>
      <c r="X100" s="133">
        <v>41639</v>
      </c>
      <c r="Y100" s="134">
        <v>777</v>
      </c>
    </row>
    <row r="101" spans="1:25" x14ac:dyDescent="0.25">
      <c r="A101" s="79" t="s">
        <v>148</v>
      </c>
      <c r="B101" s="12" t="s">
        <v>178</v>
      </c>
      <c r="C101" s="12" t="s">
        <v>153</v>
      </c>
      <c r="D101" s="80">
        <v>41877</v>
      </c>
      <c r="E101" s="81">
        <v>980</v>
      </c>
      <c r="F101" s="76" t="s">
        <v>150</v>
      </c>
      <c r="G101" s="77" t="s">
        <v>155</v>
      </c>
      <c r="H101" s="77" t="s">
        <v>153</v>
      </c>
      <c r="I101" s="86">
        <v>41673</v>
      </c>
      <c r="J101" s="78">
        <v>541</v>
      </c>
      <c r="K101" s="132" t="s">
        <v>20</v>
      </c>
      <c r="L101" s="132" t="s">
        <v>179</v>
      </c>
      <c r="M101" s="132" t="s">
        <v>153</v>
      </c>
      <c r="N101" s="133">
        <v>41906</v>
      </c>
      <c r="O101" s="134">
        <v>539</v>
      </c>
      <c r="P101" s="132" t="s">
        <v>151</v>
      </c>
      <c r="Q101" s="132" t="s">
        <v>180</v>
      </c>
      <c r="R101" s="132" t="s">
        <v>153</v>
      </c>
      <c r="S101" s="133">
        <v>41975</v>
      </c>
      <c r="T101" s="134">
        <v>737.2</v>
      </c>
      <c r="U101" s="132" t="s">
        <v>154</v>
      </c>
      <c r="V101" s="132" t="s">
        <v>175</v>
      </c>
      <c r="W101" s="132" t="s">
        <v>153</v>
      </c>
      <c r="X101" s="133">
        <v>41641</v>
      </c>
      <c r="Y101" s="134">
        <v>810</v>
      </c>
    </row>
    <row r="102" spans="1:25" x14ac:dyDescent="0.25">
      <c r="A102" s="79" t="s">
        <v>148</v>
      </c>
      <c r="B102" s="12" t="s">
        <v>178</v>
      </c>
      <c r="C102" s="12" t="s">
        <v>153</v>
      </c>
      <c r="D102" s="80">
        <v>41878</v>
      </c>
      <c r="E102" s="81">
        <v>830</v>
      </c>
      <c r="F102" s="76" t="s">
        <v>150</v>
      </c>
      <c r="G102" s="77" t="s">
        <v>155</v>
      </c>
      <c r="H102" s="77" t="s">
        <v>153</v>
      </c>
      <c r="I102" s="86">
        <v>41675</v>
      </c>
      <c r="J102" s="78">
        <v>1334</v>
      </c>
      <c r="K102" s="132" t="s">
        <v>20</v>
      </c>
      <c r="L102" s="132" t="s">
        <v>179</v>
      </c>
      <c r="M102" s="132" t="s">
        <v>153</v>
      </c>
      <c r="N102" s="133">
        <v>41908</v>
      </c>
      <c r="O102" s="134">
        <v>402</v>
      </c>
      <c r="P102" s="132" t="s">
        <v>151</v>
      </c>
      <c r="Q102" s="132" t="s">
        <v>180</v>
      </c>
      <c r="R102" s="132" t="s">
        <v>153</v>
      </c>
      <c r="S102" s="133">
        <v>41976</v>
      </c>
      <c r="T102" s="134">
        <v>430.3</v>
      </c>
      <c r="U102" s="132" t="s">
        <v>154</v>
      </c>
      <c r="V102" s="132" t="s">
        <v>175</v>
      </c>
      <c r="W102" s="132" t="s">
        <v>153</v>
      </c>
      <c r="X102" s="133">
        <v>41643</v>
      </c>
      <c r="Y102" s="134">
        <v>885</v>
      </c>
    </row>
    <row r="103" spans="1:25" x14ac:dyDescent="0.25">
      <c r="A103" s="79" t="s">
        <v>148</v>
      </c>
      <c r="B103" s="12" t="s">
        <v>178</v>
      </c>
      <c r="C103" s="12" t="s">
        <v>153</v>
      </c>
      <c r="D103" s="80">
        <v>41879</v>
      </c>
      <c r="E103" s="81">
        <v>700</v>
      </c>
      <c r="F103" s="76" t="s">
        <v>150</v>
      </c>
      <c r="G103" s="77" t="s">
        <v>155</v>
      </c>
      <c r="H103" s="77" t="s">
        <v>153</v>
      </c>
      <c r="I103" s="86">
        <v>41676</v>
      </c>
      <c r="J103" s="78">
        <v>749</v>
      </c>
      <c r="K103" s="132" t="s">
        <v>20</v>
      </c>
      <c r="L103" s="132" t="s">
        <v>179</v>
      </c>
      <c r="M103" s="132" t="s">
        <v>153</v>
      </c>
      <c r="N103" s="133">
        <v>41910</v>
      </c>
      <c r="O103" s="134">
        <v>1162</v>
      </c>
      <c r="P103" s="132" t="s">
        <v>151</v>
      </c>
      <c r="Q103" s="132" t="s">
        <v>180</v>
      </c>
      <c r="R103" s="132" t="s">
        <v>153</v>
      </c>
      <c r="S103" s="133">
        <v>41978</v>
      </c>
      <c r="T103" s="134">
        <v>1154.7</v>
      </c>
      <c r="U103" s="132" t="s">
        <v>154</v>
      </c>
      <c r="V103" s="132" t="s">
        <v>175</v>
      </c>
      <c r="W103" s="132" t="s">
        <v>153</v>
      </c>
      <c r="X103" s="133">
        <v>41779</v>
      </c>
      <c r="Y103" s="134">
        <v>411</v>
      </c>
    </row>
    <row r="104" spans="1:25" x14ac:dyDescent="0.25">
      <c r="A104" s="79" t="s">
        <v>148</v>
      </c>
      <c r="B104" s="12" t="s">
        <v>178</v>
      </c>
      <c r="C104" s="12" t="s">
        <v>153</v>
      </c>
      <c r="D104" s="80">
        <v>41880</v>
      </c>
      <c r="E104" s="81">
        <v>900</v>
      </c>
      <c r="F104" s="76" t="s">
        <v>150</v>
      </c>
      <c r="G104" s="77" t="s">
        <v>155</v>
      </c>
      <c r="H104" s="77" t="s">
        <v>153</v>
      </c>
      <c r="I104" s="86">
        <v>41678</v>
      </c>
      <c r="J104" s="78">
        <v>890</v>
      </c>
      <c r="K104" s="132" t="s">
        <v>20</v>
      </c>
      <c r="L104" s="132" t="s">
        <v>179</v>
      </c>
      <c r="M104" s="132" t="s">
        <v>153</v>
      </c>
      <c r="N104" s="133">
        <v>41964</v>
      </c>
      <c r="O104" s="134">
        <v>612</v>
      </c>
      <c r="P104" s="132" t="s">
        <v>151</v>
      </c>
      <c r="Q104" s="132" t="s">
        <v>180</v>
      </c>
      <c r="R104" s="132" t="s">
        <v>153</v>
      </c>
      <c r="S104" s="133">
        <v>41982</v>
      </c>
      <c r="T104" s="134">
        <v>1384.6</v>
      </c>
      <c r="U104" s="132" t="s">
        <v>154</v>
      </c>
      <c r="V104" s="132" t="s">
        <v>175</v>
      </c>
      <c r="W104" s="132" t="s">
        <v>153</v>
      </c>
      <c r="X104" s="133">
        <v>41781</v>
      </c>
      <c r="Y104" s="134">
        <v>950</v>
      </c>
    </row>
    <row r="105" spans="1:25" x14ac:dyDescent="0.25">
      <c r="A105" s="79" t="s">
        <v>148</v>
      </c>
      <c r="B105" s="12" t="s">
        <v>178</v>
      </c>
      <c r="C105" s="12" t="s">
        <v>153</v>
      </c>
      <c r="D105" s="80">
        <v>41881</v>
      </c>
      <c r="E105" s="81">
        <v>1108</v>
      </c>
      <c r="F105" s="76" t="s">
        <v>150</v>
      </c>
      <c r="G105" s="77" t="s">
        <v>155</v>
      </c>
      <c r="H105" s="77" t="s">
        <v>153</v>
      </c>
      <c r="I105" s="86">
        <v>41679</v>
      </c>
      <c r="J105" s="78">
        <v>641</v>
      </c>
      <c r="K105" s="132" t="s">
        <v>20</v>
      </c>
      <c r="L105" s="132" t="s">
        <v>179</v>
      </c>
      <c r="M105" s="132" t="s">
        <v>153</v>
      </c>
      <c r="N105" s="133">
        <v>41968</v>
      </c>
      <c r="O105" s="134">
        <v>870</v>
      </c>
      <c r="P105" s="132" t="s">
        <v>151</v>
      </c>
      <c r="Q105" s="132" t="s">
        <v>180</v>
      </c>
      <c r="R105" s="132" t="s">
        <v>153</v>
      </c>
      <c r="S105" s="133">
        <v>41983</v>
      </c>
      <c r="T105" s="134">
        <v>605.1</v>
      </c>
      <c r="U105" s="132" t="s">
        <v>154</v>
      </c>
      <c r="V105" s="132" t="s">
        <v>175</v>
      </c>
      <c r="W105" s="132" t="s">
        <v>153</v>
      </c>
      <c r="X105" s="133">
        <v>41786</v>
      </c>
      <c r="Y105" s="134">
        <v>886</v>
      </c>
    </row>
    <row r="106" spans="1:25" x14ac:dyDescent="0.25">
      <c r="A106" s="79" t="s">
        <v>148</v>
      </c>
      <c r="B106" s="12" t="s">
        <v>178</v>
      </c>
      <c r="C106" s="12" t="s">
        <v>153</v>
      </c>
      <c r="D106" s="80">
        <v>41882</v>
      </c>
      <c r="E106" s="81">
        <v>618</v>
      </c>
      <c r="F106" s="76" t="s">
        <v>150</v>
      </c>
      <c r="G106" s="77" t="s">
        <v>155</v>
      </c>
      <c r="H106" s="77" t="s">
        <v>153</v>
      </c>
      <c r="I106" s="86">
        <v>41682</v>
      </c>
      <c r="J106" s="78">
        <v>1146</v>
      </c>
      <c r="K106" s="132" t="s">
        <v>20</v>
      </c>
      <c r="L106" s="132" t="s">
        <v>179</v>
      </c>
      <c r="M106" s="132" t="s">
        <v>153</v>
      </c>
      <c r="N106" s="133">
        <v>41968</v>
      </c>
      <c r="O106" s="134">
        <v>1285</v>
      </c>
      <c r="P106" s="132" t="s">
        <v>151</v>
      </c>
      <c r="Q106" s="132" t="s">
        <v>180</v>
      </c>
      <c r="R106" s="132" t="s">
        <v>153</v>
      </c>
      <c r="S106" s="133">
        <v>41984</v>
      </c>
      <c r="T106" s="134">
        <v>699.7</v>
      </c>
      <c r="U106" s="132" t="s">
        <v>154</v>
      </c>
      <c r="V106" s="132" t="s">
        <v>175</v>
      </c>
      <c r="W106" s="132" t="s">
        <v>153</v>
      </c>
      <c r="X106" s="133">
        <v>41788</v>
      </c>
      <c r="Y106" s="134">
        <v>571</v>
      </c>
    </row>
    <row r="107" spans="1:25" x14ac:dyDescent="0.25">
      <c r="A107" s="79" t="s">
        <v>148</v>
      </c>
      <c r="B107" s="12" t="s">
        <v>178</v>
      </c>
      <c r="C107" s="12" t="s">
        <v>153</v>
      </c>
      <c r="D107" s="80">
        <v>41883</v>
      </c>
      <c r="E107" s="81">
        <v>632</v>
      </c>
      <c r="F107" s="76" t="s">
        <v>150</v>
      </c>
      <c r="G107" s="77" t="s">
        <v>155</v>
      </c>
      <c r="H107" s="77" t="s">
        <v>153</v>
      </c>
      <c r="I107" s="86">
        <v>41682</v>
      </c>
      <c r="J107" s="78">
        <v>368</v>
      </c>
      <c r="K107" s="132" t="s">
        <v>20</v>
      </c>
      <c r="L107" s="132" t="s">
        <v>180</v>
      </c>
      <c r="M107" s="132" t="s">
        <v>153</v>
      </c>
      <c r="N107" s="133">
        <v>41668</v>
      </c>
      <c r="O107" s="134">
        <v>901</v>
      </c>
      <c r="P107" s="132" t="s">
        <v>151</v>
      </c>
      <c r="Q107" s="132" t="s">
        <v>180</v>
      </c>
      <c r="R107" s="132" t="s">
        <v>153</v>
      </c>
      <c r="S107" s="133">
        <v>41985</v>
      </c>
      <c r="T107" s="134">
        <v>444.6</v>
      </c>
      <c r="U107" s="132" t="s">
        <v>154</v>
      </c>
      <c r="V107" s="132" t="s">
        <v>175</v>
      </c>
      <c r="W107" s="132" t="s">
        <v>153</v>
      </c>
      <c r="X107" s="133">
        <v>41802</v>
      </c>
      <c r="Y107" s="134">
        <v>150</v>
      </c>
    </row>
    <row r="108" spans="1:25" x14ac:dyDescent="0.25">
      <c r="A108" s="79" t="s">
        <v>148</v>
      </c>
      <c r="B108" s="12" t="s">
        <v>178</v>
      </c>
      <c r="C108" s="12" t="s">
        <v>153</v>
      </c>
      <c r="D108" s="80">
        <v>41884</v>
      </c>
      <c r="E108" s="81">
        <v>760</v>
      </c>
      <c r="F108" s="76" t="s">
        <v>150</v>
      </c>
      <c r="G108" s="77" t="s">
        <v>155</v>
      </c>
      <c r="H108" s="77" t="s">
        <v>153</v>
      </c>
      <c r="I108" s="86">
        <v>41686</v>
      </c>
      <c r="J108" s="78">
        <v>1131</v>
      </c>
      <c r="K108" s="132" t="s">
        <v>20</v>
      </c>
      <c r="L108" s="132" t="s">
        <v>180</v>
      </c>
      <c r="M108" s="132" t="s">
        <v>153</v>
      </c>
      <c r="N108" s="133">
        <v>41688</v>
      </c>
      <c r="O108" s="134">
        <v>1461</v>
      </c>
      <c r="P108" s="132" t="s">
        <v>151</v>
      </c>
      <c r="Q108" s="132" t="s">
        <v>159</v>
      </c>
      <c r="R108" s="132" t="s">
        <v>153</v>
      </c>
      <c r="S108" s="133">
        <v>41709</v>
      </c>
      <c r="T108" s="134">
        <v>380</v>
      </c>
      <c r="U108" s="132" t="s">
        <v>154</v>
      </c>
      <c r="V108" s="132" t="s">
        <v>175</v>
      </c>
      <c r="W108" s="132" t="s">
        <v>153</v>
      </c>
      <c r="X108" s="133">
        <v>41803</v>
      </c>
      <c r="Y108" s="134">
        <v>481</v>
      </c>
    </row>
    <row r="109" spans="1:25" x14ac:dyDescent="0.25">
      <c r="A109" s="79" t="s">
        <v>148</v>
      </c>
      <c r="B109" s="12" t="s">
        <v>178</v>
      </c>
      <c r="C109" s="12" t="s">
        <v>153</v>
      </c>
      <c r="D109" s="80">
        <v>41885</v>
      </c>
      <c r="E109" s="81">
        <v>870</v>
      </c>
      <c r="F109" s="76" t="s">
        <v>150</v>
      </c>
      <c r="G109" s="77" t="s">
        <v>155</v>
      </c>
      <c r="H109" s="77" t="s">
        <v>153</v>
      </c>
      <c r="I109" s="86">
        <v>41687</v>
      </c>
      <c r="J109" s="78">
        <v>978</v>
      </c>
      <c r="K109" s="132" t="s">
        <v>20</v>
      </c>
      <c r="L109" s="132" t="s">
        <v>180</v>
      </c>
      <c r="M109" s="132" t="s">
        <v>153</v>
      </c>
      <c r="N109" s="133">
        <v>41699</v>
      </c>
      <c r="O109" s="134">
        <v>766</v>
      </c>
      <c r="P109" s="132" t="s">
        <v>151</v>
      </c>
      <c r="Q109" s="132" t="s">
        <v>159</v>
      </c>
      <c r="R109" s="132" t="s">
        <v>153</v>
      </c>
      <c r="S109" s="133">
        <v>41737</v>
      </c>
      <c r="T109" s="134">
        <v>666</v>
      </c>
      <c r="U109" s="132" t="s">
        <v>154</v>
      </c>
      <c r="V109" s="132" t="s">
        <v>175</v>
      </c>
      <c r="W109" s="132" t="s">
        <v>153</v>
      </c>
      <c r="X109" s="133">
        <v>41806</v>
      </c>
      <c r="Y109" s="134">
        <v>431</v>
      </c>
    </row>
    <row r="110" spans="1:25" x14ac:dyDescent="0.25">
      <c r="A110" s="79" t="s">
        <v>148</v>
      </c>
      <c r="B110" s="12" t="s">
        <v>178</v>
      </c>
      <c r="C110" s="12" t="s">
        <v>153</v>
      </c>
      <c r="D110" s="80">
        <v>41886</v>
      </c>
      <c r="E110" s="81">
        <v>1022</v>
      </c>
      <c r="F110" s="76" t="s">
        <v>150</v>
      </c>
      <c r="G110" s="77" t="s">
        <v>155</v>
      </c>
      <c r="H110" s="77" t="s">
        <v>153</v>
      </c>
      <c r="I110" s="86">
        <v>41688</v>
      </c>
      <c r="J110" s="78">
        <v>423</v>
      </c>
      <c r="K110" s="132" t="s">
        <v>20</v>
      </c>
      <c r="L110" s="132" t="s">
        <v>180</v>
      </c>
      <c r="M110" s="132" t="s">
        <v>153</v>
      </c>
      <c r="N110" s="133">
        <v>41718</v>
      </c>
      <c r="O110" s="134">
        <v>332</v>
      </c>
      <c r="P110" s="132" t="s">
        <v>151</v>
      </c>
      <c r="Q110" s="132" t="s">
        <v>159</v>
      </c>
      <c r="R110" s="132" t="s">
        <v>153</v>
      </c>
      <c r="S110" s="133">
        <v>41743</v>
      </c>
      <c r="T110" s="134">
        <v>469</v>
      </c>
      <c r="U110" s="132" t="s">
        <v>154</v>
      </c>
      <c r="V110" s="132" t="s">
        <v>175</v>
      </c>
      <c r="W110" s="132" t="s">
        <v>153</v>
      </c>
      <c r="X110" s="133">
        <v>41807</v>
      </c>
      <c r="Y110" s="134">
        <v>451</v>
      </c>
    </row>
    <row r="111" spans="1:25" x14ac:dyDescent="0.25">
      <c r="A111" s="79" t="s">
        <v>148</v>
      </c>
      <c r="B111" s="12" t="s">
        <v>178</v>
      </c>
      <c r="C111" s="12" t="s">
        <v>153</v>
      </c>
      <c r="D111" s="80">
        <v>41887</v>
      </c>
      <c r="E111" s="81">
        <v>853</v>
      </c>
      <c r="F111" s="76" t="s">
        <v>150</v>
      </c>
      <c r="G111" s="77" t="s">
        <v>155</v>
      </c>
      <c r="H111" s="77" t="s">
        <v>153</v>
      </c>
      <c r="I111" s="86">
        <v>41689</v>
      </c>
      <c r="J111" s="78">
        <v>776</v>
      </c>
      <c r="K111" s="132" t="s">
        <v>20</v>
      </c>
      <c r="L111" s="132" t="s">
        <v>180</v>
      </c>
      <c r="M111" s="132" t="s">
        <v>153</v>
      </c>
      <c r="N111" s="133">
        <v>41746</v>
      </c>
      <c r="O111" s="134">
        <v>1209</v>
      </c>
      <c r="P111" s="132" t="s">
        <v>151</v>
      </c>
      <c r="Q111" s="132" t="s">
        <v>159</v>
      </c>
      <c r="R111" s="132" t="s">
        <v>153</v>
      </c>
      <c r="S111" s="133">
        <v>41744</v>
      </c>
      <c r="T111" s="134">
        <v>778.1</v>
      </c>
      <c r="U111" s="132" t="s">
        <v>154</v>
      </c>
      <c r="V111" s="132" t="s">
        <v>175</v>
      </c>
      <c r="W111" s="132" t="s">
        <v>153</v>
      </c>
      <c r="X111" s="133">
        <v>41808</v>
      </c>
      <c r="Y111" s="134">
        <v>641</v>
      </c>
    </row>
    <row r="112" spans="1:25" x14ac:dyDescent="0.25">
      <c r="A112" s="79" t="s">
        <v>148</v>
      </c>
      <c r="B112" s="12" t="s">
        <v>178</v>
      </c>
      <c r="C112" s="12" t="s">
        <v>153</v>
      </c>
      <c r="D112" s="80">
        <v>41888</v>
      </c>
      <c r="E112" s="81">
        <v>400</v>
      </c>
      <c r="F112" s="76" t="s">
        <v>150</v>
      </c>
      <c r="G112" s="77" t="s">
        <v>155</v>
      </c>
      <c r="H112" s="77" t="s">
        <v>153</v>
      </c>
      <c r="I112" s="86">
        <v>41697</v>
      </c>
      <c r="J112" s="78">
        <v>1335</v>
      </c>
      <c r="K112" s="132" t="s">
        <v>20</v>
      </c>
      <c r="L112" s="132" t="s">
        <v>180</v>
      </c>
      <c r="M112" s="132" t="s">
        <v>153</v>
      </c>
      <c r="N112" s="133">
        <v>41781</v>
      </c>
      <c r="O112" s="134">
        <v>366</v>
      </c>
      <c r="P112" s="132" t="s">
        <v>151</v>
      </c>
      <c r="Q112" s="132" t="s">
        <v>159</v>
      </c>
      <c r="R112" s="132" t="s">
        <v>153</v>
      </c>
      <c r="S112" s="133">
        <v>41745</v>
      </c>
      <c r="T112" s="134">
        <v>775.5</v>
      </c>
      <c r="U112" s="132" t="s">
        <v>154</v>
      </c>
      <c r="V112" s="132" t="s">
        <v>175</v>
      </c>
      <c r="W112" s="132" t="s">
        <v>153</v>
      </c>
      <c r="X112" s="133">
        <v>41809</v>
      </c>
      <c r="Y112" s="134">
        <v>630</v>
      </c>
    </row>
    <row r="113" spans="1:25" x14ac:dyDescent="0.25">
      <c r="A113" s="79" t="s">
        <v>148</v>
      </c>
      <c r="B113" s="12" t="s">
        <v>178</v>
      </c>
      <c r="C113" s="12" t="s">
        <v>153</v>
      </c>
      <c r="D113" s="80">
        <v>41889</v>
      </c>
      <c r="E113" s="81">
        <v>860</v>
      </c>
      <c r="F113" s="76" t="s">
        <v>150</v>
      </c>
      <c r="G113" s="77" t="s">
        <v>155</v>
      </c>
      <c r="H113" s="77" t="s">
        <v>153</v>
      </c>
      <c r="I113" s="86">
        <v>41698</v>
      </c>
      <c r="J113" s="78">
        <v>519</v>
      </c>
      <c r="K113" s="132" t="s">
        <v>20</v>
      </c>
      <c r="L113" s="132" t="s">
        <v>180</v>
      </c>
      <c r="M113" s="132" t="s">
        <v>153</v>
      </c>
      <c r="N113" s="133">
        <v>41784</v>
      </c>
      <c r="O113" s="134">
        <v>877</v>
      </c>
      <c r="P113" s="132" t="s">
        <v>151</v>
      </c>
      <c r="Q113" s="132" t="s">
        <v>159</v>
      </c>
      <c r="R113" s="132" t="s">
        <v>153</v>
      </c>
      <c r="S113" s="133">
        <v>41746</v>
      </c>
      <c r="T113" s="134">
        <v>810.8</v>
      </c>
      <c r="U113" s="132" t="s">
        <v>154</v>
      </c>
      <c r="V113" s="132" t="s">
        <v>175</v>
      </c>
      <c r="W113" s="132" t="s">
        <v>153</v>
      </c>
      <c r="X113" s="133">
        <v>41810</v>
      </c>
      <c r="Y113" s="134">
        <v>561</v>
      </c>
    </row>
    <row r="114" spans="1:25" x14ac:dyDescent="0.25">
      <c r="A114" s="79" t="s">
        <v>148</v>
      </c>
      <c r="B114" s="12" t="s">
        <v>178</v>
      </c>
      <c r="C114" s="12" t="s">
        <v>153</v>
      </c>
      <c r="D114" s="80">
        <v>41894</v>
      </c>
      <c r="E114" s="81">
        <v>690</v>
      </c>
      <c r="F114" s="76" t="s">
        <v>150</v>
      </c>
      <c r="G114" s="77" t="s">
        <v>155</v>
      </c>
      <c r="H114" s="77" t="s">
        <v>153</v>
      </c>
      <c r="I114" s="86">
        <v>41701</v>
      </c>
      <c r="J114" s="78">
        <v>1246</v>
      </c>
      <c r="K114" s="132" t="s">
        <v>20</v>
      </c>
      <c r="L114" s="132" t="s">
        <v>180</v>
      </c>
      <c r="M114" s="132" t="s">
        <v>153</v>
      </c>
      <c r="N114" s="133">
        <v>41810</v>
      </c>
      <c r="O114" s="134">
        <v>1558</v>
      </c>
      <c r="P114" s="132" t="s">
        <v>151</v>
      </c>
      <c r="Q114" s="132" t="s">
        <v>159</v>
      </c>
      <c r="R114" s="132" t="s">
        <v>153</v>
      </c>
      <c r="S114" s="133">
        <v>41747</v>
      </c>
      <c r="T114" s="134">
        <v>820.8</v>
      </c>
      <c r="U114" s="132" t="s">
        <v>154</v>
      </c>
      <c r="V114" s="132" t="s">
        <v>175</v>
      </c>
      <c r="W114" s="132" t="s">
        <v>153</v>
      </c>
      <c r="X114" s="133">
        <v>41813</v>
      </c>
      <c r="Y114" s="134">
        <v>666</v>
      </c>
    </row>
    <row r="115" spans="1:25" x14ac:dyDescent="0.25">
      <c r="A115" s="79" t="s">
        <v>148</v>
      </c>
      <c r="B115" s="12" t="s">
        <v>178</v>
      </c>
      <c r="C115" s="12" t="s">
        <v>153</v>
      </c>
      <c r="D115" s="80">
        <v>41895</v>
      </c>
      <c r="E115" s="81">
        <v>1014</v>
      </c>
      <c r="F115" s="76" t="s">
        <v>150</v>
      </c>
      <c r="G115" s="77" t="s">
        <v>155</v>
      </c>
      <c r="H115" s="77" t="s">
        <v>153</v>
      </c>
      <c r="I115" s="86">
        <v>41702</v>
      </c>
      <c r="J115" s="78">
        <v>710</v>
      </c>
      <c r="K115" s="132" t="s">
        <v>20</v>
      </c>
      <c r="L115" s="132" t="s">
        <v>180</v>
      </c>
      <c r="M115" s="132" t="s">
        <v>153</v>
      </c>
      <c r="N115" s="133">
        <v>41822</v>
      </c>
      <c r="O115" s="134">
        <v>624</v>
      </c>
      <c r="P115" s="132" t="s">
        <v>151</v>
      </c>
      <c r="Q115" s="132" t="s">
        <v>159</v>
      </c>
      <c r="R115" s="132" t="s">
        <v>153</v>
      </c>
      <c r="S115" s="133">
        <v>41750</v>
      </c>
      <c r="T115" s="134">
        <v>746.4</v>
      </c>
      <c r="U115" s="132" t="s">
        <v>154</v>
      </c>
      <c r="V115" s="132" t="s">
        <v>175</v>
      </c>
      <c r="W115" s="132" t="s">
        <v>153</v>
      </c>
      <c r="X115" s="133">
        <v>41814</v>
      </c>
      <c r="Y115" s="134">
        <v>1316</v>
      </c>
    </row>
    <row r="116" spans="1:25" x14ac:dyDescent="0.25">
      <c r="A116" s="79" t="s">
        <v>148</v>
      </c>
      <c r="B116" s="12" t="s">
        <v>178</v>
      </c>
      <c r="C116" s="12" t="s">
        <v>153</v>
      </c>
      <c r="D116" s="80">
        <v>41896</v>
      </c>
      <c r="E116" s="81">
        <v>591</v>
      </c>
      <c r="F116" s="76" t="s">
        <v>150</v>
      </c>
      <c r="G116" s="77" t="s">
        <v>155</v>
      </c>
      <c r="H116" s="77" t="s">
        <v>153</v>
      </c>
      <c r="I116" s="86">
        <v>41703</v>
      </c>
      <c r="J116" s="78">
        <v>1344</v>
      </c>
      <c r="K116" s="132" t="s">
        <v>20</v>
      </c>
      <c r="L116" s="132" t="s">
        <v>180</v>
      </c>
      <c r="M116" s="132" t="s">
        <v>153</v>
      </c>
      <c r="N116" s="133">
        <v>41834</v>
      </c>
      <c r="O116" s="134">
        <v>1626</v>
      </c>
      <c r="P116" s="132" t="s">
        <v>151</v>
      </c>
      <c r="Q116" s="132" t="s">
        <v>159</v>
      </c>
      <c r="R116" s="132" t="s">
        <v>153</v>
      </c>
      <c r="S116" s="133">
        <v>41751</v>
      </c>
      <c r="T116" s="134">
        <v>754.5</v>
      </c>
      <c r="U116" s="132" t="s">
        <v>154</v>
      </c>
      <c r="V116" s="132" t="s">
        <v>175</v>
      </c>
      <c r="W116" s="132" t="s">
        <v>153</v>
      </c>
      <c r="X116" s="133">
        <v>41815</v>
      </c>
      <c r="Y116" s="134">
        <v>1075</v>
      </c>
    </row>
    <row r="117" spans="1:25" x14ac:dyDescent="0.25">
      <c r="A117" s="79" t="s">
        <v>148</v>
      </c>
      <c r="B117" s="12" t="s">
        <v>178</v>
      </c>
      <c r="C117" s="12" t="s">
        <v>153</v>
      </c>
      <c r="D117" s="80">
        <v>41898</v>
      </c>
      <c r="E117" s="81">
        <v>700</v>
      </c>
      <c r="F117" s="76" t="s">
        <v>150</v>
      </c>
      <c r="G117" s="77" t="s">
        <v>155</v>
      </c>
      <c r="H117" s="77" t="s">
        <v>153</v>
      </c>
      <c r="I117" s="86">
        <v>41705</v>
      </c>
      <c r="J117" s="78">
        <v>919</v>
      </c>
      <c r="K117" s="132" t="s">
        <v>20</v>
      </c>
      <c r="L117" s="132" t="s">
        <v>180</v>
      </c>
      <c r="M117" s="132" t="s">
        <v>153</v>
      </c>
      <c r="N117" s="133">
        <v>41844</v>
      </c>
      <c r="O117" s="134">
        <v>1018</v>
      </c>
      <c r="P117" s="132" t="s">
        <v>151</v>
      </c>
      <c r="Q117" s="132" t="s">
        <v>159</v>
      </c>
      <c r="R117" s="132" t="s">
        <v>153</v>
      </c>
      <c r="S117" s="133">
        <v>41758</v>
      </c>
      <c r="T117" s="134">
        <v>1108.8</v>
      </c>
      <c r="U117" s="132" t="s">
        <v>154</v>
      </c>
      <c r="V117" s="132" t="s">
        <v>175</v>
      </c>
      <c r="W117" s="132" t="s">
        <v>153</v>
      </c>
      <c r="X117" s="133">
        <v>41816</v>
      </c>
      <c r="Y117" s="134">
        <v>901</v>
      </c>
    </row>
    <row r="118" spans="1:25" x14ac:dyDescent="0.25">
      <c r="A118" s="79" t="s">
        <v>148</v>
      </c>
      <c r="B118" s="12" t="s">
        <v>178</v>
      </c>
      <c r="C118" s="12" t="s">
        <v>153</v>
      </c>
      <c r="D118" s="80">
        <v>41899</v>
      </c>
      <c r="E118" s="81">
        <v>705</v>
      </c>
      <c r="F118" s="76" t="s">
        <v>150</v>
      </c>
      <c r="G118" s="77" t="s">
        <v>155</v>
      </c>
      <c r="H118" s="77" t="s">
        <v>153</v>
      </c>
      <c r="I118" s="86">
        <v>41708</v>
      </c>
      <c r="J118" s="78">
        <v>1002</v>
      </c>
      <c r="K118" s="132" t="s">
        <v>20</v>
      </c>
      <c r="L118" s="132" t="s">
        <v>180</v>
      </c>
      <c r="M118" s="132" t="s">
        <v>153</v>
      </c>
      <c r="N118" s="133">
        <v>41856</v>
      </c>
      <c r="O118" s="134">
        <v>348</v>
      </c>
      <c r="P118" s="132" t="s">
        <v>151</v>
      </c>
      <c r="Q118" s="132" t="s">
        <v>159</v>
      </c>
      <c r="R118" s="132" t="s">
        <v>153</v>
      </c>
      <c r="S118" s="133">
        <v>41764</v>
      </c>
      <c r="T118" s="134">
        <v>906.9</v>
      </c>
      <c r="U118" s="132" t="s">
        <v>154</v>
      </c>
      <c r="V118" s="132" t="s">
        <v>175</v>
      </c>
      <c r="W118" s="132" t="s">
        <v>153</v>
      </c>
      <c r="X118" s="133">
        <v>41817</v>
      </c>
      <c r="Y118" s="134">
        <v>865</v>
      </c>
    </row>
    <row r="119" spans="1:25" x14ac:dyDescent="0.25">
      <c r="A119" s="79" t="s">
        <v>148</v>
      </c>
      <c r="B119" s="12" t="s">
        <v>178</v>
      </c>
      <c r="C119" s="12" t="s">
        <v>153</v>
      </c>
      <c r="D119" s="80">
        <v>41900</v>
      </c>
      <c r="E119" s="81">
        <v>1123</v>
      </c>
      <c r="F119" s="76" t="s">
        <v>150</v>
      </c>
      <c r="G119" s="77" t="s">
        <v>155</v>
      </c>
      <c r="H119" s="77" t="s">
        <v>153</v>
      </c>
      <c r="I119" s="86">
        <v>41710</v>
      </c>
      <c r="J119" s="78">
        <v>651</v>
      </c>
      <c r="K119" s="132" t="s">
        <v>20</v>
      </c>
      <c r="L119" s="132" t="s">
        <v>180</v>
      </c>
      <c r="M119" s="132" t="s">
        <v>153</v>
      </c>
      <c r="N119" s="133">
        <v>41882</v>
      </c>
      <c r="O119" s="134">
        <v>1416</v>
      </c>
      <c r="P119" s="132" t="s">
        <v>151</v>
      </c>
      <c r="Q119" s="132" t="s">
        <v>159</v>
      </c>
      <c r="R119" s="132" t="s">
        <v>153</v>
      </c>
      <c r="S119" s="133">
        <v>41765</v>
      </c>
      <c r="T119" s="134">
        <v>608</v>
      </c>
      <c r="U119" s="132" t="s">
        <v>154</v>
      </c>
      <c r="V119" s="132" t="s">
        <v>175</v>
      </c>
      <c r="W119" s="132" t="s">
        <v>153</v>
      </c>
      <c r="X119" s="133">
        <v>41818</v>
      </c>
      <c r="Y119" s="134">
        <v>442</v>
      </c>
    </row>
    <row r="120" spans="1:25" x14ac:dyDescent="0.25">
      <c r="A120" s="79" t="s">
        <v>148</v>
      </c>
      <c r="B120" s="12" t="s">
        <v>178</v>
      </c>
      <c r="C120" s="12" t="s">
        <v>153</v>
      </c>
      <c r="D120" s="80">
        <v>41901</v>
      </c>
      <c r="E120" s="81">
        <v>884</v>
      </c>
      <c r="F120" s="76" t="s">
        <v>150</v>
      </c>
      <c r="G120" s="77" t="s">
        <v>155</v>
      </c>
      <c r="H120" s="77" t="s">
        <v>153</v>
      </c>
      <c r="I120" s="86">
        <v>41716</v>
      </c>
      <c r="J120" s="78">
        <v>1177</v>
      </c>
      <c r="K120" s="132" t="s">
        <v>20</v>
      </c>
      <c r="L120" s="132" t="s">
        <v>180</v>
      </c>
      <c r="M120" s="132" t="s">
        <v>153</v>
      </c>
      <c r="N120" s="133">
        <v>42001</v>
      </c>
      <c r="O120" s="134">
        <v>968</v>
      </c>
      <c r="P120" s="132" t="s">
        <v>151</v>
      </c>
      <c r="Q120" s="132" t="s">
        <v>159</v>
      </c>
      <c r="R120" s="132" t="s">
        <v>153</v>
      </c>
      <c r="S120" s="133">
        <v>41801</v>
      </c>
      <c r="T120" s="134">
        <v>283</v>
      </c>
      <c r="U120" s="132" t="s">
        <v>154</v>
      </c>
      <c r="V120" s="132" t="s">
        <v>175</v>
      </c>
      <c r="W120" s="132" t="s">
        <v>153</v>
      </c>
      <c r="X120" s="133">
        <v>41819</v>
      </c>
      <c r="Y120" s="134">
        <v>742</v>
      </c>
    </row>
    <row r="121" spans="1:25" x14ac:dyDescent="0.25">
      <c r="A121" s="79" t="s">
        <v>148</v>
      </c>
      <c r="B121" s="12" t="s">
        <v>178</v>
      </c>
      <c r="C121" s="12" t="s">
        <v>153</v>
      </c>
      <c r="D121" s="80">
        <v>41902</v>
      </c>
      <c r="E121" s="81">
        <v>330</v>
      </c>
      <c r="F121" s="76" t="s">
        <v>150</v>
      </c>
      <c r="G121" s="77" t="s">
        <v>155</v>
      </c>
      <c r="H121" s="77" t="s">
        <v>153</v>
      </c>
      <c r="I121" s="86">
        <v>41718</v>
      </c>
      <c r="J121" s="78">
        <v>548</v>
      </c>
      <c r="K121" s="132" t="s">
        <v>20</v>
      </c>
      <c r="L121" s="132" t="s">
        <v>159</v>
      </c>
      <c r="M121" s="132" t="s">
        <v>153</v>
      </c>
      <c r="N121" s="133">
        <v>41657</v>
      </c>
      <c r="O121" s="134">
        <v>1103</v>
      </c>
      <c r="P121" s="132" t="s">
        <v>151</v>
      </c>
      <c r="Q121" s="132" t="s">
        <v>159</v>
      </c>
      <c r="R121" s="132" t="s">
        <v>153</v>
      </c>
      <c r="S121" s="133">
        <v>41802</v>
      </c>
      <c r="T121" s="134">
        <v>620.1</v>
      </c>
      <c r="U121" s="132" t="s">
        <v>154</v>
      </c>
      <c r="V121" s="132" t="s">
        <v>175</v>
      </c>
      <c r="W121" s="132" t="s">
        <v>153</v>
      </c>
      <c r="X121" s="133">
        <v>41819</v>
      </c>
      <c r="Y121" s="134">
        <v>178</v>
      </c>
    </row>
    <row r="122" spans="1:25" x14ac:dyDescent="0.25">
      <c r="A122" s="79" t="s">
        <v>148</v>
      </c>
      <c r="B122" s="12" t="s">
        <v>178</v>
      </c>
      <c r="C122" s="12" t="s">
        <v>153</v>
      </c>
      <c r="D122" s="80">
        <v>41903</v>
      </c>
      <c r="E122" s="81">
        <v>799</v>
      </c>
      <c r="F122" s="76" t="s">
        <v>150</v>
      </c>
      <c r="G122" s="77" t="s">
        <v>155</v>
      </c>
      <c r="H122" s="77" t="s">
        <v>153</v>
      </c>
      <c r="I122" s="86">
        <v>41719</v>
      </c>
      <c r="J122" s="78">
        <v>966</v>
      </c>
      <c r="K122" s="132" t="s">
        <v>20</v>
      </c>
      <c r="L122" s="132" t="s">
        <v>159</v>
      </c>
      <c r="M122" s="132" t="s">
        <v>153</v>
      </c>
      <c r="N122" s="133">
        <v>41673</v>
      </c>
      <c r="O122" s="134">
        <v>363</v>
      </c>
      <c r="P122" s="132" t="s">
        <v>151</v>
      </c>
      <c r="Q122" s="132" t="s">
        <v>159</v>
      </c>
      <c r="R122" s="132" t="s">
        <v>153</v>
      </c>
      <c r="S122" s="133">
        <v>41803</v>
      </c>
      <c r="T122" s="134">
        <v>588.5</v>
      </c>
      <c r="U122" s="132" t="s">
        <v>154</v>
      </c>
      <c r="V122" s="132" t="s">
        <v>175</v>
      </c>
      <c r="W122" s="132" t="s">
        <v>153</v>
      </c>
      <c r="X122" s="133">
        <v>41820</v>
      </c>
      <c r="Y122" s="134">
        <v>710</v>
      </c>
    </row>
    <row r="123" spans="1:25" x14ac:dyDescent="0.25">
      <c r="A123" s="79" t="s">
        <v>148</v>
      </c>
      <c r="B123" s="12" t="s">
        <v>178</v>
      </c>
      <c r="C123" s="12" t="s">
        <v>153</v>
      </c>
      <c r="D123" s="80">
        <v>41904</v>
      </c>
      <c r="E123" s="81">
        <v>1402</v>
      </c>
      <c r="F123" s="76" t="s">
        <v>150</v>
      </c>
      <c r="G123" s="77" t="s">
        <v>155</v>
      </c>
      <c r="H123" s="77" t="s">
        <v>153</v>
      </c>
      <c r="I123" s="86">
        <v>41722</v>
      </c>
      <c r="J123" s="78">
        <v>885</v>
      </c>
      <c r="K123" s="132" t="s">
        <v>20</v>
      </c>
      <c r="L123" s="132" t="s">
        <v>159</v>
      </c>
      <c r="M123" s="132" t="s">
        <v>153</v>
      </c>
      <c r="N123" s="133">
        <v>41713</v>
      </c>
      <c r="O123" s="134">
        <v>567</v>
      </c>
      <c r="P123" s="132" t="s">
        <v>151</v>
      </c>
      <c r="Q123" s="132" t="s">
        <v>159</v>
      </c>
      <c r="R123" s="132" t="s">
        <v>153</v>
      </c>
      <c r="S123" s="133">
        <v>41806</v>
      </c>
      <c r="T123" s="134">
        <v>556.70000000000005</v>
      </c>
      <c r="U123" s="132" t="s">
        <v>154</v>
      </c>
      <c r="V123" s="132" t="s">
        <v>175</v>
      </c>
      <c r="W123" s="132" t="s">
        <v>153</v>
      </c>
      <c r="X123" s="133">
        <v>41821</v>
      </c>
      <c r="Y123" s="134">
        <v>570</v>
      </c>
    </row>
    <row r="124" spans="1:25" x14ac:dyDescent="0.25">
      <c r="A124" s="79" t="s">
        <v>148</v>
      </c>
      <c r="B124" s="12" t="s">
        <v>178</v>
      </c>
      <c r="C124" s="12" t="s">
        <v>153</v>
      </c>
      <c r="D124" s="80">
        <v>41905</v>
      </c>
      <c r="E124" s="81">
        <v>800</v>
      </c>
      <c r="F124" s="76" t="s">
        <v>150</v>
      </c>
      <c r="G124" s="77" t="s">
        <v>155</v>
      </c>
      <c r="H124" s="77" t="s">
        <v>153</v>
      </c>
      <c r="I124" s="86">
        <v>41725</v>
      </c>
      <c r="J124" s="78">
        <v>1119</v>
      </c>
      <c r="K124" s="132" t="s">
        <v>20</v>
      </c>
      <c r="L124" s="132" t="s">
        <v>159</v>
      </c>
      <c r="M124" s="132" t="s">
        <v>153</v>
      </c>
      <c r="N124" s="133">
        <v>41733</v>
      </c>
      <c r="O124" s="134">
        <v>414</v>
      </c>
      <c r="P124" s="132" t="s">
        <v>151</v>
      </c>
      <c r="Q124" s="132" t="s">
        <v>159</v>
      </c>
      <c r="R124" s="132" t="s">
        <v>153</v>
      </c>
      <c r="S124" s="133">
        <v>41807</v>
      </c>
      <c r="T124" s="134">
        <v>781.9</v>
      </c>
      <c r="U124" s="132" t="s">
        <v>154</v>
      </c>
      <c r="V124" s="132" t="s">
        <v>175</v>
      </c>
      <c r="W124" s="132" t="s">
        <v>153</v>
      </c>
      <c r="X124" s="133">
        <v>41822</v>
      </c>
      <c r="Y124" s="134">
        <v>230</v>
      </c>
    </row>
    <row r="125" spans="1:25" x14ac:dyDescent="0.25">
      <c r="A125" s="79" t="s">
        <v>148</v>
      </c>
      <c r="B125" s="12" t="s">
        <v>178</v>
      </c>
      <c r="C125" s="12" t="s">
        <v>153</v>
      </c>
      <c r="D125" s="80">
        <v>41906</v>
      </c>
      <c r="E125" s="81">
        <v>800</v>
      </c>
      <c r="F125" s="76" t="s">
        <v>150</v>
      </c>
      <c r="G125" s="77" t="s">
        <v>155</v>
      </c>
      <c r="H125" s="77" t="s">
        <v>153</v>
      </c>
      <c r="I125" s="86">
        <v>41726</v>
      </c>
      <c r="J125" s="78">
        <v>1015</v>
      </c>
      <c r="K125" s="132" t="s">
        <v>20</v>
      </c>
      <c r="L125" s="132" t="s">
        <v>159</v>
      </c>
      <c r="M125" s="132" t="s">
        <v>153</v>
      </c>
      <c r="N125" s="133">
        <v>41735</v>
      </c>
      <c r="O125" s="134">
        <v>938</v>
      </c>
      <c r="P125" s="132" t="s">
        <v>151</v>
      </c>
      <c r="Q125" s="132" t="s">
        <v>159</v>
      </c>
      <c r="R125" s="132" t="s">
        <v>153</v>
      </c>
      <c r="S125" s="133">
        <v>41830</v>
      </c>
      <c r="T125" s="134">
        <v>361.6</v>
      </c>
      <c r="U125" s="132" t="s">
        <v>154</v>
      </c>
      <c r="V125" s="132" t="s">
        <v>175</v>
      </c>
      <c r="W125" s="132" t="s">
        <v>153</v>
      </c>
      <c r="X125" s="133">
        <v>41834</v>
      </c>
      <c r="Y125" s="134">
        <v>1041</v>
      </c>
    </row>
    <row r="126" spans="1:25" x14ac:dyDescent="0.25">
      <c r="A126" s="79" t="s">
        <v>148</v>
      </c>
      <c r="B126" s="12" t="s">
        <v>178</v>
      </c>
      <c r="C126" s="12" t="s">
        <v>153</v>
      </c>
      <c r="D126" s="80">
        <v>41907</v>
      </c>
      <c r="E126" s="81">
        <v>1046</v>
      </c>
      <c r="F126" s="76" t="s">
        <v>150</v>
      </c>
      <c r="G126" s="77" t="s">
        <v>155</v>
      </c>
      <c r="H126" s="77" t="s">
        <v>153</v>
      </c>
      <c r="I126" s="86">
        <v>41727</v>
      </c>
      <c r="J126" s="78">
        <v>490</v>
      </c>
      <c r="K126" s="132" t="s">
        <v>20</v>
      </c>
      <c r="L126" s="132" t="s">
        <v>159</v>
      </c>
      <c r="M126" s="132" t="s">
        <v>153</v>
      </c>
      <c r="N126" s="133">
        <v>41904</v>
      </c>
      <c r="O126" s="134">
        <v>631</v>
      </c>
      <c r="P126" s="132" t="s">
        <v>151</v>
      </c>
      <c r="Q126" s="132" t="s">
        <v>159</v>
      </c>
      <c r="R126" s="132" t="s">
        <v>153</v>
      </c>
      <c r="S126" s="133">
        <v>41835</v>
      </c>
      <c r="T126" s="134">
        <v>603.5</v>
      </c>
      <c r="U126" s="132" t="s">
        <v>154</v>
      </c>
      <c r="V126" s="132" t="s">
        <v>175</v>
      </c>
      <c r="W126" s="132" t="s">
        <v>153</v>
      </c>
      <c r="X126" s="133">
        <v>41835</v>
      </c>
      <c r="Y126" s="134">
        <v>500</v>
      </c>
    </row>
    <row r="127" spans="1:25" x14ac:dyDescent="0.25">
      <c r="A127" s="79" t="s">
        <v>148</v>
      </c>
      <c r="B127" s="12" t="s">
        <v>178</v>
      </c>
      <c r="C127" s="12" t="s">
        <v>153</v>
      </c>
      <c r="D127" s="80">
        <v>41908</v>
      </c>
      <c r="E127" s="81">
        <v>847</v>
      </c>
      <c r="F127" s="76" t="s">
        <v>150</v>
      </c>
      <c r="G127" s="77" t="s">
        <v>155</v>
      </c>
      <c r="H127" s="77" t="s">
        <v>153</v>
      </c>
      <c r="I127" s="86">
        <v>41728</v>
      </c>
      <c r="J127" s="78">
        <v>923</v>
      </c>
      <c r="K127" s="132" t="s">
        <v>20</v>
      </c>
      <c r="L127" s="132" t="s">
        <v>159</v>
      </c>
      <c r="M127" s="132" t="s">
        <v>153</v>
      </c>
      <c r="N127" s="133">
        <v>41957</v>
      </c>
      <c r="O127" s="134">
        <v>677</v>
      </c>
      <c r="P127" s="132" t="s">
        <v>151</v>
      </c>
      <c r="Q127" s="132" t="s">
        <v>159</v>
      </c>
      <c r="R127" s="132" t="s">
        <v>153</v>
      </c>
      <c r="S127" s="133">
        <v>41836</v>
      </c>
      <c r="T127" s="134">
        <v>841.2</v>
      </c>
      <c r="U127" s="132" t="s">
        <v>154</v>
      </c>
      <c r="V127" s="132" t="s">
        <v>175</v>
      </c>
      <c r="W127" s="132" t="s">
        <v>153</v>
      </c>
      <c r="X127" s="133">
        <v>41836</v>
      </c>
      <c r="Y127" s="134">
        <v>800</v>
      </c>
    </row>
    <row r="128" spans="1:25" x14ac:dyDescent="0.25">
      <c r="A128" s="79" t="s">
        <v>148</v>
      </c>
      <c r="B128" s="12" t="s">
        <v>178</v>
      </c>
      <c r="C128" s="12" t="s">
        <v>153</v>
      </c>
      <c r="D128" s="80">
        <v>41909</v>
      </c>
      <c r="E128" s="81">
        <v>430</v>
      </c>
      <c r="F128" s="76" t="s">
        <v>150</v>
      </c>
      <c r="G128" s="77" t="s">
        <v>155</v>
      </c>
      <c r="H128" s="77" t="s">
        <v>153</v>
      </c>
      <c r="I128" s="86">
        <v>41729</v>
      </c>
      <c r="J128" s="78">
        <v>1014</v>
      </c>
      <c r="K128" s="132" t="s">
        <v>20</v>
      </c>
      <c r="L128" s="132" t="s">
        <v>159</v>
      </c>
      <c r="M128" s="132" t="s">
        <v>153</v>
      </c>
      <c r="N128" s="133">
        <v>41959</v>
      </c>
      <c r="O128" s="134">
        <v>1020</v>
      </c>
      <c r="P128" s="132" t="s">
        <v>151</v>
      </c>
      <c r="Q128" s="132" t="s">
        <v>159</v>
      </c>
      <c r="R128" s="132" t="s">
        <v>153</v>
      </c>
      <c r="S128" s="133">
        <v>41844</v>
      </c>
      <c r="T128" s="134">
        <v>497.8</v>
      </c>
      <c r="U128" s="132" t="s">
        <v>154</v>
      </c>
      <c r="V128" s="132" t="s">
        <v>175</v>
      </c>
      <c r="W128" s="132" t="s">
        <v>153</v>
      </c>
      <c r="X128" s="133">
        <v>41837</v>
      </c>
      <c r="Y128" s="134">
        <v>820</v>
      </c>
    </row>
    <row r="129" spans="1:25" x14ac:dyDescent="0.25">
      <c r="A129" s="79" t="s">
        <v>148</v>
      </c>
      <c r="B129" s="12" t="s">
        <v>178</v>
      </c>
      <c r="C129" s="12" t="s">
        <v>153</v>
      </c>
      <c r="D129" s="80">
        <v>41910</v>
      </c>
      <c r="E129" s="81">
        <v>659</v>
      </c>
      <c r="F129" s="76" t="s">
        <v>150</v>
      </c>
      <c r="G129" s="77" t="s">
        <v>155</v>
      </c>
      <c r="H129" s="77" t="s">
        <v>153</v>
      </c>
      <c r="I129" s="86">
        <v>41730</v>
      </c>
      <c r="J129" s="78">
        <v>949</v>
      </c>
      <c r="K129" s="132" t="s">
        <v>20</v>
      </c>
      <c r="L129" s="132" t="s">
        <v>159</v>
      </c>
      <c r="M129" s="132" t="s">
        <v>153</v>
      </c>
      <c r="N129" s="133">
        <v>41963</v>
      </c>
      <c r="O129" s="134">
        <v>1802</v>
      </c>
      <c r="P129" s="132" t="s">
        <v>151</v>
      </c>
      <c r="Q129" s="132" t="s">
        <v>159</v>
      </c>
      <c r="R129" s="132" t="s">
        <v>153</v>
      </c>
      <c r="S129" s="133">
        <v>41851</v>
      </c>
      <c r="T129" s="134">
        <v>460.1</v>
      </c>
      <c r="U129" s="132" t="s">
        <v>154</v>
      </c>
      <c r="V129" s="132" t="s">
        <v>175</v>
      </c>
      <c r="W129" s="132" t="s">
        <v>153</v>
      </c>
      <c r="X129" s="133">
        <v>41838</v>
      </c>
      <c r="Y129" s="134">
        <v>781</v>
      </c>
    </row>
    <row r="130" spans="1:25" x14ac:dyDescent="0.25">
      <c r="A130" s="79" t="s">
        <v>148</v>
      </c>
      <c r="B130" s="12" t="s">
        <v>178</v>
      </c>
      <c r="C130" s="12" t="s">
        <v>153</v>
      </c>
      <c r="D130" s="80">
        <v>41911</v>
      </c>
      <c r="E130" s="81">
        <v>1060</v>
      </c>
      <c r="F130" s="76" t="s">
        <v>150</v>
      </c>
      <c r="G130" s="77" t="s">
        <v>155</v>
      </c>
      <c r="H130" s="77" t="s">
        <v>153</v>
      </c>
      <c r="I130" s="86">
        <v>41731</v>
      </c>
      <c r="J130" s="78">
        <v>857</v>
      </c>
      <c r="K130" s="132" t="s">
        <v>20</v>
      </c>
      <c r="L130" s="132" t="s">
        <v>159</v>
      </c>
      <c r="M130" s="132" t="s">
        <v>153</v>
      </c>
      <c r="N130" s="133">
        <v>41970</v>
      </c>
      <c r="O130" s="134">
        <v>763</v>
      </c>
      <c r="P130" s="132" t="s">
        <v>151</v>
      </c>
      <c r="Q130" s="132" t="s">
        <v>159</v>
      </c>
      <c r="R130" s="132" t="s">
        <v>153</v>
      </c>
      <c r="S130" s="133">
        <v>41859</v>
      </c>
      <c r="T130" s="134">
        <v>102.1</v>
      </c>
      <c r="U130" s="132" t="s">
        <v>154</v>
      </c>
      <c r="V130" s="132" t="s">
        <v>175</v>
      </c>
      <c r="W130" s="132" t="s">
        <v>153</v>
      </c>
      <c r="X130" s="133">
        <v>41839</v>
      </c>
      <c r="Y130" s="134">
        <v>567</v>
      </c>
    </row>
    <row r="131" spans="1:25" x14ac:dyDescent="0.25">
      <c r="A131" s="79" t="s">
        <v>148</v>
      </c>
      <c r="B131" s="12" t="s">
        <v>178</v>
      </c>
      <c r="C131" s="12" t="s">
        <v>153</v>
      </c>
      <c r="D131" s="80">
        <v>41912</v>
      </c>
      <c r="E131" s="81">
        <v>730</v>
      </c>
      <c r="F131" s="76" t="s">
        <v>150</v>
      </c>
      <c r="G131" s="77" t="s">
        <v>155</v>
      </c>
      <c r="H131" s="77" t="s">
        <v>153</v>
      </c>
      <c r="I131" s="86">
        <v>41732</v>
      </c>
      <c r="J131" s="78">
        <v>774</v>
      </c>
      <c r="K131" s="132" t="s">
        <v>20</v>
      </c>
      <c r="L131" s="132" t="s">
        <v>159</v>
      </c>
      <c r="M131" s="132" t="s">
        <v>153</v>
      </c>
      <c r="N131" s="133">
        <v>41973</v>
      </c>
      <c r="O131" s="134">
        <v>1201</v>
      </c>
      <c r="P131" s="132" t="s">
        <v>151</v>
      </c>
      <c r="Q131" s="132" t="s">
        <v>159</v>
      </c>
      <c r="R131" s="132" t="s">
        <v>153</v>
      </c>
      <c r="S131" s="133">
        <v>41862</v>
      </c>
      <c r="T131" s="134">
        <v>656.5</v>
      </c>
      <c r="U131" s="132" t="s">
        <v>154</v>
      </c>
      <c r="V131" s="132" t="s">
        <v>175</v>
      </c>
      <c r="W131" s="132" t="s">
        <v>153</v>
      </c>
      <c r="X131" s="133">
        <v>41840</v>
      </c>
      <c r="Y131" s="134">
        <v>427</v>
      </c>
    </row>
    <row r="132" spans="1:25" x14ac:dyDescent="0.25">
      <c r="A132" s="79" t="s">
        <v>148</v>
      </c>
      <c r="B132" s="12" t="s">
        <v>178</v>
      </c>
      <c r="C132" s="12" t="s">
        <v>153</v>
      </c>
      <c r="D132" s="80">
        <v>41913</v>
      </c>
      <c r="E132" s="81">
        <v>810</v>
      </c>
      <c r="F132" s="76" t="s">
        <v>150</v>
      </c>
      <c r="G132" s="77" t="s">
        <v>155</v>
      </c>
      <c r="H132" s="77" t="s">
        <v>153</v>
      </c>
      <c r="I132" s="86">
        <v>41733</v>
      </c>
      <c r="J132" s="78">
        <v>677</v>
      </c>
      <c r="K132" s="132" t="s">
        <v>20</v>
      </c>
      <c r="L132" s="132" t="s">
        <v>159</v>
      </c>
      <c r="M132" s="132" t="s">
        <v>153</v>
      </c>
      <c r="N132" s="133">
        <v>41976</v>
      </c>
      <c r="O132" s="134">
        <v>814</v>
      </c>
      <c r="P132" s="132" t="s">
        <v>151</v>
      </c>
      <c r="Q132" s="132" t="s">
        <v>159</v>
      </c>
      <c r="R132" s="132" t="s">
        <v>153</v>
      </c>
      <c r="S132" s="133">
        <v>41863</v>
      </c>
      <c r="T132" s="134">
        <v>742.2</v>
      </c>
      <c r="U132" s="132" t="s">
        <v>154</v>
      </c>
      <c r="V132" s="132" t="s">
        <v>175</v>
      </c>
      <c r="W132" s="132" t="s">
        <v>153</v>
      </c>
      <c r="X132" s="133">
        <v>41841</v>
      </c>
      <c r="Y132" s="134">
        <v>650</v>
      </c>
    </row>
    <row r="133" spans="1:25" x14ac:dyDescent="0.25">
      <c r="A133" s="79" t="s">
        <v>148</v>
      </c>
      <c r="B133" s="12" t="s">
        <v>178</v>
      </c>
      <c r="C133" s="12" t="s">
        <v>153</v>
      </c>
      <c r="D133" s="80">
        <v>41913</v>
      </c>
      <c r="E133" s="81">
        <v>400</v>
      </c>
      <c r="F133" s="76" t="s">
        <v>150</v>
      </c>
      <c r="G133" s="77" t="s">
        <v>155</v>
      </c>
      <c r="H133" s="77" t="s">
        <v>153</v>
      </c>
      <c r="I133" s="86">
        <v>41733</v>
      </c>
      <c r="J133" s="78">
        <v>203</v>
      </c>
      <c r="K133" s="132" t="s">
        <v>20</v>
      </c>
      <c r="L133" s="132" t="s">
        <v>159</v>
      </c>
      <c r="M133" s="132" t="s">
        <v>153</v>
      </c>
      <c r="N133" s="133">
        <v>41989</v>
      </c>
      <c r="O133" s="134">
        <v>1370</v>
      </c>
      <c r="P133" s="132" t="s">
        <v>151</v>
      </c>
      <c r="Q133" s="132" t="s">
        <v>160</v>
      </c>
      <c r="R133" s="132" t="s">
        <v>153</v>
      </c>
      <c r="S133" s="133">
        <v>41691</v>
      </c>
      <c r="T133" s="134">
        <v>303</v>
      </c>
      <c r="U133" s="132" t="s">
        <v>154</v>
      </c>
      <c r="V133" s="132" t="s">
        <v>175</v>
      </c>
      <c r="W133" s="132" t="s">
        <v>153</v>
      </c>
      <c r="X133" s="133">
        <v>41842</v>
      </c>
      <c r="Y133" s="134">
        <v>881</v>
      </c>
    </row>
    <row r="134" spans="1:25" x14ac:dyDescent="0.25">
      <c r="A134" s="79" t="s">
        <v>148</v>
      </c>
      <c r="B134" s="12" t="s">
        <v>178</v>
      </c>
      <c r="C134" s="12" t="s">
        <v>153</v>
      </c>
      <c r="D134" s="80">
        <v>41914</v>
      </c>
      <c r="E134" s="81">
        <v>927</v>
      </c>
      <c r="F134" s="76" t="s">
        <v>150</v>
      </c>
      <c r="G134" s="77" t="s">
        <v>155</v>
      </c>
      <c r="H134" s="77" t="s">
        <v>153</v>
      </c>
      <c r="I134" s="86">
        <v>41736</v>
      </c>
      <c r="J134" s="78">
        <v>913</v>
      </c>
      <c r="K134" s="132" t="s">
        <v>20</v>
      </c>
      <c r="L134" s="132" t="s">
        <v>159</v>
      </c>
      <c r="M134" s="132" t="s">
        <v>153</v>
      </c>
      <c r="N134" s="133">
        <v>41997</v>
      </c>
      <c r="O134" s="134">
        <v>737</v>
      </c>
      <c r="P134" s="132" t="s">
        <v>151</v>
      </c>
      <c r="Q134" s="132" t="s">
        <v>160</v>
      </c>
      <c r="R134" s="132" t="s">
        <v>153</v>
      </c>
      <c r="S134" s="133">
        <v>41701</v>
      </c>
      <c r="T134" s="134">
        <v>488.9</v>
      </c>
      <c r="U134" s="132" t="s">
        <v>154</v>
      </c>
      <c r="V134" s="132" t="s">
        <v>175</v>
      </c>
      <c r="W134" s="132" t="s">
        <v>153</v>
      </c>
      <c r="X134" s="133">
        <v>41915</v>
      </c>
      <c r="Y134" s="134">
        <v>934</v>
      </c>
    </row>
    <row r="135" spans="1:25" x14ac:dyDescent="0.25">
      <c r="A135" s="79" t="s">
        <v>148</v>
      </c>
      <c r="B135" s="12" t="s">
        <v>178</v>
      </c>
      <c r="C135" s="12" t="s">
        <v>153</v>
      </c>
      <c r="D135" s="80">
        <v>41915</v>
      </c>
      <c r="E135" s="81">
        <v>815</v>
      </c>
      <c r="F135" s="76" t="s">
        <v>150</v>
      </c>
      <c r="G135" s="77" t="s">
        <v>155</v>
      </c>
      <c r="H135" s="77" t="s">
        <v>153</v>
      </c>
      <c r="I135" s="86">
        <v>41740</v>
      </c>
      <c r="J135" s="78">
        <v>1152</v>
      </c>
      <c r="K135" s="132" t="s">
        <v>20</v>
      </c>
      <c r="L135" s="132" t="s">
        <v>159</v>
      </c>
      <c r="M135" s="132" t="s">
        <v>153</v>
      </c>
      <c r="N135" s="133">
        <v>42000</v>
      </c>
      <c r="O135" s="134">
        <v>755</v>
      </c>
      <c r="P135" s="132" t="s">
        <v>151</v>
      </c>
      <c r="Q135" s="132" t="s">
        <v>160</v>
      </c>
      <c r="R135" s="132" t="s">
        <v>153</v>
      </c>
      <c r="S135" s="133">
        <v>41702</v>
      </c>
      <c r="T135" s="134">
        <v>801.6</v>
      </c>
      <c r="U135" s="132" t="s">
        <v>154</v>
      </c>
      <c r="V135" s="132" t="s">
        <v>175</v>
      </c>
      <c r="W135" s="132" t="s">
        <v>153</v>
      </c>
      <c r="X135" s="133">
        <v>41985</v>
      </c>
      <c r="Y135" s="134">
        <v>611</v>
      </c>
    </row>
    <row r="136" spans="1:25" x14ac:dyDescent="0.25">
      <c r="A136" s="79" t="s">
        <v>148</v>
      </c>
      <c r="B136" s="12" t="s">
        <v>178</v>
      </c>
      <c r="C136" s="12" t="s">
        <v>153</v>
      </c>
      <c r="D136" s="80">
        <v>41916</v>
      </c>
      <c r="E136" s="81">
        <v>450</v>
      </c>
      <c r="F136" s="76" t="s">
        <v>150</v>
      </c>
      <c r="G136" s="77" t="s">
        <v>155</v>
      </c>
      <c r="H136" s="77" t="s">
        <v>153</v>
      </c>
      <c r="I136" s="86">
        <v>41741</v>
      </c>
      <c r="J136" s="78">
        <v>1083</v>
      </c>
      <c r="K136" s="132" t="s">
        <v>20</v>
      </c>
      <c r="L136" s="132" t="s">
        <v>160</v>
      </c>
      <c r="M136" s="132" t="s">
        <v>153</v>
      </c>
      <c r="N136" s="133">
        <v>41670</v>
      </c>
      <c r="O136" s="134">
        <v>739</v>
      </c>
      <c r="P136" s="132" t="s">
        <v>151</v>
      </c>
      <c r="Q136" s="132" t="s">
        <v>160</v>
      </c>
      <c r="R136" s="132" t="s">
        <v>153</v>
      </c>
      <c r="S136" s="133">
        <v>41716</v>
      </c>
      <c r="T136" s="134">
        <v>600.20000000000005</v>
      </c>
      <c r="U136" s="132" t="s">
        <v>154</v>
      </c>
      <c r="V136" s="132" t="s">
        <v>175</v>
      </c>
      <c r="W136" s="132" t="s">
        <v>153</v>
      </c>
      <c r="X136" s="133">
        <v>41988</v>
      </c>
      <c r="Y136" s="134">
        <v>636</v>
      </c>
    </row>
    <row r="137" spans="1:25" x14ac:dyDescent="0.25">
      <c r="A137" s="79" t="s">
        <v>148</v>
      </c>
      <c r="B137" s="12" t="s">
        <v>178</v>
      </c>
      <c r="C137" s="12" t="s">
        <v>153</v>
      </c>
      <c r="D137" s="80">
        <v>41917</v>
      </c>
      <c r="E137" s="81">
        <v>900</v>
      </c>
      <c r="F137" s="76" t="s">
        <v>150</v>
      </c>
      <c r="G137" s="77" t="s">
        <v>155</v>
      </c>
      <c r="H137" s="77" t="s">
        <v>153</v>
      </c>
      <c r="I137" s="86">
        <v>41741</v>
      </c>
      <c r="J137" s="78">
        <v>1251</v>
      </c>
      <c r="K137" s="132" t="s">
        <v>20</v>
      </c>
      <c r="L137" s="132" t="s">
        <v>160</v>
      </c>
      <c r="M137" s="132" t="s">
        <v>153</v>
      </c>
      <c r="N137" s="133">
        <v>41741</v>
      </c>
      <c r="O137" s="134">
        <v>870</v>
      </c>
      <c r="P137" s="132" t="s">
        <v>151</v>
      </c>
      <c r="Q137" s="132" t="s">
        <v>160</v>
      </c>
      <c r="R137" s="132" t="s">
        <v>153</v>
      </c>
      <c r="S137" s="133">
        <v>41717</v>
      </c>
      <c r="T137" s="134">
        <v>627</v>
      </c>
      <c r="U137" s="132" t="s">
        <v>154</v>
      </c>
      <c r="V137" s="132" t="s">
        <v>175</v>
      </c>
      <c r="W137" s="132" t="s">
        <v>153</v>
      </c>
      <c r="X137" s="133">
        <v>41989</v>
      </c>
      <c r="Y137" s="134">
        <v>748</v>
      </c>
    </row>
    <row r="138" spans="1:25" x14ac:dyDescent="0.25">
      <c r="A138" s="79" t="s">
        <v>148</v>
      </c>
      <c r="B138" s="12" t="s">
        <v>178</v>
      </c>
      <c r="C138" s="12" t="s">
        <v>153</v>
      </c>
      <c r="D138" s="80">
        <v>41918</v>
      </c>
      <c r="E138" s="81">
        <v>900</v>
      </c>
      <c r="F138" s="76" t="s">
        <v>150</v>
      </c>
      <c r="G138" s="77" t="s">
        <v>155</v>
      </c>
      <c r="H138" s="77" t="s">
        <v>153</v>
      </c>
      <c r="I138" s="86">
        <v>41742</v>
      </c>
      <c r="J138" s="78">
        <v>1242</v>
      </c>
      <c r="K138" s="132" t="s">
        <v>20</v>
      </c>
      <c r="L138" s="132" t="s">
        <v>160</v>
      </c>
      <c r="M138" s="132" t="s">
        <v>153</v>
      </c>
      <c r="N138" s="133">
        <v>41764</v>
      </c>
      <c r="O138" s="134">
        <v>745</v>
      </c>
      <c r="P138" s="132" t="s">
        <v>151</v>
      </c>
      <c r="Q138" s="132" t="s">
        <v>160</v>
      </c>
      <c r="R138" s="132" t="s">
        <v>153</v>
      </c>
      <c r="S138" s="133">
        <v>41718</v>
      </c>
      <c r="T138" s="134">
        <v>628.6</v>
      </c>
      <c r="U138" s="132" t="s">
        <v>154</v>
      </c>
      <c r="V138" s="132" t="s">
        <v>175</v>
      </c>
      <c r="W138" s="132" t="s">
        <v>153</v>
      </c>
      <c r="X138" s="133">
        <v>41990</v>
      </c>
      <c r="Y138" s="134">
        <v>1053</v>
      </c>
    </row>
    <row r="139" spans="1:25" x14ac:dyDescent="0.25">
      <c r="A139" s="79" t="s">
        <v>148</v>
      </c>
      <c r="B139" s="12" t="s">
        <v>178</v>
      </c>
      <c r="C139" s="12" t="s">
        <v>153</v>
      </c>
      <c r="D139" s="80">
        <v>41919</v>
      </c>
      <c r="E139" s="81">
        <v>850</v>
      </c>
      <c r="F139" s="76" t="s">
        <v>150</v>
      </c>
      <c r="G139" s="77" t="s">
        <v>155</v>
      </c>
      <c r="H139" s="77" t="s">
        <v>153</v>
      </c>
      <c r="I139" s="86">
        <v>41743</v>
      </c>
      <c r="J139" s="78">
        <v>1215</v>
      </c>
      <c r="K139" s="132" t="s">
        <v>20</v>
      </c>
      <c r="L139" s="132" t="s">
        <v>160</v>
      </c>
      <c r="M139" s="132" t="s">
        <v>153</v>
      </c>
      <c r="N139" s="133">
        <v>41769</v>
      </c>
      <c r="O139" s="134">
        <v>703</v>
      </c>
      <c r="P139" s="132" t="s">
        <v>151</v>
      </c>
      <c r="Q139" s="132" t="s">
        <v>160</v>
      </c>
      <c r="R139" s="132" t="s">
        <v>153</v>
      </c>
      <c r="S139" s="133">
        <v>41726</v>
      </c>
      <c r="T139" s="134">
        <v>754.4</v>
      </c>
      <c r="U139" s="132" t="s">
        <v>154</v>
      </c>
      <c r="V139" s="132" t="s">
        <v>175</v>
      </c>
      <c r="W139" s="132" t="s">
        <v>153</v>
      </c>
      <c r="X139" s="133">
        <v>41991</v>
      </c>
      <c r="Y139" s="134">
        <v>732</v>
      </c>
    </row>
    <row r="140" spans="1:25" x14ac:dyDescent="0.25">
      <c r="A140" s="79" t="s">
        <v>148</v>
      </c>
      <c r="B140" s="12" t="s">
        <v>178</v>
      </c>
      <c r="C140" s="12" t="s">
        <v>153</v>
      </c>
      <c r="D140" s="80">
        <v>41920</v>
      </c>
      <c r="E140" s="81">
        <v>1100</v>
      </c>
      <c r="F140" s="76" t="s">
        <v>150</v>
      </c>
      <c r="G140" s="77" t="s">
        <v>155</v>
      </c>
      <c r="H140" s="77" t="s">
        <v>153</v>
      </c>
      <c r="I140" s="86">
        <v>41745</v>
      </c>
      <c r="J140" s="78">
        <v>1308</v>
      </c>
      <c r="K140" s="132" t="s">
        <v>20</v>
      </c>
      <c r="L140" s="132" t="s">
        <v>160</v>
      </c>
      <c r="M140" s="132" t="s">
        <v>153</v>
      </c>
      <c r="N140" s="133">
        <v>41778</v>
      </c>
      <c r="O140" s="134">
        <v>407</v>
      </c>
      <c r="P140" s="132" t="s">
        <v>151</v>
      </c>
      <c r="Q140" s="132" t="s">
        <v>160</v>
      </c>
      <c r="R140" s="132" t="s">
        <v>153</v>
      </c>
      <c r="S140" s="133">
        <v>41747</v>
      </c>
      <c r="T140" s="134">
        <v>1222.5</v>
      </c>
      <c r="U140" s="132" t="s">
        <v>154</v>
      </c>
      <c r="V140" s="132" t="s">
        <v>175</v>
      </c>
      <c r="W140" s="132" t="s">
        <v>153</v>
      </c>
      <c r="X140" s="133">
        <v>41992</v>
      </c>
      <c r="Y140" s="134">
        <v>911</v>
      </c>
    </row>
    <row r="141" spans="1:25" x14ac:dyDescent="0.25">
      <c r="A141" s="79" t="s">
        <v>148</v>
      </c>
      <c r="B141" s="12" t="s">
        <v>178</v>
      </c>
      <c r="C141" s="12" t="s">
        <v>153</v>
      </c>
      <c r="D141" s="80">
        <v>41921</v>
      </c>
      <c r="E141" s="81">
        <v>590</v>
      </c>
      <c r="F141" s="76" t="s">
        <v>150</v>
      </c>
      <c r="G141" s="77" t="s">
        <v>155</v>
      </c>
      <c r="H141" s="77" t="s">
        <v>153</v>
      </c>
      <c r="I141" s="86">
        <v>41746</v>
      </c>
      <c r="J141" s="78">
        <v>663</v>
      </c>
      <c r="K141" s="132" t="s">
        <v>20</v>
      </c>
      <c r="L141" s="132" t="s">
        <v>160</v>
      </c>
      <c r="M141" s="132" t="s">
        <v>153</v>
      </c>
      <c r="N141" s="133">
        <v>41780</v>
      </c>
      <c r="O141" s="134">
        <v>479</v>
      </c>
      <c r="P141" s="132" t="s">
        <v>151</v>
      </c>
      <c r="Q141" s="132" t="s">
        <v>160</v>
      </c>
      <c r="R141" s="132" t="s">
        <v>153</v>
      </c>
      <c r="S141" s="133">
        <v>41750</v>
      </c>
      <c r="T141" s="134">
        <v>641.70000000000005</v>
      </c>
      <c r="U141" s="132" t="s">
        <v>154</v>
      </c>
      <c r="V141" s="132" t="s">
        <v>175</v>
      </c>
      <c r="W141" s="132" t="s">
        <v>153</v>
      </c>
      <c r="X141" s="133">
        <v>41994</v>
      </c>
      <c r="Y141" s="134">
        <v>918</v>
      </c>
    </row>
    <row r="142" spans="1:25" x14ac:dyDescent="0.25">
      <c r="A142" s="79" t="s">
        <v>148</v>
      </c>
      <c r="B142" s="12" t="s">
        <v>178</v>
      </c>
      <c r="C142" s="12" t="s">
        <v>153</v>
      </c>
      <c r="D142" s="80">
        <v>41923</v>
      </c>
      <c r="E142" s="81">
        <v>1369</v>
      </c>
      <c r="F142" s="76" t="s">
        <v>150</v>
      </c>
      <c r="G142" s="77" t="s">
        <v>155</v>
      </c>
      <c r="H142" s="77" t="s">
        <v>153</v>
      </c>
      <c r="I142" s="86">
        <v>41750</v>
      </c>
      <c r="J142" s="78">
        <v>987</v>
      </c>
      <c r="K142" s="132" t="s">
        <v>20</v>
      </c>
      <c r="L142" s="132" t="s">
        <v>160</v>
      </c>
      <c r="M142" s="132" t="s">
        <v>153</v>
      </c>
      <c r="N142" s="133">
        <v>41799</v>
      </c>
      <c r="O142" s="134">
        <v>1099</v>
      </c>
      <c r="P142" s="132" t="s">
        <v>151</v>
      </c>
      <c r="Q142" s="132" t="s">
        <v>160</v>
      </c>
      <c r="R142" s="132" t="s">
        <v>153</v>
      </c>
      <c r="S142" s="133">
        <v>41751</v>
      </c>
      <c r="T142" s="134">
        <v>697.1</v>
      </c>
      <c r="U142" s="132" t="s">
        <v>154</v>
      </c>
      <c r="V142" s="132" t="s">
        <v>175</v>
      </c>
      <c r="W142" s="132" t="s">
        <v>153</v>
      </c>
      <c r="X142" s="133">
        <v>41995</v>
      </c>
      <c r="Y142" s="134">
        <v>692</v>
      </c>
    </row>
    <row r="143" spans="1:25" x14ac:dyDescent="0.25">
      <c r="A143" s="79" t="s">
        <v>148</v>
      </c>
      <c r="B143" s="12" t="s">
        <v>178</v>
      </c>
      <c r="C143" s="12" t="s">
        <v>153</v>
      </c>
      <c r="D143" s="80">
        <v>41924</v>
      </c>
      <c r="E143" s="81">
        <v>549</v>
      </c>
      <c r="F143" s="76" t="s">
        <v>150</v>
      </c>
      <c r="G143" s="77" t="s">
        <v>155</v>
      </c>
      <c r="H143" s="77" t="s">
        <v>153</v>
      </c>
      <c r="I143" s="86">
        <v>41752</v>
      </c>
      <c r="J143" s="78">
        <v>979</v>
      </c>
      <c r="K143" s="132" t="s">
        <v>20</v>
      </c>
      <c r="L143" s="132" t="s">
        <v>160</v>
      </c>
      <c r="M143" s="132" t="s">
        <v>153</v>
      </c>
      <c r="N143" s="133">
        <v>41802</v>
      </c>
      <c r="O143" s="134">
        <v>881</v>
      </c>
      <c r="P143" s="132" t="s">
        <v>151</v>
      </c>
      <c r="Q143" s="132" t="s">
        <v>160</v>
      </c>
      <c r="R143" s="132" t="s">
        <v>153</v>
      </c>
      <c r="S143" s="133">
        <v>41772</v>
      </c>
      <c r="T143" s="134">
        <v>239.9</v>
      </c>
      <c r="U143" s="132" t="s">
        <v>154</v>
      </c>
      <c r="V143" s="132" t="s">
        <v>175</v>
      </c>
      <c r="W143" s="132" t="s">
        <v>153</v>
      </c>
      <c r="X143" s="133">
        <v>41996</v>
      </c>
      <c r="Y143" s="134">
        <v>983</v>
      </c>
    </row>
    <row r="144" spans="1:25" x14ac:dyDescent="0.25">
      <c r="A144" s="79" t="s">
        <v>148</v>
      </c>
      <c r="B144" s="12" t="s">
        <v>178</v>
      </c>
      <c r="C144" s="12" t="s">
        <v>153</v>
      </c>
      <c r="D144" s="80">
        <v>41932</v>
      </c>
      <c r="E144" s="81">
        <v>885</v>
      </c>
      <c r="F144" s="76" t="s">
        <v>150</v>
      </c>
      <c r="G144" s="77" t="s">
        <v>155</v>
      </c>
      <c r="H144" s="77" t="s">
        <v>153</v>
      </c>
      <c r="I144" s="86">
        <v>41753</v>
      </c>
      <c r="J144" s="78">
        <v>935</v>
      </c>
      <c r="K144" s="132" t="s">
        <v>20</v>
      </c>
      <c r="L144" s="132" t="s">
        <v>160</v>
      </c>
      <c r="M144" s="132" t="s">
        <v>153</v>
      </c>
      <c r="N144" s="133">
        <v>41864</v>
      </c>
      <c r="O144" s="134">
        <v>670</v>
      </c>
      <c r="P144" s="132" t="s">
        <v>151</v>
      </c>
      <c r="Q144" s="132" t="s">
        <v>160</v>
      </c>
      <c r="R144" s="132" t="s">
        <v>153</v>
      </c>
      <c r="S144" s="133">
        <v>41809</v>
      </c>
      <c r="T144" s="134">
        <v>518.70000000000005</v>
      </c>
      <c r="U144" s="132" t="s">
        <v>154</v>
      </c>
      <c r="V144" s="132" t="s">
        <v>175</v>
      </c>
      <c r="W144" s="132" t="s">
        <v>153</v>
      </c>
      <c r="X144" s="133">
        <v>41999</v>
      </c>
      <c r="Y144" s="134">
        <v>441</v>
      </c>
    </row>
    <row r="145" spans="1:25" x14ac:dyDescent="0.25">
      <c r="A145" s="79" t="s">
        <v>148</v>
      </c>
      <c r="B145" s="12" t="s">
        <v>178</v>
      </c>
      <c r="C145" s="12" t="s">
        <v>153</v>
      </c>
      <c r="D145" s="80">
        <v>41933</v>
      </c>
      <c r="E145" s="81">
        <v>801</v>
      </c>
      <c r="F145" s="76" t="s">
        <v>150</v>
      </c>
      <c r="G145" s="77" t="s">
        <v>155</v>
      </c>
      <c r="H145" s="77" t="s">
        <v>153</v>
      </c>
      <c r="I145" s="86">
        <v>41754</v>
      </c>
      <c r="J145" s="78">
        <v>470</v>
      </c>
      <c r="K145" s="132" t="s">
        <v>20</v>
      </c>
      <c r="L145" s="132" t="s">
        <v>160</v>
      </c>
      <c r="M145" s="132" t="s">
        <v>153</v>
      </c>
      <c r="N145" s="133">
        <v>41916</v>
      </c>
      <c r="O145" s="134">
        <v>1260</v>
      </c>
      <c r="P145" s="132" t="s">
        <v>151</v>
      </c>
      <c r="Q145" s="132" t="s">
        <v>160</v>
      </c>
      <c r="R145" s="132" t="s">
        <v>153</v>
      </c>
      <c r="S145" s="133">
        <v>41983</v>
      </c>
      <c r="T145" s="134">
        <v>166.3</v>
      </c>
      <c r="U145" s="132" t="s">
        <v>154</v>
      </c>
      <c r="V145" s="132" t="s">
        <v>175</v>
      </c>
      <c r="W145" s="132" t="s">
        <v>153</v>
      </c>
      <c r="X145" s="133">
        <v>42000</v>
      </c>
      <c r="Y145" s="134">
        <v>670</v>
      </c>
    </row>
    <row r="146" spans="1:25" x14ac:dyDescent="0.25">
      <c r="A146" s="79" t="s">
        <v>148</v>
      </c>
      <c r="B146" s="12" t="s">
        <v>178</v>
      </c>
      <c r="C146" s="12" t="s">
        <v>153</v>
      </c>
      <c r="D146" s="80">
        <v>41934</v>
      </c>
      <c r="E146" s="81">
        <v>510</v>
      </c>
      <c r="F146" s="76" t="s">
        <v>150</v>
      </c>
      <c r="G146" s="77" t="s">
        <v>155</v>
      </c>
      <c r="H146" s="77" t="s">
        <v>153</v>
      </c>
      <c r="I146" s="86">
        <v>41754</v>
      </c>
      <c r="J146" s="78">
        <v>572</v>
      </c>
      <c r="K146" s="132" t="s">
        <v>20</v>
      </c>
      <c r="L146" s="132" t="s">
        <v>160</v>
      </c>
      <c r="M146" s="132" t="s">
        <v>153</v>
      </c>
      <c r="N146" s="133">
        <v>41969</v>
      </c>
      <c r="O146" s="134">
        <v>1440</v>
      </c>
      <c r="P146" s="132" t="s">
        <v>151</v>
      </c>
      <c r="Q146" s="132" t="s">
        <v>160</v>
      </c>
      <c r="R146" s="132" t="s">
        <v>153</v>
      </c>
      <c r="S146" s="133">
        <v>41984</v>
      </c>
      <c r="T146" s="134">
        <v>319.89999999999998</v>
      </c>
      <c r="U146" s="132" t="s">
        <v>154</v>
      </c>
      <c r="V146" s="132" t="s">
        <v>175</v>
      </c>
      <c r="W146" s="132" t="s">
        <v>153</v>
      </c>
      <c r="X146" s="133">
        <v>42001</v>
      </c>
      <c r="Y146" s="134">
        <v>200</v>
      </c>
    </row>
    <row r="147" spans="1:25" x14ac:dyDescent="0.25">
      <c r="A147" s="79" t="s">
        <v>148</v>
      </c>
      <c r="B147" s="12" t="s">
        <v>178</v>
      </c>
      <c r="C147" s="12" t="s">
        <v>153</v>
      </c>
      <c r="D147" s="80">
        <v>41935</v>
      </c>
      <c r="E147" s="81">
        <v>1182</v>
      </c>
      <c r="F147" s="76" t="s">
        <v>150</v>
      </c>
      <c r="G147" s="77" t="s">
        <v>155</v>
      </c>
      <c r="H147" s="77" t="s">
        <v>153</v>
      </c>
      <c r="I147" s="86">
        <v>41755</v>
      </c>
      <c r="J147" s="78">
        <v>946</v>
      </c>
      <c r="K147" s="132" t="s">
        <v>20</v>
      </c>
      <c r="L147" s="132" t="s">
        <v>160</v>
      </c>
      <c r="M147" s="132" t="s">
        <v>153</v>
      </c>
      <c r="N147" s="133">
        <v>41977</v>
      </c>
      <c r="O147" s="134">
        <v>578</v>
      </c>
      <c r="P147" s="132" t="s">
        <v>151</v>
      </c>
      <c r="Q147" s="132" t="s">
        <v>161</v>
      </c>
      <c r="R147" s="132" t="s">
        <v>153</v>
      </c>
      <c r="S147" s="133">
        <v>41674</v>
      </c>
      <c r="T147" s="134">
        <v>229.2</v>
      </c>
      <c r="U147" s="132" t="s">
        <v>154</v>
      </c>
      <c r="V147" s="132" t="s">
        <v>175</v>
      </c>
      <c r="W147" s="132" t="s">
        <v>153</v>
      </c>
      <c r="X147" s="133">
        <v>42001</v>
      </c>
      <c r="Y147" s="134">
        <v>633</v>
      </c>
    </row>
    <row r="148" spans="1:25" x14ac:dyDescent="0.25">
      <c r="A148" s="79" t="s">
        <v>148</v>
      </c>
      <c r="B148" s="12" t="s">
        <v>178</v>
      </c>
      <c r="C148" s="12" t="s">
        <v>153</v>
      </c>
      <c r="D148" s="80">
        <v>41936</v>
      </c>
      <c r="E148" s="81">
        <v>856</v>
      </c>
      <c r="F148" s="76" t="s">
        <v>150</v>
      </c>
      <c r="G148" s="77" t="s">
        <v>155</v>
      </c>
      <c r="H148" s="77" t="s">
        <v>153</v>
      </c>
      <c r="I148" s="86">
        <v>41756</v>
      </c>
      <c r="J148" s="78">
        <v>891</v>
      </c>
      <c r="K148" s="132" t="s">
        <v>20</v>
      </c>
      <c r="L148" s="132" t="s">
        <v>160</v>
      </c>
      <c r="M148" s="132" t="s">
        <v>153</v>
      </c>
      <c r="N148" s="133">
        <v>41993</v>
      </c>
      <c r="O148" s="134">
        <v>1126</v>
      </c>
      <c r="P148" s="132" t="s">
        <v>151</v>
      </c>
      <c r="Q148" s="132" t="s">
        <v>161</v>
      </c>
      <c r="R148" s="132" t="s">
        <v>153</v>
      </c>
      <c r="S148" s="133">
        <v>41675</v>
      </c>
      <c r="T148" s="134">
        <v>350</v>
      </c>
      <c r="U148" s="132" t="s">
        <v>154</v>
      </c>
      <c r="V148" s="132" t="s">
        <v>175</v>
      </c>
      <c r="W148" s="132" t="s">
        <v>153</v>
      </c>
      <c r="X148" s="133">
        <v>42001</v>
      </c>
      <c r="Y148" s="134">
        <v>201</v>
      </c>
    </row>
    <row r="149" spans="1:25" x14ac:dyDescent="0.25">
      <c r="A149" s="79" t="s">
        <v>148</v>
      </c>
      <c r="B149" s="12" t="s">
        <v>178</v>
      </c>
      <c r="C149" s="12" t="s">
        <v>153</v>
      </c>
      <c r="D149" s="80">
        <v>41937</v>
      </c>
      <c r="E149" s="81">
        <v>300</v>
      </c>
      <c r="F149" s="76" t="s">
        <v>150</v>
      </c>
      <c r="G149" s="77" t="s">
        <v>155</v>
      </c>
      <c r="H149" s="77" t="s">
        <v>153</v>
      </c>
      <c r="I149" s="86">
        <v>41757</v>
      </c>
      <c r="J149" s="78">
        <v>675</v>
      </c>
      <c r="K149" s="132" t="s">
        <v>20</v>
      </c>
      <c r="L149" s="132" t="s">
        <v>160</v>
      </c>
      <c r="M149" s="132" t="s">
        <v>153</v>
      </c>
      <c r="N149" s="133">
        <v>41996</v>
      </c>
      <c r="O149" s="134">
        <v>933</v>
      </c>
      <c r="P149" s="132" t="s">
        <v>151</v>
      </c>
      <c r="Q149" s="132" t="s">
        <v>161</v>
      </c>
      <c r="R149" s="132" t="s">
        <v>153</v>
      </c>
      <c r="S149" s="133">
        <v>41681</v>
      </c>
      <c r="T149" s="134">
        <v>221.9</v>
      </c>
      <c r="U149" s="132" t="s">
        <v>154</v>
      </c>
      <c r="V149" s="132" t="s">
        <v>175</v>
      </c>
      <c r="W149" s="132" t="s">
        <v>153</v>
      </c>
      <c r="X149" s="133">
        <v>42002</v>
      </c>
      <c r="Y149" s="134">
        <v>834</v>
      </c>
    </row>
    <row r="150" spans="1:25" x14ac:dyDescent="0.25">
      <c r="A150" s="79" t="s">
        <v>148</v>
      </c>
      <c r="B150" s="12" t="s">
        <v>178</v>
      </c>
      <c r="C150" s="12" t="s">
        <v>153</v>
      </c>
      <c r="D150" s="80">
        <v>41938</v>
      </c>
      <c r="E150" s="81">
        <v>900</v>
      </c>
      <c r="F150" s="76" t="s">
        <v>150</v>
      </c>
      <c r="G150" s="77" t="s">
        <v>155</v>
      </c>
      <c r="H150" s="77" t="s">
        <v>153</v>
      </c>
      <c r="I150" s="86">
        <v>41758</v>
      </c>
      <c r="J150" s="78">
        <v>657</v>
      </c>
      <c r="K150" s="132" t="s">
        <v>20</v>
      </c>
      <c r="L150" s="132" t="s">
        <v>160</v>
      </c>
      <c r="M150" s="132" t="s">
        <v>153</v>
      </c>
      <c r="N150" s="133">
        <v>41998</v>
      </c>
      <c r="O150" s="134">
        <v>986</v>
      </c>
      <c r="P150" s="132" t="s">
        <v>151</v>
      </c>
      <c r="Q150" s="132" t="s">
        <v>161</v>
      </c>
      <c r="R150" s="132" t="s">
        <v>153</v>
      </c>
      <c r="S150" s="133">
        <v>41683</v>
      </c>
      <c r="T150" s="134">
        <v>157.69999999999999</v>
      </c>
      <c r="U150" s="132" t="s">
        <v>154</v>
      </c>
      <c r="V150" s="132" t="s">
        <v>156</v>
      </c>
      <c r="W150" s="132" t="s">
        <v>153</v>
      </c>
      <c r="X150" s="133">
        <v>41655</v>
      </c>
      <c r="Y150" s="134">
        <v>641</v>
      </c>
    </row>
    <row r="151" spans="1:25" x14ac:dyDescent="0.25">
      <c r="A151" s="79" t="s">
        <v>148</v>
      </c>
      <c r="B151" s="12" t="s">
        <v>178</v>
      </c>
      <c r="C151" s="12" t="s">
        <v>153</v>
      </c>
      <c r="D151" s="80">
        <v>41949</v>
      </c>
      <c r="E151" s="81">
        <v>890</v>
      </c>
      <c r="F151" s="76" t="s">
        <v>150</v>
      </c>
      <c r="G151" s="77" t="s">
        <v>155</v>
      </c>
      <c r="H151" s="77" t="s">
        <v>153</v>
      </c>
      <c r="I151" s="86">
        <v>41759</v>
      </c>
      <c r="J151" s="78">
        <v>682</v>
      </c>
      <c r="K151" s="132" t="s">
        <v>20</v>
      </c>
      <c r="L151" s="132" t="s">
        <v>160</v>
      </c>
      <c r="M151" s="132" t="s">
        <v>153</v>
      </c>
      <c r="N151" s="133">
        <v>41999</v>
      </c>
      <c r="O151" s="134">
        <v>580</v>
      </c>
      <c r="P151" s="132" t="s">
        <v>151</v>
      </c>
      <c r="Q151" s="132" t="s">
        <v>161</v>
      </c>
      <c r="R151" s="132" t="s">
        <v>153</v>
      </c>
      <c r="S151" s="133">
        <v>41834</v>
      </c>
      <c r="T151" s="134">
        <v>1097.8</v>
      </c>
      <c r="U151" s="132" t="s">
        <v>154</v>
      </c>
      <c r="V151" s="132" t="s">
        <v>156</v>
      </c>
      <c r="W151" s="132" t="s">
        <v>153</v>
      </c>
      <c r="X151" s="133">
        <v>41656</v>
      </c>
      <c r="Y151" s="134">
        <v>680</v>
      </c>
    </row>
    <row r="152" spans="1:25" x14ac:dyDescent="0.25">
      <c r="A152" s="79" t="s">
        <v>148</v>
      </c>
      <c r="B152" s="12" t="s">
        <v>178</v>
      </c>
      <c r="C152" s="12" t="s">
        <v>153</v>
      </c>
      <c r="D152" s="80">
        <v>41950</v>
      </c>
      <c r="E152" s="81">
        <v>875</v>
      </c>
      <c r="F152" s="76" t="s">
        <v>150</v>
      </c>
      <c r="G152" s="77" t="s">
        <v>155</v>
      </c>
      <c r="H152" s="77" t="s">
        <v>153</v>
      </c>
      <c r="I152" s="86">
        <v>41761</v>
      </c>
      <c r="J152" s="78">
        <v>735</v>
      </c>
      <c r="K152" s="132" t="s">
        <v>20</v>
      </c>
      <c r="L152" s="132" t="s">
        <v>160</v>
      </c>
      <c r="M152" s="132" t="s">
        <v>153</v>
      </c>
      <c r="N152" s="133">
        <v>42001</v>
      </c>
      <c r="O152" s="134">
        <v>960</v>
      </c>
      <c r="P152" s="132" t="s">
        <v>151</v>
      </c>
      <c r="Q152" s="132" t="s">
        <v>161</v>
      </c>
      <c r="R152" s="132" t="s">
        <v>153</v>
      </c>
      <c r="S152" s="133">
        <v>41843</v>
      </c>
      <c r="T152" s="134">
        <v>761.2</v>
      </c>
      <c r="U152" s="132" t="s">
        <v>154</v>
      </c>
      <c r="V152" s="132" t="s">
        <v>156</v>
      </c>
      <c r="W152" s="132" t="s">
        <v>153</v>
      </c>
      <c r="X152" s="133">
        <v>41660</v>
      </c>
      <c r="Y152" s="134">
        <v>1200</v>
      </c>
    </row>
    <row r="153" spans="1:25" x14ac:dyDescent="0.25">
      <c r="A153" s="79" t="s">
        <v>148</v>
      </c>
      <c r="B153" s="12" t="s">
        <v>178</v>
      </c>
      <c r="C153" s="12" t="s">
        <v>153</v>
      </c>
      <c r="D153" s="80">
        <v>41951</v>
      </c>
      <c r="E153" s="81">
        <v>876</v>
      </c>
      <c r="F153" s="76" t="s">
        <v>150</v>
      </c>
      <c r="G153" s="77" t="s">
        <v>155</v>
      </c>
      <c r="H153" s="77" t="s">
        <v>153</v>
      </c>
      <c r="I153" s="86">
        <v>41764</v>
      </c>
      <c r="J153" s="78">
        <v>1168</v>
      </c>
      <c r="K153" s="132" t="s">
        <v>20</v>
      </c>
      <c r="L153" s="132" t="s">
        <v>161</v>
      </c>
      <c r="M153" s="132" t="s">
        <v>153</v>
      </c>
      <c r="N153" s="133">
        <v>41659</v>
      </c>
      <c r="O153" s="134">
        <v>968</v>
      </c>
      <c r="P153" s="132" t="s">
        <v>151</v>
      </c>
      <c r="Q153" s="132" t="s">
        <v>161</v>
      </c>
      <c r="R153" s="132" t="s">
        <v>153</v>
      </c>
      <c r="S153" s="133">
        <v>41844</v>
      </c>
      <c r="T153" s="134">
        <v>715.5</v>
      </c>
      <c r="U153" s="132" t="s">
        <v>154</v>
      </c>
      <c r="V153" s="132" t="s">
        <v>156</v>
      </c>
      <c r="W153" s="132" t="s">
        <v>153</v>
      </c>
      <c r="X153" s="133">
        <v>41661</v>
      </c>
      <c r="Y153" s="134">
        <v>670</v>
      </c>
    </row>
    <row r="154" spans="1:25" x14ac:dyDescent="0.25">
      <c r="A154" s="79" t="s">
        <v>148</v>
      </c>
      <c r="B154" s="12" t="s">
        <v>178</v>
      </c>
      <c r="C154" s="12" t="s">
        <v>153</v>
      </c>
      <c r="D154" s="80">
        <v>41952</v>
      </c>
      <c r="E154" s="81">
        <v>803</v>
      </c>
      <c r="F154" s="76" t="s">
        <v>150</v>
      </c>
      <c r="G154" s="77" t="s">
        <v>155</v>
      </c>
      <c r="H154" s="77" t="s">
        <v>153</v>
      </c>
      <c r="I154" s="86">
        <v>41765</v>
      </c>
      <c r="J154" s="78">
        <v>740</v>
      </c>
      <c r="K154" s="132" t="s">
        <v>20</v>
      </c>
      <c r="L154" s="132" t="s">
        <v>161</v>
      </c>
      <c r="M154" s="132" t="s">
        <v>153</v>
      </c>
      <c r="N154" s="133">
        <v>41665</v>
      </c>
      <c r="O154" s="134">
        <v>1146</v>
      </c>
      <c r="P154" s="132" t="s">
        <v>151</v>
      </c>
      <c r="Q154" s="132" t="s">
        <v>161</v>
      </c>
      <c r="R154" s="132" t="s">
        <v>153</v>
      </c>
      <c r="S154" s="133">
        <v>41855</v>
      </c>
      <c r="T154" s="134">
        <v>1315.7</v>
      </c>
      <c r="U154" s="132" t="s">
        <v>154</v>
      </c>
      <c r="V154" s="132" t="s">
        <v>156</v>
      </c>
      <c r="W154" s="132" t="s">
        <v>153</v>
      </c>
      <c r="X154" s="133">
        <v>41662</v>
      </c>
      <c r="Y154" s="134">
        <v>920</v>
      </c>
    </row>
    <row r="155" spans="1:25" x14ac:dyDescent="0.25">
      <c r="A155" s="79" t="s">
        <v>148</v>
      </c>
      <c r="B155" s="12" t="s">
        <v>178</v>
      </c>
      <c r="C155" s="12" t="s">
        <v>153</v>
      </c>
      <c r="D155" s="80">
        <v>41953</v>
      </c>
      <c r="E155" s="81">
        <v>802</v>
      </c>
      <c r="F155" s="76" t="s">
        <v>150</v>
      </c>
      <c r="G155" s="77" t="s">
        <v>155</v>
      </c>
      <c r="H155" s="77" t="s">
        <v>153</v>
      </c>
      <c r="I155" s="86">
        <v>41766</v>
      </c>
      <c r="J155" s="78">
        <v>744</v>
      </c>
      <c r="K155" s="132" t="s">
        <v>20</v>
      </c>
      <c r="L155" s="132" t="s">
        <v>161</v>
      </c>
      <c r="M155" s="132" t="s">
        <v>153</v>
      </c>
      <c r="N155" s="133">
        <v>41667</v>
      </c>
      <c r="O155" s="134">
        <v>633</v>
      </c>
      <c r="P155" s="132" t="s">
        <v>151</v>
      </c>
      <c r="Q155" s="132" t="s">
        <v>181</v>
      </c>
      <c r="R155" s="132" t="s">
        <v>153</v>
      </c>
      <c r="S155" s="133">
        <v>41703</v>
      </c>
      <c r="T155" s="134">
        <v>207.4</v>
      </c>
      <c r="U155" s="132" t="s">
        <v>154</v>
      </c>
      <c r="V155" s="132" t="s">
        <v>156</v>
      </c>
      <c r="W155" s="132" t="s">
        <v>153</v>
      </c>
      <c r="X155" s="133">
        <v>41663</v>
      </c>
      <c r="Y155" s="134">
        <v>870</v>
      </c>
    </row>
    <row r="156" spans="1:25" x14ac:dyDescent="0.25">
      <c r="A156" s="79" t="s">
        <v>148</v>
      </c>
      <c r="B156" s="12" t="s">
        <v>178</v>
      </c>
      <c r="C156" s="12" t="s">
        <v>153</v>
      </c>
      <c r="D156" s="80">
        <v>41954</v>
      </c>
      <c r="E156" s="81">
        <v>850</v>
      </c>
      <c r="F156" s="76" t="s">
        <v>150</v>
      </c>
      <c r="G156" s="77" t="s">
        <v>155</v>
      </c>
      <c r="H156" s="77" t="s">
        <v>153</v>
      </c>
      <c r="I156" s="86">
        <v>41768</v>
      </c>
      <c r="J156" s="78">
        <v>975</v>
      </c>
      <c r="K156" s="132" t="s">
        <v>20</v>
      </c>
      <c r="L156" s="132" t="s">
        <v>161</v>
      </c>
      <c r="M156" s="132" t="s">
        <v>153</v>
      </c>
      <c r="N156" s="133">
        <v>41742</v>
      </c>
      <c r="O156" s="134">
        <v>998</v>
      </c>
      <c r="P156" s="132" t="s">
        <v>151</v>
      </c>
      <c r="Q156" s="132" t="s">
        <v>181</v>
      </c>
      <c r="R156" s="132" t="s">
        <v>153</v>
      </c>
      <c r="S156" s="133">
        <v>41704</v>
      </c>
      <c r="T156" s="134">
        <v>822.5</v>
      </c>
      <c r="U156" s="132" t="s">
        <v>154</v>
      </c>
      <c r="V156" s="132" t="s">
        <v>156</v>
      </c>
      <c r="W156" s="132" t="s">
        <v>153</v>
      </c>
      <c r="X156" s="133">
        <v>41664</v>
      </c>
      <c r="Y156" s="134">
        <v>985</v>
      </c>
    </row>
    <row r="157" spans="1:25" x14ac:dyDescent="0.25">
      <c r="A157" s="79" t="s">
        <v>148</v>
      </c>
      <c r="B157" s="12" t="s">
        <v>178</v>
      </c>
      <c r="C157" s="12" t="s">
        <v>153</v>
      </c>
      <c r="D157" s="80">
        <v>41955</v>
      </c>
      <c r="E157" s="81">
        <v>800</v>
      </c>
      <c r="F157" s="76" t="s">
        <v>150</v>
      </c>
      <c r="G157" s="77" t="s">
        <v>155</v>
      </c>
      <c r="H157" s="77" t="s">
        <v>153</v>
      </c>
      <c r="I157" s="86">
        <v>41771</v>
      </c>
      <c r="J157" s="78">
        <v>1302</v>
      </c>
      <c r="K157" s="132" t="s">
        <v>20</v>
      </c>
      <c r="L157" s="132" t="s">
        <v>161</v>
      </c>
      <c r="M157" s="132" t="s">
        <v>153</v>
      </c>
      <c r="N157" s="133">
        <v>41782</v>
      </c>
      <c r="O157" s="134">
        <v>852</v>
      </c>
      <c r="P157" s="132" t="s">
        <v>151</v>
      </c>
      <c r="Q157" s="132" t="s">
        <v>181</v>
      </c>
      <c r="R157" s="132" t="s">
        <v>153</v>
      </c>
      <c r="S157" s="133">
        <v>41724</v>
      </c>
      <c r="T157" s="134">
        <v>837.4</v>
      </c>
      <c r="U157" s="132" t="s">
        <v>154</v>
      </c>
      <c r="V157" s="132" t="s">
        <v>156</v>
      </c>
      <c r="W157" s="132" t="s">
        <v>153</v>
      </c>
      <c r="X157" s="133">
        <v>41664</v>
      </c>
      <c r="Y157" s="134">
        <v>408</v>
      </c>
    </row>
    <row r="158" spans="1:25" x14ac:dyDescent="0.25">
      <c r="A158" s="79" t="s">
        <v>148</v>
      </c>
      <c r="B158" s="12" t="s">
        <v>178</v>
      </c>
      <c r="C158" s="12" t="s">
        <v>153</v>
      </c>
      <c r="D158" s="80">
        <v>41956</v>
      </c>
      <c r="E158" s="81">
        <v>800</v>
      </c>
      <c r="F158" s="76" t="s">
        <v>150</v>
      </c>
      <c r="G158" s="77" t="s">
        <v>155</v>
      </c>
      <c r="H158" s="77" t="s">
        <v>153</v>
      </c>
      <c r="I158" s="86">
        <v>41772</v>
      </c>
      <c r="J158" s="78">
        <v>602</v>
      </c>
      <c r="K158" s="132" t="s">
        <v>20</v>
      </c>
      <c r="L158" s="132" t="s">
        <v>161</v>
      </c>
      <c r="M158" s="132" t="s">
        <v>153</v>
      </c>
      <c r="N158" s="133">
        <v>41785</v>
      </c>
      <c r="O158" s="134">
        <v>916</v>
      </c>
      <c r="P158" s="132" t="s">
        <v>151</v>
      </c>
      <c r="Q158" s="132" t="s">
        <v>181</v>
      </c>
      <c r="R158" s="132" t="s">
        <v>153</v>
      </c>
      <c r="S158" s="133">
        <v>41725</v>
      </c>
      <c r="T158" s="134">
        <v>640.79999999999995</v>
      </c>
      <c r="U158" s="132" t="s">
        <v>154</v>
      </c>
      <c r="V158" s="132" t="s">
        <v>156</v>
      </c>
      <c r="W158" s="132" t="s">
        <v>153</v>
      </c>
      <c r="X158" s="133">
        <v>41665</v>
      </c>
      <c r="Y158" s="134">
        <v>503</v>
      </c>
    </row>
    <row r="159" spans="1:25" x14ac:dyDescent="0.25">
      <c r="A159" s="79" t="s">
        <v>148</v>
      </c>
      <c r="B159" s="12" t="s">
        <v>178</v>
      </c>
      <c r="C159" s="12" t="s">
        <v>153</v>
      </c>
      <c r="D159" s="80">
        <v>41957</v>
      </c>
      <c r="E159" s="81">
        <v>780</v>
      </c>
      <c r="F159" s="76" t="s">
        <v>150</v>
      </c>
      <c r="G159" s="77" t="s">
        <v>155</v>
      </c>
      <c r="H159" s="77" t="s">
        <v>153</v>
      </c>
      <c r="I159" s="86">
        <v>41773</v>
      </c>
      <c r="J159" s="78">
        <v>927</v>
      </c>
      <c r="K159" s="132" t="s">
        <v>20</v>
      </c>
      <c r="L159" s="132" t="s">
        <v>161</v>
      </c>
      <c r="M159" s="132" t="s">
        <v>153</v>
      </c>
      <c r="N159" s="133">
        <v>41878</v>
      </c>
      <c r="O159" s="134">
        <v>750</v>
      </c>
      <c r="P159" s="132" t="s">
        <v>151</v>
      </c>
      <c r="Q159" s="132" t="s">
        <v>181</v>
      </c>
      <c r="R159" s="132" t="s">
        <v>153</v>
      </c>
      <c r="S159" s="133">
        <v>41877</v>
      </c>
      <c r="T159" s="134">
        <v>496.2</v>
      </c>
      <c r="U159" s="132" t="s">
        <v>154</v>
      </c>
      <c r="V159" s="132" t="s">
        <v>156</v>
      </c>
      <c r="W159" s="132" t="s">
        <v>153</v>
      </c>
      <c r="X159" s="133">
        <v>41666</v>
      </c>
      <c r="Y159" s="134">
        <v>603</v>
      </c>
    </row>
    <row r="160" spans="1:25" x14ac:dyDescent="0.25">
      <c r="A160" s="79" t="s">
        <v>148</v>
      </c>
      <c r="B160" s="12" t="s">
        <v>178</v>
      </c>
      <c r="C160" s="12" t="s">
        <v>153</v>
      </c>
      <c r="D160" s="80">
        <v>41958</v>
      </c>
      <c r="E160" s="81">
        <v>767</v>
      </c>
      <c r="F160" s="76" t="s">
        <v>150</v>
      </c>
      <c r="G160" s="77" t="s">
        <v>155</v>
      </c>
      <c r="H160" s="77" t="s">
        <v>153</v>
      </c>
      <c r="I160" s="86">
        <v>41774</v>
      </c>
      <c r="J160" s="78">
        <v>373</v>
      </c>
      <c r="K160" s="132" t="s">
        <v>20</v>
      </c>
      <c r="L160" s="132" t="s">
        <v>161</v>
      </c>
      <c r="M160" s="132" t="s">
        <v>153</v>
      </c>
      <c r="N160" s="133">
        <v>41881</v>
      </c>
      <c r="O160" s="134">
        <v>1400</v>
      </c>
      <c r="P160" s="132" t="s">
        <v>151</v>
      </c>
      <c r="Q160" s="132" t="s">
        <v>181</v>
      </c>
      <c r="R160" s="132" t="s">
        <v>153</v>
      </c>
      <c r="S160" s="133">
        <v>41878</v>
      </c>
      <c r="T160" s="134">
        <v>693.8</v>
      </c>
      <c r="U160" s="132" t="s">
        <v>154</v>
      </c>
      <c r="V160" s="132" t="s">
        <v>156</v>
      </c>
      <c r="W160" s="132" t="s">
        <v>153</v>
      </c>
      <c r="X160" s="133">
        <v>41666</v>
      </c>
      <c r="Y160" s="134">
        <v>570</v>
      </c>
    </row>
    <row r="161" spans="1:25" x14ac:dyDescent="0.25">
      <c r="A161" s="79" t="s">
        <v>148</v>
      </c>
      <c r="B161" s="12" t="s">
        <v>178</v>
      </c>
      <c r="C161" s="12" t="s">
        <v>153</v>
      </c>
      <c r="D161" s="80">
        <v>41959</v>
      </c>
      <c r="E161" s="81">
        <v>860</v>
      </c>
      <c r="F161" s="76" t="s">
        <v>150</v>
      </c>
      <c r="G161" s="77" t="s">
        <v>155</v>
      </c>
      <c r="H161" s="77" t="s">
        <v>153</v>
      </c>
      <c r="I161" s="86">
        <v>41809</v>
      </c>
      <c r="J161" s="78">
        <v>1140</v>
      </c>
      <c r="K161" s="132" t="s">
        <v>20</v>
      </c>
      <c r="L161" s="132" t="s">
        <v>161</v>
      </c>
      <c r="M161" s="132" t="s">
        <v>153</v>
      </c>
      <c r="N161" s="133">
        <v>41885</v>
      </c>
      <c r="O161" s="134">
        <v>1518</v>
      </c>
      <c r="P161" s="132" t="s">
        <v>151</v>
      </c>
      <c r="Q161" s="132" t="s">
        <v>162</v>
      </c>
      <c r="R161" s="132" t="s">
        <v>153</v>
      </c>
      <c r="S161" s="133">
        <v>41691</v>
      </c>
      <c r="T161" s="134">
        <v>804.4</v>
      </c>
      <c r="U161" s="132" t="s">
        <v>154</v>
      </c>
      <c r="V161" s="132" t="s">
        <v>156</v>
      </c>
      <c r="W161" s="132" t="s">
        <v>153</v>
      </c>
      <c r="X161" s="133">
        <v>41667</v>
      </c>
      <c r="Y161" s="134">
        <v>1012</v>
      </c>
    </row>
    <row r="162" spans="1:25" x14ac:dyDescent="0.25">
      <c r="A162" s="79" t="s">
        <v>148</v>
      </c>
      <c r="B162" s="12" t="s">
        <v>178</v>
      </c>
      <c r="C162" s="12" t="s">
        <v>153</v>
      </c>
      <c r="D162" s="80">
        <v>41960</v>
      </c>
      <c r="E162" s="81">
        <v>750</v>
      </c>
      <c r="F162" s="76" t="s">
        <v>150</v>
      </c>
      <c r="G162" s="77" t="s">
        <v>155</v>
      </c>
      <c r="H162" s="77" t="s">
        <v>153</v>
      </c>
      <c r="I162" s="86">
        <v>41809</v>
      </c>
      <c r="J162" s="78">
        <v>1224</v>
      </c>
      <c r="K162" s="132" t="s">
        <v>20</v>
      </c>
      <c r="L162" s="132" t="s">
        <v>161</v>
      </c>
      <c r="M162" s="132" t="s">
        <v>153</v>
      </c>
      <c r="N162" s="133">
        <v>41916</v>
      </c>
      <c r="O162" s="134">
        <v>1231</v>
      </c>
      <c r="P162" s="132" t="s">
        <v>151</v>
      </c>
      <c r="Q162" s="132" t="s">
        <v>162</v>
      </c>
      <c r="R162" s="132" t="s">
        <v>153</v>
      </c>
      <c r="S162" s="133">
        <v>41722</v>
      </c>
      <c r="T162" s="134">
        <v>568.1</v>
      </c>
      <c r="U162" s="132" t="s">
        <v>154</v>
      </c>
      <c r="V162" s="132" t="s">
        <v>156</v>
      </c>
      <c r="W162" s="132" t="s">
        <v>153</v>
      </c>
      <c r="X162" s="133">
        <v>41668</v>
      </c>
      <c r="Y162" s="134">
        <v>1280</v>
      </c>
    </row>
    <row r="163" spans="1:25" x14ac:dyDescent="0.25">
      <c r="A163" s="79" t="s">
        <v>148</v>
      </c>
      <c r="B163" s="12" t="s">
        <v>178</v>
      </c>
      <c r="C163" s="12" t="s">
        <v>153</v>
      </c>
      <c r="D163" s="80">
        <v>41961</v>
      </c>
      <c r="E163" s="81">
        <v>760</v>
      </c>
      <c r="F163" s="76" t="s">
        <v>150</v>
      </c>
      <c r="G163" s="77" t="s">
        <v>155</v>
      </c>
      <c r="H163" s="77" t="s">
        <v>153</v>
      </c>
      <c r="I163" s="86">
        <v>41810</v>
      </c>
      <c r="J163" s="78">
        <v>1157</v>
      </c>
      <c r="K163" s="132" t="s">
        <v>20</v>
      </c>
      <c r="L163" s="132" t="s">
        <v>161</v>
      </c>
      <c r="M163" s="132" t="s">
        <v>153</v>
      </c>
      <c r="N163" s="133">
        <v>41918</v>
      </c>
      <c r="O163" s="134">
        <v>920</v>
      </c>
      <c r="P163" s="132" t="s">
        <v>151</v>
      </c>
      <c r="Q163" s="132" t="s">
        <v>162</v>
      </c>
      <c r="R163" s="132" t="s">
        <v>153</v>
      </c>
      <c r="S163" s="133">
        <v>41723</v>
      </c>
      <c r="T163" s="134">
        <v>669.2</v>
      </c>
      <c r="U163" s="132" t="s">
        <v>154</v>
      </c>
      <c r="V163" s="132" t="s">
        <v>156</v>
      </c>
      <c r="W163" s="132" t="s">
        <v>153</v>
      </c>
      <c r="X163" s="133">
        <v>41669</v>
      </c>
      <c r="Y163" s="134">
        <v>710</v>
      </c>
    </row>
    <row r="164" spans="1:25" x14ac:dyDescent="0.25">
      <c r="A164" s="79" t="s">
        <v>148</v>
      </c>
      <c r="B164" s="12" t="s">
        <v>178</v>
      </c>
      <c r="C164" s="12" t="s">
        <v>153</v>
      </c>
      <c r="D164" s="80">
        <v>41962</v>
      </c>
      <c r="E164" s="81">
        <v>1010</v>
      </c>
      <c r="F164" s="76" t="s">
        <v>150</v>
      </c>
      <c r="G164" s="77" t="s">
        <v>155</v>
      </c>
      <c r="H164" s="77" t="s">
        <v>153</v>
      </c>
      <c r="I164" s="86">
        <v>41811</v>
      </c>
      <c r="J164" s="78">
        <v>1184</v>
      </c>
      <c r="K164" s="132" t="s">
        <v>20</v>
      </c>
      <c r="L164" s="132" t="s">
        <v>161</v>
      </c>
      <c r="M164" s="132" t="s">
        <v>153</v>
      </c>
      <c r="N164" s="133">
        <v>41922</v>
      </c>
      <c r="O164" s="134">
        <v>1016</v>
      </c>
      <c r="P164" s="132" t="s">
        <v>151</v>
      </c>
      <c r="Q164" s="132" t="s">
        <v>162</v>
      </c>
      <c r="R164" s="132" t="s">
        <v>153</v>
      </c>
      <c r="S164" s="133">
        <v>41724</v>
      </c>
      <c r="T164" s="134">
        <v>793.9</v>
      </c>
      <c r="U164" s="132" t="s">
        <v>154</v>
      </c>
      <c r="V164" s="132" t="s">
        <v>156</v>
      </c>
      <c r="W164" s="132" t="s">
        <v>153</v>
      </c>
      <c r="X164" s="133">
        <v>41669</v>
      </c>
      <c r="Y164" s="134">
        <v>290</v>
      </c>
    </row>
    <row r="165" spans="1:25" x14ac:dyDescent="0.25">
      <c r="A165" s="79" t="s">
        <v>148</v>
      </c>
      <c r="B165" s="12" t="s">
        <v>178</v>
      </c>
      <c r="C165" s="12" t="s">
        <v>153</v>
      </c>
      <c r="D165" s="80">
        <v>41963</v>
      </c>
      <c r="E165" s="81">
        <v>900</v>
      </c>
      <c r="F165" s="76" t="s">
        <v>150</v>
      </c>
      <c r="G165" s="77" t="s">
        <v>155</v>
      </c>
      <c r="H165" s="77" t="s">
        <v>153</v>
      </c>
      <c r="I165" s="86">
        <v>41812</v>
      </c>
      <c r="J165" s="78">
        <v>1151</v>
      </c>
      <c r="K165" s="132" t="s">
        <v>20</v>
      </c>
      <c r="L165" s="132" t="s">
        <v>161</v>
      </c>
      <c r="M165" s="132" t="s">
        <v>153</v>
      </c>
      <c r="N165" s="133">
        <v>41994</v>
      </c>
      <c r="O165" s="134">
        <v>1350</v>
      </c>
      <c r="P165" s="132" t="s">
        <v>151</v>
      </c>
      <c r="Q165" s="132" t="s">
        <v>162</v>
      </c>
      <c r="R165" s="132" t="s">
        <v>153</v>
      </c>
      <c r="S165" s="133">
        <v>41806</v>
      </c>
      <c r="T165" s="134">
        <v>627.6</v>
      </c>
      <c r="U165" s="132" t="s">
        <v>154</v>
      </c>
      <c r="V165" s="132" t="s">
        <v>156</v>
      </c>
      <c r="W165" s="132" t="s">
        <v>153</v>
      </c>
      <c r="X165" s="133">
        <v>41670</v>
      </c>
      <c r="Y165" s="134">
        <v>621</v>
      </c>
    </row>
    <row r="166" spans="1:25" x14ac:dyDescent="0.25">
      <c r="A166" s="79" t="s">
        <v>148</v>
      </c>
      <c r="B166" s="12" t="s">
        <v>178</v>
      </c>
      <c r="C166" s="12" t="s">
        <v>153</v>
      </c>
      <c r="D166" s="80">
        <v>41964</v>
      </c>
      <c r="E166" s="81">
        <v>800</v>
      </c>
      <c r="F166" s="76" t="s">
        <v>150</v>
      </c>
      <c r="G166" s="77" t="s">
        <v>155</v>
      </c>
      <c r="H166" s="77" t="s">
        <v>153</v>
      </c>
      <c r="I166" s="86">
        <v>41814</v>
      </c>
      <c r="J166" s="78">
        <v>1284</v>
      </c>
      <c r="K166" s="132" t="s">
        <v>20</v>
      </c>
      <c r="L166" s="132" t="s">
        <v>181</v>
      </c>
      <c r="M166" s="132" t="s">
        <v>153</v>
      </c>
      <c r="N166" s="133">
        <v>41737</v>
      </c>
      <c r="O166" s="134">
        <v>306</v>
      </c>
      <c r="P166" s="132" t="s">
        <v>151</v>
      </c>
      <c r="Q166" s="132" t="s">
        <v>162</v>
      </c>
      <c r="R166" s="132" t="s">
        <v>153</v>
      </c>
      <c r="S166" s="133">
        <v>41807</v>
      </c>
      <c r="T166" s="134">
        <v>626.79999999999995</v>
      </c>
      <c r="U166" s="132" t="s">
        <v>154</v>
      </c>
      <c r="V166" s="132" t="s">
        <v>156</v>
      </c>
      <c r="W166" s="132" t="s">
        <v>153</v>
      </c>
      <c r="X166" s="133">
        <v>41670</v>
      </c>
      <c r="Y166" s="134">
        <v>231</v>
      </c>
    </row>
    <row r="167" spans="1:25" x14ac:dyDescent="0.25">
      <c r="A167" s="79" t="s">
        <v>148</v>
      </c>
      <c r="B167" s="12" t="s">
        <v>178</v>
      </c>
      <c r="C167" s="12" t="s">
        <v>153</v>
      </c>
      <c r="D167" s="80">
        <v>41965</v>
      </c>
      <c r="E167" s="81">
        <v>900</v>
      </c>
      <c r="F167" s="76" t="s">
        <v>150</v>
      </c>
      <c r="G167" s="77" t="s">
        <v>155</v>
      </c>
      <c r="H167" s="77" t="s">
        <v>153</v>
      </c>
      <c r="I167" s="86">
        <v>41816</v>
      </c>
      <c r="J167" s="78">
        <v>1184</v>
      </c>
      <c r="K167" s="132" t="s">
        <v>20</v>
      </c>
      <c r="L167" s="132" t="s">
        <v>181</v>
      </c>
      <c r="M167" s="132" t="s">
        <v>153</v>
      </c>
      <c r="N167" s="133">
        <v>41747</v>
      </c>
      <c r="O167" s="134">
        <v>646</v>
      </c>
      <c r="P167" s="132" t="s">
        <v>151</v>
      </c>
      <c r="Q167" s="132" t="s">
        <v>162</v>
      </c>
      <c r="R167" s="132" t="s">
        <v>153</v>
      </c>
      <c r="S167" s="133">
        <v>41808</v>
      </c>
      <c r="T167" s="134">
        <v>818.6</v>
      </c>
      <c r="U167" s="132" t="s">
        <v>154</v>
      </c>
      <c r="V167" s="132" t="s">
        <v>156</v>
      </c>
      <c r="W167" s="132" t="s">
        <v>153</v>
      </c>
      <c r="X167" s="133">
        <v>41670</v>
      </c>
      <c r="Y167" s="134">
        <v>347</v>
      </c>
    </row>
    <row r="168" spans="1:25" x14ac:dyDescent="0.25">
      <c r="A168" s="79" t="s">
        <v>148</v>
      </c>
      <c r="B168" s="12" t="s">
        <v>178</v>
      </c>
      <c r="C168" s="12" t="s">
        <v>153</v>
      </c>
      <c r="D168" s="80">
        <v>41966</v>
      </c>
      <c r="E168" s="81">
        <v>825</v>
      </c>
      <c r="F168" s="76" t="s">
        <v>150</v>
      </c>
      <c r="G168" s="77" t="s">
        <v>155</v>
      </c>
      <c r="H168" s="77" t="s">
        <v>153</v>
      </c>
      <c r="I168" s="86">
        <v>41816</v>
      </c>
      <c r="J168" s="78">
        <v>1205</v>
      </c>
      <c r="K168" s="132" t="s">
        <v>20</v>
      </c>
      <c r="L168" s="132" t="s">
        <v>181</v>
      </c>
      <c r="M168" s="132" t="s">
        <v>153</v>
      </c>
      <c r="N168" s="133">
        <v>41749</v>
      </c>
      <c r="O168" s="134">
        <v>950</v>
      </c>
      <c r="P168" s="132" t="s">
        <v>151</v>
      </c>
      <c r="Q168" s="132" t="s">
        <v>162</v>
      </c>
      <c r="R168" s="132" t="s">
        <v>153</v>
      </c>
      <c r="S168" s="133">
        <v>41813</v>
      </c>
      <c r="T168" s="134">
        <v>690.4</v>
      </c>
      <c r="U168" s="132" t="s">
        <v>154</v>
      </c>
      <c r="V168" s="132" t="s">
        <v>156</v>
      </c>
      <c r="W168" s="132" t="s">
        <v>153</v>
      </c>
      <c r="X168" s="133">
        <v>41673</v>
      </c>
      <c r="Y168" s="134">
        <v>491</v>
      </c>
    </row>
    <row r="169" spans="1:25" x14ac:dyDescent="0.25">
      <c r="A169" s="79" t="s">
        <v>148</v>
      </c>
      <c r="B169" s="12" t="s">
        <v>178</v>
      </c>
      <c r="C169" s="12" t="s">
        <v>153</v>
      </c>
      <c r="D169" s="80">
        <v>41967</v>
      </c>
      <c r="E169" s="81">
        <v>930</v>
      </c>
      <c r="F169" s="76" t="s">
        <v>150</v>
      </c>
      <c r="G169" s="77" t="s">
        <v>155</v>
      </c>
      <c r="H169" s="77" t="s">
        <v>153</v>
      </c>
      <c r="I169" s="86">
        <v>41817</v>
      </c>
      <c r="J169" s="78">
        <v>490</v>
      </c>
      <c r="K169" s="132" t="s">
        <v>20</v>
      </c>
      <c r="L169" s="132" t="s">
        <v>181</v>
      </c>
      <c r="M169" s="132" t="s">
        <v>153</v>
      </c>
      <c r="N169" s="133">
        <v>41761</v>
      </c>
      <c r="O169" s="134">
        <v>391</v>
      </c>
      <c r="P169" s="132" t="s">
        <v>151</v>
      </c>
      <c r="Q169" s="132" t="s">
        <v>162</v>
      </c>
      <c r="R169" s="132" t="s">
        <v>153</v>
      </c>
      <c r="S169" s="133">
        <v>41831</v>
      </c>
      <c r="T169" s="134">
        <v>575.70000000000005</v>
      </c>
      <c r="U169" s="132" t="s">
        <v>154</v>
      </c>
      <c r="V169" s="132" t="s">
        <v>156</v>
      </c>
      <c r="W169" s="132" t="s">
        <v>153</v>
      </c>
      <c r="X169" s="133">
        <v>41673</v>
      </c>
      <c r="Y169" s="134">
        <v>502</v>
      </c>
    </row>
    <row r="170" spans="1:25" x14ac:dyDescent="0.25">
      <c r="A170" s="79" t="s">
        <v>148</v>
      </c>
      <c r="B170" s="12" t="s">
        <v>178</v>
      </c>
      <c r="C170" s="12" t="s">
        <v>153</v>
      </c>
      <c r="D170" s="80">
        <v>41968</v>
      </c>
      <c r="E170" s="81">
        <v>800</v>
      </c>
      <c r="F170" s="76" t="s">
        <v>150</v>
      </c>
      <c r="G170" s="77" t="s">
        <v>155</v>
      </c>
      <c r="H170" s="77" t="s">
        <v>153</v>
      </c>
      <c r="I170" s="86">
        <v>41820</v>
      </c>
      <c r="J170" s="78">
        <v>856</v>
      </c>
      <c r="K170" s="132" t="s">
        <v>20</v>
      </c>
      <c r="L170" s="132" t="s">
        <v>181</v>
      </c>
      <c r="M170" s="132" t="s">
        <v>153</v>
      </c>
      <c r="N170" s="133">
        <v>41782</v>
      </c>
      <c r="O170" s="134">
        <v>1001</v>
      </c>
      <c r="P170" s="132" t="s">
        <v>151</v>
      </c>
      <c r="Q170" s="132" t="s">
        <v>162</v>
      </c>
      <c r="R170" s="132" t="s">
        <v>153</v>
      </c>
      <c r="S170" s="133">
        <v>41836</v>
      </c>
      <c r="T170" s="134">
        <v>1287.9000000000001</v>
      </c>
      <c r="U170" s="132" t="s">
        <v>154</v>
      </c>
      <c r="V170" s="132" t="s">
        <v>156</v>
      </c>
      <c r="W170" s="132" t="s">
        <v>153</v>
      </c>
      <c r="X170" s="133">
        <v>41674</v>
      </c>
      <c r="Y170" s="134">
        <v>518</v>
      </c>
    </row>
    <row r="171" spans="1:25" x14ac:dyDescent="0.25">
      <c r="A171" s="79" t="s">
        <v>148</v>
      </c>
      <c r="B171" s="12" t="s">
        <v>178</v>
      </c>
      <c r="C171" s="12" t="s">
        <v>153</v>
      </c>
      <c r="D171" s="80">
        <v>41969</v>
      </c>
      <c r="E171" s="81">
        <v>680</v>
      </c>
      <c r="F171" s="76" t="s">
        <v>150</v>
      </c>
      <c r="G171" s="77" t="s">
        <v>155</v>
      </c>
      <c r="H171" s="77" t="s">
        <v>153</v>
      </c>
      <c r="I171" s="86">
        <v>41821</v>
      </c>
      <c r="J171" s="78">
        <v>641</v>
      </c>
      <c r="K171" s="132" t="s">
        <v>20</v>
      </c>
      <c r="L171" s="132" t="s">
        <v>181</v>
      </c>
      <c r="M171" s="132" t="s">
        <v>153</v>
      </c>
      <c r="N171" s="133">
        <v>41785</v>
      </c>
      <c r="O171" s="134">
        <v>823</v>
      </c>
      <c r="P171" s="132" t="s">
        <v>151</v>
      </c>
      <c r="Q171" s="132" t="s">
        <v>162</v>
      </c>
      <c r="R171" s="132" t="s">
        <v>153</v>
      </c>
      <c r="S171" s="133">
        <v>41884</v>
      </c>
      <c r="T171" s="134">
        <v>423</v>
      </c>
      <c r="U171" s="132" t="s">
        <v>154</v>
      </c>
      <c r="V171" s="132" t="s">
        <v>156</v>
      </c>
      <c r="W171" s="132" t="s">
        <v>153</v>
      </c>
      <c r="X171" s="133">
        <v>41674</v>
      </c>
      <c r="Y171" s="134">
        <v>360</v>
      </c>
    </row>
    <row r="172" spans="1:25" x14ac:dyDescent="0.25">
      <c r="A172" s="79" t="s">
        <v>148</v>
      </c>
      <c r="B172" s="12" t="s">
        <v>178</v>
      </c>
      <c r="C172" s="12" t="s">
        <v>153</v>
      </c>
      <c r="D172" s="80">
        <v>41970</v>
      </c>
      <c r="E172" s="81">
        <v>800</v>
      </c>
      <c r="F172" s="76" t="s">
        <v>150</v>
      </c>
      <c r="G172" s="77" t="s">
        <v>155</v>
      </c>
      <c r="H172" s="77" t="s">
        <v>153</v>
      </c>
      <c r="I172" s="86">
        <v>41823</v>
      </c>
      <c r="J172" s="78">
        <v>815</v>
      </c>
      <c r="K172" s="132" t="s">
        <v>20</v>
      </c>
      <c r="L172" s="132" t="s">
        <v>181</v>
      </c>
      <c r="M172" s="132" t="s">
        <v>153</v>
      </c>
      <c r="N172" s="133">
        <v>41787</v>
      </c>
      <c r="O172" s="134">
        <v>482</v>
      </c>
      <c r="P172" s="132" t="s">
        <v>151</v>
      </c>
      <c r="Q172" s="132" t="s">
        <v>162</v>
      </c>
      <c r="R172" s="132" t="s">
        <v>153</v>
      </c>
      <c r="S172" s="133">
        <v>41885</v>
      </c>
      <c r="T172" s="134">
        <v>814.7</v>
      </c>
      <c r="U172" s="132" t="s">
        <v>154</v>
      </c>
      <c r="V172" s="132" t="s">
        <v>156</v>
      </c>
      <c r="W172" s="132" t="s">
        <v>153</v>
      </c>
      <c r="X172" s="133">
        <v>41675</v>
      </c>
      <c r="Y172" s="134">
        <v>393</v>
      </c>
    </row>
    <row r="173" spans="1:25" x14ac:dyDescent="0.25">
      <c r="A173" s="79" t="s">
        <v>148</v>
      </c>
      <c r="B173" s="12" t="s">
        <v>178</v>
      </c>
      <c r="C173" s="12" t="s">
        <v>153</v>
      </c>
      <c r="D173" s="80">
        <v>41971</v>
      </c>
      <c r="E173" s="81">
        <v>799</v>
      </c>
      <c r="F173" s="76" t="s">
        <v>150</v>
      </c>
      <c r="G173" s="77" t="s">
        <v>155</v>
      </c>
      <c r="H173" s="77" t="s">
        <v>153</v>
      </c>
      <c r="I173" s="86">
        <v>41827</v>
      </c>
      <c r="J173" s="78">
        <v>416</v>
      </c>
      <c r="K173" s="132" t="s">
        <v>20</v>
      </c>
      <c r="L173" s="132" t="s">
        <v>181</v>
      </c>
      <c r="M173" s="132" t="s">
        <v>153</v>
      </c>
      <c r="N173" s="133">
        <v>41794</v>
      </c>
      <c r="O173" s="134">
        <v>577</v>
      </c>
      <c r="P173" s="132" t="s">
        <v>151</v>
      </c>
      <c r="Q173" s="132" t="s">
        <v>162</v>
      </c>
      <c r="R173" s="132" t="s">
        <v>153</v>
      </c>
      <c r="S173" s="133">
        <v>41886</v>
      </c>
      <c r="T173" s="134">
        <v>736.7</v>
      </c>
      <c r="U173" s="132" t="s">
        <v>154</v>
      </c>
      <c r="V173" s="132" t="s">
        <v>156</v>
      </c>
      <c r="W173" s="132" t="s">
        <v>153</v>
      </c>
      <c r="X173" s="133">
        <v>41676</v>
      </c>
      <c r="Y173" s="134">
        <v>670</v>
      </c>
    </row>
    <row r="174" spans="1:25" x14ac:dyDescent="0.25">
      <c r="A174" s="79" t="s">
        <v>148</v>
      </c>
      <c r="B174" s="12" t="s">
        <v>178</v>
      </c>
      <c r="C174" s="12" t="s">
        <v>153</v>
      </c>
      <c r="D174" s="80">
        <v>41973</v>
      </c>
      <c r="E174" s="81">
        <v>590</v>
      </c>
      <c r="F174" s="76" t="s">
        <v>150</v>
      </c>
      <c r="G174" s="77" t="s">
        <v>155</v>
      </c>
      <c r="H174" s="77" t="s">
        <v>153</v>
      </c>
      <c r="I174" s="86">
        <v>41828</v>
      </c>
      <c r="J174" s="78">
        <v>579</v>
      </c>
      <c r="K174" s="132" t="s">
        <v>20</v>
      </c>
      <c r="L174" s="132" t="s">
        <v>181</v>
      </c>
      <c r="M174" s="132" t="s">
        <v>153</v>
      </c>
      <c r="N174" s="133">
        <v>41809</v>
      </c>
      <c r="O174" s="134">
        <v>614</v>
      </c>
      <c r="P174" s="132" t="s">
        <v>151</v>
      </c>
      <c r="Q174" s="132" t="s">
        <v>162</v>
      </c>
      <c r="R174" s="132" t="s">
        <v>153</v>
      </c>
      <c r="S174" s="133">
        <v>41967</v>
      </c>
      <c r="T174" s="134">
        <v>422.7</v>
      </c>
      <c r="U174" s="132" t="s">
        <v>154</v>
      </c>
      <c r="V174" s="132" t="s">
        <v>156</v>
      </c>
      <c r="W174" s="132" t="s">
        <v>153</v>
      </c>
      <c r="X174" s="133">
        <v>41677</v>
      </c>
      <c r="Y174" s="134">
        <v>672</v>
      </c>
    </row>
    <row r="175" spans="1:25" x14ac:dyDescent="0.25">
      <c r="A175" s="79" t="s">
        <v>148</v>
      </c>
      <c r="B175" s="12" t="s">
        <v>178</v>
      </c>
      <c r="C175" s="12" t="s">
        <v>153</v>
      </c>
      <c r="D175" s="80">
        <v>41973</v>
      </c>
      <c r="E175" s="81">
        <v>1202</v>
      </c>
      <c r="F175" s="76" t="s">
        <v>150</v>
      </c>
      <c r="G175" s="77" t="s">
        <v>155</v>
      </c>
      <c r="H175" s="77" t="s">
        <v>153</v>
      </c>
      <c r="I175" s="86">
        <v>41829</v>
      </c>
      <c r="J175" s="78">
        <v>638</v>
      </c>
      <c r="K175" s="132" t="s">
        <v>20</v>
      </c>
      <c r="L175" s="132" t="s">
        <v>181</v>
      </c>
      <c r="M175" s="132" t="s">
        <v>153</v>
      </c>
      <c r="N175" s="133">
        <v>41897</v>
      </c>
      <c r="O175" s="134">
        <v>1257</v>
      </c>
      <c r="P175" s="132" t="s">
        <v>151</v>
      </c>
      <c r="Q175" s="132" t="s">
        <v>162</v>
      </c>
      <c r="R175" s="132" t="s">
        <v>153</v>
      </c>
      <c r="S175" s="133">
        <v>41969</v>
      </c>
      <c r="T175" s="134">
        <v>462.7</v>
      </c>
      <c r="U175" s="132" t="s">
        <v>154</v>
      </c>
      <c r="V175" s="132" t="s">
        <v>156</v>
      </c>
      <c r="W175" s="132" t="s">
        <v>153</v>
      </c>
      <c r="X175" s="133">
        <v>41677</v>
      </c>
      <c r="Y175" s="134">
        <v>435</v>
      </c>
    </row>
    <row r="176" spans="1:25" x14ac:dyDescent="0.25">
      <c r="A176" s="79" t="s">
        <v>148</v>
      </c>
      <c r="B176" s="12" t="s">
        <v>178</v>
      </c>
      <c r="C176" s="12" t="s">
        <v>153</v>
      </c>
      <c r="D176" s="80">
        <v>41974</v>
      </c>
      <c r="E176" s="81">
        <v>760</v>
      </c>
      <c r="F176" s="76" t="s">
        <v>150</v>
      </c>
      <c r="G176" s="77" t="s">
        <v>155</v>
      </c>
      <c r="H176" s="77" t="s">
        <v>153</v>
      </c>
      <c r="I176" s="86">
        <v>41830</v>
      </c>
      <c r="J176" s="78">
        <v>1153</v>
      </c>
      <c r="K176" s="132" t="s">
        <v>20</v>
      </c>
      <c r="L176" s="132" t="s">
        <v>181</v>
      </c>
      <c r="M176" s="132" t="s">
        <v>153</v>
      </c>
      <c r="N176" s="133">
        <v>41912</v>
      </c>
      <c r="O176" s="134">
        <v>1039</v>
      </c>
      <c r="P176" s="132" t="s">
        <v>151</v>
      </c>
      <c r="Q176" s="132" t="s">
        <v>162</v>
      </c>
      <c r="R176" s="132" t="s">
        <v>153</v>
      </c>
      <c r="S176" s="133">
        <v>41971</v>
      </c>
      <c r="T176" s="134">
        <v>437.9</v>
      </c>
      <c r="U176" s="132" t="s">
        <v>154</v>
      </c>
      <c r="V176" s="132" t="s">
        <v>156</v>
      </c>
      <c r="W176" s="132" t="s">
        <v>153</v>
      </c>
      <c r="X176" s="133">
        <v>41679</v>
      </c>
      <c r="Y176" s="134">
        <v>953</v>
      </c>
    </row>
    <row r="177" spans="1:25" x14ac:dyDescent="0.25">
      <c r="A177" s="79" t="s">
        <v>148</v>
      </c>
      <c r="B177" s="12" t="s">
        <v>179</v>
      </c>
      <c r="C177" s="12" t="s">
        <v>153</v>
      </c>
      <c r="D177" s="80">
        <v>41922</v>
      </c>
      <c r="E177" s="81">
        <v>1226</v>
      </c>
      <c r="F177" s="76" t="s">
        <v>150</v>
      </c>
      <c r="G177" s="77" t="s">
        <v>155</v>
      </c>
      <c r="H177" s="77" t="s">
        <v>153</v>
      </c>
      <c r="I177" s="86">
        <v>41832</v>
      </c>
      <c r="J177" s="78">
        <v>726</v>
      </c>
      <c r="K177" s="132" t="s">
        <v>20</v>
      </c>
      <c r="L177" s="132" t="s">
        <v>181</v>
      </c>
      <c r="M177" s="132" t="s">
        <v>153</v>
      </c>
      <c r="N177" s="133">
        <v>41922</v>
      </c>
      <c r="O177" s="134">
        <v>1073</v>
      </c>
      <c r="P177" s="132" t="s">
        <v>151</v>
      </c>
      <c r="Q177" s="132" t="s">
        <v>162</v>
      </c>
      <c r="R177" s="132" t="s">
        <v>153</v>
      </c>
      <c r="S177" s="133">
        <v>41989</v>
      </c>
      <c r="T177" s="134">
        <v>858.2</v>
      </c>
      <c r="U177" s="132" t="s">
        <v>154</v>
      </c>
      <c r="V177" s="132" t="s">
        <v>156</v>
      </c>
      <c r="W177" s="132" t="s">
        <v>153</v>
      </c>
      <c r="X177" s="133">
        <v>41679</v>
      </c>
      <c r="Y177" s="134">
        <v>422</v>
      </c>
    </row>
    <row r="178" spans="1:25" x14ac:dyDescent="0.25">
      <c r="A178" s="79" t="s">
        <v>148</v>
      </c>
      <c r="B178" s="12" t="s">
        <v>179</v>
      </c>
      <c r="C178" s="12" t="s">
        <v>153</v>
      </c>
      <c r="D178" s="80">
        <v>41925</v>
      </c>
      <c r="E178" s="81">
        <v>830</v>
      </c>
      <c r="F178" s="76" t="s">
        <v>150</v>
      </c>
      <c r="G178" s="77" t="s">
        <v>155</v>
      </c>
      <c r="H178" s="77" t="s">
        <v>153</v>
      </c>
      <c r="I178" s="86">
        <v>41832</v>
      </c>
      <c r="J178" s="78">
        <v>634</v>
      </c>
      <c r="K178" s="132" t="s">
        <v>20</v>
      </c>
      <c r="L178" s="132" t="s">
        <v>162</v>
      </c>
      <c r="M178" s="132" t="s">
        <v>153</v>
      </c>
      <c r="N178" s="133">
        <v>41646</v>
      </c>
      <c r="O178" s="134">
        <v>1313</v>
      </c>
      <c r="P178" s="132" t="s">
        <v>151</v>
      </c>
      <c r="Q178" s="132" t="s">
        <v>183</v>
      </c>
      <c r="R178" s="132" t="s">
        <v>153</v>
      </c>
      <c r="S178" s="133">
        <v>41723</v>
      </c>
      <c r="T178" s="134">
        <v>245.8</v>
      </c>
      <c r="U178" s="132" t="s">
        <v>154</v>
      </c>
      <c r="V178" s="132" t="s">
        <v>156</v>
      </c>
      <c r="W178" s="132" t="s">
        <v>153</v>
      </c>
      <c r="X178" s="133">
        <v>41865</v>
      </c>
      <c r="Y178" s="134">
        <v>549</v>
      </c>
    </row>
    <row r="179" spans="1:25" x14ac:dyDescent="0.25">
      <c r="A179" s="79" t="s">
        <v>148</v>
      </c>
      <c r="B179" s="12" t="s">
        <v>179</v>
      </c>
      <c r="C179" s="12" t="s">
        <v>153</v>
      </c>
      <c r="D179" s="80">
        <v>41926</v>
      </c>
      <c r="E179" s="81">
        <v>800</v>
      </c>
      <c r="F179" s="76" t="s">
        <v>150</v>
      </c>
      <c r="G179" s="77" t="s">
        <v>155</v>
      </c>
      <c r="H179" s="77" t="s">
        <v>153</v>
      </c>
      <c r="I179" s="86">
        <v>41834</v>
      </c>
      <c r="J179" s="78">
        <v>435</v>
      </c>
      <c r="K179" s="132" t="s">
        <v>20</v>
      </c>
      <c r="L179" s="132" t="s">
        <v>162</v>
      </c>
      <c r="M179" s="132" t="s">
        <v>153</v>
      </c>
      <c r="N179" s="133">
        <v>41657</v>
      </c>
      <c r="O179" s="134">
        <v>739</v>
      </c>
      <c r="P179" s="132" t="s">
        <v>151</v>
      </c>
      <c r="Q179" s="132" t="s">
        <v>183</v>
      </c>
      <c r="R179" s="132" t="s">
        <v>153</v>
      </c>
      <c r="S179" s="133">
        <v>41724</v>
      </c>
      <c r="T179" s="134">
        <v>651.1</v>
      </c>
      <c r="U179" s="132" t="s">
        <v>154</v>
      </c>
      <c r="V179" s="132" t="s">
        <v>156</v>
      </c>
      <c r="W179" s="132" t="s">
        <v>153</v>
      </c>
      <c r="X179" s="133">
        <v>41866</v>
      </c>
      <c r="Y179" s="134">
        <v>550</v>
      </c>
    </row>
    <row r="180" spans="1:25" x14ac:dyDescent="0.25">
      <c r="A180" s="79" t="s">
        <v>148</v>
      </c>
      <c r="B180" s="12" t="s">
        <v>179</v>
      </c>
      <c r="C180" s="12" t="s">
        <v>153</v>
      </c>
      <c r="D180" s="80">
        <v>41927</v>
      </c>
      <c r="E180" s="81">
        <v>850</v>
      </c>
      <c r="F180" s="76" t="s">
        <v>150</v>
      </c>
      <c r="G180" s="77" t="s">
        <v>155</v>
      </c>
      <c r="H180" s="77" t="s">
        <v>153</v>
      </c>
      <c r="I180" s="86">
        <v>41834</v>
      </c>
      <c r="J180" s="78">
        <v>887</v>
      </c>
      <c r="K180" s="132" t="s">
        <v>20</v>
      </c>
      <c r="L180" s="132" t="s">
        <v>162</v>
      </c>
      <c r="M180" s="132" t="s">
        <v>153</v>
      </c>
      <c r="N180" s="133">
        <v>41672</v>
      </c>
      <c r="O180" s="134">
        <v>504</v>
      </c>
      <c r="P180" s="132" t="s">
        <v>151</v>
      </c>
      <c r="Q180" s="132" t="s">
        <v>183</v>
      </c>
      <c r="R180" s="132" t="s">
        <v>153</v>
      </c>
      <c r="S180" s="133">
        <v>41725</v>
      </c>
      <c r="T180" s="134">
        <v>817</v>
      </c>
      <c r="U180" s="132" t="s">
        <v>154</v>
      </c>
      <c r="V180" s="132" t="s">
        <v>156</v>
      </c>
      <c r="W180" s="132" t="s">
        <v>153</v>
      </c>
      <c r="X180" s="133">
        <v>41870</v>
      </c>
      <c r="Y180" s="134">
        <v>1046</v>
      </c>
    </row>
    <row r="181" spans="1:25" x14ac:dyDescent="0.25">
      <c r="A181" s="79" t="s">
        <v>148</v>
      </c>
      <c r="B181" s="12" t="s">
        <v>179</v>
      </c>
      <c r="C181" s="12" t="s">
        <v>153</v>
      </c>
      <c r="D181" s="80">
        <v>41928</v>
      </c>
      <c r="E181" s="81">
        <v>775</v>
      </c>
      <c r="F181" s="76" t="s">
        <v>150</v>
      </c>
      <c r="G181" s="77" t="s">
        <v>155</v>
      </c>
      <c r="H181" s="77" t="s">
        <v>153</v>
      </c>
      <c r="I181" s="86">
        <v>41835</v>
      </c>
      <c r="J181" s="78">
        <v>607</v>
      </c>
      <c r="K181" s="132" t="s">
        <v>20</v>
      </c>
      <c r="L181" s="132" t="s">
        <v>162</v>
      </c>
      <c r="M181" s="132" t="s">
        <v>153</v>
      </c>
      <c r="N181" s="133">
        <v>41676</v>
      </c>
      <c r="O181" s="134">
        <v>653</v>
      </c>
      <c r="P181" s="132" t="s">
        <v>151</v>
      </c>
      <c r="Q181" s="132" t="s">
        <v>183</v>
      </c>
      <c r="R181" s="132" t="s">
        <v>153</v>
      </c>
      <c r="S181" s="133">
        <v>41730</v>
      </c>
      <c r="T181" s="134">
        <v>541.1</v>
      </c>
      <c r="U181" s="132" t="s">
        <v>154</v>
      </c>
      <c r="V181" s="132" t="s">
        <v>156</v>
      </c>
      <c r="W181" s="132" t="s">
        <v>153</v>
      </c>
      <c r="X181" s="133">
        <v>41871</v>
      </c>
      <c r="Y181" s="134">
        <v>892</v>
      </c>
    </row>
    <row r="182" spans="1:25" x14ac:dyDescent="0.25">
      <c r="A182" s="79" t="s">
        <v>148</v>
      </c>
      <c r="B182" s="12" t="s">
        <v>179</v>
      </c>
      <c r="C182" s="12" t="s">
        <v>153</v>
      </c>
      <c r="D182" s="80">
        <v>41929</v>
      </c>
      <c r="E182" s="81">
        <v>1337</v>
      </c>
      <c r="F182" s="76" t="s">
        <v>150</v>
      </c>
      <c r="G182" s="77" t="s">
        <v>155</v>
      </c>
      <c r="H182" s="77" t="s">
        <v>153</v>
      </c>
      <c r="I182" s="86">
        <v>41836</v>
      </c>
      <c r="J182" s="78">
        <v>167</v>
      </c>
      <c r="K182" s="132" t="s">
        <v>20</v>
      </c>
      <c r="L182" s="132" t="s">
        <v>162</v>
      </c>
      <c r="M182" s="132" t="s">
        <v>153</v>
      </c>
      <c r="N182" s="133">
        <v>41682</v>
      </c>
      <c r="O182" s="134">
        <v>767</v>
      </c>
      <c r="P182" s="132" t="s">
        <v>151</v>
      </c>
      <c r="Q182" s="132" t="s">
        <v>183</v>
      </c>
      <c r="R182" s="132" t="s">
        <v>153</v>
      </c>
      <c r="S182" s="133">
        <v>41731</v>
      </c>
      <c r="T182" s="134">
        <v>652.6</v>
      </c>
      <c r="U182" s="132" t="s">
        <v>154</v>
      </c>
      <c r="V182" s="132" t="s">
        <v>156</v>
      </c>
      <c r="W182" s="132" t="s">
        <v>153</v>
      </c>
      <c r="X182" s="133">
        <v>41934</v>
      </c>
      <c r="Y182" s="134">
        <v>410</v>
      </c>
    </row>
    <row r="183" spans="1:25" x14ac:dyDescent="0.25">
      <c r="A183" s="79" t="s">
        <v>148</v>
      </c>
      <c r="B183" s="12" t="s">
        <v>179</v>
      </c>
      <c r="C183" s="12" t="s">
        <v>153</v>
      </c>
      <c r="D183" s="80">
        <v>41930</v>
      </c>
      <c r="E183" s="81">
        <v>400</v>
      </c>
      <c r="F183" s="76" t="s">
        <v>150</v>
      </c>
      <c r="G183" s="77" t="s">
        <v>155</v>
      </c>
      <c r="H183" s="77" t="s">
        <v>153</v>
      </c>
      <c r="I183" s="86">
        <v>41839</v>
      </c>
      <c r="J183" s="78">
        <v>839</v>
      </c>
      <c r="K183" s="132" t="s">
        <v>20</v>
      </c>
      <c r="L183" s="132" t="s">
        <v>162</v>
      </c>
      <c r="M183" s="132" t="s">
        <v>153</v>
      </c>
      <c r="N183" s="133">
        <v>41721</v>
      </c>
      <c r="O183" s="134">
        <v>1001</v>
      </c>
      <c r="P183" s="132" t="s">
        <v>151</v>
      </c>
      <c r="Q183" s="132" t="s">
        <v>183</v>
      </c>
      <c r="R183" s="132" t="s">
        <v>153</v>
      </c>
      <c r="S183" s="133">
        <v>41733</v>
      </c>
      <c r="T183" s="134">
        <v>688.7</v>
      </c>
      <c r="U183" s="132" t="s">
        <v>154</v>
      </c>
      <c r="V183" s="132" t="s">
        <v>177</v>
      </c>
      <c r="W183" s="132" t="s">
        <v>153</v>
      </c>
      <c r="X183" s="133">
        <v>41737</v>
      </c>
      <c r="Y183" s="134">
        <v>680</v>
      </c>
    </row>
    <row r="184" spans="1:25" x14ac:dyDescent="0.25">
      <c r="A184" s="79" t="s">
        <v>148</v>
      </c>
      <c r="B184" s="12" t="s">
        <v>179</v>
      </c>
      <c r="C184" s="12" t="s">
        <v>153</v>
      </c>
      <c r="D184" s="80">
        <v>41931</v>
      </c>
      <c r="E184" s="81">
        <v>800</v>
      </c>
      <c r="F184" s="76" t="s">
        <v>150</v>
      </c>
      <c r="G184" s="77" t="s">
        <v>155</v>
      </c>
      <c r="H184" s="77" t="s">
        <v>153</v>
      </c>
      <c r="I184" s="86">
        <v>41840</v>
      </c>
      <c r="J184" s="78">
        <v>594</v>
      </c>
      <c r="K184" s="132" t="s">
        <v>20</v>
      </c>
      <c r="L184" s="132" t="s">
        <v>162</v>
      </c>
      <c r="M184" s="132" t="s">
        <v>153</v>
      </c>
      <c r="N184" s="133">
        <v>41734</v>
      </c>
      <c r="O184" s="134">
        <v>1347</v>
      </c>
      <c r="P184" s="132" t="s">
        <v>151</v>
      </c>
      <c r="Q184" s="132" t="s">
        <v>183</v>
      </c>
      <c r="R184" s="132" t="s">
        <v>153</v>
      </c>
      <c r="S184" s="133">
        <v>41736</v>
      </c>
      <c r="T184" s="134">
        <v>725</v>
      </c>
      <c r="U184" s="132" t="s">
        <v>154</v>
      </c>
      <c r="V184" s="132" t="s">
        <v>177</v>
      </c>
      <c r="W184" s="132" t="s">
        <v>153</v>
      </c>
      <c r="X184" s="133">
        <v>41757</v>
      </c>
      <c r="Y184" s="134">
        <v>265</v>
      </c>
    </row>
    <row r="185" spans="1:25" x14ac:dyDescent="0.25">
      <c r="A185" s="79" t="s">
        <v>148</v>
      </c>
      <c r="B185" s="12" t="s">
        <v>179</v>
      </c>
      <c r="C185" s="12" t="s">
        <v>153</v>
      </c>
      <c r="D185" s="80">
        <v>41932</v>
      </c>
      <c r="E185" s="81">
        <v>800</v>
      </c>
      <c r="F185" s="76" t="s">
        <v>150</v>
      </c>
      <c r="G185" s="77" t="s">
        <v>155</v>
      </c>
      <c r="H185" s="77" t="s">
        <v>153</v>
      </c>
      <c r="I185" s="86">
        <v>41841</v>
      </c>
      <c r="J185" s="78">
        <v>697</v>
      </c>
      <c r="K185" s="132" t="s">
        <v>20</v>
      </c>
      <c r="L185" s="132" t="s">
        <v>162</v>
      </c>
      <c r="M185" s="132" t="s">
        <v>153</v>
      </c>
      <c r="N185" s="133">
        <v>41746</v>
      </c>
      <c r="O185" s="134">
        <v>1068</v>
      </c>
      <c r="P185" s="132" t="s">
        <v>151</v>
      </c>
      <c r="Q185" s="132" t="s">
        <v>183</v>
      </c>
      <c r="R185" s="132" t="s">
        <v>153</v>
      </c>
      <c r="S185" s="133">
        <v>41760</v>
      </c>
      <c r="T185" s="134">
        <v>451.5</v>
      </c>
      <c r="U185" s="132" t="s">
        <v>154</v>
      </c>
      <c r="V185" s="132" t="s">
        <v>177</v>
      </c>
      <c r="W185" s="132" t="s">
        <v>153</v>
      </c>
      <c r="X185" s="133">
        <v>41758</v>
      </c>
      <c r="Y185" s="134">
        <v>560</v>
      </c>
    </row>
    <row r="186" spans="1:25" x14ac:dyDescent="0.25">
      <c r="A186" s="79" t="s">
        <v>148</v>
      </c>
      <c r="B186" s="12" t="s">
        <v>179</v>
      </c>
      <c r="C186" s="12" t="s">
        <v>153</v>
      </c>
      <c r="D186" s="80">
        <v>41933</v>
      </c>
      <c r="E186" s="81">
        <v>950</v>
      </c>
      <c r="F186" s="76" t="s">
        <v>150</v>
      </c>
      <c r="G186" s="77" t="s">
        <v>155</v>
      </c>
      <c r="H186" s="77" t="s">
        <v>153</v>
      </c>
      <c r="I186" s="86">
        <v>41842</v>
      </c>
      <c r="J186" s="78">
        <v>642</v>
      </c>
      <c r="K186" s="132" t="s">
        <v>20</v>
      </c>
      <c r="L186" s="132" t="s">
        <v>162</v>
      </c>
      <c r="M186" s="132" t="s">
        <v>153</v>
      </c>
      <c r="N186" s="133">
        <v>41752</v>
      </c>
      <c r="O186" s="134">
        <v>564</v>
      </c>
      <c r="P186" s="132" t="s">
        <v>151</v>
      </c>
      <c r="Q186" s="132" t="s">
        <v>183</v>
      </c>
      <c r="R186" s="132" t="s">
        <v>153</v>
      </c>
      <c r="S186" s="133">
        <v>41761</v>
      </c>
      <c r="T186" s="134">
        <v>598.1</v>
      </c>
      <c r="U186" s="132" t="s">
        <v>154</v>
      </c>
      <c r="V186" s="132" t="s">
        <v>177</v>
      </c>
      <c r="W186" s="132" t="s">
        <v>153</v>
      </c>
      <c r="X186" s="133">
        <v>41759</v>
      </c>
      <c r="Y186" s="134">
        <v>499</v>
      </c>
    </row>
    <row r="187" spans="1:25" x14ac:dyDescent="0.25">
      <c r="A187" s="79" t="s">
        <v>148</v>
      </c>
      <c r="B187" s="12" t="s">
        <v>179</v>
      </c>
      <c r="C187" s="12" t="s">
        <v>153</v>
      </c>
      <c r="D187" s="80">
        <v>41934</v>
      </c>
      <c r="E187" s="81">
        <v>790</v>
      </c>
      <c r="F187" s="76" t="s">
        <v>150</v>
      </c>
      <c r="G187" s="77" t="s">
        <v>155</v>
      </c>
      <c r="H187" s="77" t="s">
        <v>153</v>
      </c>
      <c r="I187" s="86">
        <v>41843</v>
      </c>
      <c r="J187" s="78">
        <v>788</v>
      </c>
      <c r="K187" s="132" t="s">
        <v>20</v>
      </c>
      <c r="L187" s="132" t="s">
        <v>162</v>
      </c>
      <c r="M187" s="132" t="s">
        <v>153</v>
      </c>
      <c r="N187" s="133">
        <v>41801</v>
      </c>
      <c r="O187" s="134">
        <v>628</v>
      </c>
      <c r="P187" s="132" t="s">
        <v>151</v>
      </c>
      <c r="Q187" s="132" t="s">
        <v>183</v>
      </c>
      <c r="R187" s="132" t="s">
        <v>153</v>
      </c>
      <c r="S187" s="133">
        <v>41823</v>
      </c>
      <c r="T187" s="134">
        <v>377.4</v>
      </c>
      <c r="U187" s="132" t="s">
        <v>154</v>
      </c>
      <c r="V187" s="132" t="s">
        <v>177</v>
      </c>
      <c r="W187" s="132" t="s">
        <v>153</v>
      </c>
      <c r="X187" s="133">
        <v>41760</v>
      </c>
      <c r="Y187" s="134">
        <v>503</v>
      </c>
    </row>
    <row r="188" spans="1:25" x14ac:dyDescent="0.25">
      <c r="A188" s="79" t="s">
        <v>148</v>
      </c>
      <c r="B188" s="12" t="s">
        <v>179</v>
      </c>
      <c r="C188" s="12" t="s">
        <v>153</v>
      </c>
      <c r="D188" s="80">
        <v>41935</v>
      </c>
      <c r="E188" s="81">
        <v>790</v>
      </c>
      <c r="F188" s="76" t="s">
        <v>150</v>
      </c>
      <c r="G188" s="77" t="s">
        <v>155</v>
      </c>
      <c r="H188" s="77" t="s">
        <v>153</v>
      </c>
      <c r="I188" s="86">
        <v>41844</v>
      </c>
      <c r="J188" s="78">
        <v>700</v>
      </c>
      <c r="K188" s="132" t="s">
        <v>20</v>
      </c>
      <c r="L188" s="132" t="s">
        <v>162</v>
      </c>
      <c r="M188" s="132" t="s">
        <v>153</v>
      </c>
      <c r="N188" s="133">
        <v>41821</v>
      </c>
      <c r="O188" s="134">
        <v>569</v>
      </c>
      <c r="P188" s="132" t="s">
        <v>151</v>
      </c>
      <c r="Q188" s="132" t="s">
        <v>183</v>
      </c>
      <c r="R188" s="132" t="s">
        <v>153</v>
      </c>
      <c r="S188" s="133">
        <v>41838</v>
      </c>
      <c r="T188" s="134">
        <v>245</v>
      </c>
      <c r="U188" s="132" t="s">
        <v>154</v>
      </c>
      <c r="V188" s="132" t="s">
        <v>177</v>
      </c>
      <c r="W188" s="132" t="s">
        <v>153</v>
      </c>
      <c r="X188" s="133">
        <v>41764</v>
      </c>
      <c r="Y188" s="134">
        <v>499</v>
      </c>
    </row>
    <row r="189" spans="1:25" x14ac:dyDescent="0.25">
      <c r="A189" s="79" t="s">
        <v>148</v>
      </c>
      <c r="B189" s="12" t="s">
        <v>179</v>
      </c>
      <c r="C189" s="12" t="s">
        <v>153</v>
      </c>
      <c r="D189" s="80">
        <v>41936</v>
      </c>
      <c r="E189" s="81">
        <v>830</v>
      </c>
      <c r="F189" s="76" t="s">
        <v>150</v>
      </c>
      <c r="G189" s="77" t="s">
        <v>155</v>
      </c>
      <c r="H189" s="77" t="s">
        <v>153</v>
      </c>
      <c r="I189" s="86">
        <v>41844</v>
      </c>
      <c r="J189" s="78">
        <v>1095</v>
      </c>
      <c r="K189" s="132" t="s">
        <v>20</v>
      </c>
      <c r="L189" s="132" t="s">
        <v>162</v>
      </c>
      <c r="M189" s="132" t="s">
        <v>153</v>
      </c>
      <c r="N189" s="133">
        <v>41843</v>
      </c>
      <c r="O189" s="134">
        <v>1236</v>
      </c>
      <c r="P189" s="132" t="s">
        <v>151</v>
      </c>
      <c r="Q189" s="132" t="s">
        <v>183</v>
      </c>
      <c r="R189" s="132" t="s">
        <v>153</v>
      </c>
      <c r="S189" s="133">
        <v>41841</v>
      </c>
      <c r="T189" s="134">
        <v>670.4</v>
      </c>
      <c r="U189" s="132" t="s">
        <v>154</v>
      </c>
      <c r="V189" s="132" t="s">
        <v>177</v>
      </c>
      <c r="W189" s="132" t="s">
        <v>153</v>
      </c>
      <c r="X189" s="133">
        <v>41765</v>
      </c>
      <c r="Y189" s="134">
        <v>630</v>
      </c>
    </row>
    <row r="190" spans="1:25" x14ac:dyDescent="0.25">
      <c r="A190" s="79" t="s">
        <v>148</v>
      </c>
      <c r="B190" s="12" t="s">
        <v>179</v>
      </c>
      <c r="C190" s="12" t="s">
        <v>153</v>
      </c>
      <c r="D190" s="80">
        <v>41937</v>
      </c>
      <c r="E190" s="81">
        <v>1003</v>
      </c>
      <c r="F190" s="76" t="s">
        <v>150</v>
      </c>
      <c r="G190" s="77" t="s">
        <v>155</v>
      </c>
      <c r="H190" s="77" t="s">
        <v>153</v>
      </c>
      <c r="I190" s="86">
        <v>41845</v>
      </c>
      <c r="J190" s="78">
        <v>1202</v>
      </c>
      <c r="K190" s="132" t="s">
        <v>20</v>
      </c>
      <c r="L190" s="132" t="s">
        <v>162</v>
      </c>
      <c r="M190" s="132" t="s">
        <v>153</v>
      </c>
      <c r="N190" s="133">
        <v>41867</v>
      </c>
      <c r="O190" s="134">
        <v>809</v>
      </c>
      <c r="P190" s="132" t="s">
        <v>151</v>
      </c>
      <c r="Q190" s="132" t="s">
        <v>183</v>
      </c>
      <c r="R190" s="132" t="s">
        <v>153</v>
      </c>
      <c r="S190" s="133">
        <v>41842</v>
      </c>
      <c r="T190" s="134">
        <v>708.7</v>
      </c>
      <c r="U190" s="132" t="s">
        <v>154</v>
      </c>
      <c r="V190" s="132" t="s">
        <v>177</v>
      </c>
      <c r="W190" s="132" t="s">
        <v>153</v>
      </c>
      <c r="X190" s="133">
        <v>41828</v>
      </c>
      <c r="Y190" s="134">
        <v>590</v>
      </c>
    </row>
    <row r="191" spans="1:25" x14ac:dyDescent="0.25">
      <c r="A191" s="79" t="s">
        <v>148</v>
      </c>
      <c r="B191" s="12" t="s">
        <v>179</v>
      </c>
      <c r="C191" s="12" t="s">
        <v>153</v>
      </c>
      <c r="D191" s="80">
        <v>41938</v>
      </c>
      <c r="E191" s="81">
        <v>733</v>
      </c>
      <c r="F191" s="76" t="s">
        <v>150</v>
      </c>
      <c r="G191" s="77" t="s">
        <v>155</v>
      </c>
      <c r="H191" s="77" t="s">
        <v>153</v>
      </c>
      <c r="I191" s="86">
        <v>41846</v>
      </c>
      <c r="J191" s="78">
        <v>1121</v>
      </c>
      <c r="K191" s="132" t="s">
        <v>20</v>
      </c>
      <c r="L191" s="132" t="s">
        <v>162</v>
      </c>
      <c r="M191" s="132" t="s">
        <v>153</v>
      </c>
      <c r="N191" s="133">
        <v>41870</v>
      </c>
      <c r="O191" s="134">
        <v>290</v>
      </c>
      <c r="P191" s="132" t="s">
        <v>151</v>
      </c>
      <c r="Q191" s="132" t="s">
        <v>183</v>
      </c>
      <c r="R191" s="132" t="s">
        <v>153</v>
      </c>
      <c r="S191" s="133">
        <v>41852</v>
      </c>
      <c r="T191" s="134">
        <v>1522.4</v>
      </c>
      <c r="U191" s="132" t="s">
        <v>154</v>
      </c>
      <c r="V191" s="132" t="s">
        <v>177</v>
      </c>
      <c r="W191" s="132" t="s">
        <v>153</v>
      </c>
      <c r="X191" s="133">
        <v>41898</v>
      </c>
      <c r="Y191" s="134">
        <v>370</v>
      </c>
    </row>
    <row r="192" spans="1:25" x14ac:dyDescent="0.25">
      <c r="A192" s="79" t="s">
        <v>148</v>
      </c>
      <c r="B192" s="12" t="s">
        <v>179</v>
      </c>
      <c r="C192" s="12" t="s">
        <v>153</v>
      </c>
      <c r="D192" s="80">
        <v>41940</v>
      </c>
      <c r="E192" s="81">
        <v>810</v>
      </c>
      <c r="F192" s="76" t="s">
        <v>150</v>
      </c>
      <c r="G192" s="77" t="s">
        <v>155</v>
      </c>
      <c r="H192" s="77" t="s">
        <v>153</v>
      </c>
      <c r="I192" s="86">
        <v>41847</v>
      </c>
      <c r="J192" s="78">
        <v>412</v>
      </c>
      <c r="K192" s="132" t="s">
        <v>20</v>
      </c>
      <c r="L192" s="132" t="s">
        <v>162</v>
      </c>
      <c r="M192" s="132" t="s">
        <v>153</v>
      </c>
      <c r="N192" s="133">
        <v>41871</v>
      </c>
      <c r="O192" s="134">
        <v>441</v>
      </c>
      <c r="P192" s="132" t="s">
        <v>151</v>
      </c>
      <c r="Q192" s="132" t="s">
        <v>183</v>
      </c>
      <c r="R192" s="132" t="s">
        <v>153</v>
      </c>
      <c r="S192" s="133">
        <v>41982</v>
      </c>
      <c r="T192" s="134">
        <v>301.5</v>
      </c>
      <c r="U192" s="132" t="s">
        <v>154</v>
      </c>
      <c r="V192" s="132" t="s">
        <v>177</v>
      </c>
      <c r="W192" s="132" t="s">
        <v>153</v>
      </c>
      <c r="X192" s="133">
        <v>41899</v>
      </c>
      <c r="Y192" s="134">
        <v>449</v>
      </c>
    </row>
    <row r="193" spans="1:25" x14ac:dyDescent="0.25">
      <c r="A193" s="79" t="s">
        <v>148</v>
      </c>
      <c r="B193" s="12" t="s">
        <v>179</v>
      </c>
      <c r="C193" s="12" t="s">
        <v>153</v>
      </c>
      <c r="D193" s="80">
        <v>41940</v>
      </c>
      <c r="E193" s="81">
        <v>720</v>
      </c>
      <c r="F193" s="76" t="s">
        <v>150</v>
      </c>
      <c r="G193" s="77" t="s">
        <v>155</v>
      </c>
      <c r="H193" s="77" t="s">
        <v>153</v>
      </c>
      <c r="I193" s="86">
        <v>41847</v>
      </c>
      <c r="J193" s="78">
        <v>729</v>
      </c>
      <c r="K193" s="132" t="s">
        <v>20</v>
      </c>
      <c r="L193" s="132" t="s">
        <v>162</v>
      </c>
      <c r="M193" s="132" t="s">
        <v>153</v>
      </c>
      <c r="N193" s="133">
        <v>41872</v>
      </c>
      <c r="O193" s="134">
        <v>544</v>
      </c>
      <c r="P193" s="132" t="s">
        <v>151</v>
      </c>
      <c r="Q193" s="132" t="s">
        <v>183</v>
      </c>
      <c r="R193" s="132" t="s">
        <v>153</v>
      </c>
      <c r="S193" s="133">
        <v>41983</v>
      </c>
      <c r="T193" s="134">
        <v>634.29999999999995</v>
      </c>
      <c r="U193" s="132" t="s">
        <v>154</v>
      </c>
      <c r="V193" s="132" t="s">
        <v>177</v>
      </c>
      <c r="W193" s="132" t="s">
        <v>153</v>
      </c>
      <c r="X193" s="133">
        <v>41907</v>
      </c>
      <c r="Y193" s="134">
        <v>455</v>
      </c>
    </row>
    <row r="194" spans="1:25" x14ac:dyDescent="0.25">
      <c r="A194" s="79" t="s">
        <v>148</v>
      </c>
      <c r="B194" s="12" t="s">
        <v>179</v>
      </c>
      <c r="C194" s="12" t="s">
        <v>153</v>
      </c>
      <c r="D194" s="80">
        <v>41941</v>
      </c>
      <c r="E194" s="81">
        <v>880</v>
      </c>
      <c r="F194" s="76" t="s">
        <v>150</v>
      </c>
      <c r="G194" s="77" t="s">
        <v>155</v>
      </c>
      <c r="H194" s="77" t="s">
        <v>153</v>
      </c>
      <c r="I194" s="86">
        <v>41849</v>
      </c>
      <c r="J194" s="78">
        <v>1225</v>
      </c>
      <c r="K194" s="132" t="s">
        <v>20</v>
      </c>
      <c r="L194" s="132" t="s">
        <v>162</v>
      </c>
      <c r="M194" s="132" t="s">
        <v>153</v>
      </c>
      <c r="N194" s="133">
        <v>41941</v>
      </c>
      <c r="O194" s="134">
        <v>829</v>
      </c>
      <c r="P194" s="132" t="s">
        <v>151</v>
      </c>
      <c r="Q194" s="132" t="s">
        <v>184</v>
      </c>
      <c r="R194" s="132" t="s">
        <v>153</v>
      </c>
      <c r="S194" s="133">
        <v>41667</v>
      </c>
      <c r="T194" s="134">
        <v>493.4</v>
      </c>
      <c r="U194" s="132" t="s">
        <v>154</v>
      </c>
      <c r="V194" s="132" t="s">
        <v>177</v>
      </c>
      <c r="W194" s="132" t="s">
        <v>153</v>
      </c>
      <c r="X194" s="133">
        <v>41908</v>
      </c>
      <c r="Y194" s="134">
        <v>893</v>
      </c>
    </row>
    <row r="195" spans="1:25" x14ac:dyDescent="0.25">
      <c r="A195" s="79" t="s">
        <v>148</v>
      </c>
      <c r="B195" s="12" t="s">
        <v>179</v>
      </c>
      <c r="C195" s="12" t="s">
        <v>153</v>
      </c>
      <c r="D195" s="80">
        <v>41942</v>
      </c>
      <c r="E195" s="81">
        <v>650</v>
      </c>
      <c r="F195" s="76" t="s">
        <v>150</v>
      </c>
      <c r="G195" s="77" t="s">
        <v>155</v>
      </c>
      <c r="H195" s="77" t="s">
        <v>153</v>
      </c>
      <c r="I195" s="86">
        <v>41851</v>
      </c>
      <c r="J195" s="78">
        <v>478</v>
      </c>
      <c r="K195" s="132" t="s">
        <v>20</v>
      </c>
      <c r="L195" s="132" t="s">
        <v>162</v>
      </c>
      <c r="M195" s="132" t="s">
        <v>153</v>
      </c>
      <c r="N195" s="133">
        <v>41952</v>
      </c>
      <c r="O195" s="134">
        <v>931</v>
      </c>
      <c r="P195" s="132" t="s">
        <v>151</v>
      </c>
      <c r="Q195" s="132" t="s">
        <v>184</v>
      </c>
      <c r="R195" s="132" t="s">
        <v>153</v>
      </c>
      <c r="S195" s="133">
        <v>41668</v>
      </c>
      <c r="T195" s="134">
        <v>468.1</v>
      </c>
      <c r="U195" s="132" t="s">
        <v>154</v>
      </c>
      <c r="V195" s="132" t="s">
        <v>177</v>
      </c>
      <c r="W195" s="132" t="s">
        <v>153</v>
      </c>
      <c r="X195" s="133">
        <v>41909</v>
      </c>
      <c r="Y195" s="134">
        <v>397</v>
      </c>
    </row>
    <row r="196" spans="1:25" x14ac:dyDescent="0.25">
      <c r="A196" s="79" t="s">
        <v>148</v>
      </c>
      <c r="B196" s="12" t="s">
        <v>179</v>
      </c>
      <c r="C196" s="12" t="s">
        <v>153</v>
      </c>
      <c r="D196" s="80">
        <v>41943</v>
      </c>
      <c r="E196" s="81">
        <v>850</v>
      </c>
      <c r="F196" s="76" t="s">
        <v>150</v>
      </c>
      <c r="G196" s="77" t="s">
        <v>155</v>
      </c>
      <c r="H196" s="77" t="s">
        <v>153</v>
      </c>
      <c r="I196" s="86">
        <v>41852</v>
      </c>
      <c r="J196" s="78">
        <v>692</v>
      </c>
      <c r="K196" s="132" t="s">
        <v>20</v>
      </c>
      <c r="L196" s="132" t="s">
        <v>162</v>
      </c>
      <c r="M196" s="132" t="s">
        <v>153</v>
      </c>
      <c r="N196" s="133">
        <v>41959</v>
      </c>
      <c r="O196" s="134">
        <v>1031</v>
      </c>
      <c r="P196" s="132" t="s">
        <v>151</v>
      </c>
      <c r="Q196" s="132" t="s">
        <v>184</v>
      </c>
      <c r="R196" s="132" t="s">
        <v>153</v>
      </c>
      <c r="S196" s="133">
        <v>41669</v>
      </c>
      <c r="T196" s="134">
        <v>258.39999999999998</v>
      </c>
      <c r="U196" s="132" t="s">
        <v>154</v>
      </c>
      <c r="V196" s="132" t="s">
        <v>177</v>
      </c>
      <c r="W196" s="132" t="s">
        <v>153</v>
      </c>
      <c r="X196" s="133">
        <v>41909</v>
      </c>
      <c r="Y196" s="134">
        <v>795</v>
      </c>
    </row>
    <row r="197" spans="1:25" x14ac:dyDescent="0.25">
      <c r="A197" s="79" t="s">
        <v>148</v>
      </c>
      <c r="B197" s="12" t="s">
        <v>179</v>
      </c>
      <c r="C197" s="12" t="s">
        <v>153</v>
      </c>
      <c r="D197" s="80">
        <v>41944</v>
      </c>
      <c r="E197" s="81">
        <v>1270</v>
      </c>
      <c r="F197" s="76" t="s">
        <v>150</v>
      </c>
      <c r="G197" s="77" t="s">
        <v>155</v>
      </c>
      <c r="H197" s="77" t="s">
        <v>153</v>
      </c>
      <c r="I197" s="86">
        <v>41856</v>
      </c>
      <c r="J197" s="78">
        <v>837</v>
      </c>
      <c r="K197" s="132" t="s">
        <v>20</v>
      </c>
      <c r="L197" s="132" t="s">
        <v>162</v>
      </c>
      <c r="M197" s="132" t="s">
        <v>153</v>
      </c>
      <c r="N197" s="133">
        <v>41986</v>
      </c>
      <c r="O197" s="134">
        <v>904</v>
      </c>
      <c r="P197" s="132" t="s">
        <v>151</v>
      </c>
      <c r="Q197" s="132" t="s">
        <v>184</v>
      </c>
      <c r="R197" s="132" t="s">
        <v>153</v>
      </c>
      <c r="S197" s="133">
        <v>41670</v>
      </c>
      <c r="T197" s="134">
        <v>200.1</v>
      </c>
      <c r="U197" s="132" t="s">
        <v>154</v>
      </c>
      <c r="V197" s="132" t="s">
        <v>177</v>
      </c>
      <c r="W197" s="132" t="s">
        <v>153</v>
      </c>
      <c r="X197" s="133">
        <v>41910</v>
      </c>
      <c r="Y197" s="134">
        <v>662</v>
      </c>
    </row>
    <row r="198" spans="1:25" x14ac:dyDescent="0.25">
      <c r="A198" s="79" t="s">
        <v>148</v>
      </c>
      <c r="B198" s="12" t="s">
        <v>179</v>
      </c>
      <c r="C198" s="12" t="s">
        <v>153</v>
      </c>
      <c r="D198" s="80">
        <v>41945</v>
      </c>
      <c r="E198" s="81">
        <v>930</v>
      </c>
      <c r="F198" s="76" t="s">
        <v>150</v>
      </c>
      <c r="G198" s="77" t="s">
        <v>155</v>
      </c>
      <c r="H198" s="77" t="s">
        <v>153</v>
      </c>
      <c r="I198" s="86">
        <v>41857</v>
      </c>
      <c r="J198" s="78">
        <v>706</v>
      </c>
      <c r="K198" s="132" t="s">
        <v>20</v>
      </c>
      <c r="L198" s="132" t="s">
        <v>183</v>
      </c>
      <c r="M198" s="132" t="s">
        <v>153</v>
      </c>
      <c r="N198" s="133">
        <v>41636</v>
      </c>
      <c r="O198" s="134">
        <v>816</v>
      </c>
      <c r="P198" s="132" t="s">
        <v>151</v>
      </c>
      <c r="Q198" s="132" t="s">
        <v>184</v>
      </c>
      <c r="R198" s="132" t="s">
        <v>153</v>
      </c>
      <c r="S198" s="133">
        <v>41702</v>
      </c>
      <c r="T198" s="134">
        <v>920</v>
      </c>
      <c r="U198" s="132" t="s">
        <v>154</v>
      </c>
      <c r="V198" s="132" t="s">
        <v>177</v>
      </c>
      <c r="W198" s="132" t="s">
        <v>153</v>
      </c>
      <c r="X198" s="133">
        <v>41918</v>
      </c>
      <c r="Y198" s="134">
        <v>339</v>
      </c>
    </row>
    <row r="199" spans="1:25" x14ac:dyDescent="0.25">
      <c r="A199" s="79" t="s">
        <v>148</v>
      </c>
      <c r="B199" s="12" t="s">
        <v>179</v>
      </c>
      <c r="C199" s="12" t="s">
        <v>153</v>
      </c>
      <c r="D199" s="80">
        <v>41946</v>
      </c>
      <c r="E199" s="81">
        <v>400</v>
      </c>
      <c r="F199" s="76" t="s">
        <v>150</v>
      </c>
      <c r="G199" s="77" t="s">
        <v>155</v>
      </c>
      <c r="H199" s="77" t="s">
        <v>153</v>
      </c>
      <c r="I199" s="86">
        <v>41859</v>
      </c>
      <c r="J199" s="78">
        <v>1111</v>
      </c>
      <c r="K199" s="132" t="s">
        <v>20</v>
      </c>
      <c r="L199" s="132" t="s">
        <v>183</v>
      </c>
      <c r="M199" s="132" t="s">
        <v>153</v>
      </c>
      <c r="N199" s="133">
        <v>41662</v>
      </c>
      <c r="O199" s="134">
        <v>1231</v>
      </c>
      <c r="P199" s="132" t="s">
        <v>151</v>
      </c>
      <c r="Q199" s="132" t="s">
        <v>184</v>
      </c>
      <c r="R199" s="132" t="s">
        <v>153</v>
      </c>
      <c r="S199" s="133">
        <v>41717</v>
      </c>
      <c r="T199" s="134">
        <v>1014</v>
      </c>
      <c r="U199" s="132" t="s">
        <v>154</v>
      </c>
      <c r="V199" s="132" t="s">
        <v>177</v>
      </c>
      <c r="W199" s="132" t="s">
        <v>153</v>
      </c>
      <c r="X199" s="133">
        <v>41919</v>
      </c>
      <c r="Y199" s="134">
        <v>480</v>
      </c>
    </row>
    <row r="200" spans="1:25" x14ac:dyDescent="0.25">
      <c r="A200" s="79" t="s">
        <v>148</v>
      </c>
      <c r="B200" s="12" t="s">
        <v>179</v>
      </c>
      <c r="C200" s="12" t="s">
        <v>153</v>
      </c>
      <c r="D200" s="80">
        <v>41947</v>
      </c>
      <c r="E200" s="81">
        <v>1100</v>
      </c>
      <c r="F200" s="76" t="s">
        <v>150</v>
      </c>
      <c r="G200" s="77" t="s">
        <v>155</v>
      </c>
      <c r="H200" s="77" t="s">
        <v>153</v>
      </c>
      <c r="I200" s="86">
        <v>41863</v>
      </c>
      <c r="J200" s="78">
        <v>963</v>
      </c>
      <c r="K200" s="132" t="s">
        <v>20</v>
      </c>
      <c r="L200" s="132" t="s">
        <v>183</v>
      </c>
      <c r="M200" s="132" t="s">
        <v>153</v>
      </c>
      <c r="N200" s="133">
        <v>41696</v>
      </c>
      <c r="O200" s="134">
        <v>603</v>
      </c>
      <c r="P200" s="132" t="s">
        <v>151</v>
      </c>
      <c r="Q200" s="132" t="s">
        <v>184</v>
      </c>
      <c r="R200" s="132" t="s">
        <v>153</v>
      </c>
      <c r="S200" s="133">
        <v>41724</v>
      </c>
      <c r="T200" s="134">
        <v>782</v>
      </c>
      <c r="U200" s="132" t="s">
        <v>154</v>
      </c>
      <c r="V200" s="132" t="s">
        <v>177</v>
      </c>
      <c r="W200" s="132" t="s">
        <v>153</v>
      </c>
      <c r="X200" s="133">
        <v>41920</v>
      </c>
      <c r="Y200" s="134">
        <v>285</v>
      </c>
    </row>
    <row r="201" spans="1:25" x14ac:dyDescent="0.25">
      <c r="A201" s="79" t="s">
        <v>148</v>
      </c>
      <c r="B201" s="12" t="s">
        <v>179</v>
      </c>
      <c r="C201" s="12" t="s">
        <v>153</v>
      </c>
      <c r="D201" s="80">
        <v>41948</v>
      </c>
      <c r="E201" s="81">
        <v>800</v>
      </c>
      <c r="F201" s="76" t="s">
        <v>150</v>
      </c>
      <c r="G201" s="77" t="s">
        <v>175</v>
      </c>
      <c r="H201" s="77" t="s">
        <v>153</v>
      </c>
      <c r="I201" s="86">
        <v>41652</v>
      </c>
      <c r="J201" s="78">
        <v>507</v>
      </c>
      <c r="K201" s="132" t="s">
        <v>20</v>
      </c>
      <c r="L201" s="132" t="s">
        <v>183</v>
      </c>
      <c r="M201" s="132" t="s">
        <v>153</v>
      </c>
      <c r="N201" s="133">
        <v>41706</v>
      </c>
      <c r="O201" s="134">
        <v>883</v>
      </c>
      <c r="P201" s="132" t="s">
        <v>151</v>
      </c>
      <c r="Q201" s="132" t="s">
        <v>184</v>
      </c>
      <c r="R201" s="132" t="s">
        <v>153</v>
      </c>
      <c r="S201" s="133">
        <v>41730</v>
      </c>
      <c r="T201" s="134">
        <v>930.2</v>
      </c>
      <c r="U201" s="132" t="s">
        <v>154</v>
      </c>
      <c r="V201" s="132" t="s">
        <v>177</v>
      </c>
      <c r="W201" s="132" t="s">
        <v>153</v>
      </c>
      <c r="X201" s="133">
        <v>41922</v>
      </c>
      <c r="Y201" s="134">
        <v>369</v>
      </c>
    </row>
    <row r="202" spans="1:25" x14ac:dyDescent="0.25">
      <c r="A202" s="79" t="s">
        <v>148</v>
      </c>
      <c r="B202" s="12" t="s">
        <v>179</v>
      </c>
      <c r="C202" s="12" t="s">
        <v>153</v>
      </c>
      <c r="D202" s="80">
        <v>41949</v>
      </c>
      <c r="E202" s="81">
        <v>790</v>
      </c>
      <c r="F202" s="76" t="s">
        <v>150</v>
      </c>
      <c r="G202" s="77" t="s">
        <v>175</v>
      </c>
      <c r="H202" s="77" t="s">
        <v>153</v>
      </c>
      <c r="I202" s="86">
        <v>41653</v>
      </c>
      <c r="J202" s="78">
        <v>732</v>
      </c>
      <c r="K202" s="132" t="s">
        <v>20</v>
      </c>
      <c r="L202" s="132" t="s">
        <v>183</v>
      </c>
      <c r="M202" s="132" t="s">
        <v>153</v>
      </c>
      <c r="N202" s="133">
        <v>41711</v>
      </c>
      <c r="O202" s="134">
        <v>631</v>
      </c>
      <c r="P202" s="132" t="s">
        <v>151</v>
      </c>
      <c r="Q202" s="132" t="s">
        <v>184</v>
      </c>
      <c r="R202" s="132" t="s">
        <v>153</v>
      </c>
      <c r="S202" s="133">
        <v>41732</v>
      </c>
      <c r="T202" s="134">
        <v>819.5</v>
      </c>
      <c r="U202" s="132" t="s">
        <v>154</v>
      </c>
      <c r="V202" s="132" t="s">
        <v>177</v>
      </c>
      <c r="W202" s="132" t="s">
        <v>153</v>
      </c>
      <c r="X202" s="133">
        <v>41926</v>
      </c>
      <c r="Y202" s="134">
        <v>780</v>
      </c>
    </row>
    <row r="203" spans="1:25" x14ac:dyDescent="0.25">
      <c r="A203" s="79" t="s">
        <v>148</v>
      </c>
      <c r="B203" s="12" t="s">
        <v>179</v>
      </c>
      <c r="C203" s="12" t="s">
        <v>153</v>
      </c>
      <c r="D203" s="80">
        <v>41950</v>
      </c>
      <c r="E203" s="81">
        <v>884</v>
      </c>
      <c r="F203" s="76" t="s">
        <v>150</v>
      </c>
      <c r="G203" s="77" t="s">
        <v>175</v>
      </c>
      <c r="H203" s="77" t="s">
        <v>153</v>
      </c>
      <c r="I203" s="86">
        <v>41654</v>
      </c>
      <c r="J203" s="78">
        <v>723</v>
      </c>
      <c r="K203" s="132" t="s">
        <v>20</v>
      </c>
      <c r="L203" s="132" t="s">
        <v>183</v>
      </c>
      <c r="M203" s="132" t="s">
        <v>153</v>
      </c>
      <c r="N203" s="133">
        <v>41739</v>
      </c>
      <c r="O203" s="134">
        <v>342</v>
      </c>
      <c r="P203" s="132" t="s">
        <v>151</v>
      </c>
      <c r="Q203" s="132" t="s">
        <v>184</v>
      </c>
      <c r="R203" s="132" t="s">
        <v>153</v>
      </c>
      <c r="S203" s="133">
        <v>41781</v>
      </c>
      <c r="T203" s="134">
        <v>895.8</v>
      </c>
      <c r="U203" s="132" t="s">
        <v>154</v>
      </c>
      <c r="V203" s="132" t="s">
        <v>177</v>
      </c>
      <c r="W203" s="132" t="s">
        <v>153</v>
      </c>
      <c r="X203" s="133">
        <v>41927</v>
      </c>
      <c r="Y203" s="134">
        <v>568</v>
      </c>
    </row>
    <row r="204" spans="1:25" x14ac:dyDescent="0.25">
      <c r="A204" s="79" t="s">
        <v>148</v>
      </c>
      <c r="B204" s="12" t="s">
        <v>179</v>
      </c>
      <c r="C204" s="12" t="s">
        <v>153</v>
      </c>
      <c r="D204" s="80">
        <v>41951</v>
      </c>
      <c r="E204" s="81">
        <v>910</v>
      </c>
      <c r="F204" s="76" t="s">
        <v>150</v>
      </c>
      <c r="G204" s="77" t="s">
        <v>175</v>
      </c>
      <c r="H204" s="77" t="s">
        <v>153</v>
      </c>
      <c r="I204" s="86">
        <v>41655</v>
      </c>
      <c r="J204" s="78">
        <v>744</v>
      </c>
      <c r="K204" s="132" t="s">
        <v>20</v>
      </c>
      <c r="L204" s="132" t="s">
        <v>183</v>
      </c>
      <c r="M204" s="132" t="s">
        <v>153</v>
      </c>
      <c r="N204" s="133">
        <v>41741</v>
      </c>
      <c r="O204" s="134">
        <v>754</v>
      </c>
      <c r="P204" s="132" t="s">
        <v>151</v>
      </c>
      <c r="Q204" s="132" t="s">
        <v>184</v>
      </c>
      <c r="R204" s="132" t="s">
        <v>153</v>
      </c>
      <c r="S204" s="133">
        <v>41800</v>
      </c>
      <c r="T204" s="134">
        <v>1225.2</v>
      </c>
      <c r="U204" s="132" t="s">
        <v>154</v>
      </c>
      <c r="V204" s="132" t="s">
        <v>177</v>
      </c>
      <c r="W204" s="132" t="s">
        <v>153</v>
      </c>
      <c r="X204" s="133">
        <v>41928</v>
      </c>
      <c r="Y204" s="134">
        <v>640</v>
      </c>
    </row>
    <row r="205" spans="1:25" x14ac:dyDescent="0.25">
      <c r="A205" s="79" t="s">
        <v>148</v>
      </c>
      <c r="B205" s="12" t="s">
        <v>179</v>
      </c>
      <c r="C205" s="12" t="s">
        <v>153</v>
      </c>
      <c r="D205" s="80">
        <v>41952</v>
      </c>
      <c r="E205" s="81">
        <v>738</v>
      </c>
      <c r="F205" s="76" t="s">
        <v>150</v>
      </c>
      <c r="G205" s="77" t="s">
        <v>175</v>
      </c>
      <c r="H205" s="77" t="s">
        <v>153</v>
      </c>
      <c r="I205" s="86">
        <v>41660</v>
      </c>
      <c r="J205" s="78">
        <v>562</v>
      </c>
      <c r="K205" s="132" t="s">
        <v>20</v>
      </c>
      <c r="L205" s="132" t="s">
        <v>183</v>
      </c>
      <c r="M205" s="132" t="s">
        <v>153</v>
      </c>
      <c r="N205" s="133">
        <v>41862</v>
      </c>
      <c r="O205" s="134">
        <v>1153</v>
      </c>
      <c r="P205" s="132" t="s">
        <v>151</v>
      </c>
      <c r="Q205" s="132" t="s">
        <v>184</v>
      </c>
      <c r="R205" s="132" t="s">
        <v>153</v>
      </c>
      <c r="S205" s="133">
        <v>41801</v>
      </c>
      <c r="T205" s="134">
        <v>760.7</v>
      </c>
      <c r="U205" s="132" t="s">
        <v>154</v>
      </c>
      <c r="V205" s="132" t="s">
        <v>177</v>
      </c>
      <c r="W205" s="132" t="s">
        <v>153</v>
      </c>
      <c r="X205" s="133">
        <v>41929</v>
      </c>
      <c r="Y205" s="134">
        <v>538</v>
      </c>
    </row>
    <row r="206" spans="1:25" x14ac:dyDescent="0.25">
      <c r="A206" s="79" t="s">
        <v>148</v>
      </c>
      <c r="B206" s="12" t="s">
        <v>179</v>
      </c>
      <c r="C206" s="12" t="s">
        <v>153</v>
      </c>
      <c r="D206" s="80">
        <v>41953</v>
      </c>
      <c r="E206" s="81">
        <v>843</v>
      </c>
      <c r="F206" s="76" t="s">
        <v>150</v>
      </c>
      <c r="G206" s="77" t="s">
        <v>175</v>
      </c>
      <c r="H206" s="77" t="s">
        <v>153</v>
      </c>
      <c r="I206" s="86">
        <v>41662</v>
      </c>
      <c r="J206" s="78">
        <v>1064</v>
      </c>
      <c r="K206" s="132" t="s">
        <v>20</v>
      </c>
      <c r="L206" s="132" t="s">
        <v>183</v>
      </c>
      <c r="M206" s="132" t="s">
        <v>153</v>
      </c>
      <c r="N206" s="133">
        <v>41883</v>
      </c>
      <c r="O206" s="134">
        <v>831</v>
      </c>
      <c r="P206" s="132" t="s">
        <v>151</v>
      </c>
      <c r="Q206" s="132" t="s">
        <v>184</v>
      </c>
      <c r="R206" s="132" t="s">
        <v>153</v>
      </c>
      <c r="S206" s="133">
        <v>41802</v>
      </c>
      <c r="T206" s="134">
        <v>900.2</v>
      </c>
      <c r="U206" s="132" t="s">
        <v>154</v>
      </c>
      <c r="V206" s="132" t="s">
        <v>177</v>
      </c>
      <c r="W206" s="132" t="s">
        <v>153</v>
      </c>
      <c r="X206" s="133">
        <v>41932</v>
      </c>
      <c r="Y206" s="134">
        <v>483</v>
      </c>
    </row>
    <row r="207" spans="1:25" x14ac:dyDescent="0.25">
      <c r="A207" s="79" t="s">
        <v>148</v>
      </c>
      <c r="B207" s="12" t="s">
        <v>179</v>
      </c>
      <c r="C207" s="12" t="s">
        <v>153</v>
      </c>
      <c r="D207" s="80">
        <v>41958</v>
      </c>
      <c r="E207" s="81">
        <v>1480</v>
      </c>
      <c r="F207" s="76" t="s">
        <v>150</v>
      </c>
      <c r="G207" s="77" t="s">
        <v>175</v>
      </c>
      <c r="H207" s="77" t="s">
        <v>153</v>
      </c>
      <c r="I207" s="86">
        <v>41668</v>
      </c>
      <c r="J207" s="78">
        <v>711</v>
      </c>
      <c r="K207" s="132" t="s">
        <v>20</v>
      </c>
      <c r="L207" s="132" t="s">
        <v>183</v>
      </c>
      <c r="M207" s="132" t="s">
        <v>153</v>
      </c>
      <c r="N207" s="133">
        <v>41905</v>
      </c>
      <c r="O207" s="134">
        <v>760</v>
      </c>
      <c r="P207" s="132" t="s">
        <v>151</v>
      </c>
      <c r="Q207" s="132" t="s">
        <v>184</v>
      </c>
      <c r="R207" s="132" t="s">
        <v>153</v>
      </c>
      <c r="S207" s="133">
        <v>41803</v>
      </c>
      <c r="T207" s="134">
        <v>905.4</v>
      </c>
      <c r="U207" s="132" t="s">
        <v>154</v>
      </c>
      <c r="V207" s="132" t="s">
        <v>177</v>
      </c>
      <c r="W207" s="132" t="s">
        <v>153</v>
      </c>
      <c r="X207" s="133">
        <v>41933</v>
      </c>
      <c r="Y207" s="134">
        <v>500</v>
      </c>
    </row>
    <row r="208" spans="1:25" x14ac:dyDescent="0.25">
      <c r="A208" s="79" t="s">
        <v>148</v>
      </c>
      <c r="B208" s="12" t="s">
        <v>179</v>
      </c>
      <c r="C208" s="12" t="s">
        <v>153</v>
      </c>
      <c r="D208" s="80">
        <v>41960</v>
      </c>
      <c r="E208" s="81">
        <v>1240</v>
      </c>
      <c r="F208" s="76" t="s">
        <v>150</v>
      </c>
      <c r="G208" s="77" t="s">
        <v>175</v>
      </c>
      <c r="H208" s="77" t="s">
        <v>153</v>
      </c>
      <c r="I208" s="86">
        <v>41670</v>
      </c>
      <c r="J208" s="78">
        <v>1033</v>
      </c>
      <c r="K208" s="132" t="s">
        <v>20</v>
      </c>
      <c r="L208" s="132" t="s">
        <v>183</v>
      </c>
      <c r="M208" s="132" t="s">
        <v>153</v>
      </c>
      <c r="N208" s="133">
        <v>41907</v>
      </c>
      <c r="O208" s="134">
        <v>563</v>
      </c>
      <c r="P208" s="132" t="s">
        <v>151</v>
      </c>
      <c r="Q208" s="132" t="s">
        <v>184</v>
      </c>
      <c r="R208" s="132" t="s">
        <v>153</v>
      </c>
      <c r="S208" s="133">
        <v>41806</v>
      </c>
      <c r="T208" s="134">
        <v>789.2</v>
      </c>
      <c r="U208" s="132" t="s">
        <v>154</v>
      </c>
      <c r="V208" s="132" t="s">
        <v>177</v>
      </c>
      <c r="W208" s="132" t="s">
        <v>153</v>
      </c>
      <c r="X208" s="133">
        <v>41982</v>
      </c>
      <c r="Y208" s="134">
        <v>548</v>
      </c>
    </row>
    <row r="209" spans="1:25" x14ac:dyDescent="0.25">
      <c r="A209" s="79" t="s">
        <v>148</v>
      </c>
      <c r="B209" s="12" t="s">
        <v>179</v>
      </c>
      <c r="C209" s="12" t="s">
        <v>153</v>
      </c>
      <c r="D209" s="80">
        <v>41961</v>
      </c>
      <c r="E209" s="81">
        <v>770</v>
      </c>
      <c r="F209" s="76" t="s">
        <v>150</v>
      </c>
      <c r="G209" s="77" t="s">
        <v>175</v>
      </c>
      <c r="H209" s="77" t="s">
        <v>153</v>
      </c>
      <c r="I209" s="86">
        <v>41674</v>
      </c>
      <c r="J209" s="78">
        <v>1133</v>
      </c>
      <c r="K209" s="132" t="s">
        <v>20</v>
      </c>
      <c r="L209" s="132" t="s">
        <v>183</v>
      </c>
      <c r="M209" s="132" t="s">
        <v>153</v>
      </c>
      <c r="N209" s="133">
        <v>41919</v>
      </c>
      <c r="O209" s="134">
        <v>955</v>
      </c>
      <c r="P209" s="132" t="s">
        <v>151</v>
      </c>
      <c r="Q209" s="132" t="s">
        <v>184</v>
      </c>
      <c r="R209" s="132" t="s">
        <v>153</v>
      </c>
      <c r="S209" s="133">
        <v>41807</v>
      </c>
      <c r="T209" s="134">
        <v>916.2</v>
      </c>
      <c r="U209" s="132" t="s">
        <v>154</v>
      </c>
      <c r="V209" s="132" t="s">
        <v>177</v>
      </c>
      <c r="W209" s="132" t="s">
        <v>153</v>
      </c>
      <c r="X209" s="133">
        <v>41983</v>
      </c>
      <c r="Y209" s="134">
        <v>506</v>
      </c>
    </row>
    <row r="210" spans="1:25" x14ac:dyDescent="0.25">
      <c r="A210" s="79" t="s">
        <v>148</v>
      </c>
      <c r="B210" s="12" t="s">
        <v>160</v>
      </c>
      <c r="C210" s="12" t="s">
        <v>153</v>
      </c>
      <c r="D210" s="80">
        <v>41902</v>
      </c>
      <c r="E210" s="81">
        <v>912</v>
      </c>
      <c r="F210" s="76" t="s">
        <v>150</v>
      </c>
      <c r="G210" s="77" t="s">
        <v>175</v>
      </c>
      <c r="H210" s="77" t="s">
        <v>153</v>
      </c>
      <c r="I210" s="86">
        <v>41675</v>
      </c>
      <c r="J210" s="78">
        <v>540</v>
      </c>
      <c r="K210" s="132" t="s">
        <v>20</v>
      </c>
      <c r="L210" s="132" t="s">
        <v>183</v>
      </c>
      <c r="M210" s="132" t="s">
        <v>153</v>
      </c>
      <c r="N210" s="133">
        <v>41922</v>
      </c>
      <c r="O210" s="134">
        <v>552</v>
      </c>
      <c r="P210" s="132" t="s">
        <v>151</v>
      </c>
      <c r="Q210" s="132" t="s">
        <v>184</v>
      </c>
      <c r="R210" s="132" t="s">
        <v>153</v>
      </c>
      <c r="S210" s="133">
        <v>41808</v>
      </c>
      <c r="T210" s="134">
        <v>506.2</v>
      </c>
      <c r="U210" s="132" t="s">
        <v>154</v>
      </c>
      <c r="V210" s="132" t="s">
        <v>177</v>
      </c>
      <c r="W210" s="132" t="s">
        <v>153</v>
      </c>
      <c r="X210" s="133">
        <v>41984</v>
      </c>
      <c r="Y210" s="134">
        <v>471</v>
      </c>
    </row>
    <row r="211" spans="1:25" x14ac:dyDescent="0.25">
      <c r="A211" s="79" t="s">
        <v>148</v>
      </c>
      <c r="B211" s="12" t="s">
        <v>160</v>
      </c>
      <c r="C211" s="12" t="s">
        <v>153</v>
      </c>
      <c r="D211" s="80">
        <v>41905</v>
      </c>
      <c r="E211" s="81">
        <v>638</v>
      </c>
      <c r="F211" s="76" t="s">
        <v>150</v>
      </c>
      <c r="G211" s="77" t="s">
        <v>175</v>
      </c>
      <c r="H211" s="77" t="s">
        <v>153</v>
      </c>
      <c r="I211" s="86">
        <v>41677</v>
      </c>
      <c r="J211" s="78">
        <v>1004</v>
      </c>
      <c r="K211" s="132" t="s">
        <v>20</v>
      </c>
      <c r="L211" s="132" t="s">
        <v>183</v>
      </c>
      <c r="M211" s="132" t="s">
        <v>153</v>
      </c>
      <c r="N211" s="133">
        <v>41935</v>
      </c>
      <c r="O211" s="134">
        <v>1243</v>
      </c>
      <c r="P211" s="132" t="s">
        <v>151</v>
      </c>
      <c r="Q211" s="132" t="s">
        <v>184</v>
      </c>
      <c r="R211" s="132" t="s">
        <v>153</v>
      </c>
      <c r="S211" s="133">
        <v>41809</v>
      </c>
      <c r="T211" s="134">
        <v>513.4</v>
      </c>
      <c r="U211" s="132" t="s">
        <v>154</v>
      </c>
      <c r="V211" s="132" t="s">
        <v>177</v>
      </c>
      <c r="W211" s="132" t="s">
        <v>153</v>
      </c>
      <c r="X211" s="133">
        <v>41985</v>
      </c>
      <c r="Y211" s="134">
        <v>422</v>
      </c>
    </row>
    <row r="212" spans="1:25" x14ac:dyDescent="0.25">
      <c r="A212" s="79" t="s">
        <v>148</v>
      </c>
      <c r="B212" s="12" t="s">
        <v>160</v>
      </c>
      <c r="C212" s="12" t="s">
        <v>153</v>
      </c>
      <c r="D212" s="80">
        <v>41905</v>
      </c>
      <c r="E212" s="81">
        <v>904</v>
      </c>
      <c r="F212" s="76" t="s">
        <v>150</v>
      </c>
      <c r="G212" s="77" t="s">
        <v>175</v>
      </c>
      <c r="H212" s="77" t="s">
        <v>153</v>
      </c>
      <c r="I212" s="86">
        <v>41680</v>
      </c>
      <c r="J212" s="78">
        <v>738</v>
      </c>
      <c r="K212" s="132" t="s">
        <v>20</v>
      </c>
      <c r="L212" s="132" t="s">
        <v>183</v>
      </c>
      <c r="M212" s="132" t="s">
        <v>153</v>
      </c>
      <c r="N212" s="133">
        <v>41942</v>
      </c>
      <c r="O212" s="134">
        <v>691</v>
      </c>
      <c r="P212" s="132" t="s">
        <v>151</v>
      </c>
      <c r="Q212" s="132" t="s">
        <v>184</v>
      </c>
      <c r="R212" s="132" t="s">
        <v>153</v>
      </c>
      <c r="S212" s="133">
        <v>41810</v>
      </c>
      <c r="T212" s="134">
        <v>1059.5999999999999</v>
      </c>
      <c r="U212" s="132" t="s">
        <v>154</v>
      </c>
      <c r="V212" s="132" t="s">
        <v>177</v>
      </c>
      <c r="W212" s="132" t="s">
        <v>153</v>
      </c>
      <c r="X212" s="133">
        <v>41987</v>
      </c>
      <c r="Y212" s="134">
        <v>174</v>
      </c>
    </row>
    <row r="213" spans="1:25" x14ac:dyDescent="0.25">
      <c r="A213" s="79" t="s">
        <v>148</v>
      </c>
      <c r="B213" s="12" t="s">
        <v>160</v>
      </c>
      <c r="C213" s="12" t="s">
        <v>153</v>
      </c>
      <c r="D213" s="80">
        <v>41906</v>
      </c>
      <c r="E213" s="81">
        <v>800</v>
      </c>
      <c r="F213" s="76" t="s">
        <v>150</v>
      </c>
      <c r="G213" s="77" t="s">
        <v>175</v>
      </c>
      <c r="H213" s="77" t="s">
        <v>153</v>
      </c>
      <c r="I213" s="86">
        <v>41682</v>
      </c>
      <c r="J213" s="78">
        <v>1470</v>
      </c>
      <c r="K213" s="132" t="s">
        <v>20</v>
      </c>
      <c r="L213" s="132" t="s">
        <v>183</v>
      </c>
      <c r="M213" s="132" t="s">
        <v>153</v>
      </c>
      <c r="N213" s="133">
        <v>41944</v>
      </c>
      <c r="O213" s="134">
        <v>1304</v>
      </c>
      <c r="P213" s="132" t="s">
        <v>151</v>
      </c>
      <c r="Q213" s="132" t="s">
        <v>184</v>
      </c>
      <c r="R213" s="132" t="s">
        <v>153</v>
      </c>
      <c r="S213" s="133">
        <v>41813</v>
      </c>
      <c r="T213" s="134">
        <v>440.4</v>
      </c>
      <c r="U213" s="132" t="s">
        <v>154</v>
      </c>
      <c r="V213" s="132" t="s">
        <v>177</v>
      </c>
      <c r="W213" s="132" t="s">
        <v>153</v>
      </c>
      <c r="X213" s="133">
        <v>41988</v>
      </c>
      <c r="Y213" s="134">
        <v>365</v>
      </c>
    </row>
    <row r="214" spans="1:25" x14ac:dyDescent="0.25">
      <c r="A214" s="79" t="s">
        <v>148</v>
      </c>
      <c r="B214" s="12" t="s">
        <v>160</v>
      </c>
      <c r="C214" s="12" t="s">
        <v>153</v>
      </c>
      <c r="D214" s="80">
        <v>41907</v>
      </c>
      <c r="E214" s="81">
        <v>870</v>
      </c>
      <c r="F214" s="76" t="s">
        <v>150</v>
      </c>
      <c r="G214" s="77" t="s">
        <v>175</v>
      </c>
      <c r="H214" s="77" t="s">
        <v>153</v>
      </c>
      <c r="I214" s="86">
        <v>41683</v>
      </c>
      <c r="J214" s="78">
        <v>966</v>
      </c>
      <c r="K214" s="132" t="s">
        <v>20</v>
      </c>
      <c r="L214" s="132" t="s">
        <v>183</v>
      </c>
      <c r="M214" s="132" t="s">
        <v>153</v>
      </c>
      <c r="N214" s="133">
        <v>41949</v>
      </c>
      <c r="O214" s="134">
        <v>887</v>
      </c>
      <c r="P214" s="132" t="s">
        <v>151</v>
      </c>
      <c r="Q214" s="132" t="s">
        <v>184</v>
      </c>
      <c r="R214" s="132" t="s">
        <v>153</v>
      </c>
      <c r="S214" s="133">
        <v>41925</v>
      </c>
      <c r="T214" s="134">
        <v>957.4</v>
      </c>
      <c r="U214" s="132" t="s">
        <v>154</v>
      </c>
      <c r="V214" s="132" t="s">
        <v>177</v>
      </c>
      <c r="W214" s="132" t="s">
        <v>153</v>
      </c>
      <c r="X214" s="133">
        <v>41994</v>
      </c>
      <c r="Y214" s="134">
        <v>814</v>
      </c>
    </row>
    <row r="215" spans="1:25" x14ac:dyDescent="0.25">
      <c r="A215" s="79" t="s">
        <v>148</v>
      </c>
      <c r="B215" s="12" t="s">
        <v>160</v>
      </c>
      <c r="C215" s="12" t="s">
        <v>153</v>
      </c>
      <c r="D215" s="80">
        <v>41908</v>
      </c>
      <c r="E215" s="81">
        <v>870</v>
      </c>
      <c r="F215" s="76" t="s">
        <v>150</v>
      </c>
      <c r="G215" s="77" t="s">
        <v>175</v>
      </c>
      <c r="H215" s="77" t="s">
        <v>153</v>
      </c>
      <c r="I215" s="86">
        <v>41684</v>
      </c>
      <c r="J215" s="78">
        <v>833</v>
      </c>
      <c r="K215" s="132" t="s">
        <v>20</v>
      </c>
      <c r="L215" s="132" t="s">
        <v>183</v>
      </c>
      <c r="M215" s="132" t="s">
        <v>153</v>
      </c>
      <c r="N215" s="133">
        <v>41955</v>
      </c>
      <c r="O215" s="134">
        <v>1296</v>
      </c>
      <c r="P215" s="132" t="s">
        <v>151</v>
      </c>
      <c r="Q215" s="132" t="s">
        <v>184</v>
      </c>
      <c r="R215" s="132" t="s">
        <v>153</v>
      </c>
      <c r="S215" s="133">
        <v>41926</v>
      </c>
      <c r="T215" s="134">
        <v>397.3</v>
      </c>
      <c r="U215" s="132" t="s">
        <v>154</v>
      </c>
      <c r="V215" s="132" t="s">
        <v>177</v>
      </c>
      <c r="W215" s="132" t="s">
        <v>153</v>
      </c>
      <c r="X215" s="133">
        <v>41995</v>
      </c>
      <c r="Y215" s="134">
        <v>431</v>
      </c>
    </row>
    <row r="216" spans="1:25" x14ac:dyDescent="0.25">
      <c r="A216" s="79" t="s">
        <v>148</v>
      </c>
      <c r="B216" s="12" t="s">
        <v>160</v>
      </c>
      <c r="C216" s="12" t="s">
        <v>153</v>
      </c>
      <c r="D216" s="80">
        <v>41910</v>
      </c>
      <c r="E216" s="81">
        <v>1000</v>
      </c>
      <c r="F216" s="76" t="s">
        <v>150</v>
      </c>
      <c r="G216" s="77" t="s">
        <v>175</v>
      </c>
      <c r="H216" s="77" t="s">
        <v>153</v>
      </c>
      <c r="I216" s="86">
        <v>41694</v>
      </c>
      <c r="J216" s="78">
        <v>579</v>
      </c>
      <c r="K216" s="132" t="s">
        <v>20</v>
      </c>
      <c r="L216" s="132" t="s">
        <v>183</v>
      </c>
      <c r="M216" s="132" t="s">
        <v>153</v>
      </c>
      <c r="N216" s="133">
        <v>41961</v>
      </c>
      <c r="O216" s="134">
        <v>1170</v>
      </c>
      <c r="P216" s="132" t="s">
        <v>151</v>
      </c>
      <c r="Q216" s="132" t="s">
        <v>184</v>
      </c>
      <c r="R216" s="132" t="s">
        <v>153</v>
      </c>
      <c r="S216" s="133">
        <v>41927</v>
      </c>
      <c r="T216" s="134">
        <v>878.1</v>
      </c>
      <c r="U216" s="132" t="s">
        <v>154</v>
      </c>
      <c r="V216" s="132" t="s">
        <v>177</v>
      </c>
      <c r="W216" s="132" t="s">
        <v>153</v>
      </c>
      <c r="X216" s="133">
        <v>41996</v>
      </c>
      <c r="Y216" s="134">
        <v>283</v>
      </c>
    </row>
    <row r="217" spans="1:25" x14ac:dyDescent="0.25">
      <c r="A217" s="79" t="s">
        <v>148</v>
      </c>
      <c r="B217" s="12" t="s">
        <v>160</v>
      </c>
      <c r="C217" s="12" t="s">
        <v>153</v>
      </c>
      <c r="D217" s="80">
        <v>41911</v>
      </c>
      <c r="E217" s="81">
        <v>585</v>
      </c>
      <c r="F217" s="76" t="s">
        <v>150</v>
      </c>
      <c r="G217" s="77" t="s">
        <v>175</v>
      </c>
      <c r="H217" s="77" t="s">
        <v>153</v>
      </c>
      <c r="I217" s="86">
        <v>41696</v>
      </c>
      <c r="J217" s="78">
        <v>581</v>
      </c>
      <c r="K217" s="132" t="s">
        <v>20</v>
      </c>
      <c r="L217" s="132" t="s">
        <v>183</v>
      </c>
      <c r="M217" s="132" t="s">
        <v>153</v>
      </c>
      <c r="N217" s="133">
        <v>41978</v>
      </c>
      <c r="O217" s="134">
        <v>1255</v>
      </c>
      <c r="P217" s="132" t="s">
        <v>151</v>
      </c>
      <c r="Q217" s="132" t="s">
        <v>185</v>
      </c>
      <c r="R217" s="132" t="s">
        <v>153</v>
      </c>
      <c r="S217" s="133">
        <v>41666</v>
      </c>
      <c r="T217" s="134">
        <v>875.3</v>
      </c>
      <c r="U217" s="132" t="s">
        <v>154</v>
      </c>
      <c r="V217" s="132" t="s">
        <v>178</v>
      </c>
      <c r="W217" s="132" t="s">
        <v>153</v>
      </c>
      <c r="X217" s="133">
        <v>41647</v>
      </c>
      <c r="Y217" s="134">
        <v>830</v>
      </c>
    </row>
    <row r="218" spans="1:25" x14ac:dyDescent="0.25">
      <c r="A218" s="79" t="s">
        <v>148</v>
      </c>
      <c r="B218" s="12" t="s">
        <v>160</v>
      </c>
      <c r="C218" s="12" t="s">
        <v>153</v>
      </c>
      <c r="D218" s="80">
        <v>41912</v>
      </c>
      <c r="E218" s="81">
        <v>590</v>
      </c>
      <c r="F218" s="76" t="s">
        <v>150</v>
      </c>
      <c r="G218" s="77" t="s">
        <v>175</v>
      </c>
      <c r="H218" s="77" t="s">
        <v>153</v>
      </c>
      <c r="I218" s="86">
        <v>41696</v>
      </c>
      <c r="J218" s="78">
        <v>1111</v>
      </c>
      <c r="K218" s="132" t="s">
        <v>20</v>
      </c>
      <c r="L218" s="132" t="s">
        <v>184</v>
      </c>
      <c r="M218" s="132" t="s">
        <v>153</v>
      </c>
      <c r="N218" s="133">
        <v>41665</v>
      </c>
      <c r="O218" s="134">
        <v>1554</v>
      </c>
      <c r="P218" s="132" t="s">
        <v>151</v>
      </c>
      <c r="Q218" s="132" t="s">
        <v>185</v>
      </c>
      <c r="R218" s="132" t="s">
        <v>153</v>
      </c>
      <c r="S218" s="133">
        <v>41669</v>
      </c>
      <c r="T218" s="134">
        <v>1152.4000000000001</v>
      </c>
      <c r="U218" s="132" t="s">
        <v>154</v>
      </c>
      <c r="V218" s="132" t="s">
        <v>178</v>
      </c>
      <c r="W218" s="132" t="s">
        <v>153</v>
      </c>
      <c r="X218" s="133">
        <v>41649</v>
      </c>
      <c r="Y218" s="134">
        <v>480</v>
      </c>
    </row>
    <row r="219" spans="1:25" x14ac:dyDescent="0.25">
      <c r="A219" s="79" t="s">
        <v>148</v>
      </c>
      <c r="B219" s="12" t="s">
        <v>181</v>
      </c>
      <c r="C219" s="12" t="s">
        <v>153</v>
      </c>
      <c r="D219" s="80">
        <v>41914</v>
      </c>
      <c r="E219" s="81">
        <v>850</v>
      </c>
      <c r="F219" s="76" t="s">
        <v>150</v>
      </c>
      <c r="G219" s="77" t="s">
        <v>175</v>
      </c>
      <c r="H219" s="77" t="s">
        <v>153</v>
      </c>
      <c r="I219" s="86">
        <v>41697</v>
      </c>
      <c r="J219" s="78">
        <v>503</v>
      </c>
      <c r="K219" s="132" t="s">
        <v>20</v>
      </c>
      <c r="L219" s="132" t="s">
        <v>184</v>
      </c>
      <c r="M219" s="132" t="s">
        <v>153</v>
      </c>
      <c r="N219" s="133">
        <v>41684</v>
      </c>
      <c r="O219" s="134">
        <v>1350</v>
      </c>
      <c r="P219" s="132" t="s">
        <v>151</v>
      </c>
      <c r="Q219" s="132" t="s">
        <v>185</v>
      </c>
      <c r="R219" s="132" t="s">
        <v>153</v>
      </c>
      <c r="S219" s="133">
        <v>41690</v>
      </c>
      <c r="T219" s="134">
        <v>149.30000000000001</v>
      </c>
      <c r="U219" s="132" t="s">
        <v>154</v>
      </c>
      <c r="V219" s="132" t="s">
        <v>178</v>
      </c>
      <c r="W219" s="132" t="s">
        <v>153</v>
      </c>
      <c r="X219" s="133">
        <v>41652</v>
      </c>
      <c r="Y219" s="134">
        <v>419</v>
      </c>
    </row>
    <row r="220" spans="1:25" x14ac:dyDescent="0.25">
      <c r="A220" s="79" t="s">
        <v>148</v>
      </c>
      <c r="B220" s="12" t="s">
        <v>181</v>
      </c>
      <c r="C220" s="12" t="s">
        <v>153</v>
      </c>
      <c r="D220" s="80">
        <v>41915</v>
      </c>
      <c r="E220" s="81">
        <v>800</v>
      </c>
      <c r="F220" s="76" t="s">
        <v>150</v>
      </c>
      <c r="G220" s="77" t="s">
        <v>175</v>
      </c>
      <c r="H220" s="77" t="s">
        <v>153</v>
      </c>
      <c r="I220" s="86">
        <v>41698</v>
      </c>
      <c r="J220" s="78">
        <v>807</v>
      </c>
      <c r="K220" s="132" t="s">
        <v>20</v>
      </c>
      <c r="L220" s="132" t="s">
        <v>184</v>
      </c>
      <c r="M220" s="132" t="s">
        <v>153</v>
      </c>
      <c r="N220" s="133">
        <v>41686</v>
      </c>
      <c r="O220" s="134">
        <v>1004</v>
      </c>
      <c r="P220" s="132" t="s">
        <v>151</v>
      </c>
      <c r="Q220" s="132" t="s">
        <v>185</v>
      </c>
      <c r="R220" s="132" t="s">
        <v>153</v>
      </c>
      <c r="S220" s="133">
        <v>41771</v>
      </c>
      <c r="T220" s="134">
        <v>564.5</v>
      </c>
      <c r="U220" s="132" t="s">
        <v>154</v>
      </c>
      <c r="V220" s="132" t="s">
        <v>178</v>
      </c>
      <c r="W220" s="132" t="s">
        <v>153</v>
      </c>
      <c r="X220" s="133">
        <v>41653</v>
      </c>
      <c r="Y220" s="134">
        <v>531</v>
      </c>
    </row>
    <row r="221" spans="1:25" x14ac:dyDescent="0.25">
      <c r="A221" s="79" t="s">
        <v>148</v>
      </c>
      <c r="B221" s="12" t="s">
        <v>181</v>
      </c>
      <c r="C221" s="12" t="s">
        <v>153</v>
      </c>
      <c r="D221" s="80">
        <v>41918</v>
      </c>
      <c r="E221" s="81">
        <v>793</v>
      </c>
      <c r="F221" s="76" t="s">
        <v>150</v>
      </c>
      <c r="G221" s="77" t="s">
        <v>175</v>
      </c>
      <c r="H221" s="77" t="s">
        <v>153</v>
      </c>
      <c r="I221" s="86">
        <v>41698</v>
      </c>
      <c r="J221" s="78">
        <v>1323</v>
      </c>
      <c r="K221" s="132" t="s">
        <v>20</v>
      </c>
      <c r="L221" s="132" t="s">
        <v>184</v>
      </c>
      <c r="M221" s="132" t="s">
        <v>153</v>
      </c>
      <c r="N221" s="133">
        <v>41764</v>
      </c>
      <c r="O221" s="134">
        <v>818</v>
      </c>
      <c r="P221" s="132" t="s">
        <v>151</v>
      </c>
      <c r="Q221" s="132" t="s">
        <v>185</v>
      </c>
      <c r="R221" s="132" t="s">
        <v>153</v>
      </c>
      <c r="S221" s="133">
        <v>41772</v>
      </c>
      <c r="T221" s="134">
        <v>577.70000000000005</v>
      </c>
      <c r="U221" s="132" t="s">
        <v>154</v>
      </c>
      <c r="V221" s="132" t="s">
        <v>178</v>
      </c>
      <c r="W221" s="132" t="s">
        <v>153</v>
      </c>
      <c r="X221" s="133">
        <v>41656</v>
      </c>
      <c r="Y221" s="134">
        <v>1181</v>
      </c>
    </row>
    <row r="222" spans="1:25" x14ac:dyDescent="0.25">
      <c r="A222" s="79" t="s">
        <v>148</v>
      </c>
      <c r="B222" s="12" t="s">
        <v>181</v>
      </c>
      <c r="C222" s="12" t="s">
        <v>153</v>
      </c>
      <c r="D222" s="80">
        <v>41919</v>
      </c>
      <c r="E222" s="81">
        <v>500</v>
      </c>
      <c r="F222" s="76" t="s">
        <v>150</v>
      </c>
      <c r="G222" s="77" t="s">
        <v>175</v>
      </c>
      <c r="H222" s="77" t="s">
        <v>153</v>
      </c>
      <c r="I222" s="86">
        <v>41699</v>
      </c>
      <c r="J222" s="78">
        <v>1012</v>
      </c>
      <c r="K222" s="132" t="s">
        <v>20</v>
      </c>
      <c r="L222" s="132" t="s">
        <v>184</v>
      </c>
      <c r="M222" s="132" t="s">
        <v>153</v>
      </c>
      <c r="N222" s="133">
        <v>41787</v>
      </c>
      <c r="O222" s="134">
        <v>1204</v>
      </c>
      <c r="P222" s="132" t="s">
        <v>151</v>
      </c>
      <c r="Q222" s="132" t="s">
        <v>185</v>
      </c>
      <c r="R222" s="132" t="s">
        <v>153</v>
      </c>
      <c r="S222" s="133">
        <v>41773</v>
      </c>
      <c r="T222" s="134">
        <v>776.5</v>
      </c>
      <c r="U222" s="132" t="s">
        <v>154</v>
      </c>
      <c r="V222" s="132" t="s">
        <v>178</v>
      </c>
      <c r="W222" s="132" t="s">
        <v>153</v>
      </c>
      <c r="X222" s="133">
        <v>41660</v>
      </c>
      <c r="Y222" s="134">
        <v>680</v>
      </c>
    </row>
    <row r="223" spans="1:25" x14ac:dyDescent="0.25">
      <c r="A223" s="79" t="s">
        <v>148</v>
      </c>
      <c r="B223" s="12" t="s">
        <v>183</v>
      </c>
      <c r="C223" s="12" t="s">
        <v>153</v>
      </c>
      <c r="D223" s="80">
        <v>41863</v>
      </c>
      <c r="E223" s="81">
        <v>760</v>
      </c>
      <c r="F223" s="76" t="s">
        <v>150</v>
      </c>
      <c r="G223" s="77" t="s">
        <v>175</v>
      </c>
      <c r="H223" s="77" t="s">
        <v>153</v>
      </c>
      <c r="I223" s="86">
        <v>41700</v>
      </c>
      <c r="J223" s="78">
        <v>317</v>
      </c>
      <c r="K223" s="132" t="s">
        <v>20</v>
      </c>
      <c r="L223" s="132" t="s">
        <v>184</v>
      </c>
      <c r="M223" s="132" t="s">
        <v>153</v>
      </c>
      <c r="N223" s="133">
        <v>41791</v>
      </c>
      <c r="O223" s="134">
        <v>978</v>
      </c>
      <c r="P223" s="132" t="s">
        <v>151</v>
      </c>
      <c r="Q223" s="132" t="s">
        <v>185</v>
      </c>
      <c r="R223" s="132" t="s">
        <v>153</v>
      </c>
      <c r="S223" s="133">
        <v>41859</v>
      </c>
      <c r="T223" s="134">
        <v>364</v>
      </c>
      <c r="U223" s="132" t="s">
        <v>154</v>
      </c>
      <c r="V223" s="132" t="s">
        <v>178</v>
      </c>
      <c r="W223" s="132" t="s">
        <v>153</v>
      </c>
      <c r="X223" s="133">
        <v>41661</v>
      </c>
      <c r="Y223" s="134">
        <v>466</v>
      </c>
    </row>
    <row r="224" spans="1:25" x14ac:dyDescent="0.25">
      <c r="A224" s="79" t="s">
        <v>148</v>
      </c>
      <c r="B224" s="12" t="s">
        <v>183</v>
      </c>
      <c r="C224" s="12" t="s">
        <v>153</v>
      </c>
      <c r="D224" s="80">
        <v>41864</v>
      </c>
      <c r="E224" s="81">
        <v>930</v>
      </c>
      <c r="F224" s="76" t="s">
        <v>150</v>
      </c>
      <c r="G224" s="77" t="s">
        <v>175</v>
      </c>
      <c r="H224" s="77" t="s">
        <v>153</v>
      </c>
      <c r="I224" s="86">
        <v>41700</v>
      </c>
      <c r="J224" s="78">
        <v>747</v>
      </c>
      <c r="K224" s="132" t="s">
        <v>20</v>
      </c>
      <c r="L224" s="132" t="s">
        <v>184</v>
      </c>
      <c r="M224" s="132" t="s">
        <v>153</v>
      </c>
      <c r="N224" s="133">
        <v>41823</v>
      </c>
      <c r="O224" s="134">
        <v>1188</v>
      </c>
      <c r="P224" s="132" t="s">
        <v>151</v>
      </c>
      <c r="Q224" s="132" t="s">
        <v>185</v>
      </c>
      <c r="R224" s="132" t="s">
        <v>153</v>
      </c>
      <c r="S224" s="133">
        <v>41863</v>
      </c>
      <c r="T224" s="134">
        <v>781.9</v>
      </c>
      <c r="U224" s="132" t="s">
        <v>154</v>
      </c>
      <c r="V224" s="132" t="s">
        <v>178</v>
      </c>
      <c r="W224" s="132" t="s">
        <v>153</v>
      </c>
      <c r="X224" s="133">
        <v>41744</v>
      </c>
      <c r="Y224" s="134">
        <v>1135</v>
      </c>
    </row>
    <row r="225" spans="1:25" x14ac:dyDescent="0.25">
      <c r="A225" s="79" t="s">
        <v>148</v>
      </c>
      <c r="B225" s="12" t="s">
        <v>183</v>
      </c>
      <c r="C225" s="12" t="s">
        <v>153</v>
      </c>
      <c r="D225" s="80">
        <v>41865</v>
      </c>
      <c r="E225" s="81">
        <v>1372</v>
      </c>
      <c r="F225" s="76" t="s">
        <v>150</v>
      </c>
      <c r="G225" s="77" t="s">
        <v>175</v>
      </c>
      <c r="H225" s="77" t="s">
        <v>153</v>
      </c>
      <c r="I225" s="86">
        <v>41701</v>
      </c>
      <c r="J225" s="78">
        <v>1222</v>
      </c>
      <c r="K225" s="132" t="s">
        <v>20</v>
      </c>
      <c r="L225" s="132" t="s">
        <v>184</v>
      </c>
      <c r="M225" s="132" t="s">
        <v>153</v>
      </c>
      <c r="N225" s="133">
        <v>41826</v>
      </c>
      <c r="O225" s="134">
        <v>943</v>
      </c>
      <c r="P225" s="132" t="s">
        <v>151</v>
      </c>
      <c r="Q225" s="132" t="s">
        <v>185</v>
      </c>
      <c r="R225" s="132" t="s">
        <v>153</v>
      </c>
      <c r="S225" s="133">
        <v>41880</v>
      </c>
      <c r="T225" s="134">
        <v>1132.2</v>
      </c>
      <c r="U225" s="132" t="s">
        <v>154</v>
      </c>
      <c r="V225" s="132" t="s">
        <v>178</v>
      </c>
      <c r="W225" s="132" t="s">
        <v>153</v>
      </c>
      <c r="X225" s="133">
        <v>41985</v>
      </c>
      <c r="Y225" s="134">
        <v>241</v>
      </c>
    </row>
    <row r="226" spans="1:25" x14ac:dyDescent="0.25">
      <c r="A226" s="79" t="s">
        <v>148</v>
      </c>
      <c r="B226" s="12" t="s">
        <v>183</v>
      </c>
      <c r="C226" s="12" t="s">
        <v>153</v>
      </c>
      <c r="D226" s="80">
        <v>41865</v>
      </c>
      <c r="E226" s="81">
        <v>830</v>
      </c>
      <c r="F226" s="76" t="s">
        <v>150</v>
      </c>
      <c r="G226" s="77" t="s">
        <v>175</v>
      </c>
      <c r="H226" s="77" t="s">
        <v>153</v>
      </c>
      <c r="I226" s="86">
        <v>41702</v>
      </c>
      <c r="J226" s="78">
        <v>1124</v>
      </c>
      <c r="K226" s="132" t="s">
        <v>20</v>
      </c>
      <c r="L226" s="132" t="s">
        <v>184</v>
      </c>
      <c r="M226" s="132" t="s">
        <v>153</v>
      </c>
      <c r="N226" s="133">
        <v>41900</v>
      </c>
      <c r="O226" s="134">
        <v>349</v>
      </c>
      <c r="P226" s="132" t="s">
        <v>151</v>
      </c>
      <c r="Q226" s="132" t="s">
        <v>185</v>
      </c>
      <c r="R226" s="132" t="s">
        <v>153</v>
      </c>
      <c r="S226" s="133">
        <v>41911</v>
      </c>
      <c r="T226" s="134">
        <v>1153.2</v>
      </c>
      <c r="U226" s="132" t="s">
        <v>154</v>
      </c>
      <c r="V226" s="132" t="s">
        <v>178</v>
      </c>
      <c r="W226" s="132" t="s">
        <v>153</v>
      </c>
      <c r="X226" s="133">
        <v>42001</v>
      </c>
      <c r="Y226" s="134">
        <v>340</v>
      </c>
    </row>
    <row r="227" spans="1:25" x14ac:dyDescent="0.25">
      <c r="A227" s="79" t="s">
        <v>148</v>
      </c>
      <c r="B227" s="12" t="s">
        <v>183</v>
      </c>
      <c r="C227" s="12" t="s">
        <v>153</v>
      </c>
      <c r="D227" s="80">
        <v>41866</v>
      </c>
      <c r="E227" s="81">
        <v>225</v>
      </c>
      <c r="F227" s="76" t="s">
        <v>150</v>
      </c>
      <c r="G227" s="77" t="s">
        <v>175</v>
      </c>
      <c r="H227" s="77" t="s">
        <v>153</v>
      </c>
      <c r="I227" s="86">
        <v>41704</v>
      </c>
      <c r="J227" s="78">
        <v>1320</v>
      </c>
      <c r="K227" s="132" t="s">
        <v>20</v>
      </c>
      <c r="L227" s="132" t="s">
        <v>184</v>
      </c>
      <c r="M227" s="132" t="s">
        <v>153</v>
      </c>
      <c r="N227" s="133">
        <v>41902</v>
      </c>
      <c r="O227" s="134">
        <v>1168</v>
      </c>
      <c r="P227" s="132" t="s">
        <v>151</v>
      </c>
      <c r="Q227" s="132" t="s">
        <v>185</v>
      </c>
      <c r="R227" s="132" t="s">
        <v>153</v>
      </c>
      <c r="S227" s="133">
        <v>41946</v>
      </c>
      <c r="T227" s="134">
        <v>467.4</v>
      </c>
      <c r="U227" s="132" t="s">
        <v>154</v>
      </c>
      <c r="V227" s="132" t="s">
        <v>178</v>
      </c>
      <c r="W227" s="132" t="s">
        <v>153</v>
      </c>
      <c r="X227" s="133">
        <v>42002</v>
      </c>
      <c r="Y227" s="134">
        <v>1075</v>
      </c>
    </row>
    <row r="228" spans="1:25" x14ac:dyDescent="0.25">
      <c r="A228" s="79" t="s">
        <v>148</v>
      </c>
      <c r="B228" s="12" t="s">
        <v>183</v>
      </c>
      <c r="C228" s="12" t="s">
        <v>153</v>
      </c>
      <c r="D228" s="80">
        <v>41867</v>
      </c>
      <c r="E228" s="81">
        <v>875</v>
      </c>
      <c r="F228" s="76" t="s">
        <v>150</v>
      </c>
      <c r="G228" s="77" t="s">
        <v>175</v>
      </c>
      <c r="H228" s="77" t="s">
        <v>153</v>
      </c>
      <c r="I228" s="86">
        <v>41705</v>
      </c>
      <c r="J228" s="78">
        <v>610</v>
      </c>
      <c r="K228" s="132" t="s">
        <v>20</v>
      </c>
      <c r="L228" s="132" t="s">
        <v>184</v>
      </c>
      <c r="M228" s="132" t="s">
        <v>153</v>
      </c>
      <c r="N228" s="133">
        <v>41920</v>
      </c>
      <c r="O228" s="134">
        <v>560</v>
      </c>
      <c r="P228" s="132" t="s">
        <v>151</v>
      </c>
      <c r="Q228" s="132" t="s">
        <v>186</v>
      </c>
      <c r="R228" s="132" t="s">
        <v>153</v>
      </c>
      <c r="S228" s="133">
        <v>41752</v>
      </c>
      <c r="T228" s="134">
        <v>745.9</v>
      </c>
      <c r="U228" s="132" t="s">
        <v>154</v>
      </c>
      <c r="V228" s="132" t="s">
        <v>179</v>
      </c>
      <c r="W228" s="132" t="s">
        <v>153</v>
      </c>
      <c r="X228" s="133">
        <v>41279</v>
      </c>
      <c r="Y228" s="134">
        <v>606</v>
      </c>
    </row>
    <row r="229" spans="1:25" x14ac:dyDescent="0.25">
      <c r="A229" s="79" t="s">
        <v>148</v>
      </c>
      <c r="B229" s="12" t="s">
        <v>186</v>
      </c>
      <c r="C229" s="12" t="s">
        <v>153</v>
      </c>
      <c r="D229" s="80">
        <v>41945</v>
      </c>
      <c r="E229" s="81">
        <v>660</v>
      </c>
      <c r="F229" s="76" t="s">
        <v>150</v>
      </c>
      <c r="G229" s="77" t="s">
        <v>175</v>
      </c>
      <c r="H229" s="77" t="s">
        <v>153</v>
      </c>
      <c r="I229" s="86">
        <v>41705</v>
      </c>
      <c r="J229" s="78">
        <v>473</v>
      </c>
      <c r="K229" s="132" t="s">
        <v>20</v>
      </c>
      <c r="L229" s="132" t="s">
        <v>184</v>
      </c>
      <c r="M229" s="132" t="s">
        <v>153</v>
      </c>
      <c r="N229" s="133">
        <v>41937</v>
      </c>
      <c r="O229" s="134">
        <v>1071</v>
      </c>
      <c r="P229" s="132" t="s">
        <v>151</v>
      </c>
      <c r="Q229" s="132" t="s">
        <v>186</v>
      </c>
      <c r="R229" s="132" t="s">
        <v>153</v>
      </c>
      <c r="S229" s="133">
        <v>41764</v>
      </c>
      <c r="T229" s="134">
        <v>759.2</v>
      </c>
      <c r="U229" s="132" t="s">
        <v>154</v>
      </c>
      <c r="V229" s="132" t="s">
        <v>179</v>
      </c>
      <c r="W229" s="132" t="s">
        <v>153</v>
      </c>
      <c r="X229" s="133">
        <v>41642</v>
      </c>
      <c r="Y229" s="134">
        <v>1026</v>
      </c>
    </row>
    <row r="230" spans="1:25" x14ac:dyDescent="0.25">
      <c r="A230" s="79" t="s">
        <v>148</v>
      </c>
      <c r="B230" s="12" t="s">
        <v>186</v>
      </c>
      <c r="C230" s="12" t="s">
        <v>153</v>
      </c>
      <c r="D230" s="80">
        <v>41946</v>
      </c>
      <c r="E230" s="81">
        <v>820</v>
      </c>
      <c r="F230" s="76" t="s">
        <v>150</v>
      </c>
      <c r="G230" s="77" t="s">
        <v>175</v>
      </c>
      <c r="H230" s="77" t="s">
        <v>153</v>
      </c>
      <c r="I230" s="86">
        <v>41706</v>
      </c>
      <c r="J230" s="78">
        <v>652</v>
      </c>
      <c r="K230" s="132" t="s">
        <v>20</v>
      </c>
      <c r="L230" s="132" t="s">
        <v>184</v>
      </c>
      <c r="M230" s="132" t="s">
        <v>153</v>
      </c>
      <c r="N230" s="133">
        <v>41993</v>
      </c>
      <c r="O230" s="134">
        <v>802</v>
      </c>
      <c r="P230" s="132" t="s">
        <v>151</v>
      </c>
      <c r="Q230" s="132" t="s">
        <v>186</v>
      </c>
      <c r="R230" s="132" t="s">
        <v>153</v>
      </c>
      <c r="S230" s="133">
        <v>41806</v>
      </c>
      <c r="T230" s="134">
        <v>1417.4</v>
      </c>
      <c r="U230" s="132" t="s">
        <v>154</v>
      </c>
      <c r="V230" s="132" t="s">
        <v>179</v>
      </c>
      <c r="W230" s="132" t="s">
        <v>153</v>
      </c>
      <c r="X230" s="133">
        <v>41642</v>
      </c>
      <c r="Y230" s="134">
        <v>395</v>
      </c>
    </row>
    <row r="231" spans="1:25" x14ac:dyDescent="0.25">
      <c r="A231" s="79" t="s">
        <v>148</v>
      </c>
      <c r="B231" s="12" t="s">
        <v>187</v>
      </c>
      <c r="C231" s="12" t="s">
        <v>153</v>
      </c>
      <c r="D231" s="80">
        <v>41962</v>
      </c>
      <c r="E231" s="81">
        <v>725</v>
      </c>
      <c r="F231" s="76" t="s">
        <v>150</v>
      </c>
      <c r="G231" s="77" t="s">
        <v>175</v>
      </c>
      <c r="H231" s="77" t="s">
        <v>153</v>
      </c>
      <c r="I231" s="86">
        <v>41707</v>
      </c>
      <c r="J231" s="78">
        <v>950</v>
      </c>
      <c r="K231" s="132" t="s">
        <v>20</v>
      </c>
      <c r="L231" s="132" t="s">
        <v>184</v>
      </c>
      <c r="M231" s="132" t="s">
        <v>153</v>
      </c>
      <c r="N231" s="133">
        <v>41995</v>
      </c>
      <c r="O231" s="134">
        <v>1001</v>
      </c>
      <c r="P231" s="132" t="s">
        <v>151</v>
      </c>
      <c r="Q231" s="132" t="s">
        <v>186</v>
      </c>
      <c r="R231" s="132" t="s">
        <v>153</v>
      </c>
      <c r="S231" s="133">
        <v>41806</v>
      </c>
      <c r="T231" s="134">
        <v>793.1</v>
      </c>
      <c r="U231" s="132" t="s">
        <v>154</v>
      </c>
      <c r="V231" s="132" t="s">
        <v>179</v>
      </c>
      <c r="W231" s="132" t="s">
        <v>153</v>
      </c>
      <c r="X231" s="133">
        <v>41645</v>
      </c>
      <c r="Y231" s="134">
        <v>950</v>
      </c>
    </row>
    <row r="232" spans="1:25" x14ac:dyDescent="0.25">
      <c r="A232" s="79" t="s">
        <v>148</v>
      </c>
      <c r="B232" s="12" t="s">
        <v>187</v>
      </c>
      <c r="C232" s="12" t="s">
        <v>153</v>
      </c>
      <c r="D232" s="80">
        <v>41963</v>
      </c>
      <c r="E232" s="81">
        <v>893</v>
      </c>
      <c r="F232" s="76" t="s">
        <v>150</v>
      </c>
      <c r="G232" s="77" t="s">
        <v>175</v>
      </c>
      <c r="H232" s="77" t="s">
        <v>153</v>
      </c>
      <c r="I232" s="86">
        <v>41708</v>
      </c>
      <c r="J232" s="78">
        <v>1086</v>
      </c>
      <c r="K232" s="132" t="s">
        <v>20</v>
      </c>
      <c r="L232" s="132" t="s">
        <v>185</v>
      </c>
      <c r="M232" s="132" t="s">
        <v>153</v>
      </c>
      <c r="N232" s="133">
        <v>41637</v>
      </c>
      <c r="O232" s="134">
        <v>1231</v>
      </c>
      <c r="P232" s="132" t="s">
        <v>151</v>
      </c>
      <c r="Q232" s="132" t="s">
        <v>186</v>
      </c>
      <c r="R232" s="132" t="s">
        <v>153</v>
      </c>
      <c r="S232" s="133">
        <v>41887</v>
      </c>
      <c r="T232" s="134">
        <v>553.70000000000005</v>
      </c>
      <c r="U232" s="132" t="s">
        <v>154</v>
      </c>
      <c r="V232" s="132" t="s">
        <v>179</v>
      </c>
      <c r="W232" s="132" t="s">
        <v>153</v>
      </c>
      <c r="X232" s="133">
        <v>41646</v>
      </c>
      <c r="Y232" s="134">
        <v>945</v>
      </c>
    </row>
    <row r="233" spans="1:25" x14ac:dyDescent="0.25">
      <c r="A233" s="79" t="s">
        <v>148</v>
      </c>
      <c r="B233" s="12" t="s">
        <v>187</v>
      </c>
      <c r="C233" s="12" t="s">
        <v>153</v>
      </c>
      <c r="D233" s="80">
        <v>41964</v>
      </c>
      <c r="E233" s="81">
        <v>889</v>
      </c>
      <c r="F233" s="76" t="s">
        <v>150</v>
      </c>
      <c r="G233" s="77" t="s">
        <v>175</v>
      </c>
      <c r="H233" s="77" t="s">
        <v>153</v>
      </c>
      <c r="I233" s="86">
        <v>41710</v>
      </c>
      <c r="J233" s="78">
        <v>940</v>
      </c>
      <c r="K233" s="132" t="s">
        <v>20</v>
      </c>
      <c r="L233" s="132" t="s">
        <v>185</v>
      </c>
      <c r="M233" s="132" t="s">
        <v>153</v>
      </c>
      <c r="N233" s="133">
        <v>41694</v>
      </c>
      <c r="O233" s="134">
        <v>804</v>
      </c>
      <c r="P233" s="132" t="s">
        <v>151</v>
      </c>
      <c r="Q233" s="132" t="s">
        <v>186</v>
      </c>
      <c r="R233" s="132" t="s">
        <v>153</v>
      </c>
      <c r="S233" s="133">
        <v>41892</v>
      </c>
      <c r="T233" s="134">
        <v>555.70000000000005</v>
      </c>
      <c r="U233" s="132" t="s">
        <v>154</v>
      </c>
      <c r="V233" s="132" t="s">
        <v>179</v>
      </c>
      <c r="W233" s="132" t="s">
        <v>153</v>
      </c>
      <c r="X233" s="133">
        <v>41646</v>
      </c>
      <c r="Y233" s="134">
        <v>380</v>
      </c>
    </row>
    <row r="234" spans="1:25" x14ac:dyDescent="0.25">
      <c r="A234" s="79" t="s">
        <v>148</v>
      </c>
      <c r="B234" s="12" t="s">
        <v>187</v>
      </c>
      <c r="C234" s="12" t="s">
        <v>153</v>
      </c>
      <c r="D234" s="80">
        <v>41965</v>
      </c>
      <c r="E234" s="81">
        <v>520</v>
      </c>
      <c r="F234" s="76" t="s">
        <v>150</v>
      </c>
      <c r="G234" s="77" t="s">
        <v>175</v>
      </c>
      <c r="H234" s="77" t="s">
        <v>153</v>
      </c>
      <c r="I234" s="86">
        <v>41712</v>
      </c>
      <c r="J234" s="78">
        <v>857</v>
      </c>
      <c r="K234" s="132" t="s">
        <v>20</v>
      </c>
      <c r="L234" s="132" t="s">
        <v>185</v>
      </c>
      <c r="M234" s="132" t="s">
        <v>153</v>
      </c>
      <c r="N234" s="133">
        <v>41759</v>
      </c>
      <c r="O234" s="134">
        <v>462</v>
      </c>
      <c r="P234" s="132" t="s">
        <v>151</v>
      </c>
      <c r="Q234" s="132" t="s">
        <v>186</v>
      </c>
      <c r="R234" s="132" t="s">
        <v>153</v>
      </c>
      <c r="S234" s="133">
        <v>41893</v>
      </c>
      <c r="T234" s="134">
        <v>711.6</v>
      </c>
      <c r="U234" s="132" t="s">
        <v>154</v>
      </c>
      <c r="V234" s="132" t="s">
        <v>179</v>
      </c>
      <c r="W234" s="132" t="s">
        <v>153</v>
      </c>
      <c r="X234" s="133">
        <v>41647</v>
      </c>
      <c r="Y234" s="134">
        <v>1200</v>
      </c>
    </row>
    <row r="235" spans="1:25" x14ac:dyDescent="0.25">
      <c r="A235" s="79" t="s">
        <v>148</v>
      </c>
      <c r="B235" s="12" t="s">
        <v>187</v>
      </c>
      <c r="C235" s="12" t="s">
        <v>153</v>
      </c>
      <c r="D235" s="80">
        <v>41966</v>
      </c>
      <c r="E235" s="81">
        <v>800</v>
      </c>
      <c r="F235" s="76" t="s">
        <v>150</v>
      </c>
      <c r="G235" s="77" t="s">
        <v>175</v>
      </c>
      <c r="H235" s="77" t="s">
        <v>153</v>
      </c>
      <c r="I235" s="86">
        <v>41715</v>
      </c>
      <c r="J235" s="78">
        <v>1270</v>
      </c>
      <c r="K235" s="132" t="s">
        <v>20</v>
      </c>
      <c r="L235" s="132" t="s">
        <v>185</v>
      </c>
      <c r="M235" s="132" t="s">
        <v>153</v>
      </c>
      <c r="N235" s="133">
        <v>41770</v>
      </c>
      <c r="O235" s="134">
        <v>1103</v>
      </c>
      <c r="P235" s="132" t="s">
        <v>151</v>
      </c>
      <c r="Q235" s="132" t="s">
        <v>186</v>
      </c>
      <c r="R235" s="132" t="s">
        <v>153</v>
      </c>
      <c r="S235" s="133">
        <v>41894</v>
      </c>
      <c r="T235" s="134">
        <v>804.3</v>
      </c>
      <c r="U235" s="132" t="s">
        <v>154</v>
      </c>
      <c r="V235" s="132" t="s">
        <v>179</v>
      </c>
      <c r="W235" s="132" t="s">
        <v>153</v>
      </c>
      <c r="X235" s="133">
        <v>41648</v>
      </c>
      <c r="Y235" s="134">
        <v>1060</v>
      </c>
    </row>
    <row r="236" spans="1:25" x14ac:dyDescent="0.25">
      <c r="A236" s="79" t="s">
        <v>148</v>
      </c>
      <c r="B236" s="12" t="s">
        <v>187</v>
      </c>
      <c r="C236" s="12" t="s">
        <v>153</v>
      </c>
      <c r="D236" s="80">
        <v>41967</v>
      </c>
      <c r="E236" s="81">
        <v>849</v>
      </c>
      <c r="F236" s="76" t="s">
        <v>150</v>
      </c>
      <c r="G236" s="77" t="s">
        <v>175</v>
      </c>
      <c r="H236" s="77" t="s">
        <v>153</v>
      </c>
      <c r="I236" s="86">
        <v>41716</v>
      </c>
      <c r="J236" s="78">
        <v>343</v>
      </c>
      <c r="K236" s="132" t="s">
        <v>20</v>
      </c>
      <c r="L236" s="132" t="s">
        <v>185</v>
      </c>
      <c r="M236" s="132" t="s">
        <v>153</v>
      </c>
      <c r="N236" s="133">
        <v>41781</v>
      </c>
      <c r="O236" s="134">
        <v>1396</v>
      </c>
      <c r="P236" s="132" t="s">
        <v>151</v>
      </c>
      <c r="Q236" s="132" t="s">
        <v>187</v>
      </c>
      <c r="R236" s="132" t="s">
        <v>153</v>
      </c>
      <c r="S236" s="133">
        <v>41712</v>
      </c>
      <c r="T236" s="134">
        <v>654.70000000000005</v>
      </c>
      <c r="U236" s="132" t="s">
        <v>154</v>
      </c>
      <c r="V236" s="132" t="s">
        <v>179</v>
      </c>
      <c r="W236" s="132" t="s">
        <v>153</v>
      </c>
      <c r="X236" s="133">
        <v>41649</v>
      </c>
      <c r="Y236" s="134">
        <v>540</v>
      </c>
    </row>
    <row r="237" spans="1:25" x14ac:dyDescent="0.25">
      <c r="A237" s="79" t="s">
        <v>148</v>
      </c>
      <c r="B237" s="12" t="s">
        <v>187</v>
      </c>
      <c r="C237" s="12" t="s">
        <v>153</v>
      </c>
      <c r="D237" s="80">
        <v>41968</v>
      </c>
      <c r="E237" s="81">
        <v>840</v>
      </c>
      <c r="F237" s="76" t="s">
        <v>150</v>
      </c>
      <c r="G237" s="77" t="s">
        <v>175</v>
      </c>
      <c r="H237" s="77" t="s">
        <v>153</v>
      </c>
      <c r="I237" s="86">
        <v>41786</v>
      </c>
      <c r="J237" s="78">
        <v>1062</v>
      </c>
      <c r="K237" s="132" t="s">
        <v>20</v>
      </c>
      <c r="L237" s="132" t="s">
        <v>185</v>
      </c>
      <c r="M237" s="132" t="s">
        <v>153</v>
      </c>
      <c r="N237" s="133">
        <v>41784</v>
      </c>
      <c r="O237" s="134">
        <v>1172</v>
      </c>
      <c r="P237" s="132" t="s">
        <v>151</v>
      </c>
      <c r="Q237" s="132" t="s">
        <v>187</v>
      </c>
      <c r="R237" s="132" t="s">
        <v>153</v>
      </c>
      <c r="S237" s="133">
        <v>41715</v>
      </c>
      <c r="T237" s="134">
        <v>767.5</v>
      </c>
      <c r="U237" s="132" t="s">
        <v>154</v>
      </c>
      <c r="V237" s="132" t="s">
        <v>179</v>
      </c>
      <c r="W237" s="132" t="s">
        <v>153</v>
      </c>
      <c r="X237" s="133">
        <v>41651</v>
      </c>
      <c r="Y237" s="134">
        <v>589</v>
      </c>
    </row>
    <row r="238" spans="1:25" x14ac:dyDescent="0.25">
      <c r="A238" s="79" t="s">
        <v>148</v>
      </c>
      <c r="B238" s="12" t="s">
        <v>187</v>
      </c>
      <c r="C238" s="12" t="s">
        <v>153</v>
      </c>
      <c r="D238" s="80">
        <v>41969</v>
      </c>
      <c r="E238" s="81">
        <v>790</v>
      </c>
      <c r="F238" s="76" t="s">
        <v>150</v>
      </c>
      <c r="G238" s="77" t="s">
        <v>175</v>
      </c>
      <c r="H238" s="77" t="s">
        <v>153</v>
      </c>
      <c r="I238" s="86">
        <v>41790</v>
      </c>
      <c r="J238" s="78">
        <v>606</v>
      </c>
      <c r="K238" s="132" t="s">
        <v>20</v>
      </c>
      <c r="L238" s="132" t="s">
        <v>185</v>
      </c>
      <c r="M238" s="132" t="s">
        <v>153</v>
      </c>
      <c r="N238" s="133">
        <v>41791</v>
      </c>
      <c r="O238" s="134">
        <v>1065</v>
      </c>
      <c r="P238" s="132" t="s">
        <v>151</v>
      </c>
      <c r="Q238" s="132" t="s">
        <v>187</v>
      </c>
      <c r="R238" s="132" t="s">
        <v>153</v>
      </c>
      <c r="S238" s="133">
        <v>41716</v>
      </c>
      <c r="T238" s="134">
        <v>718.1</v>
      </c>
      <c r="U238" s="132" t="s">
        <v>154</v>
      </c>
      <c r="V238" s="132" t="s">
        <v>179</v>
      </c>
      <c r="W238" s="132" t="s">
        <v>153</v>
      </c>
      <c r="X238" s="133">
        <v>41652</v>
      </c>
      <c r="Y238" s="134">
        <v>710</v>
      </c>
    </row>
    <row r="239" spans="1:25" x14ac:dyDescent="0.25">
      <c r="A239" s="79" t="s">
        <v>148</v>
      </c>
      <c r="B239" s="12" t="s">
        <v>187</v>
      </c>
      <c r="C239" s="12" t="s">
        <v>153</v>
      </c>
      <c r="D239" s="80">
        <v>41970</v>
      </c>
      <c r="E239" s="81">
        <v>750</v>
      </c>
      <c r="F239" s="76" t="s">
        <v>150</v>
      </c>
      <c r="G239" s="77" t="s">
        <v>175</v>
      </c>
      <c r="H239" s="77" t="s">
        <v>153</v>
      </c>
      <c r="I239" s="86">
        <v>41792</v>
      </c>
      <c r="J239" s="78">
        <v>941</v>
      </c>
      <c r="K239" s="132" t="s">
        <v>20</v>
      </c>
      <c r="L239" s="132" t="s">
        <v>185</v>
      </c>
      <c r="M239" s="132" t="s">
        <v>153</v>
      </c>
      <c r="N239" s="133">
        <v>41795</v>
      </c>
      <c r="O239" s="134">
        <v>558</v>
      </c>
      <c r="P239" s="132" t="s">
        <v>151</v>
      </c>
      <c r="Q239" s="132" t="s">
        <v>188</v>
      </c>
      <c r="R239" s="132" t="s">
        <v>153</v>
      </c>
      <c r="S239" s="133">
        <v>41641</v>
      </c>
      <c r="T239" s="134">
        <v>523.5</v>
      </c>
      <c r="U239" s="132" t="s">
        <v>154</v>
      </c>
      <c r="V239" s="132" t="s">
        <v>179</v>
      </c>
      <c r="W239" s="132" t="s">
        <v>153</v>
      </c>
      <c r="X239" s="133">
        <v>41653</v>
      </c>
      <c r="Y239" s="134">
        <v>814</v>
      </c>
    </row>
    <row r="240" spans="1:25" x14ac:dyDescent="0.25">
      <c r="A240" s="79" t="s">
        <v>148</v>
      </c>
      <c r="B240" s="12" t="s">
        <v>187</v>
      </c>
      <c r="C240" s="12" t="s">
        <v>153</v>
      </c>
      <c r="D240" s="80">
        <v>41971</v>
      </c>
      <c r="E240" s="81">
        <v>817</v>
      </c>
      <c r="F240" s="76" t="s">
        <v>150</v>
      </c>
      <c r="G240" s="77" t="s">
        <v>175</v>
      </c>
      <c r="H240" s="77" t="s">
        <v>153</v>
      </c>
      <c r="I240" s="86">
        <v>41793</v>
      </c>
      <c r="J240" s="78">
        <v>603</v>
      </c>
      <c r="K240" s="132" t="s">
        <v>20</v>
      </c>
      <c r="L240" s="132" t="s">
        <v>185</v>
      </c>
      <c r="M240" s="132" t="s">
        <v>153</v>
      </c>
      <c r="N240" s="133">
        <v>41847</v>
      </c>
      <c r="O240" s="134">
        <v>1153</v>
      </c>
      <c r="P240" s="132" t="s">
        <v>151</v>
      </c>
      <c r="Q240" s="132" t="s">
        <v>188</v>
      </c>
      <c r="R240" s="132" t="s">
        <v>153</v>
      </c>
      <c r="S240" s="133">
        <v>41642</v>
      </c>
      <c r="T240" s="134">
        <v>359.8</v>
      </c>
      <c r="U240" s="132" t="s">
        <v>154</v>
      </c>
      <c r="V240" s="132" t="s">
        <v>179</v>
      </c>
      <c r="W240" s="132" t="s">
        <v>153</v>
      </c>
      <c r="X240" s="133">
        <v>41654</v>
      </c>
      <c r="Y240" s="134">
        <v>620</v>
      </c>
    </row>
    <row r="241" spans="1:25" x14ac:dyDescent="0.25">
      <c r="A241" s="79" t="s">
        <v>148</v>
      </c>
      <c r="B241" s="12" t="s">
        <v>187</v>
      </c>
      <c r="C241" s="12" t="s">
        <v>153</v>
      </c>
      <c r="D241" s="80">
        <v>41972</v>
      </c>
      <c r="E241" s="81">
        <v>1042</v>
      </c>
      <c r="F241" s="76" t="s">
        <v>150</v>
      </c>
      <c r="G241" s="77" t="s">
        <v>175</v>
      </c>
      <c r="H241" s="77" t="s">
        <v>153</v>
      </c>
      <c r="I241" s="86">
        <v>41794</v>
      </c>
      <c r="J241" s="78">
        <v>553</v>
      </c>
      <c r="K241" s="132" t="s">
        <v>20</v>
      </c>
      <c r="L241" s="132" t="s">
        <v>185</v>
      </c>
      <c r="M241" s="132" t="s">
        <v>153</v>
      </c>
      <c r="N241" s="133">
        <v>41850</v>
      </c>
      <c r="O241" s="134">
        <v>286</v>
      </c>
      <c r="P241" s="132" t="s">
        <v>151</v>
      </c>
      <c r="Q241" s="132" t="s">
        <v>188</v>
      </c>
      <c r="R241" s="132" t="s">
        <v>153</v>
      </c>
      <c r="S241" s="133">
        <v>41662</v>
      </c>
      <c r="T241" s="134">
        <v>302.3</v>
      </c>
      <c r="U241" s="132" t="s">
        <v>154</v>
      </c>
      <c r="V241" s="132" t="s">
        <v>179</v>
      </c>
      <c r="W241" s="132" t="s">
        <v>153</v>
      </c>
      <c r="X241" s="133">
        <v>41654</v>
      </c>
      <c r="Y241" s="134">
        <v>320</v>
      </c>
    </row>
    <row r="242" spans="1:25" x14ac:dyDescent="0.25">
      <c r="A242" s="79" t="s">
        <v>148</v>
      </c>
      <c r="B242" s="12" t="s">
        <v>187</v>
      </c>
      <c r="C242" s="12" t="s">
        <v>153</v>
      </c>
      <c r="D242" s="80">
        <v>41973</v>
      </c>
      <c r="E242" s="81">
        <v>854</v>
      </c>
      <c r="F242" s="76" t="s">
        <v>150</v>
      </c>
      <c r="G242" s="77" t="s">
        <v>175</v>
      </c>
      <c r="H242" s="77" t="s">
        <v>153</v>
      </c>
      <c r="I242" s="86">
        <v>41796</v>
      </c>
      <c r="J242" s="78">
        <v>839</v>
      </c>
      <c r="K242" s="132" t="s">
        <v>20</v>
      </c>
      <c r="L242" s="132" t="s">
        <v>185</v>
      </c>
      <c r="M242" s="132" t="s">
        <v>153</v>
      </c>
      <c r="N242" s="133">
        <v>41878</v>
      </c>
      <c r="O242" s="134">
        <v>624</v>
      </c>
      <c r="P242" s="132" t="s">
        <v>151</v>
      </c>
      <c r="Q242" s="132" t="s">
        <v>188</v>
      </c>
      <c r="R242" s="132" t="s">
        <v>153</v>
      </c>
      <c r="S242" s="133">
        <v>41667</v>
      </c>
      <c r="T242" s="134">
        <v>620.79999999999995</v>
      </c>
      <c r="U242" s="132" t="s">
        <v>154</v>
      </c>
      <c r="V242" s="132" t="s">
        <v>179</v>
      </c>
      <c r="W242" s="132" t="s">
        <v>153</v>
      </c>
      <c r="X242" s="133">
        <v>41655</v>
      </c>
      <c r="Y242" s="134">
        <v>579</v>
      </c>
    </row>
    <row r="243" spans="1:25" x14ac:dyDescent="0.25">
      <c r="A243" s="79" t="s">
        <v>148</v>
      </c>
      <c r="B243" s="12" t="s">
        <v>187</v>
      </c>
      <c r="C243" s="12" t="s">
        <v>153</v>
      </c>
      <c r="D243" s="80">
        <v>41974</v>
      </c>
      <c r="E243" s="81">
        <v>874</v>
      </c>
      <c r="F243" s="76" t="s">
        <v>150</v>
      </c>
      <c r="G243" s="77" t="s">
        <v>175</v>
      </c>
      <c r="H243" s="77" t="s">
        <v>153</v>
      </c>
      <c r="I243" s="86">
        <v>41799</v>
      </c>
      <c r="J243" s="78">
        <v>772</v>
      </c>
      <c r="K243" s="132" t="s">
        <v>20</v>
      </c>
      <c r="L243" s="132" t="s">
        <v>185</v>
      </c>
      <c r="M243" s="132" t="s">
        <v>153</v>
      </c>
      <c r="N243" s="133">
        <v>41896</v>
      </c>
      <c r="O243" s="134">
        <v>1085</v>
      </c>
      <c r="P243" s="132" t="s">
        <v>151</v>
      </c>
      <c r="Q243" s="132" t="s">
        <v>188</v>
      </c>
      <c r="R243" s="132" t="s">
        <v>153</v>
      </c>
      <c r="S243" s="133">
        <v>41668</v>
      </c>
      <c r="T243" s="134">
        <v>741.1</v>
      </c>
      <c r="U243" s="132" t="s">
        <v>154</v>
      </c>
      <c r="V243" s="132" t="s">
        <v>179</v>
      </c>
      <c r="W243" s="132" t="s">
        <v>153</v>
      </c>
      <c r="X243" s="133">
        <v>41655</v>
      </c>
      <c r="Y243" s="134">
        <v>300</v>
      </c>
    </row>
    <row r="244" spans="1:25" x14ac:dyDescent="0.25">
      <c r="A244" s="79" t="s">
        <v>148</v>
      </c>
      <c r="B244" s="12" t="s">
        <v>164</v>
      </c>
      <c r="C244" s="12" t="s">
        <v>153</v>
      </c>
      <c r="D244" s="80">
        <v>41944</v>
      </c>
      <c r="E244" s="81">
        <v>800</v>
      </c>
      <c r="F244" s="76" t="s">
        <v>150</v>
      </c>
      <c r="G244" s="77" t="s">
        <v>175</v>
      </c>
      <c r="H244" s="77" t="s">
        <v>153</v>
      </c>
      <c r="I244" s="86">
        <v>41824</v>
      </c>
      <c r="J244" s="78">
        <v>1138</v>
      </c>
      <c r="K244" s="132" t="s">
        <v>20</v>
      </c>
      <c r="L244" s="132" t="s">
        <v>185</v>
      </c>
      <c r="M244" s="132" t="s">
        <v>153</v>
      </c>
      <c r="N244" s="133">
        <v>41931</v>
      </c>
      <c r="O244" s="134">
        <v>1188</v>
      </c>
      <c r="P244" s="132" t="s">
        <v>151</v>
      </c>
      <c r="Q244" s="132" t="s">
        <v>188</v>
      </c>
      <c r="R244" s="132" t="s">
        <v>153</v>
      </c>
      <c r="S244" s="133">
        <v>41669</v>
      </c>
      <c r="T244" s="134">
        <v>686.9</v>
      </c>
      <c r="U244" s="132" t="s">
        <v>154</v>
      </c>
      <c r="V244" s="132" t="s">
        <v>179</v>
      </c>
      <c r="W244" s="132" t="s">
        <v>153</v>
      </c>
      <c r="X244" s="133">
        <v>41656</v>
      </c>
      <c r="Y244" s="134">
        <v>1029</v>
      </c>
    </row>
    <row r="245" spans="1:25" x14ac:dyDescent="0.25">
      <c r="A245" s="79" t="s">
        <v>148</v>
      </c>
      <c r="B245" s="12" t="s">
        <v>166</v>
      </c>
      <c r="C245" s="12" t="s">
        <v>153</v>
      </c>
      <c r="D245" s="80">
        <v>41827</v>
      </c>
      <c r="E245" s="81">
        <v>1100</v>
      </c>
      <c r="F245" s="76" t="s">
        <v>150</v>
      </c>
      <c r="G245" s="77" t="s">
        <v>175</v>
      </c>
      <c r="H245" s="77" t="s">
        <v>153</v>
      </c>
      <c r="I245" s="86">
        <v>41825</v>
      </c>
      <c r="J245" s="78">
        <v>625</v>
      </c>
      <c r="K245" s="132" t="s">
        <v>20</v>
      </c>
      <c r="L245" s="132" t="s">
        <v>185</v>
      </c>
      <c r="M245" s="132" t="s">
        <v>153</v>
      </c>
      <c r="N245" s="133">
        <v>41935</v>
      </c>
      <c r="O245" s="134">
        <v>1198</v>
      </c>
      <c r="P245" s="132" t="s">
        <v>151</v>
      </c>
      <c r="Q245" s="132" t="s">
        <v>188</v>
      </c>
      <c r="R245" s="132" t="s">
        <v>153</v>
      </c>
      <c r="S245" s="133">
        <v>41670</v>
      </c>
      <c r="T245" s="134">
        <v>651.79999999999995</v>
      </c>
      <c r="U245" s="132" t="s">
        <v>154</v>
      </c>
      <c r="V245" s="132" t="s">
        <v>179</v>
      </c>
      <c r="W245" s="132" t="s">
        <v>153</v>
      </c>
      <c r="X245" s="133">
        <v>41657</v>
      </c>
      <c r="Y245" s="134">
        <v>850</v>
      </c>
    </row>
    <row r="246" spans="1:25" x14ac:dyDescent="0.25">
      <c r="A246" s="79" t="s">
        <v>148</v>
      </c>
      <c r="B246" s="12" t="s">
        <v>166</v>
      </c>
      <c r="C246" s="12" t="s">
        <v>153</v>
      </c>
      <c r="D246" s="80">
        <v>41830</v>
      </c>
      <c r="E246" s="81">
        <v>1001</v>
      </c>
      <c r="F246" s="76" t="s">
        <v>150</v>
      </c>
      <c r="G246" s="77" t="s">
        <v>175</v>
      </c>
      <c r="H246" s="77" t="s">
        <v>153</v>
      </c>
      <c r="I246" s="86">
        <v>41851</v>
      </c>
      <c r="J246" s="78">
        <v>1181</v>
      </c>
      <c r="K246" s="132" t="s">
        <v>20</v>
      </c>
      <c r="L246" s="132" t="s">
        <v>185</v>
      </c>
      <c r="M246" s="132" t="s">
        <v>153</v>
      </c>
      <c r="N246" s="133">
        <v>41951</v>
      </c>
      <c r="O246" s="134">
        <v>642</v>
      </c>
      <c r="P246" s="132" t="s">
        <v>151</v>
      </c>
      <c r="Q246" s="132" t="s">
        <v>188</v>
      </c>
      <c r="R246" s="132" t="s">
        <v>153</v>
      </c>
      <c r="S246" s="133">
        <v>41673</v>
      </c>
      <c r="T246" s="134">
        <v>584.79999999999995</v>
      </c>
      <c r="U246" s="132" t="s">
        <v>154</v>
      </c>
      <c r="V246" s="132" t="s">
        <v>179</v>
      </c>
      <c r="W246" s="132" t="s">
        <v>153</v>
      </c>
      <c r="X246" s="133">
        <v>41657</v>
      </c>
      <c r="Y246" s="134">
        <v>340</v>
      </c>
    </row>
    <row r="247" spans="1:25" x14ac:dyDescent="0.25">
      <c r="A247" s="79" t="s">
        <v>148</v>
      </c>
      <c r="B247" s="12" t="s">
        <v>166</v>
      </c>
      <c r="C247" s="12" t="s">
        <v>153</v>
      </c>
      <c r="D247" s="80">
        <v>41834</v>
      </c>
      <c r="E247" s="81">
        <v>1239</v>
      </c>
      <c r="F247" s="76" t="s">
        <v>150</v>
      </c>
      <c r="G247" s="77" t="s">
        <v>175</v>
      </c>
      <c r="H247" s="77" t="s">
        <v>153</v>
      </c>
      <c r="I247" s="86">
        <v>41855</v>
      </c>
      <c r="J247" s="78">
        <v>954</v>
      </c>
      <c r="K247" s="132" t="s">
        <v>20</v>
      </c>
      <c r="L247" s="132" t="s">
        <v>185</v>
      </c>
      <c r="M247" s="132" t="s">
        <v>153</v>
      </c>
      <c r="N247" s="133">
        <v>41965</v>
      </c>
      <c r="O247" s="134">
        <v>860</v>
      </c>
      <c r="P247" s="132" t="s">
        <v>151</v>
      </c>
      <c r="Q247" s="132" t="s">
        <v>188</v>
      </c>
      <c r="R247" s="132" t="s">
        <v>153</v>
      </c>
      <c r="S247" s="133">
        <v>41674</v>
      </c>
      <c r="T247" s="134">
        <v>663.4</v>
      </c>
      <c r="U247" s="132" t="s">
        <v>154</v>
      </c>
      <c r="V247" s="132" t="s">
        <v>179</v>
      </c>
      <c r="W247" s="132" t="s">
        <v>153</v>
      </c>
      <c r="X247" s="133">
        <v>41658</v>
      </c>
      <c r="Y247" s="134">
        <v>723</v>
      </c>
    </row>
    <row r="248" spans="1:25" x14ac:dyDescent="0.25">
      <c r="A248" s="79" t="s">
        <v>148</v>
      </c>
      <c r="B248" s="12" t="s">
        <v>166</v>
      </c>
      <c r="C248" s="12" t="s">
        <v>153</v>
      </c>
      <c r="D248" s="80">
        <v>41836</v>
      </c>
      <c r="E248" s="81">
        <v>1251</v>
      </c>
      <c r="F248" s="76" t="s">
        <v>150</v>
      </c>
      <c r="G248" s="77" t="s">
        <v>175</v>
      </c>
      <c r="H248" s="77" t="s">
        <v>153</v>
      </c>
      <c r="I248" s="86">
        <v>41856</v>
      </c>
      <c r="J248" s="78">
        <v>629</v>
      </c>
      <c r="K248" s="132" t="s">
        <v>20</v>
      </c>
      <c r="L248" s="132" t="s">
        <v>185</v>
      </c>
      <c r="M248" s="132" t="s">
        <v>153</v>
      </c>
      <c r="N248" s="133">
        <v>41970</v>
      </c>
      <c r="O248" s="134">
        <v>1008</v>
      </c>
      <c r="P248" s="132" t="s">
        <v>151</v>
      </c>
      <c r="Q248" s="132" t="s">
        <v>188</v>
      </c>
      <c r="R248" s="132" t="s">
        <v>153</v>
      </c>
      <c r="S248" s="133">
        <v>41675</v>
      </c>
      <c r="T248" s="134">
        <v>430.2</v>
      </c>
      <c r="U248" s="132" t="s">
        <v>154</v>
      </c>
      <c r="V248" s="132" t="s">
        <v>179</v>
      </c>
      <c r="W248" s="132" t="s">
        <v>153</v>
      </c>
      <c r="X248" s="133">
        <v>41659</v>
      </c>
      <c r="Y248" s="134">
        <v>788</v>
      </c>
    </row>
    <row r="249" spans="1:25" x14ac:dyDescent="0.25">
      <c r="A249" s="79" t="s">
        <v>148</v>
      </c>
      <c r="B249" s="12" t="s">
        <v>166</v>
      </c>
      <c r="C249" s="12" t="s">
        <v>153</v>
      </c>
      <c r="D249" s="80">
        <v>41837</v>
      </c>
      <c r="E249" s="81">
        <v>666</v>
      </c>
      <c r="F249" s="76" t="s">
        <v>150</v>
      </c>
      <c r="G249" s="77" t="s">
        <v>175</v>
      </c>
      <c r="H249" s="77" t="s">
        <v>153</v>
      </c>
      <c r="I249" s="86">
        <v>41856</v>
      </c>
      <c r="J249" s="78">
        <v>1094</v>
      </c>
      <c r="K249" s="132" t="s">
        <v>20</v>
      </c>
      <c r="L249" s="132" t="s">
        <v>185</v>
      </c>
      <c r="M249" s="132" t="s">
        <v>153</v>
      </c>
      <c r="N249" s="133">
        <v>41972</v>
      </c>
      <c r="O249" s="134">
        <v>899</v>
      </c>
      <c r="P249" s="132" t="s">
        <v>151</v>
      </c>
      <c r="Q249" s="132" t="s">
        <v>188</v>
      </c>
      <c r="R249" s="132" t="s">
        <v>153</v>
      </c>
      <c r="S249" s="133">
        <v>41676</v>
      </c>
      <c r="T249" s="134">
        <v>840.2</v>
      </c>
      <c r="U249" s="132" t="s">
        <v>154</v>
      </c>
      <c r="V249" s="132" t="s">
        <v>179</v>
      </c>
      <c r="W249" s="132" t="s">
        <v>153</v>
      </c>
      <c r="X249" s="133">
        <v>41659</v>
      </c>
      <c r="Y249" s="134">
        <v>419</v>
      </c>
    </row>
    <row r="250" spans="1:25" x14ac:dyDescent="0.25">
      <c r="A250" s="79" t="s">
        <v>148</v>
      </c>
      <c r="B250" s="12" t="s">
        <v>189</v>
      </c>
      <c r="C250" s="12" t="s">
        <v>153</v>
      </c>
      <c r="D250" s="80">
        <v>41927</v>
      </c>
      <c r="E250" s="81">
        <v>1001</v>
      </c>
      <c r="F250" s="76" t="s">
        <v>150</v>
      </c>
      <c r="G250" s="77" t="s">
        <v>175</v>
      </c>
      <c r="H250" s="77" t="s">
        <v>153</v>
      </c>
      <c r="I250" s="86">
        <v>41858</v>
      </c>
      <c r="J250" s="78">
        <v>1195</v>
      </c>
      <c r="K250" s="132" t="s">
        <v>20</v>
      </c>
      <c r="L250" s="132" t="s">
        <v>185</v>
      </c>
      <c r="M250" s="132" t="s">
        <v>153</v>
      </c>
      <c r="N250" s="133">
        <v>41980</v>
      </c>
      <c r="O250" s="134">
        <v>1109</v>
      </c>
      <c r="P250" s="132" t="s">
        <v>151</v>
      </c>
      <c r="Q250" s="132" t="s">
        <v>188</v>
      </c>
      <c r="R250" s="132" t="s">
        <v>153</v>
      </c>
      <c r="S250" s="133">
        <v>41677</v>
      </c>
      <c r="T250" s="134">
        <v>589.6</v>
      </c>
      <c r="U250" s="132" t="s">
        <v>154</v>
      </c>
      <c r="V250" s="132" t="s">
        <v>179</v>
      </c>
      <c r="W250" s="132" t="s">
        <v>153</v>
      </c>
      <c r="X250" s="133">
        <v>41660</v>
      </c>
      <c r="Y250" s="134">
        <v>451</v>
      </c>
    </row>
    <row r="251" spans="1:25" x14ac:dyDescent="0.25">
      <c r="A251" s="79" t="s">
        <v>148</v>
      </c>
      <c r="B251" s="12" t="s">
        <v>189</v>
      </c>
      <c r="C251" s="12" t="s">
        <v>153</v>
      </c>
      <c r="D251" s="80">
        <v>41928</v>
      </c>
      <c r="E251" s="81">
        <v>200</v>
      </c>
      <c r="F251" s="76" t="s">
        <v>150</v>
      </c>
      <c r="G251" s="77" t="s">
        <v>175</v>
      </c>
      <c r="H251" s="77" t="s">
        <v>153</v>
      </c>
      <c r="I251" s="86">
        <v>41858</v>
      </c>
      <c r="J251" s="78">
        <v>1162</v>
      </c>
      <c r="K251" s="132" t="s">
        <v>20</v>
      </c>
      <c r="L251" s="132" t="s">
        <v>185</v>
      </c>
      <c r="M251" s="132" t="s">
        <v>153</v>
      </c>
      <c r="N251" s="133">
        <v>41985</v>
      </c>
      <c r="O251" s="134">
        <v>876</v>
      </c>
      <c r="P251" s="132" t="s">
        <v>151</v>
      </c>
      <c r="Q251" s="132" t="s">
        <v>188</v>
      </c>
      <c r="R251" s="132" t="s">
        <v>153</v>
      </c>
      <c r="S251" s="133">
        <v>41680</v>
      </c>
      <c r="T251" s="134">
        <v>674.9</v>
      </c>
      <c r="U251" s="132" t="s">
        <v>154</v>
      </c>
      <c r="V251" s="132" t="s">
        <v>179</v>
      </c>
      <c r="W251" s="132" t="s">
        <v>153</v>
      </c>
      <c r="X251" s="133">
        <v>41660</v>
      </c>
      <c r="Y251" s="134">
        <v>566</v>
      </c>
    </row>
    <row r="252" spans="1:25" x14ac:dyDescent="0.25">
      <c r="A252" s="79" t="s">
        <v>148</v>
      </c>
      <c r="B252" s="12" t="s">
        <v>189</v>
      </c>
      <c r="C252" s="12" t="s">
        <v>153</v>
      </c>
      <c r="D252" s="80">
        <v>41929</v>
      </c>
      <c r="E252" s="81">
        <v>725</v>
      </c>
      <c r="F252" s="76" t="s">
        <v>150</v>
      </c>
      <c r="G252" s="77" t="s">
        <v>175</v>
      </c>
      <c r="H252" s="77" t="s">
        <v>153</v>
      </c>
      <c r="I252" s="86">
        <v>41862</v>
      </c>
      <c r="J252" s="78">
        <v>1330</v>
      </c>
      <c r="K252" s="132" t="s">
        <v>20</v>
      </c>
      <c r="L252" s="132" t="s">
        <v>185</v>
      </c>
      <c r="M252" s="132" t="s">
        <v>153</v>
      </c>
      <c r="N252" s="133">
        <v>41987</v>
      </c>
      <c r="O252" s="134">
        <v>1039</v>
      </c>
      <c r="P252" s="132" t="s">
        <v>151</v>
      </c>
      <c r="Q252" s="132" t="s">
        <v>188</v>
      </c>
      <c r="R252" s="132" t="s">
        <v>153</v>
      </c>
      <c r="S252" s="133">
        <v>41694</v>
      </c>
      <c r="T252" s="134">
        <v>701.9</v>
      </c>
      <c r="U252" s="132" t="s">
        <v>154</v>
      </c>
      <c r="V252" s="132" t="s">
        <v>179</v>
      </c>
      <c r="W252" s="132" t="s">
        <v>153</v>
      </c>
      <c r="X252" s="133">
        <v>41661</v>
      </c>
      <c r="Y252" s="134">
        <v>900</v>
      </c>
    </row>
    <row r="253" spans="1:25" x14ac:dyDescent="0.25">
      <c r="A253" s="79" t="s">
        <v>148</v>
      </c>
      <c r="B253" s="12" t="s">
        <v>189</v>
      </c>
      <c r="C253" s="12" t="s">
        <v>153</v>
      </c>
      <c r="D253" s="80">
        <v>41930</v>
      </c>
      <c r="E253" s="81">
        <v>1205</v>
      </c>
      <c r="F253" s="76" t="s">
        <v>150</v>
      </c>
      <c r="G253" s="77" t="s">
        <v>175</v>
      </c>
      <c r="H253" s="77" t="s">
        <v>153</v>
      </c>
      <c r="I253" s="86">
        <v>41863</v>
      </c>
      <c r="J253" s="78">
        <v>632</v>
      </c>
      <c r="K253" s="132" t="s">
        <v>20</v>
      </c>
      <c r="L253" s="132" t="s">
        <v>186</v>
      </c>
      <c r="M253" s="132" t="s">
        <v>153</v>
      </c>
      <c r="N253" s="133">
        <v>41720</v>
      </c>
      <c r="O253" s="134">
        <v>1304</v>
      </c>
      <c r="P253" s="132" t="s">
        <v>151</v>
      </c>
      <c r="Q253" s="132" t="s">
        <v>188</v>
      </c>
      <c r="R253" s="132" t="s">
        <v>153</v>
      </c>
      <c r="S253" s="133">
        <v>41709</v>
      </c>
      <c r="T253" s="134">
        <v>716.1</v>
      </c>
      <c r="U253" s="132" t="s">
        <v>154</v>
      </c>
      <c r="V253" s="132" t="s">
        <v>179</v>
      </c>
      <c r="W253" s="132" t="s">
        <v>153</v>
      </c>
      <c r="X253" s="133">
        <v>41663</v>
      </c>
      <c r="Y253" s="134">
        <v>1114</v>
      </c>
    </row>
    <row r="254" spans="1:25" x14ac:dyDescent="0.25">
      <c r="A254" s="79" t="s">
        <v>148</v>
      </c>
      <c r="B254" s="12" t="s">
        <v>189</v>
      </c>
      <c r="C254" s="12" t="s">
        <v>153</v>
      </c>
      <c r="D254" s="80">
        <v>41931</v>
      </c>
      <c r="E254" s="81">
        <v>585</v>
      </c>
      <c r="F254" s="76" t="s">
        <v>150</v>
      </c>
      <c r="G254" s="77" t="s">
        <v>175</v>
      </c>
      <c r="H254" s="77" t="s">
        <v>153</v>
      </c>
      <c r="I254" s="86">
        <v>41864</v>
      </c>
      <c r="J254" s="78">
        <v>836</v>
      </c>
      <c r="K254" s="132" t="s">
        <v>20</v>
      </c>
      <c r="L254" s="132" t="s">
        <v>186</v>
      </c>
      <c r="M254" s="132" t="s">
        <v>153</v>
      </c>
      <c r="N254" s="133">
        <v>41849</v>
      </c>
      <c r="O254" s="134">
        <v>1271</v>
      </c>
      <c r="P254" s="132" t="s">
        <v>151</v>
      </c>
      <c r="Q254" s="132" t="s">
        <v>188</v>
      </c>
      <c r="R254" s="132" t="s">
        <v>153</v>
      </c>
      <c r="S254" s="133">
        <v>41732</v>
      </c>
      <c r="T254" s="134">
        <v>590</v>
      </c>
      <c r="U254" s="132" t="s">
        <v>154</v>
      </c>
      <c r="V254" s="132" t="s">
        <v>179</v>
      </c>
      <c r="W254" s="132" t="s">
        <v>153</v>
      </c>
      <c r="X254" s="133">
        <v>41663</v>
      </c>
      <c r="Y254" s="134">
        <v>320</v>
      </c>
    </row>
    <row r="255" spans="1:25" x14ac:dyDescent="0.25">
      <c r="A255" s="79" t="s">
        <v>148</v>
      </c>
      <c r="B255" s="12" t="s">
        <v>189</v>
      </c>
      <c r="C255" s="12" t="s">
        <v>153</v>
      </c>
      <c r="D255" s="80">
        <v>41933</v>
      </c>
      <c r="E255" s="81">
        <v>1500</v>
      </c>
      <c r="F255" s="76" t="s">
        <v>150</v>
      </c>
      <c r="G255" s="77" t="s">
        <v>175</v>
      </c>
      <c r="H255" s="77" t="s">
        <v>153</v>
      </c>
      <c r="I255" s="86">
        <v>41867</v>
      </c>
      <c r="J255" s="78">
        <v>1080</v>
      </c>
      <c r="K255" s="132" t="s">
        <v>20</v>
      </c>
      <c r="L255" s="132" t="s">
        <v>186</v>
      </c>
      <c r="M255" s="132" t="s">
        <v>153</v>
      </c>
      <c r="N255" s="133">
        <v>41854</v>
      </c>
      <c r="O255" s="134">
        <v>702</v>
      </c>
      <c r="P255" s="132" t="s">
        <v>151</v>
      </c>
      <c r="Q255" s="132" t="s">
        <v>188</v>
      </c>
      <c r="R255" s="132" t="s">
        <v>153</v>
      </c>
      <c r="S255" s="133">
        <v>41740</v>
      </c>
      <c r="T255" s="134">
        <v>911.8</v>
      </c>
      <c r="U255" s="132" t="s">
        <v>154</v>
      </c>
      <c r="V255" s="132" t="s">
        <v>179</v>
      </c>
      <c r="W255" s="132" t="s">
        <v>153</v>
      </c>
      <c r="X255" s="133">
        <v>41665</v>
      </c>
      <c r="Y255" s="134">
        <v>262</v>
      </c>
    </row>
    <row r="256" spans="1:25" x14ac:dyDescent="0.25">
      <c r="A256" s="79" t="s">
        <v>148</v>
      </c>
      <c r="B256" s="12" t="s">
        <v>189</v>
      </c>
      <c r="C256" s="12" t="s">
        <v>153</v>
      </c>
      <c r="D256" s="80">
        <v>41934</v>
      </c>
      <c r="E256" s="81">
        <v>680</v>
      </c>
      <c r="F256" s="76" t="s">
        <v>150</v>
      </c>
      <c r="G256" s="77" t="s">
        <v>175</v>
      </c>
      <c r="H256" s="77" t="s">
        <v>153</v>
      </c>
      <c r="I256" s="86">
        <v>41869</v>
      </c>
      <c r="J256" s="78">
        <v>1209</v>
      </c>
      <c r="K256" s="132" t="s">
        <v>20</v>
      </c>
      <c r="L256" s="132" t="s">
        <v>186</v>
      </c>
      <c r="M256" s="132" t="s">
        <v>153</v>
      </c>
      <c r="N256" s="133">
        <v>41857</v>
      </c>
      <c r="O256" s="134">
        <v>396</v>
      </c>
      <c r="P256" s="132" t="s">
        <v>151</v>
      </c>
      <c r="Q256" s="132" t="s">
        <v>188</v>
      </c>
      <c r="R256" s="132" t="s">
        <v>153</v>
      </c>
      <c r="S256" s="133">
        <v>41743</v>
      </c>
      <c r="T256" s="134">
        <v>581.9</v>
      </c>
      <c r="U256" s="132" t="s">
        <v>154</v>
      </c>
      <c r="V256" s="132" t="s">
        <v>179</v>
      </c>
      <c r="W256" s="132" t="s">
        <v>153</v>
      </c>
      <c r="X256" s="133">
        <v>41666</v>
      </c>
      <c r="Y256" s="134">
        <v>850</v>
      </c>
    </row>
    <row r="257" spans="1:25" x14ac:dyDescent="0.25">
      <c r="A257" s="79" t="s">
        <v>148</v>
      </c>
      <c r="B257" s="12" t="s">
        <v>189</v>
      </c>
      <c r="C257" s="12" t="s">
        <v>153</v>
      </c>
      <c r="D257" s="80">
        <v>41939</v>
      </c>
      <c r="E257" s="81">
        <v>1320</v>
      </c>
      <c r="F257" s="76" t="s">
        <v>150</v>
      </c>
      <c r="G257" s="77" t="s">
        <v>175</v>
      </c>
      <c r="H257" s="77" t="s">
        <v>153</v>
      </c>
      <c r="I257" s="86">
        <v>41870</v>
      </c>
      <c r="J257" s="78">
        <v>688</v>
      </c>
      <c r="K257" s="132" t="s">
        <v>20</v>
      </c>
      <c r="L257" s="132" t="s">
        <v>186</v>
      </c>
      <c r="M257" s="132" t="s">
        <v>153</v>
      </c>
      <c r="N257" s="133">
        <v>41903</v>
      </c>
      <c r="O257" s="134">
        <v>1017</v>
      </c>
      <c r="P257" s="132" t="s">
        <v>151</v>
      </c>
      <c r="Q257" s="132" t="s">
        <v>188</v>
      </c>
      <c r="R257" s="132" t="s">
        <v>153</v>
      </c>
      <c r="S257" s="133">
        <v>41864</v>
      </c>
      <c r="T257" s="134">
        <v>517</v>
      </c>
      <c r="U257" s="132" t="s">
        <v>154</v>
      </c>
      <c r="V257" s="132" t="s">
        <v>179</v>
      </c>
      <c r="W257" s="132" t="s">
        <v>153</v>
      </c>
      <c r="X257" s="133">
        <v>41667</v>
      </c>
      <c r="Y257" s="134">
        <v>720</v>
      </c>
    </row>
    <row r="258" spans="1:25" x14ac:dyDescent="0.25">
      <c r="A258" s="79" t="s">
        <v>148</v>
      </c>
      <c r="B258" s="12" t="s">
        <v>189</v>
      </c>
      <c r="C258" s="12" t="s">
        <v>153</v>
      </c>
      <c r="D258" s="80">
        <v>41940</v>
      </c>
      <c r="E258" s="81">
        <v>950</v>
      </c>
      <c r="F258" s="76" t="s">
        <v>150</v>
      </c>
      <c r="G258" s="77" t="s">
        <v>175</v>
      </c>
      <c r="H258" s="77" t="s">
        <v>153</v>
      </c>
      <c r="I258" s="86">
        <v>41870</v>
      </c>
      <c r="J258" s="78">
        <v>389</v>
      </c>
      <c r="K258" s="132" t="s">
        <v>20</v>
      </c>
      <c r="L258" s="132" t="s">
        <v>186</v>
      </c>
      <c r="M258" s="132" t="s">
        <v>153</v>
      </c>
      <c r="N258" s="133">
        <v>41910</v>
      </c>
      <c r="O258" s="134">
        <v>1059</v>
      </c>
      <c r="P258" s="132" t="s">
        <v>151</v>
      </c>
      <c r="Q258" s="132" t="s">
        <v>188</v>
      </c>
      <c r="R258" s="132" t="s">
        <v>153</v>
      </c>
      <c r="S258" s="133">
        <v>41865</v>
      </c>
      <c r="T258" s="134">
        <v>641.9</v>
      </c>
      <c r="U258" s="132" t="s">
        <v>154</v>
      </c>
      <c r="V258" s="132" t="s">
        <v>179</v>
      </c>
      <c r="W258" s="132" t="s">
        <v>153</v>
      </c>
      <c r="X258" s="133">
        <v>41667</v>
      </c>
      <c r="Y258" s="134">
        <v>400</v>
      </c>
    </row>
    <row r="259" spans="1:25" x14ac:dyDescent="0.25">
      <c r="A259" s="79" t="s">
        <v>148</v>
      </c>
      <c r="B259" s="12" t="s">
        <v>189</v>
      </c>
      <c r="C259" s="12" t="s">
        <v>153</v>
      </c>
      <c r="D259" s="80">
        <v>41941</v>
      </c>
      <c r="E259" s="81">
        <v>801</v>
      </c>
      <c r="F259" s="76" t="s">
        <v>150</v>
      </c>
      <c r="G259" s="77" t="s">
        <v>175</v>
      </c>
      <c r="H259" s="77" t="s">
        <v>153</v>
      </c>
      <c r="I259" s="86">
        <v>41872</v>
      </c>
      <c r="J259" s="78">
        <v>1282</v>
      </c>
      <c r="K259" s="132" t="s">
        <v>20</v>
      </c>
      <c r="L259" s="132" t="s">
        <v>186</v>
      </c>
      <c r="M259" s="132" t="s">
        <v>153</v>
      </c>
      <c r="N259" s="133">
        <v>41924</v>
      </c>
      <c r="O259" s="134">
        <v>1163</v>
      </c>
      <c r="P259" s="132" t="s">
        <v>151</v>
      </c>
      <c r="Q259" s="132" t="s">
        <v>188</v>
      </c>
      <c r="R259" s="132" t="s">
        <v>153</v>
      </c>
      <c r="S259" s="133">
        <v>41866</v>
      </c>
      <c r="T259" s="134">
        <v>854.8</v>
      </c>
      <c r="U259" s="132" t="s">
        <v>154</v>
      </c>
      <c r="V259" s="132" t="s">
        <v>179</v>
      </c>
      <c r="W259" s="132" t="s">
        <v>153</v>
      </c>
      <c r="X259" s="133">
        <v>41668</v>
      </c>
      <c r="Y259" s="134">
        <v>534</v>
      </c>
    </row>
    <row r="260" spans="1:25" x14ac:dyDescent="0.25">
      <c r="A260" s="79" t="s">
        <v>148</v>
      </c>
      <c r="B260" s="12" t="s">
        <v>189</v>
      </c>
      <c r="C260" s="12" t="s">
        <v>153</v>
      </c>
      <c r="D260" s="80">
        <v>41942</v>
      </c>
      <c r="E260" s="81">
        <v>1300</v>
      </c>
      <c r="F260" s="76" t="s">
        <v>150</v>
      </c>
      <c r="G260" s="77" t="s">
        <v>175</v>
      </c>
      <c r="H260" s="77" t="s">
        <v>153</v>
      </c>
      <c r="I260" s="86">
        <v>41872</v>
      </c>
      <c r="J260" s="78">
        <v>645</v>
      </c>
      <c r="K260" s="132" t="s">
        <v>20</v>
      </c>
      <c r="L260" s="132" t="s">
        <v>186</v>
      </c>
      <c r="M260" s="132" t="s">
        <v>153</v>
      </c>
      <c r="N260" s="133">
        <v>41927</v>
      </c>
      <c r="O260" s="134">
        <v>409</v>
      </c>
      <c r="P260" s="132" t="s">
        <v>151</v>
      </c>
      <c r="Q260" s="132" t="s">
        <v>188</v>
      </c>
      <c r="R260" s="132" t="s">
        <v>153</v>
      </c>
      <c r="S260" s="133">
        <v>41870</v>
      </c>
      <c r="T260" s="134">
        <v>1133.9000000000001</v>
      </c>
      <c r="U260" s="132" t="s">
        <v>154</v>
      </c>
      <c r="V260" s="132" t="s">
        <v>179</v>
      </c>
      <c r="W260" s="132" t="s">
        <v>153</v>
      </c>
      <c r="X260" s="133">
        <v>41668</v>
      </c>
      <c r="Y260" s="134">
        <v>600</v>
      </c>
    </row>
    <row r="261" spans="1:25" x14ac:dyDescent="0.25">
      <c r="A261" s="79" t="s">
        <v>148</v>
      </c>
      <c r="B261" s="12" t="s">
        <v>189</v>
      </c>
      <c r="C261" s="12" t="s">
        <v>153</v>
      </c>
      <c r="D261" s="80">
        <v>41943</v>
      </c>
      <c r="E261" s="81">
        <v>750</v>
      </c>
      <c r="F261" s="76" t="s">
        <v>150</v>
      </c>
      <c r="G261" s="77" t="s">
        <v>175</v>
      </c>
      <c r="H261" s="77" t="s">
        <v>153</v>
      </c>
      <c r="I261" s="86">
        <v>41873</v>
      </c>
      <c r="J261" s="78">
        <v>979</v>
      </c>
      <c r="K261" s="132" t="s">
        <v>20</v>
      </c>
      <c r="L261" s="132" t="s">
        <v>186</v>
      </c>
      <c r="M261" s="132" t="s">
        <v>153</v>
      </c>
      <c r="N261" s="133">
        <v>41928</v>
      </c>
      <c r="O261" s="134">
        <v>584</v>
      </c>
      <c r="P261" s="132" t="s">
        <v>151</v>
      </c>
      <c r="Q261" s="132" t="s">
        <v>188</v>
      </c>
      <c r="R261" s="132" t="s">
        <v>153</v>
      </c>
      <c r="S261" s="133">
        <v>41871</v>
      </c>
      <c r="T261" s="134">
        <v>423.7</v>
      </c>
      <c r="U261" s="132" t="s">
        <v>154</v>
      </c>
      <c r="V261" s="132" t="s">
        <v>179</v>
      </c>
      <c r="W261" s="132" t="s">
        <v>153</v>
      </c>
      <c r="X261" s="133">
        <v>41669</v>
      </c>
      <c r="Y261" s="134">
        <v>965</v>
      </c>
    </row>
    <row r="262" spans="1:25" x14ac:dyDescent="0.25">
      <c r="A262" s="79" t="s">
        <v>148</v>
      </c>
      <c r="B262" s="12" t="s">
        <v>192</v>
      </c>
      <c r="C262" s="12" t="s">
        <v>153</v>
      </c>
      <c r="D262" s="80">
        <v>41947</v>
      </c>
      <c r="E262" s="81">
        <v>1400</v>
      </c>
      <c r="F262" s="76" t="s">
        <v>150</v>
      </c>
      <c r="G262" s="77" t="s">
        <v>175</v>
      </c>
      <c r="H262" s="77" t="s">
        <v>153</v>
      </c>
      <c r="I262" s="86">
        <v>41874</v>
      </c>
      <c r="J262" s="78">
        <v>837</v>
      </c>
      <c r="K262" s="132" t="s">
        <v>20</v>
      </c>
      <c r="L262" s="132" t="s">
        <v>186</v>
      </c>
      <c r="M262" s="132" t="s">
        <v>153</v>
      </c>
      <c r="N262" s="133">
        <v>41935</v>
      </c>
      <c r="O262" s="134">
        <v>830</v>
      </c>
      <c r="P262" s="132" t="s">
        <v>151</v>
      </c>
      <c r="Q262" s="132" t="s">
        <v>188</v>
      </c>
      <c r="R262" s="132" t="s">
        <v>153</v>
      </c>
      <c r="S262" s="133">
        <v>41872</v>
      </c>
      <c r="T262" s="134">
        <v>442.4</v>
      </c>
      <c r="U262" s="132" t="s">
        <v>154</v>
      </c>
      <c r="V262" s="132" t="s">
        <v>179</v>
      </c>
      <c r="W262" s="132" t="s">
        <v>153</v>
      </c>
      <c r="X262" s="133">
        <v>41673</v>
      </c>
      <c r="Y262" s="134">
        <v>520</v>
      </c>
    </row>
    <row r="263" spans="1:25" x14ac:dyDescent="0.25">
      <c r="A263" s="79" t="s">
        <v>148</v>
      </c>
      <c r="B263" s="12" t="s">
        <v>192</v>
      </c>
      <c r="C263" s="12" t="s">
        <v>153</v>
      </c>
      <c r="D263" s="80">
        <v>41948</v>
      </c>
      <c r="E263" s="81">
        <v>800</v>
      </c>
      <c r="F263" s="76" t="s">
        <v>150</v>
      </c>
      <c r="G263" s="77" t="s">
        <v>175</v>
      </c>
      <c r="H263" s="77" t="s">
        <v>153</v>
      </c>
      <c r="I263" s="86">
        <v>41875</v>
      </c>
      <c r="J263" s="78">
        <v>777</v>
      </c>
      <c r="K263" s="132" t="s">
        <v>20</v>
      </c>
      <c r="L263" s="132" t="s">
        <v>186</v>
      </c>
      <c r="M263" s="132" t="s">
        <v>153</v>
      </c>
      <c r="N263" s="133">
        <v>41949</v>
      </c>
      <c r="O263" s="134">
        <v>1149</v>
      </c>
      <c r="P263" s="132" t="s">
        <v>151</v>
      </c>
      <c r="Q263" s="132" t="s">
        <v>188</v>
      </c>
      <c r="R263" s="132" t="s">
        <v>153</v>
      </c>
      <c r="S263" s="133">
        <v>41880</v>
      </c>
      <c r="T263" s="134">
        <v>843.2</v>
      </c>
      <c r="U263" s="132" t="s">
        <v>154</v>
      </c>
      <c r="V263" s="132" t="s">
        <v>179</v>
      </c>
      <c r="W263" s="132" t="s">
        <v>153</v>
      </c>
      <c r="X263" s="133">
        <v>41674</v>
      </c>
      <c r="Y263" s="134">
        <v>830</v>
      </c>
    </row>
    <row r="264" spans="1:25" x14ac:dyDescent="0.25">
      <c r="A264" s="79" t="s">
        <v>148</v>
      </c>
      <c r="B264" s="12" t="s">
        <v>192</v>
      </c>
      <c r="C264" s="12" t="s">
        <v>153</v>
      </c>
      <c r="D264" s="80">
        <v>41950</v>
      </c>
      <c r="E264" s="81">
        <v>1368</v>
      </c>
      <c r="F264" s="76" t="s">
        <v>150</v>
      </c>
      <c r="G264" s="77" t="s">
        <v>175</v>
      </c>
      <c r="H264" s="77" t="s">
        <v>153</v>
      </c>
      <c r="I264" s="86">
        <v>41877</v>
      </c>
      <c r="J264" s="78">
        <v>1231</v>
      </c>
      <c r="K264" s="132" t="s">
        <v>20</v>
      </c>
      <c r="L264" s="132" t="s">
        <v>186</v>
      </c>
      <c r="M264" s="132" t="s">
        <v>153</v>
      </c>
      <c r="N264" s="133">
        <v>41965</v>
      </c>
      <c r="O264" s="134">
        <v>1165</v>
      </c>
      <c r="P264" s="132" t="s">
        <v>151</v>
      </c>
      <c r="Q264" s="132" t="s">
        <v>188</v>
      </c>
      <c r="R264" s="132" t="s">
        <v>153</v>
      </c>
      <c r="S264" s="133">
        <v>41884</v>
      </c>
      <c r="T264" s="134">
        <v>840.2</v>
      </c>
      <c r="U264" s="132" t="s">
        <v>154</v>
      </c>
      <c r="V264" s="132" t="s">
        <v>179</v>
      </c>
      <c r="W264" s="132" t="s">
        <v>153</v>
      </c>
      <c r="X264" s="133">
        <v>41675</v>
      </c>
      <c r="Y264" s="134">
        <v>604</v>
      </c>
    </row>
    <row r="265" spans="1:25" x14ac:dyDescent="0.25">
      <c r="A265" s="79" t="s">
        <v>148</v>
      </c>
      <c r="B265" s="12" t="s">
        <v>192</v>
      </c>
      <c r="C265" s="12" t="s">
        <v>153</v>
      </c>
      <c r="D265" s="80">
        <v>41951</v>
      </c>
      <c r="E265" s="81">
        <v>1019</v>
      </c>
      <c r="F265" s="76" t="s">
        <v>150</v>
      </c>
      <c r="G265" s="77" t="s">
        <v>175</v>
      </c>
      <c r="H265" s="77" t="s">
        <v>153</v>
      </c>
      <c r="I265" s="86">
        <v>41879</v>
      </c>
      <c r="J265" s="78">
        <v>1252</v>
      </c>
      <c r="K265" s="132" t="s">
        <v>20</v>
      </c>
      <c r="L265" s="132" t="s">
        <v>187</v>
      </c>
      <c r="M265" s="132" t="s">
        <v>153</v>
      </c>
      <c r="N265" s="133">
        <v>41730</v>
      </c>
      <c r="O265" s="134">
        <v>678</v>
      </c>
      <c r="P265" s="132" t="s">
        <v>151</v>
      </c>
      <c r="Q265" s="132" t="s">
        <v>166</v>
      </c>
      <c r="R265" s="132" t="s">
        <v>153</v>
      </c>
      <c r="S265" s="133">
        <v>41683</v>
      </c>
      <c r="T265" s="134">
        <v>952.2</v>
      </c>
      <c r="U265" s="132" t="s">
        <v>154</v>
      </c>
      <c r="V265" s="132" t="s">
        <v>179</v>
      </c>
      <c r="W265" s="132" t="s">
        <v>153</v>
      </c>
      <c r="X265" s="133">
        <v>41676</v>
      </c>
      <c r="Y265" s="134">
        <v>268</v>
      </c>
    </row>
    <row r="266" spans="1:25" x14ac:dyDescent="0.25">
      <c r="A266" s="79" t="s">
        <v>148</v>
      </c>
      <c r="B266" s="12" t="s">
        <v>192</v>
      </c>
      <c r="C266" s="12" t="s">
        <v>153</v>
      </c>
      <c r="D266" s="80">
        <v>41952</v>
      </c>
      <c r="E266" s="81">
        <v>980</v>
      </c>
      <c r="F266" s="76" t="s">
        <v>150</v>
      </c>
      <c r="G266" s="77" t="s">
        <v>175</v>
      </c>
      <c r="H266" s="77" t="s">
        <v>153</v>
      </c>
      <c r="I266" s="86">
        <v>41880</v>
      </c>
      <c r="J266" s="78">
        <v>614</v>
      </c>
      <c r="K266" s="132" t="s">
        <v>20</v>
      </c>
      <c r="L266" s="132" t="s">
        <v>187</v>
      </c>
      <c r="M266" s="132" t="s">
        <v>153</v>
      </c>
      <c r="N266" s="133">
        <v>41747</v>
      </c>
      <c r="O266" s="134">
        <v>1352</v>
      </c>
      <c r="P266" s="132" t="s">
        <v>151</v>
      </c>
      <c r="Q266" s="132" t="s">
        <v>166</v>
      </c>
      <c r="R266" s="132" t="s">
        <v>153</v>
      </c>
      <c r="S266" s="133">
        <v>41684</v>
      </c>
      <c r="T266" s="134">
        <v>430.5</v>
      </c>
      <c r="U266" s="132" t="s">
        <v>154</v>
      </c>
      <c r="V266" s="132" t="s">
        <v>179</v>
      </c>
      <c r="W266" s="132" t="s">
        <v>153</v>
      </c>
      <c r="X266" s="133">
        <v>41676</v>
      </c>
      <c r="Y266" s="134">
        <v>350</v>
      </c>
    </row>
    <row r="267" spans="1:25" x14ac:dyDescent="0.25">
      <c r="A267" s="79" t="s">
        <v>148</v>
      </c>
      <c r="B267" s="12" t="s">
        <v>192</v>
      </c>
      <c r="C267" s="12" t="s">
        <v>153</v>
      </c>
      <c r="D267" s="80">
        <v>41953</v>
      </c>
      <c r="E267" s="81">
        <v>350</v>
      </c>
      <c r="F267" s="76" t="s">
        <v>150</v>
      </c>
      <c r="G267" s="77" t="s">
        <v>175</v>
      </c>
      <c r="H267" s="77" t="s">
        <v>153</v>
      </c>
      <c r="I267" s="86">
        <v>41884</v>
      </c>
      <c r="J267" s="78">
        <v>854</v>
      </c>
      <c r="K267" s="132" t="s">
        <v>20</v>
      </c>
      <c r="L267" s="132" t="s">
        <v>187</v>
      </c>
      <c r="M267" s="132" t="s">
        <v>153</v>
      </c>
      <c r="N267" s="133">
        <v>41763</v>
      </c>
      <c r="O267" s="134">
        <v>1006</v>
      </c>
      <c r="P267" s="132" t="s">
        <v>151</v>
      </c>
      <c r="Q267" s="132" t="s">
        <v>166</v>
      </c>
      <c r="R267" s="132" t="s">
        <v>153</v>
      </c>
      <c r="S267" s="133">
        <v>41687</v>
      </c>
      <c r="T267" s="134">
        <v>567.5</v>
      </c>
      <c r="U267" s="132" t="s">
        <v>154</v>
      </c>
      <c r="V267" s="132" t="s">
        <v>179</v>
      </c>
      <c r="W267" s="132" t="s">
        <v>153</v>
      </c>
      <c r="X267" s="133">
        <v>41677</v>
      </c>
      <c r="Y267" s="134">
        <v>1110</v>
      </c>
    </row>
    <row r="268" spans="1:25" x14ac:dyDescent="0.25">
      <c r="A268" s="79" t="s">
        <v>148</v>
      </c>
      <c r="B268" s="12" t="s">
        <v>192</v>
      </c>
      <c r="C268" s="12" t="s">
        <v>153</v>
      </c>
      <c r="D268" s="80">
        <v>41954</v>
      </c>
      <c r="E268" s="81">
        <v>1000</v>
      </c>
      <c r="F268" s="76" t="s">
        <v>150</v>
      </c>
      <c r="G268" s="77" t="s">
        <v>175</v>
      </c>
      <c r="H268" s="77" t="s">
        <v>153</v>
      </c>
      <c r="I268" s="86">
        <v>41886</v>
      </c>
      <c r="J268" s="78">
        <v>1233</v>
      </c>
      <c r="K268" s="132" t="s">
        <v>20</v>
      </c>
      <c r="L268" s="132" t="s">
        <v>187</v>
      </c>
      <c r="M268" s="132" t="s">
        <v>153</v>
      </c>
      <c r="N268" s="133">
        <v>41843</v>
      </c>
      <c r="O268" s="134">
        <v>577</v>
      </c>
      <c r="P268" s="132" t="s">
        <v>151</v>
      </c>
      <c r="Q268" s="132" t="s">
        <v>166</v>
      </c>
      <c r="R268" s="132" t="s">
        <v>153</v>
      </c>
      <c r="S268" s="133">
        <v>41730</v>
      </c>
      <c r="T268" s="134">
        <v>889.8</v>
      </c>
      <c r="U268" s="132" t="s">
        <v>154</v>
      </c>
      <c r="V268" s="132" t="s">
        <v>179</v>
      </c>
      <c r="W268" s="132" t="s">
        <v>153</v>
      </c>
      <c r="X268" s="133">
        <v>41678</v>
      </c>
      <c r="Y268" s="134">
        <v>310</v>
      </c>
    </row>
    <row r="269" spans="1:25" x14ac:dyDescent="0.25">
      <c r="A269" s="79" t="s">
        <v>148</v>
      </c>
      <c r="B269" s="12" t="s">
        <v>192</v>
      </c>
      <c r="C269" s="12" t="s">
        <v>153</v>
      </c>
      <c r="D269" s="80">
        <v>41955</v>
      </c>
      <c r="E269" s="81">
        <v>750</v>
      </c>
      <c r="F269" s="76" t="s">
        <v>150</v>
      </c>
      <c r="G269" s="77" t="s">
        <v>175</v>
      </c>
      <c r="H269" s="77" t="s">
        <v>153</v>
      </c>
      <c r="I269" s="86">
        <v>41887</v>
      </c>
      <c r="J269" s="78">
        <v>549</v>
      </c>
      <c r="K269" s="132" t="s">
        <v>20</v>
      </c>
      <c r="L269" s="132" t="s">
        <v>187</v>
      </c>
      <c r="M269" s="132" t="s">
        <v>153</v>
      </c>
      <c r="N269" s="133">
        <v>41937</v>
      </c>
      <c r="O269" s="134">
        <v>842</v>
      </c>
      <c r="P269" s="132" t="s">
        <v>151</v>
      </c>
      <c r="Q269" s="132" t="s">
        <v>166</v>
      </c>
      <c r="R269" s="132" t="s">
        <v>153</v>
      </c>
      <c r="S269" s="133">
        <v>41731</v>
      </c>
      <c r="T269" s="134">
        <v>582.4</v>
      </c>
      <c r="U269" s="132" t="s">
        <v>154</v>
      </c>
      <c r="V269" s="132" t="s">
        <v>179</v>
      </c>
      <c r="W269" s="132" t="s">
        <v>153</v>
      </c>
      <c r="X269" s="133">
        <v>41679</v>
      </c>
      <c r="Y269" s="134">
        <v>1107</v>
      </c>
    </row>
    <row r="270" spans="1:25" x14ac:dyDescent="0.25">
      <c r="A270" s="79" t="s">
        <v>148</v>
      </c>
      <c r="B270" s="12" t="s">
        <v>192</v>
      </c>
      <c r="C270" s="12" t="s">
        <v>153</v>
      </c>
      <c r="D270" s="80">
        <v>41956</v>
      </c>
      <c r="E270" s="81">
        <v>840</v>
      </c>
      <c r="F270" s="76" t="s">
        <v>150</v>
      </c>
      <c r="G270" s="77" t="s">
        <v>175</v>
      </c>
      <c r="H270" s="77" t="s">
        <v>153</v>
      </c>
      <c r="I270" s="86">
        <v>41891</v>
      </c>
      <c r="J270" s="78">
        <v>1001</v>
      </c>
      <c r="K270" s="132" t="s">
        <v>20</v>
      </c>
      <c r="L270" s="132" t="s">
        <v>187</v>
      </c>
      <c r="M270" s="132" t="s">
        <v>153</v>
      </c>
      <c r="N270" s="133">
        <v>41944</v>
      </c>
      <c r="O270" s="134">
        <v>911</v>
      </c>
      <c r="P270" s="132" t="s">
        <v>151</v>
      </c>
      <c r="Q270" s="132" t="s">
        <v>166</v>
      </c>
      <c r="R270" s="132" t="s">
        <v>153</v>
      </c>
      <c r="S270" s="133">
        <v>41768</v>
      </c>
      <c r="T270" s="134">
        <v>353.1</v>
      </c>
      <c r="U270" s="132" t="s">
        <v>154</v>
      </c>
      <c r="V270" s="132" t="s">
        <v>179</v>
      </c>
      <c r="W270" s="132" t="s">
        <v>153</v>
      </c>
      <c r="X270" s="133">
        <v>41679</v>
      </c>
      <c r="Y270" s="134">
        <v>553</v>
      </c>
    </row>
    <row r="271" spans="1:25" x14ac:dyDescent="0.25">
      <c r="A271" s="79" t="s">
        <v>148</v>
      </c>
      <c r="B271" s="12" t="s">
        <v>192</v>
      </c>
      <c r="C271" s="12" t="s">
        <v>153</v>
      </c>
      <c r="D271" s="80">
        <v>41957</v>
      </c>
      <c r="E271" s="81">
        <v>830</v>
      </c>
      <c r="F271" s="76" t="s">
        <v>150</v>
      </c>
      <c r="G271" s="77" t="s">
        <v>175</v>
      </c>
      <c r="H271" s="77" t="s">
        <v>153</v>
      </c>
      <c r="I271" s="86">
        <v>41892</v>
      </c>
      <c r="J271" s="78">
        <v>750</v>
      </c>
      <c r="K271" s="132" t="s">
        <v>20</v>
      </c>
      <c r="L271" s="132" t="s">
        <v>187</v>
      </c>
      <c r="M271" s="132" t="s">
        <v>153</v>
      </c>
      <c r="N271" s="133">
        <v>41978</v>
      </c>
      <c r="O271" s="134">
        <v>891</v>
      </c>
      <c r="P271" s="132" t="s">
        <v>151</v>
      </c>
      <c r="Q271" s="132" t="s">
        <v>166</v>
      </c>
      <c r="R271" s="132" t="s">
        <v>153</v>
      </c>
      <c r="S271" s="133">
        <v>41775</v>
      </c>
      <c r="T271" s="134">
        <v>483.6</v>
      </c>
      <c r="U271" s="132" t="s">
        <v>154</v>
      </c>
      <c r="V271" s="132" t="s">
        <v>179</v>
      </c>
      <c r="W271" s="132" t="s">
        <v>153</v>
      </c>
      <c r="X271" s="133">
        <v>41680</v>
      </c>
      <c r="Y271" s="134">
        <v>865</v>
      </c>
    </row>
    <row r="272" spans="1:25" x14ac:dyDescent="0.25">
      <c r="A272" s="79" t="s">
        <v>148</v>
      </c>
      <c r="B272" s="12" t="s">
        <v>192</v>
      </c>
      <c r="C272" s="12" t="s">
        <v>153</v>
      </c>
      <c r="D272" s="80">
        <v>41958</v>
      </c>
      <c r="E272" s="81">
        <v>1302</v>
      </c>
      <c r="F272" s="76" t="s">
        <v>150</v>
      </c>
      <c r="G272" s="77" t="s">
        <v>175</v>
      </c>
      <c r="H272" s="77" t="s">
        <v>153</v>
      </c>
      <c r="I272" s="86">
        <v>41893</v>
      </c>
      <c r="J272" s="78">
        <v>531</v>
      </c>
      <c r="K272" s="132" t="s">
        <v>20</v>
      </c>
      <c r="L272" s="132" t="s">
        <v>188</v>
      </c>
      <c r="M272" s="132" t="s">
        <v>153</v>
      </c>
      <c r="N272" s="133">
        <v>41647</v>
      </c>
      <c r="O272" s="134">
        <v>886</v>
      </c>
      <c r="P272" s="132" t="s">
        <v>151</v>
      </c>
      <c r="Q272" s="132" t="s">
        <v>166</v>
      </c>
      <c r="R272" s="132" t="s">
        <v>153</v>
      </c>
      <c r="S272" s="133">
        <v>41778</v>
      </c>
      <c r="T272" s="134">
        <v>628.4</v>
      </c>
      <c r="U272" s="132" t="s">
        <v>154</v>
      </c>
      <c r="V272" s="132" t="s">
        <v>179</v>
      </c>
      <c r="W272" s="132" t="s">
        <v>153</v>
      </c>
      <c r="X272" s="133">
        <v>41681</v>
      </c>
      <c r="Y272" s="134">
        <v>1353</v>
      </c>
    </row>
    <row r="273" spans="1:25" x14ac:dyDescent="0.25">
      <c r="A273" s="79" t="s">
        <v>148</v>
      </c>
      <c r="B273" s="12" t="s">
        <v>167</v>
      </c>
      <c r="C273" s="12" t="s">
        <v>153</v>
      </c>
      <c r="D273" s="80">
        <v>41978</v>
      </c>
      <c r="E273" s="81">
        <v>1005</v>
      </c>
      <c r="F273" s="76" t="s">
        <v>150</v>
      </c>
      <c r="G273" s="77" t="s">
        <v>175</v>
      </c>
      <c r="H273" s="77" t="s">
        <v>153</v>
      </c>
      <c r="I273" s="86">
        <v>41894</v>
      </c>
      <c r="J273" s="78">
        <v>729</v>
      </c>
      <c r="K273" s="132" t="s">
        <v>20</v>
      </c>
      <c r="L273" s="132" t="s">
        <v>188</v>
      </c>
      <c r="M273" s="132" t="s">
        <v>153</v>
      </c>
      <c r="N273" s="133">
        <v>41650</v>
      </c>
      <c r="O273" s="134">
        <v>1067</v>
      </c>
      <c r="P273" s="132" t="s">
        <v>151</v>
      </c>
      <c r="Q273" s="132" t="s">
        <v>166</v>
      </c>
      <c r="R273" s="132" t="s">
        <v>153</v>
      </c>
      <c r="S273" s="133">
        <v>41781</v>
      </c>
      <c r="T273" s="134">
        <v>482</v>
      </c>
      <c r="U273" s="132" t="s">
        <v>154</v>
      </c>
      <c r="V273" s="132" t="s">
        <v>179</v>
      </c>
      <c r="W273" s="132" t="s">
        <v>153</v>
      </c>
      <c r="X273" s="133">
        <v>41682</v>
      </c>
      <c r="Y273" s="134">
        <v>750</v>
      </c>
    </row>
    <row r="274" spans="1:25" x14ac:dyDescent="0.25">
      <c r="A274" s="79" t="s">
        <v>148</v>
      </c>
      <c r="B274" s="12" t="s">
        <v>167</v>
      </c>
      <c r="C274" s="12" t="s">
        <v>153</v>
      </c>
      <c r="D274" s="80">
        <v>41979</v>
      </c>
      <c r="E274" s="81">
        <v>1002</v>
      </c>
      <c r="F274" s="76" t="s">
        <v>150</v>
      </c>
      <c r="G274" s="77" t="s">
        <v>175</v>
      </c>
      <c r="H274" s="77" t="s">
        <v>153</v>
      </c>
      <c r="I274" s="86">
        <v>41899</v>
      </c>
      <c r="J274" s="78">
        <v>1109</v>
      </c>
      <c r="K274" s="132" t="s">
        <v>20</v>
      </c>
      <c r="L274" s="132" t="s">
        <v>188</v>
      </c>
      <c r="M274" s="132" t="s">
        <v>153</v>
      </c>
      <c r="N274" s="133">
        <v>41720</v>
      </c>
      <c r="O274" s="134">
        <v>1212</v>
      </c>
      <c r="P274" s="132" t="s">
        <v>151</v>
      </c>
      <c r="Q274" s="132" t="s">
        <v>166</v>
      </c>
      <c r="R274" s="132" t="s">
        <v>153</v>
      </c>
      <c r="S274" s="133">
        <v>41792</v>
      </c>
      <c r="T274" s="134">
        <v>399.8</v>
      </c>
      <c r="U274" s="132" t="s">
        <v>154</v>
      </c>
      <c r="V274" s="132" t="s">
        <v>179</v>
      </c>
      <c r="W274" s="132" t="s">
        <v>153</v>
      </c>
      <c r="X274" s="133">
        <v>41682</v>
      </c>
      <c r="Y274" s="134">
        <v>400</v>
      </c>
    </row>
    <row r="275" spans="1:25" x14ac:dyDescent="0.25">
      <c r="A275" s="79" t="s">
        <v>148</v>
      </c>
      <c r="B275" s="12" t="s">
        <v>167</v>
      </c>
      <c r="C275" s="12" t="s">
        <v>153</v>
      </c>
      <c r="D275" s="80">
        <v>41980</v>
      </c>
      <c r="E275" s="81">
        <v>756</v>
      </c>
      <c r="F275" s="76" t="s">
        <v>150</v>
      </c>
      <c r="G275" s="77" t="s">
        <v>175</v>
      </c>
      <c r="H275" s="77" t="s">
        <v>153</v>
      </c>
      <c r="I275" s="86">
        <v>41900</v>
      </c>
      <c r="J275" s="78">
        <v>711</v>
      </c>
      <c r="K275" s="132" t="s">
        <v>20</v>
      </c>
      <c r="L275" s="132" t="s">
        <v>188</v>
      </c>
      <c r="M275" s="132" t="s">
        <v>153</v>
      </c>
      <c r="N275" s="133">
        <v>41801</v>
      </c>
      <c r="O275" s="134">
        <v>919</v>
      </c>
      <c r="P275" s="132" t="s">
        <v>151</v>
      </c>
      <c r="Q275" s="132" t="s">
        <v>166</v>
      </c>
      <c r="R275" s="132" t="s">
        <v>153</v>
      </c>
      <c r="S275" s="133">
        <v>41794</v>
      </c>
      <c r="T275" s="134">
        <v>813.5</v>
      </c>
      <c r="U275" s="132" t="s">
        <v>154</v>
      </c>
      <c r="V275" s="132" t="s">
        <v>179</v>
      </c>
      <c r="W275" s="132" t="s">
        <v>153</v>
      </c>
      <c r="X275" s="133">
        <v>41683</v>
      </c>
      <c r="Y275" s="134">
        <v>1021</v>
      </c>
    </row>
    <row r="276" spans="1:25" x14ac:dyDescent="0.25">
      <c r="A276" s="79" t="s">
        <v>148</v>
      </c>
      <c r="B276" s="12" t="s">
        <v>167</v>
      </c>
      <c r="C276" s="12" t="s">
        <v>153</v>
      </c>
      <c r="D276" s="80">
        <v>41981</v>
      </c>
      <c r="E276" s="81">
        <v>725</v>
      </c>
      <c r="F276" s="76" t="s">
        <v>150</v>
      </c>
      <c r="G276" s="77" t="s">
        <v>175</v>
      </c>
      <c r="H276" s="77" t="s">
        <v>153</v>
      </c>
      <c r="I276" s="86">
        <v>41906</v>
      </c>
      <c r="J276" s="78">
        <v>813</v>
      </c>
      <c r="K276" s="132" t="s">
        <v>20</v>
      </c>
      <c r="L276" s="132" t="s">
        <v>188</v>
      </c>
      <c r="M276" s="132" t="s">
        <v>153</v>
      </c>
      <c r="N276" s="133">
        <v>41827</v>
      </c>
      <c r="O276" s="134">
        <v>661</v>
      </c>
      <c r="P276" s="132" t="s">
        <v>151</v>
      </c>
      <c r="Q276" s="132" t="s">
        <v>166</v>
      </c>
      <c r="R276" s="132" t="s">
        <v>153</v>
      </c>
      <c r="S276" s="133">
        <v>41814</v>
      </c>
      <c r="T276" s="134">
        <v>156.5</v>
      </c>
      <c r="U276" s="132" t="s">
        <v>154</v>
      </c>
      <c r="V276" s="132" t="s">
        <v>179</v>
      </c>
      <c r="W276" s="132" t="s">
        <v>153</v>
      </c>
      <c r="X276" s="133">
        <v>41684</v>
      </c>
      <c r="Y276" s="134">
        <v>1080</v>
      </c>
    </row>
    <row r="277" spans="1:25" x14ac:dyDescent="0.25">
      <c r="A277" s="79" t="s">
        <v>148</v>
      </c>
      <c r="B277" s="12" t="s">
        <v>167</v>
      </c>
      <c r="C277" s="12" t="s">
        <v>153</v>
      </c>
      <c r="D277" s="80">
        <v>41982</v>
      </c>
      <c r="E277" s="81">
        <v>900</v>
      </c>
      <c r="F277" s="76" t="s">
        <v>150</v>
      </c>
      <c r="G277" s="77" t="s">
        <v>175</v>
      </c>
      <c r="H277" s="77" t="s">
        <v>153</v>
      </c>
      <c r="I277" s="86">
        <v>41953</v>
      </c>
      <c r="J277" s="78">
        <v>849</v>
      </c>
      <c r="K277" s="132" t="s">
        <v>20</v>
      </c>
      <c r="L277" s="132" t="s">
        <v>188</v>
      </c>
      <c r="M277" s="132" t="s">
        <v>153</v>
      </c>
      <c r="N277" s="133">
        <v>41851</v>
      </c>
      <c r="O277" s="134">
        <v>668</v>
      </c>
      <c r="P277" s="132" t="s">
        <v>151</v>
      </c>
      <c r="Q277" s="132" t="s">
        <v>166</v>
      </c>
      <c r="R277" s="132" t="s">
        <v>153</v>
      </c>
      <c r="S277" s="133">
        <v>41960</v>
      </c>
      <c r="T277" s="134">
        <v>699.7</v>
      </c>
      <c r="U277" s="132" t="s">
        <v>154</v>
      </c>
      <c r="V277" s="132" t="s">
        <v>179</v>
      </c>
      <c r="W277" s="132" t="s">
        <v>153</v>
      </c>
      <c r="X277" s="133">
        <v>41687</v>
      </c>
      <c r="Y277" s="134">
        <v>450</v>
      </c>
    </row>
    <row r="278" spans="1:25" x14ac:dyDescent="0.25">
      <c r="A278" s="79" t="s">
        <v>148</v>
      </c>
      <c r="B278" s="12" t="s">
        <v>167</v>
      </c>
      <c r="C278" s="12" t="s">
        <v>153</v>
      </c>
      <c r="D278" s="80">
        <v>41983</v>
      </c>
      <c r="E278" s="81">
        <v>800</v>
      </c>
      <c r="F278" s="76" t="s">
        <v>150</v>
      </c>
      <c r="G278" s="77" t="s">
        <v>175</v>
      </c>
      <c r="H278" s="77" t="s">
        <v>153</v>
      </c>
      <c r="I278" s="86">
        <v>41955</v>
      </c>
      <c r="J278" s="78">
        <v>1050</v>
      </c>
      <c r="K278" s="132" t="s">
        <v>20</v>
      </c>
      <c r="L278" s="132" t="s">
        <v>188</v>
      </c>
      <c r="M278" s="132" t="s">
        <v>153</v>
      </c>
      <c r="N278" s="133">
        <v>41928</v>
      </c>
      <c r="O278" s="134">
        <v>1247</v>
      </c>
      <c r="P278" s="132" t="s">
        <v>151</v>
      </c>
      <c r="Q278" s="132" t="s">
        <v>166</v>
      </c>
      <c r="R278" s="132" t="s">
        <v>153</v>
      </c>
      <c r="S278" s="133">
        <v>41961</v>
      </c>
      <c r="T278" s="134">
        <v>756.5</v>
      </c>
      <c r="U278" s="132" t="s">
        <v>154</v>
      </c>
      <c r="V278" s="132" t="s">
        <v>179</v>
      </c>
      <c r="W278" s="132" t="s">
        <v>153</v>
      </c>
      <c r="X278" s="133">
        <v>41688</v>
      </c>
      <c r="Y278" s="134">
        <v>930</v>
      </c>
    </row>
    <row r="279" spans="1:25" x14ac:dyDescent="0.25">
      <c r="A279" s="79" t="s">
        <v>148</v>
      </c>
      <c r="B279" s="12" t="s">
        <v>167</v>
      </c>
      <c r="C279" s="12" t="s">
        <v>153</v>
      </c>
      <c r="D279" s="80">
        <v>41984</v>
      </c>
      <c r="E279" s="81">
        <v>875</v>
      </c>
      <c r="F279" s="76" t="s">
        <v>150</v>
      </c>
      <c r="G279" s="77" t="s">
        <v>175</v>
      </c>
      <c r="H279" s="77" t="s">
        <v>153</v>
      </c>
      <c r="I279" s="86">
        <v>41956</v>
      </c>
      <c r="J279" s="78">
        <v>880</v>
      </c>
      <c r="K279" s="132" t="s">
        <v>20</v>
      </c>
      <c r="L279" s="132" t="s">
        <v>188</v>
      </c>
      <c r="M279" s="132" t="s">
        <v>153</v>
      </c>
      <c r="N279" s="133">
        <v>41931</v>
      </c>
      <c r="O279" s="134">
        <v>1245</v>
      </c>
      <c r="P279" s="132" t="s">
        <v>151</v>
      </c>
      <c r="Q279" s="132" t="s">
        <v>166</v>
      </c>
      <c r="R279" s="132" t="s">
        <v>153</v>
      </c>
      <c r="S279" s="133">
        <v>41962</v>
      </c>
      <c r="T279" s="134">
        <v>452.7</v>
      </c>
      <c r="U279" s="132" t="s">
        <v>154</v>
      </c>
      <c r="V279" s="132" t="s">
        <v>179</v>
      </c>
      <c r="W279" s="132" t="s">
        <v>153</v>
      </c>
      <c r="X279" s="133">
        <v>41689</v>
      </c>
      <c r="Y279" s="134">
        <v>874</v>
      </c>
    </row>
    <row r="280" spans="1:25" x14ac:dyDescent="0.25">
      <c r="A280" s="79" t="s">
        <v>148</v>
      </c>
      <c r="B280" s="12" t="s">
        <v>167</v>
      </c>
      <c r="C280" s="12" t="s">
        <v>153</v>
      </c>
      <c r="D280" s="80">
        <v>41985</v>
      </c>
      <c r="E280" s="81">
        <v>850</v>
      </c>
      <c r="F280" s="76" t="s">
        <v>150</v>
      </c>
      <c r="G280" s="77" t="s">
        <v>175</v>
      </c>
      <c r="H280" s="77" t="s">
        <v>153</v>
      </c>
      <c r="I280" s="86">
        <v>41960</v>
      </c>
      <c r="J280" s="78">
        <v>1021</v>
      </c>
      <c r="K280" s="132" t="s">
        <v>20</v>
      </c>
      <c r="L280" s="132" t="s">
        <v>188</v>
      </c>
      <c r="M280" s="132" t="s">
        <v>153</v>
      </c>
      <c r="N280" s="133">
        <v>41936</v>
      </c>
      <c r="O280" s="134">
        <v>509</v>
      </c>
      <c r="P280" s="132" t="s">
        <v>151</v>
      </c>
      <c r="Q280" s="132" t="s">
        <v>166</v>
      </c>
      <c r="R280" s="132" t="s">
        <v>153</v>
      </c>
      <c r="S280" s="133">
        <v>41964</v>
      </c>
      <c r="T280" s="134">
        <v>1025.5999999999999</v>
      </c>
      <c r="U280" s="132" t="s">
        <v>154</v>
      </c>
      <c r="V280" s="132" t="s">
        <v>179</v>
      </c>
      <c r="W280" s="132" t="s">
        <v>153</v>
      </c>
      <c r="X280" s="133">
        <v>41690</v>
      </c>
      <c r="Y280" s="134">
        <v>1194</v>
      </c>
    </row>
    <row r="281" spans="1:25" x14ac:dyDescent="0.25">
      <c r="A281" s="79" t="s">
        <v>148</v>
      </c>
      <c r="B281" s="12" t="s">
        <v>167</v>
      </c>
      <c r="C281" s="12" t="s">
        <v>153</v>
      </c>
      <c r="D281" s="80">
        <v>41986</v>
      </c>
      <c r="E281" s="81">
        <v>1333</v>
      </c>
      <c r="F281" s="76" t="s">
        <v>150</v>
      </c>
      <c r="G281" s="77" t="s">
        <v>175</v>
      </c>
      <c r="H281" s="77" t="s">
        <v>153</v>
      </c>
      <c r="I281" s="86">
        <v>41962</v>
      </c>
      <c r="J281" s="78">
        <v>1166</v>
      </c>
      <c r="K281" s="132" t="s">
        <v>20</v>
      </c>
      <c r="L281" s="132" t="s">
        <v>188</v>
      </c>
      <c r="M281" s="132" t="s">
        <v>153</v>
      </c>
      <c r="N281" s="133">
        <v>41938</v>
      </c>
      <c r="O281" s="134">
        <v>1024</v>
      </c>
      <c r="P281" s="132" t="s">
        <v>151</v>
      </c>
      <c r="Q281" s="132" t="s">
        <v>189</v>
      </c>
      <c r="R281" s="132" t="s">
        <v>153</v>
      </c>
      <c r="S281" s="133">
        <v>41635</v>
      </c>
      <c r="T281" s="134">
        <v>692.5</v>
      </c>
      <c r="U281" s="132" t="s">
        <v>154</v>
      </c>
      <c r="V281" s="132" t="s">
        <v>179</v>
      </c>
      <c r="W281" s="132" t="s">
        <v>153</v>
      </c>
      <c r="X281" s="133">
        <v>41691</v>
      </c>
      <c r="Y281" s="134">
        <v>731</v>
      </c>
    </row>
    <row r="282" spans="1:25" x14ac:dyDescent="0.25">
      <c r="A282" s="79" t="s">
        <v>148</v>
      </c>
      <c r="B282" s="12" t="s">
        <v>167</v>
      </c>
      <c r="C282" s="12" t="s">
        <v>153</v>
      </c>
      <c r="D282" s="80">
        <v>41987</v>
      </c>
      <c r="E282" s="81">
        <v>965</v>
      </c>
      <c r="F282" s="76" t="s">
        <v>150</v>
      </c>
      <c r="G282" s="77" t="s">
        <v>175</v>
      </c>
      <c r="H282" s="77" t="s">
        <v>153</v>
      </c>
      <c r="I282" s="86">
        <v>41964</v>
      </c>
      <c r="J282" s="78">
        <v>662</v>
      </c>
      <c r="K282" s="132" t="s">
        <v>20</v>
      </c>
      <c r="L282" s="132" t="s">
        <v>188</v>
      </c>
      <c r="M282" s="132" t="s">
        <v>153</v>
      </c>
      <c r="N282" s="133">
        <v>41940</v>
      </c>
      <c r="O282" s="134">
        <v>917</v>
      </c>
      <c r="P282" s="132" t="s">
        <v>151</v>
      </c>
      <c r="Q282" s="132" t="s">
        <v>189</v>
      </c>
      <c r="R282" s="132" t="s">
        <v>153</v>
      </c>
      <c r="S282" s="133">
        <v>41638</v>
      </c>
      <c r="T282" s="134">
        <v>599.20000000000005</v>
      </c>
      <c r="U282" s="132" t="s">
        <v>154</v>
      </c>
      <c r="V282" s="132" t="s">
        <v>179</v>
      </c>
      <c r="W282" s="132" t="s">
        <v>153</v>
      </c>
      <c r="X282" s="133">
        <v>41694</v>
      </c>
      <c r="Y282" s="134">
        <v>1052</v>
      </c>
    </row>
    <row r="283" spans="1:25" x14ac:dyDescent="0.25">
      <c r="A283" s="79" t="s">
        <v>148</v>
      </c>
      <c r="B283" s="12" t="s">
        <v>167</v>
      </c>
      <c r="C283" s="12" t="s">
        <v>153</v>
      </c>
      <c r="D283" s="80">
        <v>41988</v>
      </c>
      <c r="E283" s="81">
        <v>510</v>
      </c>
      <c r="F283" s="76" t="s">
        <v>150</v>
      </c>
      <c r="G283" s="77" t="s">
        <v>175</v>
      </c>
      <c r="H283" s="77" t="s">
        <v>153</v>
      </c>
      <c r="I283" s="86">
        <v>41964</v>
      </c>
      <c r="J283" s="78">
        <v>750</v>
      </c>
      <c r="K283" s="132" t="s">
        <v>20</v>
      </c>
      <c r="L283" s="132" t="s">
        <v>188</v>
      </c>
      <c r="M283" s="132" t="s">
        <v>153</v>
      </c>
      <c r="N283" s="133">
        <v>41943</v>
      </c>
      <c r="O283" s="134">
        <v>475</v>
      </c>
      <c r="P283" s="132" t="s">
        <v>151</v>
      </c>
      <c r="Q283" s="132" t="s">
        <v>189</v>
      </c>
      <c r="R283" s="132" t="s">
        <v>153</v>
      </c>
      <c r="S283" s="133">
        <v>41639</v>
      </c>
      <c r="T283" s="134">
        <v>720.2</v>
      </c>
      <c r="U283" s="132" t="s">
        <v>154</v>
      </c>
      <c r="V283" s="132" t="s">
        <v>179</v>
      </c>
      <c r="W283" s="132" t="s">
        <v>153</v>
      </c>
      <c r="X283" s="133">
        <v>41698</v>
      </c>
      <c r="Y283" s="134">
        <v>220</v>
      </c>
    </row>
    <row r="284" spans="1:25" x14ac:dyDescent="0.25">
      <c r="A284" s="79" t="s">
        <v>148</v>
      </c>
      <c r="B284" s="12" t="s">
        <v>167</v>
      </c>
      <c r="C284" s="12" t="s">
        <v>153</v>
      </c>
      <c r="D284" s="80">
        <v>41989</v>
      </c>
      <c r="E284" s="81">
        <v>600</v>
      </c>
      <c r="F284" s="76" t="s">
        <v>150</v>
      </c>
      <c r="G284" s="77" t="s">
        <v>175</v>
      </c>
      <c r="H284" s="77" t="s">
        <v>153</v>
      </c>
      <c r="I284" s="86">
        <v>41965</v>
      </c>
      <c r="J284" s="78">
        <v>576</v>
      </c>
      <c r="K284" s="132" t="s">
        <v>20</v>
      </c>
      <c r="L284" s="132" t="s">
        <v>188</v>
      </c>
      <c r="M284" s="132" t="s">
        <v>153</v>
      </c>
      <c r="N284" s="133">
        <v>41945</v>
      </c>
      <c r="O284" s="134">
        <v>793</v>
      </c>
      <c r="P284" s="132" t="s">
        <v>151</v>
      </c>
      <c r="Q284" s="132" t="s">
        <v>189</v>
      </c>
      <c r="R284" s="132" t="s">
        <v>153</v>
      </c>
      <c r="S284" s="133">
        <v>41641</v>
      </c>
      <c r="T284" s="134">
        <v>651.9</v>
      </c>
      <c r="U284" s="132" t="s">
        <v>154</v>
      </c>
      <c r="V284" s="132" t="s">
        <v>179</v>
      </c>
      <c r="W284" s="132" t="s">
        <v>153</v>
      </c>
      <c r="X284" s="133">
        <v>41700</v>
      </c>
      <c r="Y284" s="134">
        <v>317</v>
      </c>
    </row>
    <row r="285" spans="1:25" x14ac:dyDescent="0.25">
      <c r="A285" s="79" t="s">
        <v>148</v>
      </c>
      <c r="B285" s="12" t="s">
        <v>167</v>
      </c>
      <c r="C285" s="12" t="s">
        <v>153</v>
      </c>
      <c r="D285" s="80">
        <v>41990</v>
      </c>
      <c r="E285" s="81">
        <v>750</v>
      </c>
      <c r="F285" s="76" t="s">
        <v>150</v>
      </c>
      <c r="G285" s="77" t="s">
        <v>175</v>
      </c>
      <c r="H285" s="77" t="s">
        <v>153</v>
      </c>
      <c r="I285" s="86">
        <v>41965</v>
      </c>
      <c r="J285" s="78">
        <v>723</v>
      </c>
      <c r="K285" s="132" t="s">
        <v>20</v>
      </c>
      <c r="L285" s="132" t="s">
        <v>188</v>
      </c>
      <c r="M285" s="132" t="s">
        <v>153</v>
      </c>
      <c r="N285" s="133">
        <v>41954</v>
      </c>
      <c r="O285" s="134">
        <v>852</v>
      </c>
      <c r="P285" s="132" t="s">
        <v>151</v>
      </c>
      <c r="Q285" s="132" t="s">
        <v>189</v>
      </c>
      <c r="R285" s="132" t="s">
        <v>153</v>
      </c>
      <c r="S285" s="133">
        <v>41642</v>
      </c>
      <c r="T285" s="134">
        <v>447.5</v>
      </c>
      <c r="U285" s="132" t="s">
        <v>154</v>
      </c>
      <c r="V285" s="132" t="s">
        <v>179</v>
      </c>
      <c r="W285" s="132" t="s">
        <v>153</v>
      </c>
      <c r="X285" s="133">
        <v>41701</v>
      </c>
      <c r="Y285" s="134">
        <v>625</v>
      </c>
    </row>
    <row r="286" spans="1:25" x14ac:dyDescent="0.25">
      <c r="A286" s="79" t="s">
        <v>148</v>
      </c>
      <c r="B286" s="12" t="s">
        <v>167</v>
      </c>
      <c r="C286" s="12" t="s">
        <v>153</v>
      </c>
      <c r="D286" s="80">
        <v>41991</v>
      </c>
      <c r="E286" s="81">
        <v>800</v>
      </c>
      <c r="F286" s="76" t="s">
        <v>150</v>
      </c>
      <c r="G286" s="77" t="s">
        <v>175</v>
      </c>
      <c r="H286" s="77" t="s">
        <v>153</v>
      </c>
      <c r="I286" s="86">
        <v>41966</v>
      </c>
      <c r="J286" s="78">
        <v>340</v>
      </c>
      <c r="K286" s="132" t="s">
        <v>20</v>
      </c>
      <c r="L286" s="132" t="s">
        <v>188</v>
      </c>
      <c r="M286" s="132" t="s">
        <v>153</v>
      </c>
      <c r="N286" s="133">
        <v>41956</v>
      </c>
      <c r="O286" s="134">
        <v>1128</v>
      </c>
      <c r="P286" s="132" t="s">
        <v>151</v>
      </c>
      <c r="Q286" s="132" t="s">
        <v>189</v>
      </c>
      <c r="R286" s="132" t="s">
        <v>153</v>
      </c>
      <c r="S286" s="133">
        <v>41667</v>
      </c>
      <c r="T286" s="134">
        <v>1294.9000000000001</v>
      </c>
      <c r="U286" s="132" t="s">
        <v>154</v>
      </c>
      <c r="V286" s="132" t="s">
        <v>179</v>
      </c>
      <c r="W286" s="132" t="s">
        <v>153</v>
      </c>
      <c r="X286" s="133">
        <v>41702</v>
      </c>
      <c r="Y286" s="134">
        <v>350</v>
      </c>
    </row>
    <row r="287" spans="1:25" x14ac:dyDescent="0.25">
      <c r="A287" s="79" t="s">
        <v>148</v>
      </c>
      <c r="B287" s="12" t="s">
        <v>167</v>
      </c>
      <c r="C287" s="12" t="s">
        <v>153</v>
      </c>
      <c r="D287" s="80">
        <v>41992</v>
      </c>
      <c r="E287" s="81">
        <v>800</v>
      </c>
      <c r="F287" s="76" t="s">
        <v>150</v>
      </c>
      <c r="G287" s="77" t="s">
        <v>175</v>
      </c>
      <c r="H287" s="77" t="s">
        <v>153</v>
      </c>
      <c r="I287" s="86">
        <v>41966</v>
      </c>
      <c r="J287" s="78">
        <v>515</v>
      </c>
      <c r="K287" s="132" t="s">
        <v>20</v>
      </c>
      <c r="L287" s="132" t="s">
        <v>188</v>
      </c>
      <c r="M287" s="132" t="s">
        <v>153</v>
      </c>
      <c r="N287" s="133">
        <v>41960</v>
      </c>
      <c r="O287" s="134">
        <v>643</v>
      </c>
      <c r="P287" s="132" t="s">
        <v>151</v>
      </c>
      <c r="Q287" s="132" t="s">
        <v>189</v>
      </c>
      <c r="R287" s="132" t="s">
        <v>153</v>
      </c>
      <c r="S287" s="133">
        <v>41668</v>
      </c>
      <c r="T287" s="134">
        <v>443</v>
      </c>
      <c r="U287" s="132" t="s">
        <v>154</v>
      </c>
      <c r="V287" s="132" t="s">
        <v>179</v>
      </c>
      <c r="W287" s="132" t="s">
        <v>153</v>
      </c>
      <c r="X287" s="133">
        <v>41799</v>
      </c>
      <c r="Y287" s="134">
        <v>1530</v>
      </c>
    </row>
    <row r="288" spans="1:25" x14ac:dyDescent="0.25">
      <c r="A288" s="79" t="s">
        <v>148</v>
      </c>
      <c r="B288" s="12" t="s">
        <v>167</v>
      </c>
      <c r="C288" s="12" t="s">
        <v>153</v>
      </c>
      <c r="D288" s="80">
        <v>41993</v>
      </c>
      <c r="E288" s="81">
        <v>973</v>
      </c>
      <c r="F288" s="76" t="s">
        <v>150</v>
      </c>
      <c r="G288" s="77" t="s">
        <v>175</v>
      </c>
      <c r="H288" s="77" t="s">
        <v>153</v>
      </c>
      <c r="I288" s="86">
        <v>41968</v>
      </c>
      <c r="J288" s="78">
        <v>989</v>
      </c>
      <c r="K288" s="132" t="s">
        <v>20</v>
      </c>
      <c r="L288" s="132" t="s">
        <v>188</v>
      </c>
      <c r="M288" s="132" t="s">
        <v>153</v>
      </c>
      <c r="N288" s="133">
        <v>41990</v>
      </c>
      <c r="O288" s="134">
        <v>829</v>
      </c>
      <c r="P288" s="132" t="s">
        <v>151</v>
      </c>
      <c r="Q288" s="132" t="s">
        <v>189</v>
      </c>
      <c r="R288" s="132" t="s">
        <v>153</v>
      </c>
      <c r="S288" s="133">
        <v>41669</v>
      </c>
      <c r="T288" s="134">
        <v>560.1</v>
      </c>
      <c r="U288" s="132" t="s">
        <v>154</v>
      </c>
      <c r="V288" s="132" t="s">
        <v>179</v>
      </c>
      <c r="W288" s="132" t="s">
        <v>153</v>
      </c>
      <c r="X288" s="133">
        <v>41800</v>
      </c>
      <c r="Y288" s="134">
        <v>1120</v>
      </c>
    </row>
    <row r="289" spans="1:25" x14ac:dyDescent="0.25">
      <c r="A289" s="79" t="s">
        <v>148</v>
      </c>
      <c r="B289" s="12" t="s">
        <v>167</v>
      </c>
      <c r="C289" s="12" t="s">
        <v>153</v>
      </c>
      <c r="D289" s="80">
        <v>41994</v>
      </c>
      <c r="E289" s="81">
        <v>1022</v>
      </c>
      <c r="F289" s="76" t="s">
        <v>150</v>
      </c>
      <c r="G289" s="77" t="s">
        <v>175</v>
      </c>
      <c r="H289" s="77" t="s">
        <v>153</v>
      </c>
      <c r="I289" s="86">
        <v>41969</v>
      </c>
      <c r="J289" s="78">
        <v>666</v>
      </c>
      <c r="K289" s="132" t="s">
        <v>20</v>
      </c>
      <c r="L289" s="132" t="s">
        <v>188</v>
      </c>
      <c r="M289" s="132" t="s">
        <v>153</v>
      </c>
      <c r="N289" s="133">
        <v>41998</v>
      </c>
      <c r="O289" s="134">
        <v>729</v>
      </c>
      <c r="P289" s="132" t="s">
        <v>151</v>
      </c>
      <c r="Q289" s="132" t="s">
        <v>189</v>
      </c>
      <c r="R289" s="132" t="s">
        <v>153</v>
      </c>
      <c r="S289" s="133">
        <v>41670</v>
      </c>
      <c r="T289" s="134">
        <v>523.1</v>
      </c>
      <c r="U289" s="132" t="s">
        <v>154</v>
      </c>
      <c r="V289" s="132" t="s">
        <v>179</v>
      </c>
      <c r="W289" s="132" t="s">
        <v>153</v>
      </c>
      <c r="X289" s="133">
        <v>41801</v>
      </c>
      <c r="Y289" s="134">
        <v>870</v>
      </c>
    </row>
    <row r="290" spans="1:25" x14ac:dyDescent="0.25">
      <c r="A290" s="79" t="s">
        <v>148</v>
      </c>
      <c r="B290" s="12" t="s">
        <v>167</v>
      </c>
      <c r="C290" s="12" t="s">
        <v>153</v>
      </c>
      <c r="D290" s="80">
        <v>41995</v>
      </c>
      <c r="E290" s="81">
        <v>450</v>
      </c>
      <c r="F290" s="76" t="s">
        <v>150</v>
      </c>
      <c r="G290" s="77" t="s">
        <v>175</v>
      </c>
      <c r="H290" s="77" t="s">
        <v>153</v>
      </c>
      <c r="I290" s="86">
        <v>41969</v>
      </c>
      <c r="J290" s="78">
        <v>1020</v>
      </c>
      <c r="K290" s="132" t="s">
        <v>20</v>
      </c>
      <c r="L290" s="132" t="s">
        <v>188</v>
      </c>
      <c r="M290" s="132" t="s">
        <v>153</v>
      </c>
      <c r="N290" s="133">
        <v>42000</v>
      </c>
      <c r="O290" s="134">
        <v>873</v>
      </c>
      <c r="P290" s="132" t="s">
        <v>151</v>
      </c>
      <c r="Q290" s="132" t="s">
        <v>189</v>
      </c>
      <c r="R290" s="132" t="s">
        <v>153</v>
      </c>
      <c r="S290" s="133">
        <v>41673</v>
      </c>
      <c r="T290" s="134">
        <v>744.9</v>
      </c>
      <c r="U290" s="132" t="s">
        <v>154</v>
      </c>
      <c r="V290" s="132" t="s">
        <v>179</v>
      </c>
      <c r="W290" s="132" t="s">
        <v>153</v>
      </c>
      <c r="X290" s="133">
        <v>41814</v>
      </c>
      <c r="Y290" s="134">
        <v>1471</v>
      </c>
    </row>
    <row r="291" spans="1:25" x14ac:dyDescent="0.25">
      <c r="A291" s="79" t="s">
        <v>148</v>
      </c>
      <c r="B291" s="12" t="s">
        <v>167</v>
      </c>
      <c r="C291" s="12" t="s">
        <v>153</v>
      </c>
      <c r="D291" s="80">
        <v>41996</v>
      </c>
      <c r="E291" s="81">
        <v>800</v>
      </c>
      <c r="F291" s="76" t="s">
        <v>150</v>
      </c>
      <c r="G291" s="77" t="s">
        <v>175</v>
      </c>
      <c r="H291" s="77" t="s">
        <v>153</v>
      </c>
      <c r="I291" s="86">
        <v>41970</v>
      </c>
      <c r="J291" s="78">
        <v>566</v>
      </c>
      <c r="K291" s="132" t="s">
        <v>20</v>
      </c>
      <c r="L291" s="132" t="s">
        <v>188</v>
      </c>
      <c r="M291" s="132" t="s">
        <v>153</v>
      </c>
      <c r="N291" s="133">
        <v>42002</v>
      </c>
      <c r="O291" s="134">
        <v>913</v>
      </c>
      <c r="P291" s="132" t="s">
        <v>151</v>
      </c>
      <c r="Q291" s="132" t="s">
        <v>189</v>
      </c>
      <c r="R291" s="132" t="s">
        <v>153</v>
      </c>
      <c r="S291" s="133">
        <v>41705</v>
      </c>
      <c r="T291" s="134">
        <v>104.1</v>
      </c>
      <c r="U291" s="132" t="s">
        <v>154</v>
      </c>
      <c r="V291" s="132" t="s">
        <v>179</v>
      </c>
      <c r="W291" s="132" t="s">
        <v>153</v>
      </c>
      <c r="X291" s="133">
        <v>41815</v>
      </c>
      <c r="Y291" s="134">
        <v>871</v>
      </c>
    </row>
    <row r="292" spans="1:25" x14ac:dyDescent="0.25">
      <c r="A292" s="79" t="s">
        <v>148</v>
      </c>
      <c r="B292" s="12" t="s">
        <v>167</v>
      </c>
      <c r="C292" s="12" t="s">
        <v>153</v>
      </c>
      <c r="D292" s="80">
        <v>41997</v>
      </c>
      <c r="E292" s="81">
        <v>802</v>
      </c>
      <c r="F292" s="76" t="s">
        <v>150</v>
      </c>
      <c r="G292" s="77" t="s">
        <v>175</v>
      </c>
      <c r="H292" s="77" t="s">
        <v>153</v>
      </c>
      <c r="I292" s="86">
        <v>41970</v>
      </c>
      <c r="J292" s="78">
        <v>704</v>
      </c>
      <c r="K292" s="132" t="s">
        <v>20</v>
      </c>
      <c r="L292" s="132" t="s">
        <v>166</v>
      </c>
      <c r="M292" s="132" t="s">
        <v>153</v>
      </c>
      <c r="N292" s="133">
        <v>41638</v>
      </c>
      <c r="O292" s="134">
        <v>814</v>
      </c>
      <c r="P292" s="132" t="s">
        <v>151</v>
      </c>
      <c r="Q292" s="132" t="s">
        <v>189</v>
      </c>
      <c r="R292" s="132" t="s">
        <v>153</v>
      </c>
      <c r="S292" s="133">
        <v>41708</v>
      </c>
      <c r="T292" s="134">
        <v>605.5</v>
      </c>
      <c r="U292" s="132" t="s">
        <v>154</v>
      </c>
      <c r="V292" s="132" t="s">
        <v>179</v>
      </c>
      <c r="W292" s="132" t="s">
        <v>153</v>
      </c>
      <c r="X292" s="133">
        <v>41816</v>
      </c>
      <c r="Y292" s="134">
        <v>980</v>
      </c>
    </row>
    <row r="293" spans="1:25" x14ac:dyDescent="0.25">
      <c r="A293" s="79" t="s">
        <v>148</v>
      </c>
      <c r="B293" s="12" t="s">
        <v>167</v>
      </c>
      <c r="C293" s="12" t="s">
        <v>153</v>
      </c>
      <c r="D293" s="80">
        <v>41998</v>
      </c>
      <c r="E293" s="81">
        <v>800</v>
      </c>
      <c r="F293" s="76" t="s">
        <v>150</v>
      </c>
      <c r="G293" s="77" t="s">
        <v>175</v>
      </c>
      <c r="H293" s="77" t="s">
        <v>153</v>
      </c>
      <c r="I293" s="86">
        <v>41972</v>
      </c>
      <c r="J293" s="78">
        <v>706</v>
      </c>
      <c r="K293" s="132" t="s">
        <v>20</v>
      </c>
      <c r="L293" s="132" t="s">
        <v>166</v>
      </c>
      <c r="M293" s="132" t="s">
        <v>153</v>
      </c>
      <c r="N293" s="133">
        <v>41664</v>
      </c>
      <c r="O293" s="134">
        <v>1494</v>
      </c>
      <c r="P293" s="132" t="s">
        <v>151</v>
      </c>
      <c r="Q293" s="132" t="s">
        <v>189</v>
      </c>
      <c r="R293" s="132" t="s">
        <v>153</v>
      </c>
      <c r="S293" s="133">
        <v>41709</v>
      </c>
      <c r="T293" s="134">
        <v>456.8</v>
      </c>
      <c r="U293" s="132" t="s">
        <v>154</v>
      </c>
      <c r="V293" s="132" t="s">
        <v>179</v>
      </c>
      <c r="W293" s="132" t="s">
        <v>153</v>
      </c>
      <c r="X293" s="133">
        <v>41817</v>
      </c>
      <c r="Y293" s="134">
        <v>679</v>
      </c>
    </row>
    <row r="294" spans="1:25" x14ac:dyDescent="0.25">
      <c r="A294" s="79" t="s">
        <v>148</v>
      </c>
      <c r="B294" s="12" t="s">
        <v>167</v>
      </c>
      <c r="C294" s="12" t="s">
        <v>153</v>
      </c>
      <c r="D294" s="80">
        <v>41999</v>
      </c>
      <c r="E294" s="81">
        <v>820</v>
      </c>
      <c r="F294" s="76" t="s">
        <v>150</v>
      </c>
      <c r="G294" s="77" t="s">
        <v>175</v>
      </c>
      <c r="H294" s="77" t="s">
        <v>153</v>
      </c>
      <c r="I294" s="86">
        <v>41972</v>
      </c>
      <c r="J294" s="78">
        <v>1196</v>
      </c>
      <c r="K294" s="132" t="s">
        <v>20</v>
      </c>
      <c r="L294" s="132" t="s">
        <v>166</v>
      </c>
      <c r="M294" s="132" t="s">
        <v>153</v>
      </c>
      <c r="N294" s="133">
        <v>41669</v>
      </c>
      <c r="O294" s="134">
        <v>308</v>
      </c>
      <c r="P294" s="132" t="s">
        <v>151</v>
      </c>
      <c r="Q294" s="132" t="s">
        <v>189</v>
      </c>
      <c r="R294" s="132" t="s">
        <v>153</v>
      </c>
      <c r="S294" s="133">
        <v>41710</v>
      </c>
      <c r="T294" s="134">
        <v>679.3</v>
      </c>
      <c r="U294" s="132" t="s">
        <v>154</v>
      </c>
      <c r="V294" s="132" t="s">
        <v>179</v>
      </c>
      <c r="W294" s="132" t="s">
        <v>153</v>
      </c>
      <c r="X294" s="133">
        <v>41818</v>
      </c>
      <c r="Y294" s="134">
        <v>669</v>
      </c>
    </row>
    <row r="295" spans="1:25" x14ac:dyDescent="0.25">
      <c r="A295" s="79" t="s">
        <v>148</v>
      </c>
      <c r="B295" s="12" t="s">
        <v>167</v>
      </c>
      <c r="C295" s="12" t="s">
        <v>153</v>
      </c>
      <c r="D295" s="80">
        <v>42000</v>
      </c>
      <c r="E295" s="81">
        <v>1395</v>
      </c>
      <c r="F295" s="76" t="s">
        <v>150</v>
      </c>
      <c r="G295" s="77" t="s">
        <v>175</v>
      </c>
      <c r="H295" s="77" t="s">
        <v>153</v>
      </c>
      <c r="I295" s="86">
        <v>41973</v>
      </c>
      <c r="J295" s="78">
        <v>923</v>
      </c>
      <c r="K295" s="132" t="s">
        <v>20</v>
      </c>
      <c r="L295" s="132" t="s">
        <v>166</v>
      </c>
      <c r="M295" s="132" t="s">
        <v>153</v>
      </c>
      <c r="N295" s="133">
        <v>41717</v>
      </c>
      <c r="O295" s="134">
        <v>1652</v>
      </c>
      <c r="P295" s="132" t="s">
        <v>151</v>
      </c>
      <c r="Q295" s="132" t="s">
        <v>189</v>
      </c>
      <c r="R295" s="132" t="s">
        <v>153</v>
      </c>
      <c r="S295" s="133">
        <v>41711</v>
      </c>
      <c r="T295" s="134">
        <v>781</v>
      </c>
      <c r="U295" s="132" t="s">
        <v>154</v>
      </c>
      <c r="V295" s="132" t="s">
        <v>179</v>
      </c>
      <c r="W295" s="132" t="s">
        <v>153</v>
      </c>
      <c r="X295" s="133">
        <v>41829</v>
      </c>
      <c r="Y295" s="134">
        <v>651</v>
      </c>
    </row>
    <row r="296" spans="1:25" x14ac:dyDescent="0.25">
      <c r="A296" s="79" t="s">
        <v>148</v>
      </c>
      <c r="B296" s="12" t="s">
        <v>167</v>
      </c>
      <c r="C296" s="12" t="s">
        <v>153</v>
      </c>
      <c r="D296" s="80">
        <v>42001</v>
      </c>
      <c r="E296" s="81">
        <v>997</v>
      </c>
      <c r="F296" s="76" t="s">
        <v>150</v>
      </c>
      <c r="G296" s="77" t="s">
        <v>175</v>
      </c>
      <c r="H296" s="77" t="s">
        <v>153</v>
      </c>
      <c r="I296" s="86">
        <v>41974</v>
      </c>
      <c r="J296" s="78">
        <v>603</v>
      </c>
      <c r="K296" s="132" t="s">
        <v>20</v>
      </c>
      <c r="L296" s="132" t="s">
        <v>166</v>
      </c>
      <c r="M296" s="132" t="s">
        <v>153</v>
      </c>
      <c r="N296" s="133">
        <v>41728</v>
      </c>
      <c r="O296" s="134">
        <v>941</v>
      </c>
      <c r="P296" s="132" t="s">
        <v>151</v>
      </c>
      <c r="Q296" s="132" t="s">
        <v>189</v>
      </c>
      <c r="R296" s="132" t="s">
        <v>153</v>
      </c>
      <c r="S296" s="133">
        <v>41743</v>
      </c>
      <c r="T296" s="134">
        <v>322.89999999999998</v>
      </c>
      <c r="U296" s="132" t="s">
        <v>154</v>
      </c>
      <c r="V296" s="132" t="s">
        <v>180</v>
      </c>
      <c r="W296" s="132" t="s">
        <v>153</v>
      </c>
      <c r="X296" s="133">
        <v>41653</v>
      </c>
      <c r="Y296" s="134">
        <v>560</v>
      </c>
    </row>
    <row r="297" spans="1:25" x14ac:dyDescent="0.25">
      <c r="A297" s="79" t="s">
        <v>148</v>
      </c>
      <c r="B297" s="12" t="s">
        <v>167</v>
      </c>
      <c r="C297" s="12" t="s">
        <v>153</v>
      </c>
      <c r="D297" s="80">
        <v>42002</v>
      </c>
      <c r="E297" s="81">
        <v>420</v>
      </c>
      <c r="F297" s="76" t="s">
        <v>150</v>
      </c>
      <c r="G297" s="77" t="s">
        <v>175</v>
      </c>
      <c r="H297" s="77" t="s">
        <v>153</v>
      </c>
      <c r="I297" s="86">
        <v>41975</v>
      </c>
      <c r="J297" s="78">
        <v>469</v>
      </c>
      <c r="K297" s="132" t="s">
        <v>20</v>
      </c>
      <c r="L297" s="132" t="s">
        <v>166</v>
      </c>
      <c r="M297" s="132" t="s">
        <v>153</v>
      </c>
      <c r="N297" s="133">
        <v>41786</v>
      </c>
      <c r="O297" s="134">
        <v>254</v>
      </c>
      <c r="P297" s="132" t="s">
        <v>151</v>
      </c>
      <c r="Q297" s="132" t="s">
        <v>189</v>
      </c>
      <c r="R297" s="132" t="s">
        <v>153</v>
      </c>
      <c r="S297" s="133">
        <v>41744</v>
      </c>
      <c r="T297" s="134">
        <v>433.1</v>
      </c>
      <c r="U297" s="132" t="s">
        <v>154</v>
      </c>
      <c r="V297" s="132" t="s">
        <v>180</v>
      </c>
      <c r="W297" s="132" t="s">
        <v>153</v>
      </c>
      <c r="X297" s="133">
        <v>41654</v>
      </c>
      <c r="Y297" s="134">
        <v>650</v>
      </c>
    </row>
    <row r="298" spans="1:25" x14ac:dyDescent="0.25">
      <c r="A298" s="79" t="s">
        <v>148</v>
      </c>
      <c r="B298" s="12" t="s">
        <v>167</v>
      </c>
      <c r="C298" s="12" t="s">
        <v>153</v>
      </c>
      <c r="D298" s="80">
        <v>42002</v>
      </c>
      <c r="E298" s="81">
        <v>820</v>
      </c>
      <c r="F298" s="76" t="s">
        <v>150</v>
      </c>
      <c r="G298" s="77" t="s">
        <v>175</v>
      </c>
      <c r="H298" s="77" t="s">
        <v>153</v>
      </c>
      <c r="I298" s="86">
        <v>41976</v>
      </c>
      <c r="J298" s="78">
        <v>1048</v>
      </c>
      <c r="K298" s="132" t="s">
        <v>20</v>
      </c>
      <c r="L298" s="132" t="s">
        <v>166</v>
      </c>
      <c r="M298" s="132" t="s">
        <v>153</v>
      </c>
      <c r="N298" s="133">
        <v>41786</v>
      </c>
      <c r="O298" s="134">
        <v>1127</v>
      </c>
      <c r="P298" s="132" t="s">
        <v>151</v>
      </c>
      <c r="Q298" s="132" t="s">
        <v>189</v>
      </c>
      <c r="R298" s="132" t="s">
        <v>153</v>
      </c>
      <c r="S298" s="133">
        <v>41745</v>
      </c>
      <c r="T298" s="134">
        <v>428.2</v>
      </c>
      <c r="U298" s="132" t="s">
        <v>154</v>
      </c>
      <c r="V298" s="132" t="s">
        <v>180</v>
      </c>
      <c r="W298" s="132" t="s">
        <v>153</v>
      </c>
      <c r="X298" s="133">
        <v>41656</v>
      </c>
      <c r="Y298" s="134">
        <v>600</v>
      </c>
    </row>
    <row r="299" spans="1:25" x14ac:dyDescent="0.25">
      <c r="A299" s="79" t="s">
        <v>148</v>
      </c>
      <c r="B299" s="12" t="s">
        <v>168</v>
      </c>
      <c r="C299" s="12" t="s">
        <v>153</v>
      </c>
      <c r="D299" s="80">
        <v>42003</v>
      </c>
      <c r="E299" s="81">
        <v>700</v>
      </c>
      <c r="F299" s="76" t="s">
        <v>150</v>
      </c>
      <c r="G299" s="77" t="s">
        <v>175</v>
      </c>
      <c r="H299" s="77" t="s">
        <v>153</v>
      </c>
      <c r="I299" s="86">
        <v>41977</v>
      </c>
      <c r="J299" s="78">
        <v>1037</v>
      </c>
      <c r="K299" s="132" t="s">
        <v>20</v>
      </c>
      <c r="L299" s="132" t="s">
        <v>166</v>
      </c>
      <c r="M299" s="132" t="s">
        <v>153</v>
      </c>
      <c r="N299" s="133">
        <v>41799</v>
      </c>
      <c r="O299" s="134">
        <v>987</v>
      </c>
      <c r="P299" s="132" t="s">
        <v>151</v>
      </c>
      <c r="Q299" s="132" t="s">
        <v>189</v>
      </c>
      <c r="R299" s="132" t="s">
        <v>153</v>
      </c>
      <c r="S299" s="133">
        <v>41746</v>
      </c>
      <c r="T299" s="134">
        <v>525.4</v>
      </c>
      <c r="U299" s="132" t="s">
        <v>154</v>
      </c>
      <c r="V299" s="132" t="s">
        <v>180</v>
      </c>
      <c r="W299" s="132" t="s">
        <v>153</v>
      </c>
      <c r="X299" s="133">
        <v>41656</v>
      </c>
      <c r="Y299" s="134">
        <v>657</v>
      </c>
    </row>
    <row r="300" spans="1:25" x14ac:dyDescent="0.25">
      <c r="A300" s="79" t="s">
        <v>148</v>
      </c>
      <c r="B300" s="12" t="s">
        <v>194</v>
      </c>
      <c r="C300" s="12" t="s">
        <v>153</v>
      </c>
      <c r="D300" s="80">
        <v>41999</v>
      </c>
      <c r="E300" s="81">
        <v>700</v>
      </c>
      <c r="F300" s="76" t="s">
        <v>150</v>
      </c>
      <c r="G300" s="77" t="s">
        <v>175</v>
      </c>
      <c r="H300" s="77" t="s">
        <v>153</v>
      </c>
      <c r="I300" s="86">
        <v>41978</v>
      </c>
      <c r="J300" s="78">
        <v>1074</v>
      </c>
      <c r="K300" s="132" t="s">
        <v>20</v>
      </c>
      <c r="L300" s="132" t="s">
        <v>166</v>
      </c>
      <c r="M300" s="132" t="s">
        <v>153</v>
      </c>
      <c r="N300" s="133">
        <v>41825</v>
      </c>
      <c r="O300" s="134">
        <v>1428</v>
      </c>
      <c r="P300" s="132" t="s">
        <v>151</v>
      </c>
      <c r="Q300" s="132" t="s">
        <v>189</v>
      </c>
      <c r="R300" s="132" t="s">
        <v>153</v>
      </c>
      <c r="S300" s="133">
        <v>41746</v>
      </c>
      <c r="T300" s="134">
        <v>15</v>
      </c>
      <c r="U300" s="132" t="s">
        <v>154</v>
      </c>
      <c r="V300" s="132" t="s">
        <v>180</v>
      </c>
      <c r="W300" s="132" t="s">
        <v>153</v>
      </c>
      <c r="X300" s="133">
        <v>41823</v>
      </c>
      <c r="Y300" s="134">
        <v>288</v>
      </c>
    </row>
    <row r="301" spans="1:25" x14ac:dyDescent="0.25">
      <c r="A301" s="79" t="s">
        <v>148</v>
      </c>
      <c r="B301" s="12" t="s">
        <v>194</v>
      </c>
      <c r="C301" s="12" t="s">
        <v>153</v>
      </c>
      <c r="D301" s="80">
        <v>42002</v>
      </c>
      <c r="E301" s="81">
        <v>1210</v>
      </c>
      <c r="F301" s="76" t="s">
        <v>150</v>
      </c>
      <c r="G301" s="77" t="s">
        <v>175</v>
      </c>
      <c r="H301" s="77" t="s">
        <v>153</v>
      </c>
      <c r="I301" s="86">
        <v>41979</v>
      </c>
      <c r="J301" s="78">
        <v>740</v>
      </c>
      <c r="K301" s="132" t="s">
        <v>20</v>
      </c>
      <c r="L301" s="132" t="s">
        <v>166</v>
      </c>
      <c r="M301" s="132" t="s">
        <v>153</v>
      </c>
      <c r="N301" s="133">
        <v>41841</v>
      </c>
      <c r="O301" s="134">
        <v>1462</v>
      </c>
      <c r="P301" s="132" t="s">
        <v>151</v>
      </c>
      <c r="Q301" s="132" t="s">
        <v>189</v>
      </c>
      <c r="R301" s="132" t="s">
        <v>153</v>
      </c>
      <c r="S301" s="133">
        <v>41747</v>
      </c>
      <c r="T301" s="134">
        <v>364.7</v>
      </c>
      <c r="U301" s="132" t="s">
        <v>154</v>
      </c>
      <c r="V301" s="132" t="s">
        <v>180</v>
      </c>
      <c r="W301" s="132" t="s">
        <v>153</v>
      </c>
      <c r="X301" s="133">
        <v>41823</v>
      </c>
      <c r="Y301" s="134">
        <v>270</v>
      </c>
    </row>
    <row r="302" spans="1:25" x14ac:dyDescent="0.25">
      <c r="A302" s="79" t="s">
        <v>148</v>
      </c>
      <c r="B302" s="12" t="s">
        <v>194</v>
      </c>
      <c r="C302" s="12" t="s">
        <v>153</v>
      </c>
      <c r="D302" s="80">
        <v>42003</v>
      </c>
      <c r="E302" s="81">
        <v>1200</v>
      </c>
      <c r="F302" s="76" t="s">
        <v>150</v>
      </c>
      <c r="G302" s="77" t="s">
        <v>175</v>
      </c>
      <c r="H302" s="77" t="s">
        <v>153</v>
      </c>
      <c r="I302" s="86">
        <v>41979</v>
      </c>
      <c r="J302" s="78">
        <v>1068</v>
      </c>
      <c r="K302" s="132" t="s">
        <v>20</v>
      </c>
      <c r="L302" s="132" t="s">
        <v>166</v>
      </c>
      <c r="M302" s="132" t="s">
        <v>153</v>
      </c>
      <c r="N302" s="133">
        <v>41847</v>
      </c>
      <c r="O302" s="134">
        <v>1297</v>
      </c>
      <c r="P302" s="132" t="s">
        <v>151</v>
      </c>
      <c r="Q302" s="132" t="s">
        <v>189</v>
      </c>
      <c r="R302" s="132" t="s">
        <v>153</v>
      </c>
      <c r="S302" s="133">
        <v>41765</v>
      </c>
      <c r="T302" s="134">
        <v>361.2</v>
      </c>
      <c r="U302" s="132" t="s">
        <v>154</v>
      </c>
      <c r="V302" s="132" t="s">
        <v>180</v>
      </c>
      <c r="W302" s="132" t="s">
        <v>153</v>
      </c>
      <c r="X302" s="133">
        <v>41826</v>
      </c>
      <c r="Y302" s="134">
        <v>650</v>
      </c>
    </row>
    <row r="303" spans="1:25" x14ac:dyDescent="0.25">
      <c r="A303" s="79" t="s">
        <v>148</v>
      </c>
      <c r="B303" s="12" t="s">
        <v>169</v>
      </c>
      <c r="C303" s="12" t="s">
        <v>153</v>
      </c>
      <c r="D303" s="80">
        <v>41914</v>
      </c>
      <c r="E303" s="81">
        <v>1372</v>
      </c>
      <c r="F303" s="76" t="s">
        <v>150</v>
      </c>
      <c r="G303" s="77" t="s">
        <v>156</v>
      </c>
      <c r="H303" s="77" t="s">
        <v>153</v>
      </c>
      <c r="I303" s="86">
        <v>41638</v>
      </c>
      <c r="J303" s="78">
        <v>919</v>
      </c>
      <c r="K303" s="132" t="s">
        <v>20</v>
      </c>
      <c r="L303" s="132" t="s">
        <v>166</v>
      </c>
      <c r="M303" s="132" t="s">
        <v>153</v>
      </c>
      <c r="N303" s="133">
        <v>41969</v>
      </c>
      <c r="O303" s="134">
        <v>770</v>
      </c>
      <c r="P303" s="132" t="s">
        <v>151</v>
      </c>
      <c r="Q303" s="132" t="s">
        <v>189</v>
      </c>
      <c r="R303" s="132" t="s">
        <v>153</v>
      </c>
      <c r="S303" s="133">
        <v>41766</v>
      </c>
      <c r="T303" s="134">
        <v>658.1</v>
      </c>
      <c r="U303" s="132" t="s">
        <v>154</v>
      </c>
      <c r="V303" s="132" t="s">
        <v>180</v>
      </c>
      <c r="W303" s="132" t="s">
        <v>153</v>
      </c>
      <c r="X303" s="133">
        <v>41827</v>
      </c>
      <c r="Y303" s="134">
        <v>398</v>
      </c>
    </row>
    <row r="304" spans="1:25" x14ac:dyDescent="0.25">
      <c r="A304" s="79" t="s">
        <v>148</v>
      </c>
      <c r="B304" s="12" t="s">
        <v>169</v>
      </c>
      <c r="C304" s="12" t="s">
        <v>153</v>
      </c>
      <c r="D304" s="80">
        <v>41915</v>
      </c>
      <c r="E304" s="81">
        <v>520</v>
      </c>
      <c r="F304" s="76" t="s">
        <v>150</v>
      </c>
      <c r="G304" s="77" t="s">
        <v>156</v>
      </c>
      <c r="H304" s="77" t="s">
        <v>153</v>
      </c>
      <c r="I304" s="86">
        <v>41642</v>
      </c>
      <c r="J304" s="78">
        <v>1126</v>
      </c>
      <c r="K304" s="132" t="s">
        <v>20</v>
      </c>
      <c r="L304" s="132" t="s">
        <v>166</v>
      </c>
      <c r="M304" s="132" t="s">
        <v>153</v>
      </c>
      <c r="N304" s="133">
        <v>41971</v>
      </c>
      <c r="O304" s="134">
        <v>770</v>
      </c>
      <c r="P304" s="132" t="s">
        <v>151</v>
      </c>
      <c r="Q304" s="132" t="s">
        <v>189</v>
      </c>
      <c r="R304" s="132" t="s">
        <v>153</v>
      </c>
      <c r="S304" s="133">
        <v>41771</v>
      </c>
      <c r="T304" s="134">
        <v>966.9</v>
      </c>
      <c r="U304" s="132" t="s">
        <v>154</v>
      </c>
      <c r="V304" s="132" t="s">
        <v>180</v>
      </c>
      <c r="W304" s="132" t="s">
        <v>153</v>
      </c>
      <c r="X304" s="133">
        <v>41827</v>
      </c>
      <c r="Y304" s="134">
        <v>709</v>
      </c>
    </row>
    <row r="305" spans="1:25" x14ac:dyDescent="0.25">
      <c r="A305" s="79" t="s">
        <v>148</v>
      </c>
      <c r="B305" s="12" t="s">
        <v>169</v>
      </c>
      <c r="C305" s="12" t="s">
        <v>153</v>
      </c>
      <c r="D305" s="80">
        <v>41916</v>
      </c>
      <c r="E305" s="81">
        <v>929</v>
      </c>
      <c r="F305" s="76" t="s">
        <v>150</v>
      </c>
      <c r="G305" s="77" t="s">
        <v>156</v>
      </c>
      <c r="H305" s="77" t="s">
        <v>153</v>
      </c>
      <c r="I305" s="86">
        <v>41643</v>
      </c>
      <c r="J305" s="78">
        <v>1336</v>
      </c>
      <c r="K305" s="132" t="s">
        <v>20</v>
      </c>
      <c r="L305" s="132" t="s">
        <v>166</v>
      </c>
      <c r="M305" s="132" t="s">
        <v>153</v>
      </c>
      <c r="N305" s="133">
        <v>41973</v>
      </c>
      <c r="O305" s="134">
        <v>970</v>
      </c>
      <c r="P305" s="132" t="s">
        <v>151</v>
      </c>
      <c r="Q305" s="132" t="s">
        <v>189</v>
      </c>
      <c r="R305" s="132" t="s">
        <v>153</v>
      </c>
      <c r="S305" s="133">
        <v>41893</v>
      </c>
      <c r="T305" s="134">
        <v>1127.7</v>
      </c>
      <c r="U305" s="132" t="s">
        <v>154</v>
      </c>
      <c r="V305" s="132" t="s">
        <v>180</v>
      </c>
      <c r="W305" s="132" t="s">
        <v>153</v>
      </c>
      <c r="X305" s="133">
        <v>41844</v>
      </c>
      <c r="Y305" s="134">
        <v>170</v>
      </c>
    </row>
    <row r="306" spans="1:25" x14ac:dyDescent="0.25">
      <c r="A306" s="79" t="s">
        <v>148</v>
      </c>
      <c r="B306" s="12" t="s">
        <v>169</v>
      </c>
      <c r="C306" s="12" t="s">
        <v>153</v>
      </c>
      <c r="D306" s="80">
        <v>41917</v>
      </c>
      <c r="E306" s="81">
        <v>607</v>
      </c>
      <c r="F306" s="76" t="s">
        <v>150</v>
      </c>
      <c r="G306" s="77" t="s">
        <v>156</v>
      </c>
      <c r="H306" s="77" t="s">
        <v>153</v>
      </c>
      <c r="I306" s="86">
        <v>41644</v>
      </c>
      <c r="J306" s="78">
        <v>863</v>
      </c>
      <c r="K306" s="132" t="s">
        <v>20</v>
      </c>
      <c r="L306" s="132" t="s">
        <v>166</v>
      </c>
      <c r="M306" s="132" t="s">
        <v>153</v>
      </c>
      <c r="N306" s="133">
        <v>41977</v>
      </c>
      <c r="O306" s="134">
        <v>866</v>
      </c>
      <c r="P306" s="132" t="s">
        <v>151</v>
      </c>
      <c r="Q306" s="132" t="s">
        <v>189</v>
      </c>
      <c r="R306" s="132" t="s">
        <v>153</v>
      </c>
      <c r="S306" s="133">
        <v>41894</v>
      </c>
      <c r="T306" s="134">
        <v>643.9</v>
      </c>
      <c r="U306" s="132" t="s">
        <v>154</v>
      </c>
      <c r="V306" s="132" t="s">
        <v>180</v>
      </c>
      <c r="W306" s="132" t="s">
        <v>153</v>
      </c>
      <c r="X306" s="133">
        <v>41845</v>
      </c>
      <c r="Y306" s="134">
        <v>801</v>
      </c>
    </row>
    <row r="307" spans="1:25" x14ac:dyDescent="0.25">
      <c r="A307" s="79" t="s">
        <v>148</v>
      </c>
      <c r="B307" s="12" t="s">
        <v>169</v>
      </c>
      <c r="C307" s="12" t="s">
        <v>153</v>
      </c>
      <c r="D307" s="80">
        <v>41918</v>
      </c>
      <c r="E307" s="81">
        <v>896</v>
      </c>
      <c r="F307" s="76" t="s">
        <v>150</v>
      </c>
      <c r="G307" s="77" t="s">
        <v>156</v>
      </c>
      <c r="H307" s="77" t="s">
        <v>153</v>
      </c>
      <c r="I307" s="86">
        <v>41644</v>
      </c>
      <c r="J307" s="78">
        <v>373</v>
      </c>
      <c r="K307" s="132" t="s">
        <v>20</v>
      </c>
      <c r="L307" s="132" t="s">
        <v>166</v>
      </c>
      <c r="M307" s="132" t="s">
        <v>153</v>
      </c>
      <c r="N307" s="133">
        <v>41979</v>
      </c>
      <c r="O307" s="134">
        <v>936</v>
      </c>
      <c r="P307" s="132" t="s">
        <v>151</v>
      </c>
      <c r="Q307" s="132" t="s">
        <v>189</v>
      </c>
      <c r="R307" s="132" t="s">
        <v>153</v>
      </c>
      <c r="S307" s="133">
        <v>41897</v>
      </c>
      <c r="T307" s="134">
        <v>521.79999999999995</v>
      </c>
      <c r="U307" s="132" t="s">
        <v>154</v>
      </c>
      <c r="V307" s="132" t="s">
        <v>180</v>
      </c>
      <c r="W307" s="132" t="s">
        <v>153</v>
      </c>
      <c r="X307" s="133">
        <v>41846</v>
      </c>
      <c r="Y307" s="134">
        <v>587</v>
      </c>
    </row>
    <row r="308" spans="1:25" x14ac:dyDescent="0.25">
      <c r="A308" s="79" t="s">
        <v>148</v>
      </c>
      <c r="B308" s="12" t="s">
        <v>169</v>
      </c>
      <c r="C308" s="12" t="s">
        <v>153</v>
      </c>
      <c r="D308" s="80">
        <v>41919</v>
      </c>
      <c r="E308" s="81">
        <v>1000</v>
      </c>
      <c r="F308" s="76" t="s">
        <v>150</v>
      </c>
      <c r="G308" s="77" t="s">
        <v>156</v>
      </c>
      <c r="H308" s="77" t="s">
        <v>153</v>
      </c>
      <c r="I308" s="86">
        <v>41646</v>
      </c>
      <c r="J308" s="78">
        <v>1377</v>
      </c>
      <c r="K308" s="132" t="s">
        <v>20</v>
      </c>
      <c r="L308" s="132" t="s">
        <v>166</v>
      </c>
      <c r="M308" s="132" t="s">
        <v>153</v>
      </c>
      <c r="N308" s="133">
        <v>41982</v>
      </c>
      <c r="O308" s="134">
        <v>693</v>
      </c>
      <c r="P308" s="132" t="s">
        <v>151</v>
      </c>
      <c r="Q308" s="132" t="s">
        <v>189</v>
      </c>
      <c r="R308" s="132" t="s">
        <v>153</v>
      </c>
      <c r="S308" s="133">
        <v>41898</v>
      </c>
      <c r="T308" s="134">
        <v>492.6</v>
      </c>
      <c r="U308" s="132" t="s">
        <v>154</v>
      </c>
      <c r="V308" s="132" t="s">
        <v>180</v>
      </c>
      <c r="W308" s="132" t="s">
        <v>153</v>
      </c>
      <c r="X308" s="133">
        <v>41847</v>
      </c>
      <c r="Y308" s="134">
        <v>508</v>
      </c>
    </row>
    <row r="309" spans="1:25" x14ac:dyDescent="0.25">
      <c r="A309" s="79" t="s">
        <v>148</v>
      </c>
      <c r="B309" s="12" t="s">
        <v>169</v>
      </c>
      <c r="C309" s="12" t="s">
        <v>153</v>
      </c>
      <c r="D309" s="80">
        <v>41920</v>
      </c>
      <c r="E309" s="81">
        <v>760</v>
      </c>
      <c r="F309" s="76" t="s">
        <v>150</v>
      </c>
      <c r="G309" s="77" t="s">
        <v>156</v>
      </c>
      <c r="H309" s="77" t="s">
        <v>153</v>
      </c>
      <c r="I309" s="86">
        <v>41681</v>
      </c>
      <c r="J309" s="78">
        <v>1078</v>
      </c>
      <c r="K309" s="132" t="s">
        <v>20</v>
      </c>
      <c r="L309" s="132" t="s">
        <v>166</v>
      </c>
      <c r="M309" s="132" t="s">
        <v>153</v>
      </c>
      <c r="N309" s="133">
        <v>41988</v>
      </c>
      <c r="O309" s="134">
        <v>889</v>
      </c>
      <c r="P309" s="132" t="s">
        <v>151</v>
      </c>
      <c r="Q309" s="132" t="s">
        <v>189</v>
      </c>
      <c r="R309" s="132" t="s">
        <v>153</v>
      </c>
      <c r="S309" s="133">
        <v>41899</v>
      </c>
      <c r="T309" s="134">
        <v>428.1</v>
      </c>
      <c r="U309" s="132" t="s">
        <v>154</v>
      </c>
      <c r="V309" s="132" t="s">
        <v>180</v>
      </c>
      <c r="W309" s="132" t="s">
        <v>153</v>
      </c>
      <c r="X309" s="133">
        <v>41848</v>
      </c>
      <c r="Y309" s="134">
        <v>560</v>
      </c>
    </row>
    <row r="310" spans="1:25" x14ac:dyDescent="0.25">
      <c r="A310" s="79" t="s">
        <v>148</v>
      </c>
      <c r="B310" s="12" t="s">
        <v>169</v>
      </c>
      <c r="C310" s="12" t="s">
        <v>153</v>
      </c>
      <c r="D310" s="80">
        <v>41921</v>
      </c>
      <c r="E310" s="81">
        <v>1080</v>
      </c>
      <c r="F310" s="76" t="s">
        <v>150</v>
      </c>
      <c r="G310" s="77" t="s">
        <v>156</v>
      </c>
      <c r="H310" s="77" t="s">
        <v>153</v>
      </c>
      <c r="I310" s="86">
        <v>41682</v>
      </c>
      <c r="J310" s="78">
        <v>1392</v>
      </c>
      <c r="K310" s="132" t="s">
        <v>20</v>
      </c>
      <c r="L310" s="132" t="s">
        <v>166</v>
      </c>
      <c r="M310" s="132" t="s">
        <v>153</v>
      </c>
      <c r="N310" s="133">
        <v>41989</v>
      </c>
      <c r="O310" s="134">
        <v>505</v>
      </c>
      <c r="P310" s="132" t="s">
        <v>151</v>
      </c>
      <c r="Q310" s="132" t="s">
        <v>189</v>
      </c>
      <c r="R310" s="132" t="s">
        <v>153</v>
      </c>
      <c r="S310" s="133">
        <v>41900</v>
      </c>
      <c r="T310" s="134">
        <v>441.1</v>
      </c>
      <c r="U310" s="132" t="s">
        <v>154</v>
      </c>
      <c r="V310" s="132" t="s">
        <v>180</v>
      </c>
      <c r="W310" s="132" t="s">
        <v>153</v>
      </c>
      <c r="X310" s="133">
        <v>41849</v>
      </c>
      <c r="Y310" s="134">
        <v>850</v>
      </c>
    </row>
    <row r="311" spans="1:25" x14ac:dyDescent="0.25">
      <c r="A311" s="79" t="s">
        <v>148</v>
      </c>
      <c r="B311" s="12" t="s">
        <v>169</v>
      </c>
      <c r="C311" s="12" t="s">
        <v>153</v>
      </c>
      <c r="D311" s="80">
        <v>41922</v>
      </c>
      <c r="E311" s="81">
        <v>845</v>
      </c>
      <c r="F311" s="76" t="s">
        <v>150</v>
      </c>
      <c r="G311" s="77" t="s">
        <v>156</v>
      </c>
      <c r="H311" s="77" t="s">
        <v>153</v>
      </c>
      <c r="I311" s="86">
        <v>41683</v>
      </c>
      <c r="J311" s="78">
        <v>1004</v>
      </c>
      <c r="K311" s="132" t="s">
        <v>20</v>
      </c>
      <c r="L311" s="132" t="s">
        <v>166</v>
      </c>
      <c r="M311" s="132" t="s">
        <v>153</v>
      </c>
      <c r="N311" s="133">
        <v>41992</v>
      </c>
      <c r="O311" s="134">
        <v>865</v>
      </c>
      <c r="P311" s="132" t="s">
        <v>151</v>
      </c>
      <c r="Q311" s="132" t="s">
        <v>189</v>
      </c>
      <c r="R311" s="132" t="s">
        <v>153</v>
      </c>
      <c r="S311" s="133">
        <v>41901</v>
      </c>
      <c r="T311" s="134">
        <v>541.6</v>
      </c>
      <c r="U311" s="132" t="s">
        <v>154</v>
      </c>
      <c r="V311" s="132" t="s">
        <v>180</v>
      </c>
      <c r="W311" s="132" t="s">
        <v>153</v>
      </c>
      <c r="X311" s="133">
        <v>41850</v>
      </c>
      <c r="Y311" s="134">
        <v>1022</v>
      </c>
    </row>
    <row r="312" spans="1:25" x14ac:dyDescent="0.25">
      <c r="A312" s="79" t="s">
        <v>148</v>
      </c>
      <c r="B312" s="12" t="s">
        <v>169</v>
      </c>
      <c r="C312" s="12" t="s">
        <v>153</v>
      </c>
      <c r="D312" s="80">
        <v>41923</v>
      </c>
      <c r="E312" s="81">
        <v>550</v>
      </c>
      <c r="F312" s="76" t="s">
        <v>150</v>
      </c>
      <c r="G312" s="77" t="s">
        <v>156</v>
      </c>
      <c r="H312" s="77" t="s">
        <v>153</v>
      </c>
      <c r="I312" s="86">
        <v>41683</v>
      </c>
      <c r="J312" s="78">
        <v>622</v>
      </c>
      <c r="K312" s="132" t="s">
        <v>20</v>
      </c>
      <c r="L312" s="132" t="s">
        <v>166</v>
      </c>
      <c r="M312" s="132" t="s">
        <v>153</v>
      </c>
      <c r="N312" s="133">
        <v>41994</v>
      </c>
      <c r="O312" s="134">
        <v>1018</v>
      </c>
      <c r="P312" s="132" t="s">
        <v>151</v>
      </c>
      <c r="Q312" s="132" t="s">
        <v>189</v>
      </c>
      <c r="R312" s="132" t="s">
        <v>153</v>
      </c>
      <c r="S312" s="133">
        <v>41904</v>
      </c>
      <c r="T312" s="134">
        <v>308.5</v>
      </c>
      <c r="U312" s="132" t="s">
        <v>154</v>
      </c>
      <c r="V312" s="132" t="s">
        <v>180</v>
      </c>
      <c r="W312" s="132" t="s">
        <v>153</v>
      </c>
      <c r="X312" s="133">
        <v>41851</v>
      </c>
      <c r="Y312" s="134">
        <v>1148</v>
      </c>
    </row>
    <row r="313" spans="1:25" x14ac:dyDescent="0.25">
      <c r="A313" s="79" t="s">
        <v>148</v>
      </c>
      <c r="B313" s="12" t="s">
        <v>169</v>
      </c>
      <c r="C313" s="12" t="s">
        <v>153</v>
      </c>
      <c r="D313" s="80">
        <v>41924</v>
      </c>
      <c r="E313" s="81">
        <v>875</v>
      </c>
      <c r="F313" s="76" t="s">
        <v>150</v>
      </c>
      <c r="G313" s="77" t="s">
        <v>156</v>
      </c>
      <c r="H313" s="77" t="s">
        <v>153</v>
      </c>
      <c r="I313" s="86">
        <v>41685</v>
      </c>
      <c r="J313" s="78">
        <v>892</v>
      </c>
      <c r="K313" s="132" t="s">
        <v>20</v>
      </c>
      <c r="L313" s="132" t="s">
        <v>189</v>
      </c>
      <c r="M313" s="132" t="s">
        <v>153</v>
      </c>
      <c r="N313" s="133">
        <v>41648</v>
      </c>
      <c r="O313" s="134">
        <v>898</v>
      </c>
      <c r="P313" s="132" t="s">
        <v>151</v>
      </c>
      <c r="Q313" s="132" t="s">
        <v>189</v>
      </c>
      <c r="R313" s="132" t="s">
        <v>153</v>
      </c>
      <c r="S313" s="133">
        <v>41904</v>
      </c>
      <c r="T313" s="134">
        <v>702.6</v>
      </c>
      <c r="U313" s="132" t="s">
        <v>154</v>
      </c>
      <c r="V313" s="132" t="s">
        <v>180</v>
      </c>
      <c r="W313" s="132" t="s">
        <v>153</v>
      </c>
      <c r="X313" s="133">
        <v>41852</v>
      </c>
      <c r="Y313" s="134">
        <v>920</v>
      </c>
    </row>
    <row r="314" spans="1:25" x14ac:dyDescent="0.25">
      <c r="A314" s="79" t="s">
        <v>148</v>
      </c>
      <c r="B314" s="12" t="s">
        <v>169</v>
      </c>
      <c r="C314" s="12" t="s">
        <v>153</v>
      </c>
      <c r="D314" s="80">
        <v>41925</v>
      </c>
      <c r="E314" s="81">
        <v>1130</v>
      </c>
      <c r="F314" s="76" t="s">
        <v>150</v>
      </c>
      <c r="G314" s="77" t="s">
        <v>156</v>
      </c>
      <c r="H314" s="77" t="s">
        <v>153</v>
      </c>
      <c r="I314" s="86">
        <v>41685</v>
      </c>
      <c r="J314" s="78">
        <v>1261</v>
      </c>
      <c r="K314" s="132" t="s">
        <v>20</v>
      </c>
      <c r="L314" s="132" t="s">
        <v>189</v>
      </c>
      <c r="M314" s="132" t="s">
        <v>153</v>
      </c>
      <c r="N314" s="133">
        <v>41664</v>
      </c>
      <c r="O314" s="134">
        <v>1501</v>
      </c>
      <c r="P314" s="132" t="s">
        <v>151</v>
      </c>
      <c r="Q314" s="132" t="s">
        <v>189</v>
      </c>
      <c r="R314" s="132" t="s">
        <v>153</v>
      </c>
      <c r="S314" s="133">
        <v>41905</v>
      </c>
      <c r="T314" s="134">
        <v>780.4</v>
      </c>
      <c r="U314" s="132" t="s">
        <v>154</v>
      </c>
      <c r="V314" s="132" t="s">
        <v>180</v>
      </c>
      <c r="W314" s="132" t="s">
        <v>153</v>
      </c>
      <c r="X314" s="133">
        <v>41855</v>
      </c>
      <c r="Y314" s="134">
        <v>891</v>
      </c>
    </row>
    <row r="315" spans="1:25" x14ac:dyDescent="0.25">
      <c r="A315" s="79" t="s">
        <v>148</v>
      </c>
      <c r="B315" s="12" t="s">
        <v>169</v>
      </c>
      <c r="C315" s="12" t="s">
        <v>153</v>
      </c>
      <c r="D315" s="80">
        <v>41926</v>
      </c>
      <c r="E315" s="81">
        <v>700</v>
      </c>
      <c r="F315" s="76" t="s">
        <v>150</v>
      </c>
      <c r="G315" s="77" t="s">
        <v>156</v>
      </c>
      <c r="H315" s="77" t="s">
        <v>153</v>
      </c>
      <c r="I315" s="86">
        <v>41686</v>
      </c>
      <c r="J315" s="78">
        <v>1127</v>
      </c>
      <c r="K315" s="132" t="s">
        <v>20</v>
      </c>
      <c r="L315" s="132" t="s">
        <v>189</v>
      </c>
      <c r="M315" s="132" t="s">
        <v>153</v>
      </c>
      <c r="N315" s="133">
        <v>41678</v>
      </c>
      <c r="O315" s="134">
        <v>657</v>
      </c>
      <c r="P315" s="132" t="s">
        <v>151</v>
      </c>
      <c r="Q315" s="132" t="s">
        <v>189</v>
      </c>
      <c r="R315" s="132" t="s">
        <v>153</v>
      </c>
      <c r="S315" s="133">
        <v>42002</v>
      </c>
      <c r="T315" s="134">
        <v>777.3</v>
      </c>
      <c r="U315" s="132" t="s">
        <v>154</v>
      </c>
      <c r="V315" s="132" t="s">
        <v>180</v>
      </c>
      <c r="W315" s="132" t="s">
        <v>153</v>
      </c>
      <c r="X315" s="133">
        <v>41934</v>
      </c>
      <c r="Y315" s="134">
        <v>513</v>
      </c>
    </row>
    <row r="316" spans="1:25" x14ac:dyDescent="0.25">
      <c r="A316" s="79" t="s">
        <v>148</v>
      </c>
      <c r="B316" s="12" t="s">
        <v>169</v>
      </c>
      <c r="C316" s="12" t="s">
        <v>153</v>
      </c>
      <c r="D316" s="80">
        <v>41927</v>
      </c>
      <c r="E316" s="81">
        <v>950</v>
      </c>
      <c r="F316" s="76" t="s">
        <v>150</v>
      </c>
      <c r="G316" s="77" t="s">
        <v>156</v>
      </c>
      <c r="H316" s="77" t="s">
        <v>153</v>
      </c>
      <c r="I316" s="86">
        <v>41687</v>
      </c>
      <c r="J316" s="78">
        <v>979</v>
      </c>
      <c r="K316" s="132" t="s">
        <v>20</v>
      </c>
      <c r="L316" s="132" t="s">
        <v>189</v>
      </c>
      <c r="M316" s="132" t="s">
        <v>153</v>
      </c>
      <c r="N316" s="133">
        <v>41718</v>
      </c>
      <c r="O316" s="134">
        <v>1315</v>
      </c>
      <c r="P316" s="132" t="s">
        <v>151</v>
      </c>
      <c r="Q316" s="132" t="s">
        <v>190</v>
      </c>
      <c r="R316" s="132" t="s">
        <v>153</v>
      </c>
      <c r="S316" s="133">
        <v>41652</v>
      </c>
      <c r="T316" s="134">
        <v>990.7</v>
      </c>
      <c r="U316" s="132" t="s">
        <v>154</v>
      </c>
      <c r="V316" s="132" t="s">
        <v>159</v>
      </c>
      <c r="W316" s="132" t="s">
        <v>153</v>
      </c>
      <c r="X316" s="133">
        <v>41641</v>
      </c>
      <c r="Y316" s="134">
        <v>330</v>
      </c>
    </row>
    <row r="317" spans="1:25" x14ac:dyDescent="0.25">
      <c r="A317" s="79" t="s">
        <v>148</v>
      </c>
      <c r="B317" s="12" t="s">
        <v>169</v>
      </c>
      <c r="C317" s="12" t="s">
        <v>153</v>
      </c>
      <c r="D317" s="80">
        <v>41928</v>
      </c>
      <c r="E317" s="81">
        <v>752</v>
      </c>
      <c r="F317" s="76" t="s">
        <v>150</v>
      </c>
      <c r="G317" s="77" t="s">
        <v>156</v>
      </c>
      <c r="H317" s="77" t="s">
        <v>153</v>
      </c>
      <c r="I317" s="86">
        <v>41689</v>
      </c>
      <c r="J317" s="78">
        <v>1283</v>
      </c>
      <c r="K317" s="132" t="s">
        <v>20</v>
      </c>
      <c r="L317" s="132" t="s">
        <v>189</v>
      </c>
      <c r="M317" s="132" t="s">
        <v>153</v>
      </c>
      <c r="N317" s="133">
        <v>41779</v>
      </c>
      <c r="O317" s="134">
        <v>655</v>
      </c>
      <c r="P317" s="132" t="s">
        <v>151</v>
      </c>
      <c r="Q317" s="132" t="s">
        <v>190</v>
      </c>
      <c r="R317" s="132" t="s">
        <v>153</v>
      </c>
      <c r="S317" s="133">
        <v>41653</v>
      </c>
      <c r="T317" s="134">
        <v>739.1</v>
      </c>
      <c r="U317" s="132" t="s">
        <v>154</v>
      </c>
      <c r="V317" s="132" t="s">
        <v>159</v>
      </c>
      <c r="W317" s="132" t="s">
        <v>153</v>
      </c>
      <c r="X317" s="133">
        <v>41642</v>
      </c>
      <c r="Y317" s="134">
        <v>650</v>
      </c>
    </row>
    <row r="318" spans="1:25" x14ac:dyDescent="0.25">
      <c r="A318" s="79" t="s">
        <v>148</v>
      </c>
      <c r="B318" s="12" t="s">
        <v>169</v>
      </c>
      <c r="C318" s="12" t="s">
        <v>153</v>
      </c>
      <c r="D318" s="80">
        <v>41929</v>
      </c>
      <c r="E318" s="81">
        <v>492</v>
      </c>
      <c r="F318" s="76" t="s">
        <v>150</v>
      </c>
      <c r="G318" s="77" t="s">
        <v>156</v>
      </c>
      <c r="H318" s="77" t="s">
        <v>153</v>
      </c>
      <c r="I318" s="86">
        <v>41690</v>
      </c>
      <c r="J318" s="78">
        <v>761</v>
      </c>
      <c r="K318" s="132" t="s">
        <v>20</v>
      </c>
      <c r="L318" s="132" t="s">
        <v>189</v>
      </c>
      <c r="M318" s="132" t="s">
        <v>153</v>
      </c>
      <c r="N318" s="133">
        <v>41889</v>
      </c>
      <c r="O318" s="134">
        <v>1322</v>
      </c>
      <c r="P318" s="132" t="s">
        <v>151</v>
      </c>
      <c r="Q318" s="132" t="s">
        <v>190</v>
      </c>
      <c r="R318" s="132" t="s">
        <v>153</v>
      </c>
      <c r="S318" s="133">
        <v>41780</v>
      </c>
      <c r="T318" s="134">
        <v>1001.6</v>
      </c>
      <c r="U318" s="132" t="s">
        <v>154</v>
      </c>
      <c r="V318" s="132" t="s">
        <v>159</v>
      </c>
      <c r="W318" s="132" t="s">
        <v>153</v>
      </c>
      <c r="X318" s="133">
        <v>41645</v>
      </c>
      <c r="Y318" s="134">
        <v>930</v>
      </c>
    </row>
    <row r="319" spans="1:25" x14ac:dyDescent="0.25">
      <c r="A319" s="79" t="s">
        <v>148</v>
      </c>
      <c r="B319" s="12" t="s">
        <v>169</v>
      </c>
      <c r="C319" s="12" t="s">
        <v>153</v>
      </c>
      <c r="D319" s="80">
        <v>41929</v>
      </c>
      <c r="E319" s="81">
        <v>575</v>
      </c>
      <c r="F319" s="76" t="s">
        <v>150</v>
      </c>
      <c r="G319" s="77" t="s">
        <v>156</v>
      </c>
      <c r="H319" s="77" t="s">
        <v>153</v>
      </c>
      <c r="I319" s="86">
        <v>41691</v>
      </c>
      <c r="J319" s="78">
        <v>587</v>
      </c>
      <c r="K319" s="132" t="s">
        <v>20</v>
      </c>
      <c r="L319" s="132" t="s">
        <v>189</v>
      </c>
      <c r="M319" s="132" t="s">
        <v>153</v>
      </c>
      <c r="N319" s="133">
        <v>41949</v>
      </c>
      <c r="O319" s="134">
        <v>1036</v>
      </c>
      <c r="P319" s="132" t="s">
        <v>151</v>
      </c>
      <c r="Q319" s="132" t="s">
        <v>190</v>
      </c>
      <c r="R319" s="132" t="s">
        <v>153</v>
      </c>
      <c r="S319" s="133">
        <v>41781</v>
      </c>
      <c r="T319" s="134">
        <v>651.29999999999995</v>
      </c>
      <c r="U319" s="132" t="s">
        <v>154</v>
      </c>
      <c r="V319" s="132" t="s">
        <v>159</v>
      </c>
      <c r="W319" s="132" t="s">
        <v>153</v>
      </c>
      <c r="X319" s="133">
        <v>41646</v>
      </c>
      <c r="Y319" s="134">
        <v>873</v>
      </c>
    </row>
    <row r="320" spans="1:25" x14ac:dyDescent="0.25">
      <c r="A320" s="79" t="s">
        <v>148</v>
      </c>
      <c r="B320" s="12" t="s">
        <v>169</v>
      </c>
      <c r="C320" s="12" t="s">
        <v>153</v>
      </c>
      <c r="D320" s="80">
        <v>41930</v>
      </c>
      <c r="E320" s="81">
        <v>824</v>
      </c>
      <c r="F320" s="76" t="s">
        <v>150</v>
      </c>
      <c r="G320" s="77" t="s">
        <v>156</v>
      </c>
      <c r="H320" s="77" t="s">
        <v>153</v>
      </c>
      <c r="I320" s="86">
        <v>41692</v>
      </c>
      <c r="J320" s="78">
        <v>380</v>
      </c>
      <c r="K320" s="132" t="s">
        <v>20</v>
      </c>
      <c r="L320" s="132" t="s">
        <v>189</v>
      </c>
      <c r="M320" s="132" t="s">
        <v>153</v>
      </c>
      <c r="N320" s="133">
        <v>41951</v>
      </c>
      <c r="O320" s="134">
        <v>787</v>
      </c>
      <c r="P320" s="132" t="s">
        <v>151</v>
      </c>
      <c r="Q320" s="132" t="s">
        <v>190</v>
      </c>
      <c r="R320" s="132" t="s">
        <v>153</v>
      </c>
      <c r="S320" s="133">
        <v>41820</v>
      </c>
      <c r="T320" s="134">
        <v>1016.4</v>
      </c>
      <c r="U320" s="132" t="s">
        <v>154</v>
      </c>
      <c r="V320" s="132" t="s">
        <v>159</v>
      </c>
      <c r="W320" s="132" t="s">
        <v>153</v>
      </c>
      <c r="X320" s="133">
        <v>41647</v>
      </c>
      <c r="Y320" s="134">
        <v>690</v>
      </c>
    </row>
    <row r="321" spans="1:25" x14ac:dyDescent="0.25">
      <c r="A321" s="79" t="s">
        <v>148</v>
      </c>
      <c r="B321" s="12" t="s">
        <v>169</v>
      </c>
      <c r="C321" s="12" t="s">
        <v>153</v>
      </c>
      <c r="D321" s="80">
        <v>41931</v>
      </c>
      <c r="E321" s="81">
        <v>987</v>
      </c>
      <c r="F321" s="76" t="s">
        <v>150</v>
      </c>
      <c r="G321" s="77" t="s">
        <v>156</v>
      </c>
      <c r="H321" s="77" t="s">
        <v>153</v>
      </c>
      <c r="I321" s="86">
        <v>41692</v>
      </c>
      <c r="J321" s="78">
        <v>401</v>
      </c>
      <c r="K321" s="132" t="s">
        <v>20</v>
      </c>
      <c r="L321" s="132" t="s">
        <v>189</v>
      </c>
      <c r="M321" s="132" t="s">
        <v>153</v>
      </c>
      <c r="N321" s="133">
        <v>41953</v>
      </c>
      <c r="O321" s="134">
        <v>1001</v>
      </c>
      <c r="P321" s="132" t="s">
        <v>151</v>
      </c>
      <c r="Q321" s="132" t="s">
        <v>190</v>
      </c>
      <c r="R321" s="132" t="s">
        <v>153</v>
      </c>
      <c r="S321" s="133">
        <v>41876</v>
      </c>
      <c r="T321" s="134">
        <v>1049.7</v>
      </c>
      <c r="U321" s="132" t="s">
        <v>154</v>
      </c>
      <c r="V321" s="132" t="s">
        <v>159</v>
      </c>
      <c r="W321" s="132" t="s">
        <v>153</v>
      </c>
      <c r="X321" s="133">
        <v>41647</v>
      </c>
      <c r="Y321" s="134">
        <v>691</v>
      </c>
    </row>
    <row r="322" spans="1:25" x14ac:dyDescent="0.25">
      <c r="A322" s="79" t="s">
        <v>148</v>
      </c>
      <c r="B322" s="12" t="s">
        <v>169</v>
      </c>
      <c r="C322" s="12" t="s">
        <v>153</v>
      </c>
      <c r="D322" s="80">
        <v>41934</v>
      </c>
      <c r="E322" s="81">
        <v>1467</v>
      </c>
      <c r="F322" s="76" t="s">
        <v>150</v>
      </c>
      <c r="G322" s="77" t="s">
        <v>156</v>
      </c>
      <c r="H322" s="77" t="s">
        <v>153</v>
      </c>
      <c r="I322" s="86">
        <v>41693</v>
      </c>
      <c r="J322" s="78">
        <v>1022</v>
      </c>
      <c r="K322" s="132" t="s">
        <v>20</v>
      </c>
      <c r="L322" s="132" t="s">
        <v>189</v>
      </c>
      <c r="M322" s="132" t="s">
        <v>153</v>
      </c>
      <c r="N322" s="133">
        <v>41978</v>
      </c>
      <c r="O322" s="134">
        <v>767</v>
      </c>
      <c r="P322" s="132" t="s">
        <v>151</v>
      </c>
      <c r="Q322" s="132" t="s">
        <v>190</v>
      </c>
      <c r="R322" s="132" t="s">
        <v>153</v>
      </c>
      <c r="S322" s="133">
        <v>41877</v>
      </c>
      <c r="T322" s="134">
        <v>740.3</v>
      </c>
      <c r="U322" s="132" t="s">
        <v>154</v>
      </c>
      <c r="V322" s="132" t="s">
        <v>159</v>
      </c>
      <c r="W322" s="132" t="s">
        <v>153</v>
      </c>
      <c r="X322" s="133">
        <v>41647</v>
      </c>
      <c r="Y322" s="134">
        <v>420</v>
      </c>
    </row>
    <row r="323" spans="1:25" x14ac:dyDescent="0.25">
      <c r="A323" s="79" t="s">
        <v>148</v>
      </c>
      <c r="B323" s="12" t="s">
        <v>169</v>
      </c>
      <c r="C323" s="12" t="s">
        <v>153</v>
      </c>
      <c r="D323" s="80">
        <v>41935</v>
      </c>
      <c r="E323" s="81">
        <v>450</v>
      </c>
      <c r="F323" s="76" t="s">
        <v>150</v>
      </c>
      <c r="G323" s="77" t="s">
        <v>156</v>
      </c>
      <c r="H323" s="77" t="s">
        <v>153</v>
      </c>
      <c r="I323" s="86">
        <v>41694</v>
      </c>
      <c r="J323" s="78">
        <v>710</v>
      </c>
      <c r="K323" s="132" t="s">
        <v>20</v>
      </c>
      <c r="L323" s="132" t="s">
        <v>189</v>
      </c>
      <c r="M323" s="132" t="s">
        <v>153</v>
      </c>
      <c r="N323" s="133">
        <v>41984</v>
      </c>
      <c r="O323" s="134">
        <v>867</v>
      </c>
      <c r="P323" s="132" t="s">
        <v>151</v>
      </c>
      <c r="Q323" s="132" t="s">
        <v>190</v>
      </c>
      <c r="R323" s="132" t="s">
        <v>153</v>
      </c>
      <c r="S323" s="133">
        <v>41878</v>
      </c>
      <c r="T323" s="134">
        <v>770.6</v>
      </c>
      <c r="U323" s="132" t="s">
        <v>154</v>
      </c>
      <c r="V323" s="132" t="s">
        <v>159</v>
      </c>
      <c r="W323" s="132" t="s">
        <v>153</v>
      </c>
      <c r="X323" s="133">
        <v>41648</v>
      </c>
      <c r="Y323" s="134">
        <v>780</v>
      </c>
    </row>
    <row r="324" spans="1:25" x14ac:dyDescent="0.25">
      <c r="A324" s="79" t="s">
        <v>148</v>
      </c>
      <c r="B324" s="12" t="s">
        <v>169</v>
      </c>
      <c r="C324" s="12" t="s">
        <v>153</v>
      </c>
      <c r="D324" s="80">
        <v>41936</v>
      </c>
      <c r="E324" s="81">
        <v>830</v>
      </c>
      <c r="F324" s="76" t="s">
        <v>150</v>
      </c>
      <c r="G324" s="77" t="s">
        <v>156</v>
      </c>
      <c r="H324" s="77" t="s">
        <v>153</v>
      </c>
      <c r="I324" s="86">
        <v>41695</v>
      </c>
      <c r="J324" s="78">
        <v>967</v>
      </c>
      <c r="K324" s="132" t="s">
        <v>20</v>
      </c>
      <c r="L324" s="132" t="s">
        <v>189</v>
      </c>
      <c r="M324" s="132" t="s">
        <v>153</v>
      </c>
      <c r="N324" s="133">
        <v>42000</v>
      </c>
      <c r="O324" s="134">
        <v>920</v>
      </c>
      <c r="P324" s="132" t="s">
        <v>151</v>
      </c>
      <c r="Q324" s="132" t="s">
        <v>190</v>
      </c>
      <c r="R324" s="132" t="s">
        <v>153</v>
      </c>
      <c r="S324" s="133">
        <v>41941</v>
      </c>
      <c r="T324" s="134">
        <v>253.1</v>
      </c>
      <c r="U324" s="132" t="s">
        <v>154</v>
      </c>
      <c r="V324" s="132" t="s">
        <v>159</v>
      </c>
      <c r="W324" s="132" t="s">
        <v>153</v>
      </c>
      <c r="X324" s="133">
        <v>41649</v>
      </c>
      <c r="Y324" s="134">
        <v>940</v>
      </c>
    </row>
    <row r="325" spans="1:25" x14ac:dyDescent="0.25">
      <c r="A325" s="79" t="s">
        <v>148</v>
      </c>
      <c r="B325" s="12" t="s">
        <v>169</v>
      </c>
      <c r="C325" s="12" t="s">
        <v>153</v>
      </c>
      <c r="D325" s="80">
        <v>41937</v>
      </c>
      <c r="E325" s="81">
        <v>850</v>
      </c>
      <c r="F325" s="76" t="s">
        <v>150</v>
      </c>
      <c r="G325" s="77" t="s">
        <v>156</v>
      </c>
      <c r="H325" s="77" t="s">
        <v>153</v>
      </c>
      <c r="I325" s="86">
        <v>41697</v>
      </c>
      <c r="J325" s="78">
        <v>1031</v>
      </c>
      <c r="K325" s="132" t="s">
        <v>20</v>
      </c>
      <c r="L325" s="132" t="s">
        <v>190</v>
      </c>
      <c r="M325" s="132" t="s">
        <v>153</v>
      </c>
      <c r="N325" s="133">
        <v>41637</v>
      </c>
      <c r="O325" s="134">
        <v>1159</v>
      </c>
      <c r="P325" s="132" t="s">
        <v>151</v>
      </c>
      <c r="Q325" s="132" t="s">
        <v>190</v>
      </c>
      <c r="R325" s="132" t="s">
        <v>153</v>
      </c>
      <c r="S325" s="133">
        <v>41942</v>
      </c>
      <c r="T325" s="134">
        <v>602.79999999999995</v>
      </c>
      <c r="U325" s="132" t="s">
        <v>154</v>
      </c>
      <c r="V325" s="132" t="s">
        <v>159</v>
      </c>
      <c r="W325" s="132" t="s">
        <v>153</v>
      </c>
      <c r="X325" s="133">
        <v>41650</v>
      </c>
      <c r="Y325" s="134">
        <v>980</v>
      </c>
    </row>
    <row r="326" spans="1:25" x14ac:dyDescent="0.25">
      <c r="A326" s="79" t="s">
        <v>148</v>
      </c>
      <c r="B326" s="12" t="s">
        <v>169</v>
      </c>
      <c r="C326" s="12" t="s">
        <v>153</v>
      </c>
      <c r="D326" s="80">
        <v>41938</v>
      </c>
      <c r="E326" s="81">
        <v>1095</v>
      </c>
      <c r="F326" s="76" t="s">
        <v>150</v>
      </c>
      <c r="G326" s="77" t="s">
        <v>156</v>
      </c>
      <c r="H326" s="77" t="s">
        <v>153</v>
      </c>
      <c r="I326" s="86">
        <v>41698</v>
      </c>
      <c r="J326" s="78">
        <v>1170</v>
      </c>
      <c r="K326" s="132" t="s">
        <v>20</v>
      </c>
      <c r="L326" s="132" t="s">
        <v>190</v>
      </c>
      <c r="M326" s="132" t="s">
        <v>153</v>
      </c>
      <c r="N326" s="133">
        <v>41642</v>
      </c>
      <c r="O326" s="134">
        <v>866</v>
      </c>
      <c r="P326" s="132" t="s">
        <v>151</v>
      </c>
      <c r="Q326" s="132" t="s">
        <v>190</v>
      </c>
      <c r="R326" s="132" t="s">
        <v>153</v>
      </c>
      <c r="S326" s="133">
        <v>41964</v>
      </c>
      <c r="T326" s="134">
        <v>1002.2</v>
      </c>
      <c r="U326" s="132" t="s">
        <v>154</v>
      </c>
      <c r="V326" s="132" t="s">
        <v>159</v>
      </c>
      <c r="W326" s="132" t="s">
        <v>153</v>
      </c>
      <c r="X326" s="133">
        <v>41651</v>
      </c>
      <c r="Y326" s="134">
        <v>1006</v>
      </c>
    </row>
    <row r="327" spans="1:25" x14ac:dyDescent="0.25">
      <c r="A327" s="79" t="s">
        <v>148</v>
      </c>
      <c r="B327" s="12" t="s">
        <v>169</v>
      </c>
      <c r="C327" s="12" t="s">
        <v>153</v>
      </c>
      <c r="D327" s="80">
        <v>41940</v>
      </c>
      <c r="E327" s="81">
        <v>801</v>
      </c>
      <c r="F327" s="76" t="s">
        <v>150</v>
      </c>
      <c r="G327" s="77" t="s">
        <v>156</v>
      </c>
      <c r="H327" s="77" t="s">
        <v>153</v>
      </c>
      <c r="I327" s="86">
        <v>41703</v>
      </c>
      <c r="J327" s="78">
        <v>841</v>
      </c>
      <c r="K327" s="132" t="s">
        <v>20</v>
      </c>
      <c r="L327" s="132" t="s">
        <v>190</v>
      </c>
      <c r="M327" s="132" t="s">
        <v>153</v>
      </c>
      <c r="N327" s="133">
        <v>41663</v>
      </c>
      <c r="O327" s="134">
        <v>702</v>
      </c>
      <c r="P327" s="132" t="s">
        <v>151</v>
      </c>
      <c r="Q327" s="132" t="s">
        <v>191</v>
      </c>
      <c r="R327" s="132" t="s">
        <v>153</v>
      </c>
      <c r="S327" s="133">
        <v>41655</v>
      </c>
      <c r="T327" s="134">
        <v>534.20000000000005</v>
      </c>
      <c r="U327" s="132" t="s">
        <v>154</v>
      </c>
      <c r="V327" s="132" t="s">
        <v>159</v>
      </c>
      <c r="W327" s="132" t="s">
        <v>153</v>
      </c>
      <c r="X327" s="133">
        <v>41660</v>
      </c>
      <c r="Y327" s="134">
        <v>745</v>
      </c>
    </row>
    <row r="328" spans="1:25" x14ac:dyDescent="0.25">
      <c r="A328" s="79" t="s">
        <v>148</v>
      </c>
      <c r="B328" s="12" t="s">
        <v>169</v>
      </c>
      <c r="C328" s="12" t="s">
        <v>153</v>
      </c>
      <c r="D328" s="80">
        <v>41940</v>
      </c>
      <c r="E328" s="81">
        <v>1010</v>
      </c>
      <c r="F328" s="76" t="s">
        <v>150</v>
      </c>
      <c r="G328" s="77" t="s">
        <v>156</v>
      </c>
      <c r="H328" s="77" t="s">
        <v>153</v>
      </c>
      <c r="I328" s="86">
        <v>41704</v>
      </c>
      <c r="J328" s="78">
        <v>1230</v>
      </c>
      <c r="K328" s="132" t="s">
        <v>20</v>
      </c>
      <c r="L328" s="132" t="s">
        <v>190</v>
      </c>
      <c r="M328" s="132" t="s">
        <v>153</v>
      </c>
      <c r="N328" s="133">
        <v>41727</v>
      </c>
      <c r="O328" s="134">
        <v>1535</v>
      </c>
      <c r="P328" s="132" t="s">
        <v>151</v>
      </c>
      <c r="Q328" s="132" t="s">
        <v>191</v>
      </c>
      <c r="R328" s="132" t="s">
        <v>153</v>
      </c>
      <c r="S328" s="133">
        <v>41694</v>
      </c>
      <c r="T328" s="134">
        <v>1004.6</v>
      </c>
      <c r="U328" s="132" t="s">
        <v>154</v>
      </c>
      <c r="V328" s="132" t="s">
        <v>159</v>
      </c>
      <c r="W328" s="132" t="s">
        <v>153</v>
      </c>
      <c r="X328" s="133">
        <v>41660</v>
      </c>
      <c r="Y328" s="134">
        <v>280</v>
      </c>
    </row>
    <row r="329" spans="1:25" x14ac:dyDescent="0.25">
      <c r="A329" s="79" t="s">
        <v>148</v>
      </c>
      <c r="B329" s="12" t="s">
        <v>169</v>
      </c>
      <c r="C329" s="12" t="s">
        <v>153</v>
      </c>
      <c r="D329" s="80">
        <v>41941</v>
      </c>
      <c r="E329" s="81">
        <v>718</v>
      </c>
      <c r="F329" s="76" t="s">
        <v>150</v>
      </c>
      <c r="G329" s="77" t="s">
        <v>156</v>
      </c>
      <c r="H329" s="77" t="s">
        <v>153</v>
      </c>
      <c r="I329" s="86">
        <v>41710</v>
      </c>
      <c r="J329" s="78">
        <v>1006</v>
      </c>
      <c r="K329" s="132" t="s">
        <v>20</v>
      </c>
      <c r="L329" s="132" t="s">
        <v>190</v>
      </c>
      <c r="M329" s="132" t="s">
        <v>153</v>
      </c>
      <c r="N329" s="133">
        <v>41747</v>
      </c>
      <c r="O329" s="134">
        <v>1384</v>
      </c>
      <c r="P329" s="132" t="s">
        <v>151</v>
      </c>
      <c r="Q329" s="132" t="s">
        <v>191</v>
      </c>
      <c r="R329" s="132" t="s">
        <v>153</v>
      </c>
      <c r="S329" s="133">
        <v>41807</v>
      </c>
      <c r="T329" s="134">
        <v>685.9</v>
      </c>
      <c r="U329" s="132" t="s">
        <v>154</v>
      </c>
      <c r="V329" s="132" t="s">
        <v>159</v>
      </c>
      <c r="W329" s="132" t="s">
        <v>153</v>
      </c>
      <c r="X329" s="133">
        <v>41661</v>
      </c>
      <c r="Y329" s="134">
        <v>831</v>
      </c>
    </row>
    <row r="330" spans="1:25" x14ac:dyDescent="0.25">
      <c r="A330" s="79" t="s">
        <v>148</v>
      </c>
      <c r="B330" s="12" t="s">
        <v>169</v>
      </c>
      <c r="C330" s="12" t="s">
        <v>153</v>
      </c>
      <c r="D330" s="80">
        <v>41942</v>
      </c>
      <c r="E330" s="81">
        <v>750</v>
      </c>
      <c r="F330" s="76" t="s">
        <v>150</v>
      </c>
      <c r="G330" s="77" t="s">
        <v>156</v>
      </c>
      <c r="H330" s="77" t="s">
        <v>153</v>
      </c>
      <c r="I330" s="86">
        <v>41711</v>
      </c>
      <c r="J330" s="78">
        <v>595</v>
      </c>
      <c r="K330" s="132" t="s">
        <v>20</v>
      </c>
      <c r="L330" s="132" t="s">
        <v>190</v>
      </c>
      <c r="M330" s="132" t="s">
        <v>153</v>
      </c>
      <c r="N330" s="133">
        <v>41756</v>
      </c>
      <c r="O330" s="134">
        <v>981</v>
      </c>
      <c r="P330" s="132" t="s">
        <v>151</v>
      </c>
      <c r="Q330" s="132" t="s">
        <v>191</v>
      </c>
      <c r="R330" s="132" t="s">
        <v>153</v>
      </c>
      <c r="S330" s="133">
        <v>41808</v>
      </c>
      <c r="T330" s="134">
        <v>967.7</v>
      </c>
      <c r="U330" s="132" t="s">
        <v>154</v>
      </c>
      <c r="V330" s="132" t="s">
        <v>159</v>
      </c>
      <c r="W330" s="132" t="s">
        <v>153</v>
      </c>
      <c r="X330" s="133">
        <v>41662</v>
      </c>
      <c r="Y330" s="134">
        <v>937</v>
      </c>
    </row>
    <row r="331" spans="1:25" x14ac:dyDescent="0.25">
      <c r="A331" s="79" t="s">
        <v>148</v>
      </c>
      <c r="B331" s="12" t="s">
        <v>169</v>
      </c>
      <c r="C331" s="12" t="s">
        <v>153</v>
      </c>
      <c r="D331" s="80">
        <v>41943</v>
      </c>
      <c r="E331" s="81">
        <v>850</v>
      </c>
      <c r="F331" s="76" t="s">
        <v>150</v>
      </c>
      <c r="G331" s="77" t="s">
        <v>156</v>
      </c>
      <c r="H331" s="77" t="s">
        <v>153</v>
      </c>
      <c r="I331" s="86">
        <v>41715</v>
      </c>
      <c r="J331" s="78">
        <v>823</v>
      </c>
      <c r="K331" s="132" t="s">
        <v>20</v>
      </c>
      <c r="L331" s="132" t="s">
        <v>190</v>
      </c>
      <c r="M331" s="132" t="s">
        <v>153</v>
      </c>
      <c r="N331" s="133">
        <v>41768</v>
      </c>
      <c r="O331" s="134">
        <v>443</v>
      </c>
      <c r="P331" s="132" t="s">
        <v>151</v>
      </c>
      <c r="Q331" s="132" t="s">
        <v>191</v>
      </c>
      <c r="R331" s="132" t="s">
        <v>153</v>
      </c>
      <c r="S331" s="133">
        <v>41815</v>
      </c>
      <c r="T331" s="134">
        <v>489</v>
      </c>
      <c r="U331" s="132" t="s">
        <v>154</v>
      </c>
      <c r="V331" s="132" t="s">
        <v>159</v>
      </c>
      <c r="W331" s="132" t="s">
        <v>153</v>
      </c>
      <c r="X331" s="133">
        <v>41663</v>
      </c>
      <c r="Y331" s="134">
        <v>1230</v>
      </c>
    </row>
    <row r="332" spans="1:25" x14ac:dyDescent="0.25">
      <c r="A332" s="79" t="s">
        <v>148</v>
      </c>
      <c r="B332" s="12" t="s">
        <v>169</v>
      </c>
      <c r="C332" s="12" t="s">
        <v>153</v>
      </c>
      <c r="D332" s="80">
        <v>41944</v>
      </c>
      <c r="E332" s="81">
        <v>600</v>
      </c>
      <c r="F332" s="76" t="s">
        <v>150</v>
      </c>
      <c r="G332" s="77" t="s">
        <v>156</v>
      </c>
      <c r="H332" s="77" t="s">
        <v>153</v>
      </c>
      <c r="I332" s="86">
        <v>41719</v>
      </c>
      <c r="J332" s="78">
        <v>730</v>
      </c>
      <c r="K332" s="132" t="s">
        <v>20</v>
      </c>
      <c r="L332" s="132" t="s">
        <v>190</v>
      </c>
      <c r="M332" s="132" t="s">
        <v>153</v>
      </c>
      <c r="N332" s="133">
        <v>41770</v>
      </c>
      <c r="O332" s="134">
        <v>1084</v>
      </c>
      <c r="P332" s="132" t="s">
        <v>151</v>
      </c>
      <c r="Q332" s="132" t="s">
        <v>191</v>
      </c>
      <c r="R332" s="132" t="s">
        <v>153</v>
      </c>
      <c r="S332" s="133">
        <v>41823</v>
      </c>
      <c r="T332" s="134">
        <v>390</v>
      </c>
      <c r="U332" s="132" t="s">
        <v>154</v>
      </c>
      <c r="V332" s="132" t="s">
        <v>159</v>
      </c>
      <c r="W332" s="132" t="s">
        <v>153</v>
      </c>
      <c r="X332" s="133">
        <v>41665</v>
      </c>
      <c r="Y332" s="134">
        <v>592</v>
      </c>
    </row>
    <row r="333" spans="1:25" x14ac:dyDescent="0.25">
      <c r="A333" s="79" t="s">
        <v>148</v>
      </c>
      <c r="B333" s="12" t="s">
        <v>169</v>
      </c>
      <c r="C333" s="12" t="s">
        <v>153</v>
      </c>
      <c r="D333" s="80">
        <v>41945</v>
      </c>
      <c r="E333" s="81">
        <v>848</v>
      </c>
      <c r="F333" s="76" t="s">
        <v>150</v>
      </c>
      <c r="G333" s="77" t="s">
        <v>156</v>
      </c>
      <c r="H333" s="77" t="s">
        <v>153</v>
      </c>
      <c r="I333" s="86">
        <v>41722</v>
      </c>
      <c r="J333" s="78">
        <v>1139</v>
      </c>
      <c r="K333" s="132" t="s">
        <v>20</v>
      </c>
      <c r="L333" s="132" t="s">
        <v>190</v>
      </c>
      <c r="M333" s="132" t="s">
        <v>153</v>
      </c>
      <c r="N333" s="133">
        <v>41773</v>
      </c>
      <c r="O333" s="134">
        <v>590</v>
      </c>
      <c r="P333" s="132" t="s">
        <v>151</v>
      </c>
      <c r="Q333" s="132" t="s">
        <v>191</v>
      </c>
      <c r="R333" s="132" t="s">
        <v>153</v>
      </c>
      <c r="S333" s="133">
        <v>41851</v>
      </c>
      <c r="T333" s="134">
        <v>714.6</v>
      </c>
      <c r="U333" s="132" t="s">
        <v>154</v>
      </c>
      <c r="V333" s="132" t="s">
        <v>159</v>
      </c>
      <c r="W333" s="132" t="s">
        <v>153</v>
      </c>
      <c r="X333" s="133">
        <v>41667</v>
      </c>
      <c r="Y333" s="134">
        <v>747</v>
      </c>
    </row>
    <row r="334" spans="1:25" x14ac:dyDescent="0.25">
      <c r="A334" s="79" t="s">
        <v>148</v>
      </c>
      <c r="B334" s="12" t="s">
        <v>169</v>
      </c>
      <c r="C334" s="12" t="s">
        <v>153</v>
      </c>
      <c r="D334" s="80">
        <v>41946</v>
      </c>
      <c r="E334" s="81">
        <v>800</v>
      </c>
      <c r="F334" s="76" t="s">
        <v>150</v>
      </c>
      <c r="G334" s="77" t="s">
        <v>156</v>
      </c>
      <c r="H334" s="77" t="s">
        <v>153</v>
      </c>
      <c r="I334" s="86">
        <v>41723</v>
      </c>
      <c r="J334" s="78">
        <v>798</v>
      </c>
      <c r="K334" s="132" t="s">
        <v>20</v>
      </c>
      <c r="L334" s="132" t="s">
        <v>190</v>
      </c>
      <c r="M334" s="132" t="s">
        <v>153</v>
      </c>
      <c r="N334" s="133">
        <v>41805</v>
      </c>
      <c r="O334" s="134">
        <v>1218</v>
      </c>
      <c r="P334" s="132" t="s">
        <v>151</v>
      </c>
      <c r="Q334" s="132" t="s">
        <v>191</v>
      </c>
      <c r="R334" s="132" t="s">
        <v>153</v>
      </c>
      <c r="S334" s="133">
        <v>41857</v>
      </c>
      <c r="T334" s="134">
        <v>381.1</v>
      </c>
      <c r="U334" s="132" t="s">
        <v>154</v>
      </c>
      <c r="V334" s="132" t="s">
        <v>159</v>
      </c>
      <c r="W334" s="132" t="s">
        <v>153</v>
      </c>
      <c r="X334" s="133">
        <v>41668</v>
      </c>
      <c r="Y334" s="134">
        <v>1008</v>
      </c>
    </row>
    <row r="335" spans="1:25" x14ac:dyDescent="0.25">
      <c r="A335" s="79" t="s">
        <v>148</v>
      </c>
      <c r="B335" s="12" t="s">
        <v>169</v>
      </c>
      <c r="C335" s="12" t="s">
        <v>153</v>
      </c>
      <c r="D335" s="80">
        <v>41947</v>
      </c>
      <c r="E335" s="81">
        <v>800</v>
      </c>
      <c r="F335" s="76" t="s">
        <v>150</v>
      </c>
      <c r="G335" s="77" t="s">
        <v>156</v>
      </c>
      <c r="H335" s="77" t="s">
        <v>153</v>
      </c>
      <c r="I335" s="86">
        <v>41725</v>
      </c>
      <c r="J335" s="78">
        <v>592</v>
      </c>
      <c r="K335" s="132" t="s">
        <v>20</v>
      </c>
      <c r="L335" s="132" t="s">
        <v>190</v>
      </c>
      <c r="M335" s="132" t="s">
        <v>153</v>
      </c>
      <c r="N335" s="133">
        <v>41808</v>
      </c>
      <c r="O335" s="134">
        <v>491</v>
      </c>
      <c r="P335" s="132" t="s">
        <v>151</v>
      </c>
      <c r="Q335" s="132" t="s">
        <v>191</v>
      </c>
      <c r="R335" s="132" t="s">
        <v>153</v>
      </c>
      <c r="S335" s="133">
        <v>41873</v>
      </c>
      <c r="T335" s="134">
        <v>397</v>
      </c>
      <c r="U335" s="132" t="s">
        <v>154</v>
      </c>
      <c r="V335" s="132" t="s">
        <v>159</v>
      </c>
      <c r="W335" s="132" t="s">
        <v>153</v>
      </c>
      <c r="X335" s="133">
        <v>41669</v>
      </c>
      <c r="Y335" s="134">
        <v>614</v>
      </c>
    </row>
    <row r="336" spans="1:25" x14ac:dyDescent="0.25">
      <c r="A336" s="79" t="s">
        <v>148</v>
      </c>
      <c r="B336" s="12" t="s">
        <v>169</v>
      </c>
      <c r="C336" s="12" t="s">
        <v>153</v>
      </c>
      <c r="D336" s="80">
        <v>41948</v>
      </c>
      <c r="E336" s="81">
        <v>800</v>
      </c>
      <c r="F336" s="76" t="s">
        <v>150</v>
      </c>
      <c r="G336" s="77" t="s">
        <v>156</v>
      </c>
      <c r="H336" s="77" t="s">
        <v>153</v>
      </c>
      <c r="I336" s="86">
        <v>41726</v>
      </c>
      <c r="J336" s="78">
        <v>484</v>
      </c>
      <c r="K336" s="132" t="s">
        <v>20</v>
      </c>
      <c r="L336" s="132" t="s">
        <v>190</v>
      </c>
      <c r="M336" s="132" t="s">
        <v>153</v>
      </c>
      <c r="N336" s="133">
        <v>41809</v>
      </c>
      <c r="O336" s="134">
        <v>508</v>
      </c>
      <c r="P336" s="132" t="s">
        <v>151</v>
      </c>
      <c r="Q336" s="132" t="s">
        <v>191</v>
      </c>
      <c r="R336" s="132" t="s">
        <v>153</v>
      </c>
      <c r="S336" s="133">
        <v>41879</v>
      </c>
      <c r="T336" s="134">
        <v>779.8</v>
      </c>
      <c r="U336" s="132" t="s">
        <v>154</v>
      </c>
      <c r="V336" s="132" t="s">
        <v>159</v>
      </c>
      <c r="W336" s="132" t="s">
        <v>153</v>
      </c>
      <c r="X336" s="133">
        <v>41669</v>
      </c>
      <c r="Y336" s="134">
        <v>555</v>
      </c>
    </row>
    <row r="337" spans="1:25" x14ac:dyDescent="0.25">
      <c r="A337" s="79" t="s">
        <v>148</v>
      </c>
      <c r="B337" s="12" t="s">
        <v>169</v>
      </c>
      <c r="C337" s="12" t="s">
        <v>153</v>
      </c>
      <c r="D337" s="80">
        <v>41949</v>
      </c>
      <c r="E337" s="81">
        <v>751</v>
      </c>
      <c r="F337" s="76" t="s">
        <v>150</v>
      </c>
      <c r="G337" s="77" t="s">
        <v>156</v>
      </c>
      <c r="H337" s="77" t="s">
        <v>153</v>
      </c>
      <c r="I337" s="86">
        <v>41729</v>
      </c>
      <c r="J337" s="78">
        <v>747</v>
      </c>
      <c r="K337" s="132" t="s">
        <v>20</v>
      </c>
      <c r="L337" s="132" t="s">
        <v>190</v>
      </c>
      <c r="M337" s="132" t="s">
        <v>153</v>
      </c>
      <c r="N337" s="133">
        <v>41818</v>
      </c>
      <c r="O337" s="134">
        <v>701</v>
      </c>
      <c r="P337" s="132" t="s">
        <v>151</v>
      </c>
      <c r="Q337" s="132" t="s">
        <v>191</v>
      </c>
      <c r="R337" s="132" t="s">
        <v>153</v>
      </c>
      <c r="S337" s="133">
        <v>41949</v>
      </c>
      <c r="T337" s="134">
        <v>966.4</v>
      </c>
      <c r="U337" s="132" t="s">
        <v>154</v>
      </c>
      <c r="V337" s="132" t="s">
        <v>159</v>
      </c>
      <c r="W337" s="132" t="s">
        <v>153</v>
      </c>
      <c r="X337" s="133">
        <v>41670</v>
      </c>
      <c r="Y337" s="134">
        <v>870</v>
      </c>
    </row>
    <row r="338" spans="1:25" x14ac:dyDescent="0.25">
      <c r="A338" s="79" t="s">
        <v>148</v>
      </c>
      <c r="B338" s="12" t="s">
        <v>169</v>
      </c>
      <c r="C338" s="12" t="s">
        <v>153</v>
      </c>
      <c r="D338" s="80">
        <v>41949</v>
      </c>
      <c r="E338" s="81">
        <v>705</v>
      </c>
      <c r="F338" s="76" t="s">
        <v>150</v>
      </c>
      <c r="G338" s="77" t="s">
        <v>156</v>
      </c>
      <c r="H338" s="77" t="s">
        <v>153</v>
      </c>
      <c r="I338" s="86">
        <v>41731</v>
      </c>
      <c r="J338" s="78">
        <v>892</v>
      </c>
      <c r="K338" s="132" t="s">
        <v>20</v>
      </c>
      <c r="L338" s="132" t="s">
        <v>190</v>
      </c>
      <c r="M338" s="132" t="s">
        <v>153</v>
      </c>
      <c r="N338" s="133">
        <v>41882</v>
      </c>
      <c r="O338" s="134">
        <v>851</v>
      </c>
      <c r="P338" s="132" t="s">
        <v>151</v>
      </c>
      <c r="Q338" s="132" t="s">
        <v>192</v>
      </c>
      <c r="R338" s="132" t="s">
        <v>153</v>
      </c>
      <c r="S338" s="133">
        <v>41983</v>
      </c>
      <c r="T338" s="134">
        <v>309.39999999999998</v>
      </c>
      <c r="U338" s="132" t="s">
        <v>154</v>
      </c>
      <c r="V338" s="132" t="s">
        <v>159</v>
      </c>
      <c r="W338" s="132" t="s">
        <v>153</v>
      </c>
      <c r="X338" s="133">
        <v>41673</v>
      </c>
      <c r="Y338" s="134">
        <v>435</v>
      </c>
    </row>
    <row r="339" spans="1:25" x14ac:dyDescent="0.25">
      <c r="A339" s="79" t="s">
        <v>148</v>
      </c>
      <c r="B339" s="12" t="s">
        <v>169</v>
      </c>
      <c r="C339" s="12" t="s">
        <v>153</v>
      </c>
      <c r="D339" s="80">
        <v>41950</v>
      </c>
      <c r="E339" s="81">
        <v>320</v>
      </c>
      <c r="F339" s="76" t="s">
        <v>150</v>
      </c>
      <c r="G339" s="77" t="s">
        <v>156</v>
      </c>
      <c r="H339" s="77" t="s">
        <v>153</v>
      </c>
      <c r="I339" s="86">
        <v>41732</v>
      </c>
      <c r="J339" s="78">
        <v>1108</v>
      </c>
      <c r="K339" s="132" t="s">
        <v>20</v>
      </c>
      <c r="L339" s="132" t="s">
        <v>190</v>
      </c>
      <c r="M339" s="132" t="s">
        <v>153</v>
      </c>
      <c r="N339" s="133">
        <v>41884</v>
      </c>
      <c r="O339" s="134">
        <v>422</v>
      </c>
      <c r="P339" s="132" t="s">
        <v>151</v>
      </c>
      <c r="Q339" s="132" t="s">
        <v>192</v>
      </c>
      <c r="R339" s="132" t="s">
        <v>153</v>
      </c>
      <c r="S339" s="133">
        <v>41984</v>
      </c>
      <c r="T339" s="134">
        <v>399</v>
      </c>
      <c r="U339" s="132" t="s">
        <v>154</v>
      </c>
      <c r="V339" s="132" t="s">
        <v>159</v>
      </c>
      <c r="W339" s="132" t="s">
        <v>153</v>
      </c>
      <c r="X339" s="133">
        <v>41674</v>
      </c>
      <c r="Y339" s="134">
        <v>424</v>
      </c>
    </row>
    <row r="340" spans="1:25" x14ac:dyDescent="0.25">
      <c r="A340" s="79" t="s">
        <v>148</v>
      </c>
      <c r="B340" s="12" t="s">
        <v>169</v>
      </c>
      <c r="C340" s="12" t="s">
        <v>153</v>
      </c>
      <c r="D340" s="80">
        <v>41951</v>
      </c>
      <c r="E340" s="81">
        <v>1174</v>
      </c>
      <c r="F340" s="76" t="s">
        <v>150</v>
      </c>
      <c r="G340" s="77" t="s">
        <v>156</v>
      </c>
      <c r="H340" s="77" t="s">
        <v>153</v>
      </c>
      <c r="I340" s="86">
        <v>41733</v>
      </c>
      <c r="J340" s="78">
        <v>808</v>
      </c>
      <c r="K340" s="132" t="s">
        <v>20</v>
      </c>
      <c r="L340" s="132" t="s">
        <v>190</v>
      </c>
      <c r="M340" s="132" t="s">
        <v>153</v>
      </c>
      <c r="N340" s="133">
        <v>41893</v>
      </c>
      <c r="O340" s="134">
        <v>1298</v>
      </c>
      <c r="P340" s="132" t="s">
        <v>151</v>
      </c>
      <c r="Q340" s="132" t="s">
        <v>192</v>
      </c>
      <c r="R340" s="132" t="s">
        <v>153</v>
      </c>
      <c r="S340" s="133">
        <v>41988</v>
      </c>
      <c r="T340" s="134">
        <v>1293.3</v>
      </c>
      <c r="U340" s="132" t="s">
        <v>154</v>
      </c>
      <c r="V340" s="132" t="s">
        <v>159</v>
      </c>
      <c r="W340" s="132" t="s">
        <v>153</v>
      </c>
      <c r="X340" s="133">
        <v>41674</v>
      </c>
      <c r="Y340" s="134">
        <v>600</v>
      </c>
    </row>
    <row r="341" spans="1:25" x14ac:dyDescent="0.25">
      <c r="A341" s="79" t="s">
        <v>148</v>
      </c>
      <c r="B341" s="12" t="s">
        <v>169</v>
      </c>
      <c r="C341" s="12" t="s">
        <v>153</v>
      </c>
      <c r="D341" s="80">
        <v>41952</v>
      </c>
      <c r="E341" s="81">
        <v>655</v>
      </c>
      <c r="F341" s="76" t="s">
        <v>150</v>
      </c>
      <c r="G341" s="77" t="s">
        <v>156</v>
      </c>
      <c r="H341" s="77" t="s">
        <v>153</v>
      </c>
      <c r="I341" s="86">
        <v>41733</v>
      </c>
      <c r="J341" s="78">
        <v>411</v>
      </c>
      <c r="K341" s="132" t="s">
        <v>20</v>
      </c>
      <c r="L341" s="132" t="s">
        <v>190</v>
      </c>
      <c r="M341" s="132" t="s">
        <v>153</v>
      </c>
      <c r="N341" s="133">
        <v>41895</v>
      </c>
      <c r="O341" s="134">
        <v>1039</v>
      </c>
      <c r="P341" s="132" t="s">
        <v>151</v>
      </c>
      <c r="Q341" s="132" t="s">
        <v>192</v>
      </c>
      <c r="R341" s="132" t="s">
        <v>153</v>
      </c>
      <c r="S341" s="133">
        <v>41989</v>
      </c>
      <c r="T341" s="134">
        <v>618.6</v>
      </c>
      <c r="U341" s="132" t="s">
        <v>154</v>
      </c>
      <c r="V341" s="132" t="s">
        <v>159</v>
      </c>
      <c r="W341" s="132" t="s">
        <v>153</v>
      </c>
      <c r="X341" s="133">
        <v>41675</v>
      </c>
      <c r="Y341" s="134">
        <v>303</v>
      </c>
    </row>
    <row r="342" spans="1:25" x14ac:dyDescent="0.25">
      <c r="A342" s="79" t="s">
        <v>148</v>
      </c>
      <c r="B342" s="12" t="s">
        <v>169</v>
      </c>
      <c r="C342" s="12" t="s">
        <v>153</v>
      </c>
      <c r="D342" s="80">
        <v>41953</v>
      </c>
      <c r="E342" s="81">
        <v>899</v>
      </c>
      <c r="F342" s="76" t="s">
        <v>150</v>
      </c>
      <c r="G342" s="77" t="s">
        <v>156</v>
      </c>
      <c r="H342" s="77" t="s">
        <v>153</v>
      </c>
      <c r="I342" s="86">
        <v>41735</v>
      </c>
      <c r="J342" s="78">
        <v>358</v>
      </c>
      <c r="K342" s="132" t="s">
        <v>20</v>
      </c>
      <c r="L342" s="132" t="s">
        <v>190</v>
      </c>
      <c r="M342" s="132" t="s">
        <v>153</v>
      </c>
      <c r="N342" s="133">
        <v>41902</v>
      </c>
      <c r="O342" s="134">
        <v>701</v>
      </c>
      <c r="P342" s="132" t="s">
        <v>151</v>
      </c>
      <c r="Q342" s="132" t="s">
        <v>192</v>
      </c>
      <c r="R342" s="132" t="s">
        <v>153</v>
      </c>
      <c r="S342" s="133">
        <v>41990</v>
      </c>
      <c r="T342" s="134">
        <v>699.3</v>
      </c>
      <c r="U342" s="132" t="s">
        <v>154</v>
      </c>
      <c r="V342" s="132" t="s">
        <v>159</v>
      </c>
      <c r="W342" s="132" t="s">
        <v>153</v>
      </c>
      <c r="X342" s="133">
        <v>41676</v>
      </c>
      <c r="Y342" s="134">
        <v>860</v>
      </c>
    </row>
    <row r="343" spans="1:25" x14ac:dyDescent="0.25">
      <c r="A343" s="79" t="s">
        <v>148</v>
      </c>
      <c r="B343" s="12" t="s">
        <v>169</v>
      </c>
      <c r="C343" s="12" t="s">
        <v>153</v>
      </c>
      <c r="D343" s="80">
        <v>41954</v>
      </c>
      <c r="E343" s="81">
        <v>720</v>
      </c>
      <c r="F343" s="76" t="s">
        <v>150</v>
      </c>
      <c r="G343" s="77" t="s">
        <v>156</v>
      </c>
      <c r="H343" s="77" t="s">
        <v>153</v>
      </c>
      <c r="I343" s="86">
        <v>41735</v>
      </c>
      <c r="J343" s="78">
        <v>1118</v>
      </c>
      <c r="K343" s="132" t="s">
        <v>20</v>
      </c>
      <c r="L343" s="132" t="s">
        <v>190</v>
      </c>
      <c r="M343" s="132" t="s">
        <v>153</v>
      </c>
      <c r="N343" s="133">
        <v>41909</v>
      </c>
      <c r="O343" s="134">
        <v>862</v>
      </c>
      <c r="P343" s="132" t="s">
        <v>151</v>
      </c>
      <c r="Q343" s="132" t="s">
        <v>192</v>
      </c>
      <c r="R343" s="132" t="s">
        <v>153</v>
      </c>
      <c r="S343" s="133">
        <v>41991</v>
      </c>
      <c r="T343" s="134">
        <v>472.5</v>
      </c>
      <c r="U343" s="132" t="s">
        <v>154</v>
      </c>
      <c r="V343" s="132" t="s">
        <v>159</v>
      </c>
      <c r="W343" s="132" t="s">
        <v>153</v>
      </c>
      <c r="X343" s="133">
        <v>41677</v>
      </c>
      <c r="Y343" s="134">
        <v>523</v>
      </c>
    </row>
    <row r="344" spans="1:25" x14ac:dyDescent="0.25">
      <c r="A344" s="79" t="s">
        <v>148</v>
      </c>
      <c r="B344" s="12" t="s">
        <v>169</v>
      </c>
      <c r="C344" s="12" t="s">
        <v>153</v>
      </c>
      <c r="D344" s="80">
        <v>41955</v>
      </c>
      <c r="E344" s="81">
        <v>910</v>
      </c>
      <c r="F344" s="76" t="s">
        <v>150</v>
      </c>
      <c r="G344" s="77" t="s">
        <v>156</v>
      </c>
      <c r="H344" s="77" t="s">
        <v>153</v>
      </c>
      <c r="I344" s="86">
        <v>41737</v>
      </c>
      <c r="J344" s="78">
        <v>842</v>
      </c>
      <c r="K344" s="132" t="s">
        <v>20</v>
      </c>
      <c r="L344" s="132" t="s">
        <v>190</v>
      </c>
      <c r="M344" s="132" t="s">
        <v>153</v>
      </c>
      <c r="N344" s="133">
        <v>41923</v>
      </c>
      <c r="O344" s="134">
        <v>1156</v>
      </c>
      <c r="P344" s="132" t="s">
        <v>151</v>
      </c>
      <c r="Q344" s="132" t="s">
        <v>192</v>
      </c>
      <c r="R344" s="132" t="s">
        <v>153</v>
      </c>
      <c r="S344" s="133">
        <v>41995</v>
      </c>
      <c r="T344" s="134">
        <v>1248.0999999999999</v>
      </c>
      <c r="U344" s="132" t="s">
        <v>154</v>
      </c>
      <c r="V344" s="132" t="s">
        <v>159</v>
      </c>
      <c r="W344" s="132" t="s">
        <v>153</v>
      </c>
      <c r="X344" s="133">
        <v>41677</v>
      </c>
      <c r="Y344" s="134">
        <v>360</v>
      </c>
    </row>
    <row r="345" spans="1:25" x14ac:dyDescent="0.25">
      <c r="A345" s="79" t="s">
        <v>148</v>
      </c>
      <c r="B345" s="12" t="s">
        <v>169</v>
      </c>
      <c r="C345" s="12" t="s">
        <v>153</v>
      </c>
      <c r="D345" s="80">
        <v>41956</v>
      </c>
      <c r="E345" s="81">
        <v>978</v>
      </c>
      <c r="F345" s="76" t="s">
        <v>150</v>
      </c>
      <c r="G345" s="77" t="s">
        <v>156</v>
      </c>
      <c r="H345" s="77" t="s">
        <v>153</v>
      </c>
      <c r="I345" s="86">
        <v>41737</v>
      </c>
      <c r="J345" s="78">
        <v>1177</v>
      </c>
      <c r="K345" s="132" t="s">
        <v>20</v>
      </c>
      <c r="L345" s="132" t="s">
        <v>190</v>
      </c>
      <c r="M345" s="132" t="s">
        <v>153</v>
      </c>
      <c r="N345" s="133">
        <v>41925</v>
      </c>
      <c r="O345" s="134">
        <v>997</v>
      </c>
      <c r="P345" s="132" t="s">
        <v>151</v>
      </c>
      <c r="Q345" s="132" t="s">
        <v>192</v>
      </c>
      <c r="R345" s="132" t="s">
        <v>153</v>
      </c>
      <c r="S345" s="133">
        <v>41996</v>
      </c>
      <c r="T345" s="134">
        <v>486.7</v>
      </c>
      <c r="U345" s="132" t="s">
        <v>154</v>
      </c>
      <c r="V345" s="132" t="s">
        <v>159</v>
      </c>
      <c r="W345" s="132" t="s">
        <v>153</v>
      </c>
      <c r="X345" s="133">
        <v>41680</v>
      </c>
      <c r="Y345" s="134">
        <v>1222</v>
      </c>
    </row>
    <row r="346" spans="1:25" x14ac:dyDescent="0.25">
      <c r="A346" s="79" t="s">
        <v>148</v>
      </c>
      <c r="B346" s="12" t="s">
        <v>169</v>
      </c>
      <c r="C346" s="12" t="s">
        <v>153</v>
      </c>
      <c r="D346" s="80">
        <v>41957</v>
      </c>
      <c r="E346" s="81">
        <v>875</v>
      </c>
      <c r="F346" s="76" t="s">
        <v>150</v>
      </c>
      <c r="G346" s="77" t="s">
        <v>156</v>
      </c>
      <c r="H346" s="77" t="s">
        <v>153</v>
      </c>
      <c r="I346" s="86">
        <v>41738</v>
      </c>
      <c r="J346" s="78">
        <v>1066</v>
      </c>
      <c r="K346" s="132" t="s">
        <v>20</v>
      </c>
      <c r="L346" s="132" t="s">
        <v>190</v>
      </c>
      <c r="M346" s="132" t="s">
        <v>153</v>
      </c>
      <c r="N346" s="133">
        <v>41926</v>
      </c>
      <c r="O346" s="134">
        <v>527</v>
      </c>
      <c r="P346" s="132" t="s">
        <v>151</v>
      </c>
      <c r="Q346" s="132" t="s">
        <v>192</v>
      </c>
      <c r="R346" s="132" t="s">
        <v>153</v>
      </c>
      <c r="S346" s="133">
        <v>41997</v>
      </c>
      <c r="T346" s="134">
        <v>718.1</v>
      </c>
      <c r="U346" s="132" t="s">
        <v>154</v>
      </c>
      <c r="V346" s="132" t="s">
        <v>159</v>
      </c>
      <c r="W346" s="132" t="s">
        <v>153</v>
      </c>
      <c r="X346" s="133">
        <v>41681</v>
      </c>
      <c r="Y346" s="134">
        <v>1036</v>
      </c>
    </row>
    <row r="347" spans="1:25" x14ac:dyDescent="0.25">
      <c r="A347" s="79" t="s">
        <v>148</v>
      </c>
      <c r="B347" s="12" t="s">
        <v>169</v>
      </c>
      <c r="C347" s="12" t="s">
        <v>153</v>
      </c>
      <c r="D347" s="80">
        <v>41958</v>
      </c>
      <c r="E347" s="81">
        <v>370</v>
      </c>
      <c r="F347" s="76" t="s">
        <v>150</v>
      </c>
      <c r="G347" s="77" t="s">
        <v>156</v>
      </c>
      <c r="H347" s="77" t="s">
        <v>153</v>
      </c>
      <c r="I347" s="86">
        <v>41739</v>
      </c>
      <c r="J347" s="78">
        <v>905</v>
      </c>
      <c r="K347" s="132" t="s">
        <v>20</v>
      </c>
      <c r="L347" s="132" t="s">
        <v>190</v>
      </c>
      <c r="M347" s="132" t="s">
        <v>153</v>
      </c>
      <c r="N347" s="133">
        <v>41930</v>
      </c>
      <c r="O347" s="134">
        <v>956</v>
      </c>
      <c r="P347" s="132" t="s">
        <v>151</v>
      </c>
      <c r="Q347" s="132" t="s">
        <v>193</v>
      </c>
      <c r="R347" s="132" t="s">
        <v>153</v>
      </c>
      <c r="S347" s="133">
        <v>41712</v>
      </c>
      <c r="T347" s="134">
        <v>855.8</v>
      </c>
      <c r="U347" s="132" t="s">
        <v>154</v>
      </c>
      <c r="V347" s="132" t="s">
        <v>159</v>
      </c>
      <c r="W347" s="132" t="s">
        <v>153</v>
      </c>
      <c r="X347" s="133">
        <v>41682</v>
      </c>
      <c r="Y347" s="134">
        <v>720</v>
      </c>
    </row>
    <row r="348" spans="1:25" x14ac:dyDescent="0.25">
      <c r="A348" s="79" t="s">
        <v>148</v>
      </c>
      <c r="B348" s="12" t="s">
        <v>169</v>
      </c>
      <c r="C348" s="12" t="s">
        <v>153</v>
      </c>
      <c r="D348" s="80">
        <v>41959</v>
      </c>
      <c r="E348" s="81">
        <v>900</v>
      </c>
      <c r="F348" s="76" t="s">
        <v>150</v>
      </c>
      <c r="G348" s="77" t="s">
        <v>156</v>
      </c>
      <c r="H348" s="77" t="s">
        <v>153</v>
      </c>
      <c r="I348" s="86">
        <v>41754</v>
      </c>
      <c r="J348" s="78">
        <v>396</v>
      </c>
      <c r="K348" s="132" t="s">
        <v>20</v>
      </c>
      <c r="L348" s="132" t="s">
        <v>190</v>
      </c>
      <c r="M348" s="132" t="s">
        <v>153</v>
      </c>
      <c r="N348" s="133">
        <v>41932</v>
      </c>
      <c r="O348" s="134">
        <v>897</v>
      </c>
      <c r="P348" s="132" t="s">
        <v>151</v>
      </c>
      <c r="Q348" s="132" t="s">
        <v>193</v>
      </c>
      <c r="R348" s="132" t="s">
        <v>153</v>
      </c>
      <c r="S348" s="133">
        <v>41715</v>
      </c>
      <c r="T348" s="134">
        <v>995.4</v>
      </c>
      <c r="U348" s="132" t="s">
        <v>154</v>
      </c>
      <c r="V348" s="132" t="s">
        <v>159</v>
      </c>
      <c r="W348" s="132" t="s">
        <v>153</v>
      </c>
      <c r="X348" s="133">
        <v>41682</v>
      </c>
      <c r="Y348" s="134">
        <v>680</v>
      </c>
    </row>
    <row r="349" spans="1:25" x14ac:dyDescent="0.25">
      <c r="A349" s="79" t="s">
        <v>148</v>
      </c>
      <c r="B349" s="12" t="s">
        <v>169</v>
      </c>
      <c r="C349" s="12" t="s">
        <v>153</v>
      </c>
      <c r="D349" s="80">
        <v>41960</v>
      </c>
      <c r="E349" s="81">
        <v>750</v>
      </c>
      <c r="F349" s="76" t="s">
        <v>150</v>
      </c>
      <c r="G349" s="77" t="s">
        <v>156</v>
      </c>
      <c r="H349" s="77" t="s">
        <v>153</v>
      </c>
      <c r="I349" s="86">
        <v>41758</v>
      </c>
      <c r="J349" s="78">
        <v>959</v>
      </c>
      <c r="K349" s="132" t="s">
        <v>20</v>
      </c>
      <c r="L349" s="132" t="s">
        <v>190</v>
      </c>
      <c r="M349" s="132" t="s">
        <v>153</v>
      </c>
      <c r="N349" s="133">
        <v>41942</v>
      </c>
      <c r="O349" s="134">
        <v>415</v>
      </c>
      <c r="P349" s="132" t="s">
        <v>151</v>
      </c>
      <c r="Q349" s="132" t="s">
        <v>193</v>
      </c>
      <c r="R349" s="132" t="s">
        <v>153</v>
      </c>
      <c r="S349" s="133">
        <v>41719</v>
      </c>
      <c r="T349" s="134">
        <v>531.9</v>
      </c>
      <c r="U349" s="132" t="s">
        <v>154</v>
      </c>
      <c r="V349" s="132" t="s">
        <v>159</v>
      </c>
      <c r="W349" s="132" t="s">
        <v>153</v>
      </c>
      <c r="X349" s="133">
        <v>41683</v>
      </c>
      <c r="Y349" s="134">
        <v>742</v>
      </c>
    </row>
    <row r="350" spans="1:25" x14ac:dyDescent="0.25">
      <c r="A350" s="79" t="s">
        <v>148</v>
      </c>
      <c r="B350" s="12" t="s">
        <v>169</v>
      </c>
      <c r="C350" s="12" t="s">
        <v>153</v>
      </c>
      <c r="D350" s="80">
        <v>41961</v>
      </c>
      <c r="E350" s="81">
        <v>830</v>
      </c>
      <c r="F350" s="76" t="s">
        <v>150</v>
      </c>
      <c r="G350" s="77" t="s">
        <v>156</v>
      </c>
      <c r="H350" s="77" t="s">
        <v>153</v>
      </c>
      <c r="I350" s="86">
        <v>41760</v>
      </c>
      <c r="J350" s="78">
        <v>833</v>
      </c>
      <c r="K350" s="132" t="s">
        <v>20</v>
      </c>
      <c r="L350" s="132" t="s">
        <v>190</v>
      </c>
      <c r="M350" s="132" t="s">
        <v>153</v>
      </c>
      <c r="N350" s="133">
        <v>41955</v>
      </c>
      <c r="O350" s="134">
        <v>839</v>
      </c>
      <c r="P350" s="132" t="s">
        <v>151</v>
      </c>
      <c r="Q350" s="132" t="s">
        <v>193</v>
      </c>
      <c r="R350" s="132" t="s">
        <v>153</v>
      </c>
      <c r="S350" s="133">
        <v>41732</v>
      </c>
      <c r="T350" s="134">
        <v>421.8</v>
      </c>
      <c r="U350" s="132" t="s">
        <v>154</v>
      </c>
      <c r="V350" s="132" t="s">
        <v>159</v>
      </c>
      <c r="W350" s="132" t="s">
        <v>153</v>
      </c>
      <c r="X350" s="133">
        <v>41683</v>
      </c>
      <c r="Y350" s="134">
        <v>303</v>
      </c>
    </row>
    <row r="351" spans="1:25" x14ac:dyDescent="0.25">
      <c r="A351" s="79" t="s">
        <v>148</v>
      </c>
      <c r="B351" s="12" t="s">
        <v>169</v>
      </c>
      <c r="C351" s="12" t="s">
        <v>153</v>
      </c>
      <c r="D351" s="80">
        <v>41964</v>
      </c>
      <c r="E351" s="81">
        <v>1227</v>
      </c>
      <c r="F351" s="76" t="s">
        <v>150</v>
      </c>
      <c r="G351" s="77" t="s">
        <v>156</v>
      </c>
      <c r="H351" s="77" t="s">
        <v>153</v>
      </c>
      <c r="I351" s="86">
        <v>41761</v>
      </c>
      <c r="J351" s="78">
        <v>953</v>
      </c>
      <c r="K351" s="132" t="s">
        <v>20</v>
      </c>
      <c r="L351" s="132" t="s">
        <v>190</v>
      </c>
      <c r="M351" s="132" t="s">
        <v>153</v>
      </c>
      <c r="N351" s="133">
        <v>41958</v>
      </c>
      <c r="O351" s="134">
        <v>825</v>
      </c>
      <c r="P351" s="132" t="s">
        <v>151</v>
      </c>
      <c r="Q351" s="132" t="s">
        <v>193</v>
      </c>
      <c r="R351" s="132" t="s">
        <v>153</v>
      </c>
      <c r="S351" s="133">
        <v>41733</v>
      </c>
      <c r="T351" s="134">
        <v>690.4</v>
      </c>
      <c r="U351" s="132" t="s">
        <v>154</v>
      </c>
      <c r="V351" s="132" t="s">
        <v>159</v>
      </c>
      <c r="W351" s="132" t="s">
        <v>153</v>
      </c>
      <c r="X351" s="133">
        <v>41684</v>
      </c>
      <c r="Y351" s="134">
        <v>906</v>
      </c>
    </row>
    <row r="352" spans="1:25" x14ac:dyDescent="0.25">
      <c r="A352" s="79" t="s">
        <v>148</v>
      </c>
      <c r="B352" s="12" t="s">
        <v>169</v>
      </c>
      <c r="C352" s="12" t="s">
        <v>153</v>
      </c>
      <c r="D352" s="80">
        <v>41965</v>
      </c>
      <c r="E352" s="81">
        <v>1156</v>
      </c>
      <c r="F352" s="76" t="s">
        <v>150</v>
      </c>
      <c r="G352" s="77" t="s">
        <v>156</v>
      </c>
      <c r="H352" s="77" t="s">
        <v>153</v>
      </c>
      <c r="I352" s="86">
        <v>41764</v>
      </c>
      <c r="J352" s="78">
        <v>1157</v>
      </c>
      <c r="K352" s="132" t="s">
        <v>20</v>
      </c>
      <c r="L352" s="132" t="s">
        <v>190</v>
      </c>
      <c r="M352" s="132" t="s">
        <v>153</v>
      </c>
      <c r="N352" s="133">
        <v>41972</v>
      </c>
      <c r="O352" s="134">
        <v>872</v>
      </c>
      <c r="P352" s="132" t="s">
        <v>151</v>
      </c>
      <c r="Q352" s="132" t="s">
        <v>193</v>
      </c>
      <c r="R352" s="132" t="s">
        <v>153</v>
      </c>
      <c r="S352" s="133">
        <v>41736</v>
      </c>
      <c r="T352" s="134">
        <v>622.79999999999995</v>
      </c>
      <c r="U352" s="132" t="s">
        <v>154</v>
      </c>
      <c r="V352" s="132" t="s">
        <v>159</v>
      </c>
      <c r="W352" s="132" t="s">
        <v>153</v>
      </c>
      <c r="X352" s="133">
        <v>41685</v>
      </c>
      <c r="Y352" s="134">
        <v>600</v>
      </c>
    </row>
    <row r="353" spans="1:25" x14ac:dyDescent="0.25">
      <c r="A353" s="79" t="s">
        <v>148</v>
      </c>
      <c r="B353" s="12" t="s">
        <v>169</v>
      </c>
      <c r="C353" s="12" t="s">
        <v>153</v>
      </c>
      <c r="D353" s="80">
        <v>41966</v>
      </c>
      <c r="E353" s="81">
        <v>713</v>
      </c>
      <c r="F353" s="76" t="s">
        <v>150</v>
      </c>
      <c r="G353" s="77" t="s">
        <v>156</v>
      </c>
      <c r="H353" s="77" t="s">
        <v>153</v>
      </c>
      <c r="I353" s="86">
        <v>41765</v>
      </c>
      <c r="J353" s="78">
        <v>568</v>
      </c>
      <c r="K353" s="132" t="s">
        <v>20</v>
      </c>
      <c r="L353" s="132" t="s">
        <v>190</v>
      </c>
      <c r="M353" s="132" t="s">
        <v>153</v>
      </c>
      <c r="N353" s="133">
        <v>41975</v>
      </c>
      <c r="O353" s="134">
        <v>698</v>
      </c>
      <c r="P353" s="132" t="s">
        <v>151</v>
      </c>
      <c r="Q353" s="132" t="s">
        <v>193</v>
      </c>
      <c r="R353" s="132" t="s">
        <v>153</v>
      </c>
      <c r="S353" s="133">
        <v>41737</v>
      </c>
      <c r="T353" s="134">
        <v>817</v>
      </c>
      <c r="U353" s="132" t="s">
        <v>154</v>
      </c>
      <c r="V353" s="132" t="s">
        <v>159</v>
      </c>
      <c r="W353" s="132" t="s">
        <v>153</v>
      </c>
      <c r="X353" s="133">
        <v>41686</v>
      </c>
      <c r="Y353" s="134">
        <v>630</v>
      </c>
    </row>
    <row r="354" spans="1:25" x14ac:dyDescent="0.25">
      <c r="A354" s="79" t="s">
        <v>148</v>
      </c>
      <c r="B354" s="12" t="s">
        <v>169</v>
      </c>
      <c r="C354" s="12" t="s">
        <v>153</v>
      </c>
      <c r="D354" s="80">
        <v>41967</v>
      </c>
      <c r="E354" s="81">
        <v>937</v>
      </c>
      <c r="F354" s="76" t="s">
        <v>150</v>
      </c>
      <c r="G354" s="77" t="s">
        <v>156</v>
      </c>
      <c r="H354" s="77" t="s">
        <v>153</v>
      </c>
      <c r="I354" s="86">
        <v>41766</v>
      </c>
      <c r="J354" s="78">
        <v>618</v>
      </c>
      <c r="K354" s="132" t="s">
        <v>20</v>
      </c>
      <c r="L354" s="132" t="s">
        <v>190</v>
      </c>
      <c r="M354" s="132" t="s">
        <v>153</v>
      </c>
      <c r="N354" s="133">
        <v>41987</v>
      </c>
      <c r="O354" s="134">
        <v>1214</v>
      </c>
      <c r="P354" s="132" t="s">
        <v>151</v>
      </c>
      <c r="Q354" s="132" t="s">
        <v>193</v>
      </c>
      <c r="R354" s="132" t="s">
        <v>153</v>
      </c>
      <c r="S354" s="133">
        <v>41865</v>
      </c>
      <c r="T354" s="134">
        <v>1060.2</v>
      </c>
      <c r="U354" s="132" t="s">
        <v>154</v>
      </c>
      <c r="V354" s="132" t="s">
        <v>159</v>
      </c>
      <c r="W354" s="132" t="s">
        <v>153</v>
      </c>
      <c r="X354" s="133">
        <v>41686</v>
      </c>
      <c r="Y354" s="134">
        <v>405</v>
      </c>
    </row>
    <row r="355" spans="1:25" x14ac:dyDescent="0.25">
      <c r="A355" s="79" t="s">
        <v>148</v>
      </c>
      <c r="B355" s="12" t="s">
        <v>169</v>
      </c>
      <c r="C355" s="12" t="s">
        <v>153</v>
      </c>
      <c r="D355" s="80">
        <v>41968</v>
      </c>
      <c r="E355" s="81">
        <v>630</v>
      </c>
      <c r="F355" s="76" t="s">
        <v>150</v>
      </c>
      <c r="G355" s="77" t="s">
        <v>156</v>
      </c>
      <c r="H355" s="77" t="s">
        <v>153</v>
      </c>
      <c r="I355" s="86">
        <v>41768</v>
      </c>
      <c r="J355" s="78">
        <v>528</v>
      </c>
      <c r="K355" s="132" t="s">
        <v>20</v>
      </c>
      <c r="L355" s="132" t="s">
        <v>240</v>
      </c>
      <c r="M355" s="132" t="s">
        <v>153</v>
      </c>
      <c r="N355" s="133">
        <v>41641</v>
      </c>
      <c r="O355" s="134">
        <v>1217</v>
      </c>
      <c r="P355" s="132" t="s">
        <v>151</v>
      </c>
      <c r="Q355" s="132" t="s">
        <v>193</v>
      </c>
      <c r="R355" s="132" t="s">
        <v>153</v>
      </c>
      <c r="S355" s="133">
        <v>41866</v>
      </c>
      <c r="T355" s="134">
        <v>618.9</v>
      </c>
      <c r="U355" s="132" t="s">
        <v>154</v>
      </c>
      <c r="V355" s="132" t="s">
        <v>159</v>
      </c>
      <c r="W355" s="132" t="s">
        <v>153</v>
      </c>
      <c r="X355" s="133">
        <v>41687</v>
      </c>
      <c r="Y355" s="134">
        <v>271</v>
      </c>
    </row>
    <row r="356" spans="1:25" x14ac:dyDescent="0.25">
      <c r="A356" s="79" t="s">
        <v>148</v>
      </c>
      <c r="B356" s="12" t="s">
        <v>169</v>
      </c>
      <c r="C356" s="12" t="s">
        <v>153</v>
      </c>
      <c r="D356" s="80">
        <v>41969</v>
      </c>
      <c r="E356" s="81">
        <v>880</v>
      </c>
      <c r="F356" s="76" t="s">
        <v>150</v>
      </c>
      <c r="G356" s="77" t="s">
        <v>156</v>
      </c>
      <c r="H356" s="77" t="s">
        <v>153</v>
      </c>
      <c r="I356" s="86">
        <v>41771</v>
      </c>
      <c r="J356" s="78">
        <v>663</v>
      </c>
      <c r="K356" s="132" t="s">
        <v>20</v>
      </c>
      <c r="L356" s="132" t="s">
        <v>240</v>
      </c>
      <c r="M356" s="132" t="s">
        <v>153</v>
      </c>
      <c r="N356" s="133">
        <v>41837</v>
      </c>
      <c r="O356" s="134">
        <v>1322</v>
      </c>
      <c r="P356" s="132" t="s">
        <v>151</v>
      </c>
      <c r="Q356" s="132" t="s">
        <v>193</v>
      </c>
      <c r="R356" s="132" t="s">
        <v>153</v>
      </c>
      <c r="S356" s="133">
        <v>41873</v>
      </c>
      <c r="T356" s="134">
        <v>747.1</v>
      </c>
      <c r="U356" s="132" t="s">
        <v>154</v>
      </c>
      <c r="V356" s="132" t="s">
        <v>159</v>
      </c>
      <c r="W356" s="132" t="s">
        <v>153</v>
      </c>
      <c r="X356" s="133">
        <v>41697</v>
      </c>
      <c r="Y356" s="134">
        <v>820</v>
      </c>
    </row>
    <row r="357" spans="1:25" x14ac:dyDescent="0.25">
      <c r="A357" s="79" t="s">
        <v>148</v>
      </c>
      <c r="B357" s="12" t="s">
        <v>169</v>
      </c>
      <c r="C357" s="12" t="s">
        <v>153</v>
      </c>
      <c r="D357" s="80">
        <v>41970</v>
      </c>
      <c r="E357" s="81">
        <v>612</v>
      </c>
      <c r="F357" s="76" t="s">
        <v>150</v>
      </c>
      <c r="G357" s="77" t="s">
        <v>156</v>
      </c>
      <c r="H357" s="77" t="s">
        <v>153</v>
      </c>
      <c r="I357" s="86">
        <v>41772</v>
      </c>
      <c r="J357" s="78">
        <v>742</v>
      </c>
      <c r="K357" s="132" t="s">
        <v>20</v>
      </c>
      <c r="L357" s="132" t="s">
        <v>240</v>
      </c>
      <c r="M357" s="132" t="s">
        <v>153</v>
      </c>
      <c r="N357" s="133">
        <v>41981</v>
      </c>
      <c r="O357" s="134">
        <v>1472</v>
      </c>
      <c r="P357" s="132" t="s">
        <v>151</v>
      </c>
      <c r="Q357" s="132" t="s">
        <v>193</v>
      </c>
      <c r="R357" s="132" t="s">
        <v>153</v>
      </c>
      <c r="S357" s="133">
        <v>41876</v>
      </c>
      <c r="T357" s="134">
        <v>701.5</v>
      </c>
      <c r="U357" s="132" t="s">
        <v>154</v>
      </c>
      <c r="V357" s="132" t="s">
        <v>159</v>
      </c>
      <c r="W357" s="132" t="s">
        <v>153</v>
      </c>
      <c r="X357" s="133">
        <v>41872</v>
      </c>
      <c r="Y357" s="134">
        <v>1000</v>
      </c>
    </row>
    <row r="358" spans="1:25" x14ac:dyDescent="0.25">
      <c r="A358" s="79" t="s">
        <v>148</v>
      </c>
      <c r="B358" s="12" t="s">
        <v>169</v>
      </c>
      <c r="C358" s="12" t="s">
        <v>153</v>
      </c>
      <c r="D358" s="80">
        <v>41971</v>
      </c>
      <c r="E358" s="81">
        <v>900</v>
      </c>
      <c r="F358" s="76" t="s">
        <v>150</v>
      </c>
      <c r="G358" s="77" t="s">
        <v>156</v>
      </c>
      <c r="H358" s="77" t="s">
        <v>153</v>
      </c>
      <c r="I358" s="86">
        <v>41773</v>
      </c>
      <c r="J358" s="78">
        <v>714</v>
      </c>
      <c r="K358" s="132" t="s">
        <v>20</v>
      </c>
      <c r="L358" s="132" t="s">
        <v>240</v>
      </c>
      <c r="M358" s="132" t="s">
        <v>153</v>
      </c>
      <c r="N358" s="133">
        <v>41994</v>
      </c>
      <c r="O358" s="134">
        <v>1385</v>
      </c>
      <c r="P358" s="132" t="s">
        <v>151</v>
      </c>
      <c r="Q358" s="132" t="s">
        <v>193</v>
      </c>
      <c r="R358" s="132" t="s">
        <v>153</v>
      </c>
      <c r="S358" s="133">
        <v>41877</v>
      </c>
      <c r="T358" s="134">
        <v>656.2</v>
      </c>
      <c r="U358" s="132" t="s">
        <v>154</v>
      </c>
      <c r="V358" s="132" t="s">
        <v>159</v>
      </c>
      <c r="W358" s="132" t="s">
        <v>153</v>
      </c>
      <c r="X358" s="133">
        <v>41886</v>
      </c>
      <c r="Y358" s="134">
        <v>1000</v>
      </c>
    </row>
    <row r="359" spans="1:25" x14ac:dyDescent="0.25">
      <c r="A359" s="79" t="s">
        <v>148</v>
      </c>
      <c r="B359" s="12" t="s">
        <v>169</v>
      </c>
      <c r="C359" s="12" t="s">
        <v>153</v>
      </c>
      <c r="D359" s="80">
        <v>41972</v>
      </c>
      <c r="E359" s="81">
        <v>630</v>
      </c>
      <c r="F359" s="76" t="s">
        <v>150</v>
      </c>
      <c r="G359" s="77" t="s">
        <v>156</v>
      </c>
      <c r="H359" s="77" t="s">
        <v>153</v>
      </c>
      <c r="I359" s="86">
        <v>41774</v>
      </c>
      <c r="J359" s="78">
        <v>361</v>
      </c>
      <c r="K359" s="132" t="s">
        <v>20</v>
      </c>
      <c r="L359" s="132" t="s">
        <v>191</v>
      </c>
      <c r="M359" s="132" t="s">
        <v>153</v>
      </c>
      <c r="N359" s="133">
        <v>41661</v>
      </c>
      <c r="O359" s="134">
        <v>224</v>
      </c>
      <c r="P359" s="132" t="s">
        <v>151</v>
      </c>
      <c r="Q359" s="132" t="s">
        <v>193</v>
      </c>
      <c r="R359" s="132" t="s">
        <v>153</v>
      </c>
      <c r="S359" s="133">
        <v>41879</v>
      </c>
      <c r="T359" s="134">
        <v>842.5</v>
      </c>
      <c r="U359" s="132" t="s">
        <v>154</v>
      </c>
      <c r="V359" s="132" t="s">
        <v>159</v>
      </c>
      <c r="W359" s="132" t="s">
        <v>153</v>
      </c>
      <c r="X359" s="133">
        <v>41887</v>
      </c>
      <c r="Y359" s="134">
        <v>850</v>
      </c>
    </row>
    <row r="360" spans="1:25" x14ac:dyDescent="0.25">
      <c r="A360" s="79" t="s">
        <v>148</v>
      </c>
      <c r="B360" s="12" t="s">
        <v>169</v>
      </c>
      <c r="C360" s="12" t="s">
        <v>153</v>
      </c>
      <c r="D360" s="80">
        <v>41973</v>
      </c>
      <c r="E360" s="81">
        <v>830</v>
      </c>
      <c r="F360" s="76" t="s">
        <v>150</v>
      </c>
      <c r="G360" s="77" t="s">
        <v>156</v>
      </c>
      <c r="H360" s="77" t="s">
        <v>153</v>
      </c>
      <c r="I360" s="86">
        <v>41775</v>
      </c>
      <c r="J360" s="78">
        <v>1224</v>
      </c>
      <c r="K360" s="132" t="s">
        <v>20</v>
      </c>
      <c r="L360" s="132" t="s">
        <v>191</v>
      </c>
      <c r="M360" s="132" t="s">
        <v>153</v>
      </c>
      <c r="N360" s="133">
        <v>41667</v>
      </c>
      <c r="O360" s="134">
        <v>1043</v>
      </c>
      <c r="P360" s="132" t="s">
        <v>151</v>
      </c>
      <c r="Q360" s="132" t="s">
        <v>193</v>
      </c>
      <c r="R360" s="132" t="s">
        <v>153</v>
      </c>
      <c r="S360" s="133">
        <v>41887</v>
      </c>
      <c r="T360" s="134">
        <v>803.8</v>
      </c>
      <c r="U360" s="132" t="s">
        <v>154</v>
      </c>
      <c r="V360" s="132" t="s">
        <v>159</v>
      </c>
      <c r="W360" s="132" t="s">
        <v>153</v>
      </c>
      <c r="X360" s="133">
        <v>41888</v>
      </c>
      <c r="Y360" s="134">
        <v>783</v>
      </c>
    </row>
    <row r="361" spans="1:25" x14ac:dyDescent="0.25">
      <c r="A361" s="79" t="s">
        <v>148</v>
      </c>
      <c r="B361" s="12" t="s">
        <v>169</v>
      </c>
      <c r="C361" s="12" t="s">
        <v>153</v>
      </c>
      <c r="D361" s="80">
        <v>41974</v>
      </c>
      <c r="E361" s="81">
        <v>860</v>
      </c>
      <c r="F361" s="76" t="s">
        <v>150</v>
      </c>
      <c r="G361" s="77" t="s">
        <v>156</v>
      </c>
      <c r="H361" s="77" t="s">
        <v>153</v>
      </c>
      <c r="I361" s="86">
        <v>41775</v>
      </c>
      <c r="J361" s="78">
        <v>659</v>
      </c>
      <c r="K361" s="132" t="s">
        <v>20</v>
      </c>
      <c r="L361" s="132" t="s">
        <v>191</v>
      </c>
      <c r="M361" s="132" t="s">
        <v>153</v>
      </c>
      <c r="N361" s="133">
        <v>41692</v>
      </c>
      <c r="O361" s="134">
        <v>1004</v>
      </c>
      <c r="P361" s="132" t="s">
        <v>151</v>
      </c>
      <c r="Q361" s="132" t="s">
        <v>193</v>
      </c>
      <c r="R361" s="132" t="s">
        <v>153</v>
      </c>
      <c r="S361" s="133">
        <v>41891</v>
      </c>
      <c r="T361" s="134">
        <v>986.1</v>
      </c>
      <c r="U361" s="132" t="s">
        <v>154</v>
      </c>
      <c r="V361" s="132" t="s">
        <v>159</v>
      </c>
      <c r="W361" s="132" t="s">
        <v>153</v>
      </c>
      <c r="X361" s="133">
        <v>41888</v>
      </c>
      <c r="Y361" s="134">
        <v>500</v>
      </c>
    </row>
    <row r="362" spans="1:25" x14ac:dyDescent="0.25">
      <c r="A362" s="79" t="s">
        <v>148</v>
      </c>
      <c r="B362" s="12" t="s">
        <v>169</v>
      </c>
      <c r="C362" s="12" t="s">
        <v>153</v>
      </c>
      <c r="D362" s="80">
        <v>41975</v>
      </c>
      <c r="E362" s="81">
        <v>850</v>
      </c>
      <c r="F362" s="76" t="s">
        <v>150</v>
      </c>
      <c r="G362" s="77" t="s">
        <v>156</v>
      </c>
      <c r="H362" s="77" t="s">
        <v>153</v>
      </c>
      <c r="I362" s="86">
        <v>41777</v>
      </c>
      <c r="J362" s="78">
        <v>760</v>
      </c>
      <c r="K362" s="132" t="s">
        <v>20</v>
      </c>
      <c r="L362" s="132" t="s">
        <v>191</v>
      </c>
      <c r="M362" s="132" t="s">
        <v>153</v>
      </c>
      <c r="N362" s="133">
        <v>41699</v>
      </c>
      <c r="O362" s="134">
        <v>2130</v>
      </c>
      <c r="P362" s="132" t="s">
        <v>151</v>
      </c>
      <c r="Q362" s="132" t="s">
        <v>193</v>
      </c>
      <c r="R362" s="132" t="s">
        <v>153</v>
      </c>
      <c r="S362" s="133">
        <v>41892</v>
      </c>
      <c r="T362" s="134">
        <v>712.2</v>
      </c>
      <c r="U362" s="132" t="s">
        <v>154</v>
      </c>
      <c r="V362" s="132" t="s">
        <v>159</v>
      </c>
      <c r="W362" s="132" t="s">
        <v>153</v>
      </c>
      <c r="X362" s="133">
        <v>41889</v>
      </c>
      <c r="Y362" s="134">
        <v>679</v>
      </c>
    </row>
    <row r="363" spans="1:25" x14ac:dyDescent="0.25">
      <c r="A363" s="79" t="s">
        <v>148</v>
      </c>
      <c r="B363" s="12" t="s">
        <v>169</v>
      </c>
      <c r="C363" s="12" t="s">
        <v>153</v>
      </c>
      <c r="D363" s="80">
        <v>41976</v>
      </c>
      <c r="E363" s="81">
        <v>1150</v>
      </c>
      <c r="F363" s="76" t="s">
        <v>150</v>
      </c>
      <c r="G363" s="77" t="s">
        <v>156</v>
      </c>
      <c r="H363" s="77" t="s">
        <v>153</v>
      </c>
      <c r="I363" s="86">
        <v>41777</v>
      </c>
      <c r="J363" s="78">
        <v>947</v>
      </c>
      <c r="K363" s="132" t="s">
        <v>20</v>
      </c>
      <c r="L363" s="132" t="s">
        <v>191</v>
      </c>
      <c r="M363" s="132" t="s">
        <v>153</v>
      </c>
      <c r="N363" s="133">
        <v>41729</v>
      </c>
      <c r="O363" s="134">
        <v>483</v>
      </c>
      <c r="P363" s="132" t="s">
        <v>151</v>
      </c>
      <c r="Q363" s="132" t="s">
        <v>193</v>
      </c>
      <c r="R363" s="132" t="s">
        <v>153</v>
      </c>
      <c r="S363" s="133">
        <v>41893</v>
      </c>
      <c r="T363" s="134">
        <v>762.9</v>
      </c>
      <c r="U363" s="132" t="s">
        <v>154</v>
      </c>
      <c r="V363" s="132" t="s">
        <v>159</v>
      </c>
      <c r="W363" s="132" t="s">
        <v>153</v>
      </c>
      <c r="X363" s="133">
        <v>41889</v>
      </c>
      <c r="Y363" s="134">
        <v>515</v>
      </c>
    </row>
    <row r="364" spans="1:25" x14ac:dyDescent="0.25">
      <c r="A364" s="79" t="s">
        <v>148</v>
      </c>
      <c r="B364" s="12" t="s">
        <v>169</v>
      </c>
      <c r="C364" s="12" t="s">
        <v>153</v>
      </c>
      <c r="D364" s="80">
        <v>41977</v>
      </c>
      <c r="E364" s="81">
        <v>978</v>
      </c>
      <c r="F364" s="76" t="s">
        <v>150</v>
      </c>
      <c r="G364" s="77" t="s">
        <v>156</v>
      </c>
      <c r="H364" s="77" t="s">
        <v>153</v>
      </c>
      <c r="I364" s="86">
        <v>41779</v>
      </c>
      <c r="J364" s="78">
        <v>1274</v>
      </c>
      <c r="K364" s="132" t="s">
        <v>20</v>
      </c>
      <c r="L364" s="132" t="s">
        <v>191</v>
      </c>
      <c r="M364" s="132" t="s">
        <v>153</v>
      </c>
      <c r="N364" s="133">
        <v>41766</v>
      </c>
      <c r="O364" s="134">
        <v>949</v>
      </c>
      <c r="P364" s="132" t="s">
        <v>151</v>
      </c>
      <c r="Q364" s="132" t="s">
        <v>193</v>
      </c>
      <c r="R364" s="132" t="s">
        <v>153</v>
      </c>
      <c r="S364" s="133">
        <v>41900</v>
      </c>
      <c r="T364" s="134">
        <v>668.7</v>
      </c>
      <c r="U364" s="132" t="s">
        <v>154</v>
      </c>
      <c r="V364" s="132" t="s">
        <v>159</v>
      </c>
      <c r="W364" s="132" t="s">
        <v>153</v>
      </c>
      <c r="X364" s="133">
        <v>41890</v>
      </c>
      <c r="Y364" s="134">
        <v>966</v>
      </c>
    </row>
    <row r="365" spans="1:25" x14ac:dyDescent="0.25">
      <c r="A365" s="79" t="s">
        <v>148</v>
      </c>
      <c r="B365" s="12" t="s">
        <v>169</v>
      </c>
      <c r="C365" s="12" t="s">
        <v>153</v>
      </c>
      <c r="D365" s="80">
        <v>41978</v>
      </c>
      <c r="E365" s="81">
        <v>850</v>
      </c>
      <c r="F365" s="76" t="s">
        <v>150</v>
      </c>
      <c r="G365" s="77" t="s">
        <v>156</v>
      </c>
      <c r="H365" s="77" t="s">
        <v>153</v>
      </c>
      <c r="I365" s="86">
        <v>41780</v>
      </c>
      <c r="J365" s="78">
        <v>524</v>
      </c>
      <c r="K365" s="132" t="s">
        <v>20</v>
      </c>
      <c r="L365" s="132" t="s">
        <v>191</v>
      </c>
      <c r="M365" s="132" t="s">
        <v>153</v>
      </c>
      <c r="N365" s="133">
        <v>41840</v>
      </c>
      <c r="O365" s="134">
        <v>1128</v>
      </c>
      <c r="P365" s="132" t="s">
        <v>151</v>
      </c>
      <c r="Q365" s="132" t="s">
        <v>193</v>
      </c>
      <c r="R365" s="132" t="s">
        <v>153</v>
      </c>
      <c r="S365" s="133">
        <v>41901</v>
      </c>
      <c r="T365" s="134">
        <v>649.5</v>
      </c>
      <c r="U365" s="132" t="s">
        <v>154</v>
      </c>
      <c r="V365" s="132" t="s">
        <v>159</v>
      </c>
      <c r="W365" s="132" t="s">
        <v>153</v>
      </c>
      <c r="X365" s="133">
        <v>41891</v>
      </c>
      <c r="Y365" s="134">
        <v>1200</v>
      </c>
    </row>
    <row r="366" spans="1:25" x14ac:dyDescent="0.25">
      <c r="A366" s="79" t="s">
        <v>148</v>
      </c>
      <c r="B366" s="12" t="s">
        <v>169</v>
      </c>
      <c r="C366" s="12" t="s">
        <v>153</v>
      </c>
      <c r="D366" s="80">
        <v>41979</v>
      </c>
      <c r="E366" s="81">
        <v>350</v>
      </c>
      <c r="F366" s="76" t="s">
        <v>150</v>
      </c>
      <c r="G366" s="77" t="s">
        <v>156</v>
      </c>
      <c r="H366" s="77" t="s">
        <v>153</v>
      </c>
      <c r="I366" s="86">
        <v>41782</v>
      </c>
      <c r="J366" s="78">
        <v>1082</v>
      </c>
      <c r="K366" s="132" t="s">
        <v>20</v>
      </c>
      <c r="L366" s="132" t="s">
        <v>191</v>
      </c>
      <c r="M366" s="132" t="s">
        <v>153</v>
      </c>
      <c r="N366" s="133">
        <v>41901</v>
      </c>
      <c r="O366" s="134">
        <v>425</v>
      </c>
      <c r="P366" s="132" t="s">
        <v>151</v>
      </c>
      <c r="Q366" s="132" t="s">
        <v>193</v>
      </c>
      <c r="R366" s="132" t="s">
        <v>153</v>
      </c>
      <c r="S366" s="133">
        <v>41904</v>
      </c>
      <c r="T366" s="134">
        <v>863.5</v>
      </c>
      <c r="U366" s="132" t="s">
        <v>154</v>
      </c>
      <c r="V366" s="132" t="s">
        <v>159</v>
      </c>
      <c r="W366" s="132" t="s">
        <v>153</v>
      </c>
      <c r="X366" s="133">
        <v>41892</v>
      </c>
      <c r="Y366" s="134">
        <v>856</v>
      </c>
    </row>
    <row r="367" spans="1:25" x14ac:dyDescent="0.25">
      <c r="A367" s="79" t="s">
        <v>148</v>
      </c>
      <c r="B367" s="12" t="s">
        <v>169</v>
      </c>
      <c r="C367" s="12" t="s">
        <v>153</v>
      </c>
      <c r="D367" s="80">
        <v>41980</v>
      </c>
      <c r="E367" s="81">
        <v>875</v>
      </c>
      <c r="F367" s="76" t="s">
        <v>150</v>
      </c>
      <c r="G367" s="77" t="s">
        <v>156</v>
      </c>
      <c r="H367" s="77" t="s">
        <v>153</v>
      </c>
      <c r="I367" s="86">
        <v>41783</v>
      </c>
      <c r="J367" s="78">
        <v>1058</v>
      </c>
      <c r="K367" s="132" t="s">
        <v>20</v>
      </c>
      <c r="L367" s="132" t="s">
        <v>191</v>
      </c>
      <c r="M367" s="132" t="s">
        <v>153</v>
      </c>
      <c r="N367" s="133">
        <v>41903</v>
      </c>
      <c r="O367" s="134">
        <v>1155</v>
      </c>
      <c r="P367" s="132" t="s">
        <v>151</v>
      </c>
      <c r="Q367" s="132" t="s">
        <v>193</v>
      </c>
      <c r="R367" s="132" t="s">
        <v>153</v>
      </c>
      <c r="S367" s="133">
        <v>41904</v>
      </c>
      <c r="T367" s="134">
        <v>1008.8</v>
      </c>
      <c r="U367" s="132" t="s">
        <v>154</v>
      </c>
      <c r="V367" s="132" t="s">
        <v>159</v>
      </c>
      <c r="W367" s="132" t="s">
        <v>153</v>
      </c>
      <c r="X367" s="133">
        <v>41893</v>
      </c>
      <c r="Y367" s="134">
        <v>747</v>
      </c>
    </row>
    <row r="368" spans="1:25" x14ac:dyDescent="0.25">
      <c r="A368" s="79" t="s">
        <v>148</v>
      </c>
      <c r="B368" s="12" t="s">
        <v>169</v>
      </c>
      <c r="C368" s="12" t="s">
        <v>153</v>
      </c>
      <c r="D368" s="80">
        <v>41981</v>
      </c>
      <c r="E368" s="81">
        <v>925</v>
      </c>
      <c r="F368" s="76" t="s">
        <v>150</v>
      </c>
      <c r="G368" s="77" t="s">
        <v>156</v>
      </c>
      <c r="H368" s="77" t="s">
        <v>153</v>
      </c>
      <c r="I368" s="86">
        <v>41784</v>
      </c>
      <c r="J368" s="78">
        <v>802</v>
      </c>
      <c r="K368" s="132" t="s">
        <v>20</v>
      </c>
      <c r="L368" s="132" t="s">
        <v>191</v>
      </c>
      <c r="M368" s="132" t="s">
        <v>153</v>
      </c>
      <c r="N368" s="133">
        <v>41982</v>
      </c>
      <c r="O368" s="134">
        <v>1085</v>
      </c>
      <c r="P368" s="132" t="s">
        <v>151</v>
      </c>
      <c r="Q368" s="132" t="s">
        <v>193</v>
      </c>
      <c r="R368" s="132" t="s">
        <v>153</v>
      </c>
      <c r="S368" s="133">
        <v>41907</v>
      </c>
      <c r="T368" s="134">
        <v>1333.3</v>
      </c>
      <c r="U368" s="132" t="s">
        <v>154</v>
      </c>
      <c r="V368" s="132" t="s">
        <v>159</v>
      </c>
      <c r="W368" s="132" t="s">
        <v>153</v>
      </c>
      <c r="X368" s="133">
        <v>41894</v>
      </c>
      <c r="Y368" s="134">
        <v>600</v>
      </c>
    </row>
    <row r="369" spans="1:25" x14ac:dyDescent="0.25">
      <c r="A369" s="79" t="s">
        <v>148</v>
      </c>
      <c r="B369" s="12" t="s">
        <v>169</v>
      </c>
      <c r="C369" s="12" t="s">
        <v>153</v>
      </c>
      <c r="D369" s="80">
        <v>41982</v>
      </c>
      <c r="E369" s="81">
        <v>857</v>
      </c>
      <c r="F369" s="76" t="s">
        <v>150</v>
      </c>
      <c r="G369" s="77" t="s">
        <v>156</v>
      </c>
      <c r="H369" s="77" t="s">
        <v>153</v>
      </c>
      <c r="I369" s="86">
        <v>41784</v>
      </c>
      <c r="J369" s="78">
        <v>1026</v>
      </c>
      <c r="K369" s="132" t="s">
        <v>20</v>
      </c>
      <c r="L369" s="132" t="s">
        <v>192</v>
      </c>
      <c r="M369" s="132" t="s">
        <v>153</v>
      </c>
      <c r="N369" s="133">
        <v>41641</v>
      </c>
      <c r="O369" s="134">
        <v>751</v>
      </c>
      <c r="P369" s="132" t="s">
        <v>151</v>
      </c>
      <c r="Q369" s="132" t="s">
        <v>193</v>
      </c>
      <c r="R369" s="132" t="s">
        <v>153</v>
      </c>
      <c r="S369" s="133">
        <v>41908</v>
      </c>
      <c r="T369" s="134">
        <v>514.6</v>
      </c>
      <c r="U369" s="132" t="s">
        <v>154</v>
      </c>
      <c r="V369" s="132" t="s">
        <v>159</v>
      </c>
      <c r="W369" s="132" t="s">
        <v>153</v>
      </c>
      <c r="X369" s="133">
        <v>41897</v>
      </c>
      <c r="Y369" s="134">
        <v>800</v>
      </c>
    </row>
    <row r="370" spans="1:25" x14ac:dyDescent="0.25">
      <c r="A370" s="79" t="s">
        <v>148</v>
      </c>
      <c r="B370" s="12" t="s">
        <v>169</v>
      </c>
      <c r="C370" s="12" t="s">
        <v>153</v>
      </c>
      <c r="D370" s="80">
        <v>41983</v>
      </c>
      <c r="E370" s="81">
        <v>800</v>
      </c>
      <c r="F370" s="76" t="s">
        <v>150</v>
      </c>
      <c r="G370" s="77" t="s">
        <v>156</v>
      </c>
      <c r="H370" s="77" t="s">
        <v>153</v>
      </c>
      <c r="I370" s="86">
        <v>41787</v>
      </c>
      <c r="J370" s="78">
        <v>1110</v>
      </c>
      <c r="K370" s="132" t="s">
        <v>20</v>
      </c>
      <c r="L370" s="132" t="s">
        <v>192</v>
      </c>
      <c r="M370" s="132" t="s">
        <v>153</v>
      </c>
      <c r="N370" s="133">
        <v>41796</v>
      </c>
      <c r="O370" s="134">
        <v>36</v>
      </c>
      <c r="P370" s="132" t="s">
        <v>151</v>
      </c>
      <c r="Q370" s="132" t="s">
        <v>193</v>
      </c>
      <c r="R370" s="132" t="s">
        <v>153</v>
      </c>
      <c r="S370" s="133">
        <v>41911</v>
      </c>
      <c r="T370" s="134">
        <v>656.2</v>
      </c>
      <c r="U370" s="132" t="s">
        <v>154</v>
      </c>
      <c r="V370" s="132" t="s">
        <v>159</v>
      </c>
      <c r="W370" s="132" t="s">
        <v>153</v>
      </c>
      <c r="X370" s="133">
        <v>41898</v>
      </c>
      <c r="Y370" s="134">
        <v>1235</v>
      </c>
    </row>
    <row r="371" spans="1:25" x14ac:dyDescent="0.25">
      <c r="A371" s="79" t="s">
        <v>148</v>
      </c>
      <c r="B371" s="12" t="s">
        <v>169</v>
      </c>
      <c r="C371" s="12" t="s">
        <v>153</v>
      </c>
      <c r="D371" s="80">
        <v>41984</v>
      </c>
      <c r="E371" s="81">
        <v>930</v>
      </c>
      <c r="F371" s="76" t="s">
        <v>150</v>
      </c>
      <c r="G371" s="77" t="s">
        <v>156</v>
      </c>
      <c r="H371" s="77" t="s">
        <v>153</v>
      </c>
      <c r="I371" s="86">
        <v>41788</v>
      </c>
      <c r="J371" s="78">
        <v>1222</v>
      </c>
      <c r="K371" s="132" t="s">
        <v>20</v>
      </c>
      <c r="L371" s="132" t="s">
        <v>192</v>
      </c>
      <c r="M371" s="132" t="s">
        <v>153</v>
      </c>
      <c r="N371" s="133">
        <v>41804</v>
      </c>
      <c r="O371" s="134">
        <v>1121</v>
      </c>
      <c r="P371" s="132" t="s">
        <v>151</v>
      </c>
      <c r="Q371" s="132" t="s">
        <v>193</v>
      </c>
      <c r="R371" s="132" t="s">
        <v>153</v>
      </c>
      <c r="S371" s="133">
        <v>41911</v>
      </c>
      <c r="T371" s="134">
        <v>919.9</v>
      </c>
      <c r="U371" s="132" t="s">
        <v>154</v>
      </c>
      <c r="V371" s="132" t="s">
        <v>159</v>
      </c>
      <c r="W371" s="132" t="s">
        <v>153</v>
      </c>
      <c r="X371" s="133">
        <v>41899</v>
      </c>
      <c r="Y371" s="134">
        <v>1182</v>
      </c>
    </row>
    <row r="372" spans="1:25" x14ac:dyDescent="0.25">
      <c r="A372" s="79" t="s">
        <v>148</v>
      </c>
      <c r="B372" s="12" t="s">
        <v>169</v>
      </c>
      <c r="C372" s="12" t="s">
        <v>153</v>
      </c>
      <c r="D372" s="80">
        <v>41985</v>
      </c>
      <c r="E372" s="81">
        <v>850</v>
      </c>
      <c r="F372" s="76" t="s">
        <v>150</v>
      </c>
      <c r="G372" s="77" t="s">
        <v>156</v>
      </c>
      <c r="H372" s="77" t="s">
        <v>153</v>
      </c>
      <c r="I372" s="86">
        <v>41789</v>
      </c>
      <c r="J372" s="78">
        <v>1178</v>
      </c>
      <c r="K372" s="132" t="s">
        <v>20</v>
      </c>
      <c r="L372" s="132" t="s">
        <v>192</v>
      </c>
      <c r="M372" s="132" t="s">
        <v>153</v>
      </c>
      <c r="N372" s="133">
        <v>41811</v>
      </c>
      <c r="O372" s="134">
        <v>1021</v>
      </c>
      <c r="P372" s="132" t="s">
        <v>151</v>
      </c>
      <c r="Q372" s="132" t="s">
        <v>193</v>
      </c>
      <c r="R372" s="132" t="s">
        <v>153</v>
      </c>
      <c r="S372" s="133">
        <v>41947</v>
      </c>
      <c r="T372" s="134">
        <v>561.4</v>
      </c>
      <c r="U372" s="132" t="s">
        <v>154</v>
      </c>
      <c r="V372" s="132" t="s">
        <v>159</v>
      </c>
      <c r="W372" s="132" t="s">
        <v>153</v>
      </c>
      <c r="X372" s="133">
        <v>41900</v>
      </c>
      <c r="Y372" s="134">
        <v>1120</v>
      </c>
    </row>
    <row r="373" spans="1:25" x14ac:dyDescent="0.25">
      <c r="A373" s="79" t="s">
        <v>148</v>
      </c>
      <c r="B373" s="12" t="s">
        <v>169</v>
      </c>
      <c r="C373" s="12" t="s">
        <v>153</v>
      </c>
      <c r="D373" s="80">
        <v>41986</v>
      </c>
      <c r="E373" s="81">
        <v>850</v>
      </c>
      <c r="F373" s="76" t="s">
        <v>150</v>
      </c>
      <c r="G373" s="77" t="s">
        <v>156</v>
      </c>
      <c r="H373" s="77" t="s">
        <v>153</v>
      </c>
      <c r="I373" s="86">
        <v>41789</v>
      </c>
      <c r="J373" s="78">
        <v>704</v>
      </c>
      <c r="K373" s="132" t="s">
        <v>20</v>
      </c>
      <c r="L373" s="132" t="s">
        <v>192</v>
      </c>
      <c r="M373" s="132" t="s">
        <v>153</v>
      </c>
      <c r="N373" s="133">
        <v>41821</v>
      </c>
      <c r="O373" s="134">
        <v>1508</v>
      </c>
      <c r="P373" s="132" t="s">
        <v>151</v>
      </c>
      <c r="Q373" s="132" t="s">
        <v>193</v>
      </c>
      <c r="R373" s="132" t="s">
        <v>153</v>
      </c>
      <c r="S373" s="133">
        <v>41948</v>
      </c>
      <c r="T373" s="134">
        <v>756.2</v>
      </c>
      <c r="U373" s="132" t="s">
        <v>154</v>
      </c>
      <c r="V373" s="132" t="s">
        <v>159</v>
      </c>
      <c r="W373" s="132" t="s">
        <v>153</v>
      </c>
      <c r="X373" s="133">
        <v>41901</v>
      </c>
      <c r="Y373" s="134">
        <v>1415</v>
      </c>
    </row>
    <row r="374" spans="1:25" x14ac:dyDescent="0.25">
      <c r="A374" s="79" t="s">
        <v>148</v>
      </c>
      <c r="B374" s="12" t="s">
        <v>169</v>
      </c>
      <c r="C374" s="12" t="s">
        <v>153</v>
      </c>
      <c r="D374" s="80">
        <v>41987</v>
      </c>
      <c r="E374" s="81">
        <v>850</v>
      </c>
      <c r="F374" s="76" t="s">
        <v>150</v>
      </c>
      <c r="G374" s="77" t="s">
        <v>156</v>
      </c>
      <c r="H374" s="77" t="s">
        <v>153</v>
      </c>
      <c r="I374" s="86">
        <v>41790</v>
      </c>
      <c r="J374" s="78">
        <v>1203</v>
      </c>
      <c r="K374" s="132" t="s">
        <v>20</v>
      </c>
      <c r="L374" s="132" t="s">
        <v>192</v>
      </c>
      <c r="M374" s="132" t="s">
        <v>153</v>
      </c>
      <c r="N374" s="133">
        <v>41942</v>
      </c>
      <c r="O374" s="134">
        <v>884</v>
      </c>
      <c r="P374" s="132" t="s">
        <v>151</v>
      </c>
      <c r="Q374" s="132" t="s">
        <v>193</v>
      </c>
      <c r="R374" s="132" t="s">
        <v>153</v>
      </c>
      <c r="S374" s="133">
        <v>41949</v>
      </c>
      <c r="T374" s="134">
        <v>638</v>
      </c>
      <c r="U374" s="132" t="s">
        <v>154</v>
      </c>
      <c r="V374" s="132" t="s">
        <v>159</v>
      </c>
      <c r="W374" s="132" t="s">
        <v>153</v>
      </c>
      <c r="X374" s="133">
        <v>41902</v>
      </c>
      <c r="Y374" s="134">
        <v>373</v>
      </c>
    </row>
    <row r="375" spans="1:25" x14ac:dyDescent="0.25">
      <c r="A375" s="79" t="s">
        <v>148</v>
      </c>
      <c r="B375" s="12" t="s">
        <v>169</v>
      </c>
      <c r="C375" s="12" t="s">
        <v>153</v>
      </c>
      <c r="D375" s="80">
        <v>41988</v>
      </c>
      <c r="E375" s="81">
        <v>1483</v>
      </c>
      <c r="F375" s="76" t="s">
        <v>150</v>
      </c>
      <c r="G375" s="77" t="s">
        <v>156</v>
      </c>
      <c r="H375" s="77" t="s">
        <v>153</v>
      </c>
      <c r="I375" s="86">
        <v>41792</v>
      </c>
      <c r="J375" s="78">
        <v>1198</v>
      </c>
      <c r="K375" s="132" t="s">
        <v>20</v>
      </c>
      <c r="L375" s="132" t="s">
        <v>192</v>
      </c>
      <c r="M375" s="132" t="s">
        <v>153</v>
      </c>
      <c r="N375" s="133">
        <v>41968</v>
      </c>
      <c r="O375" s="134">
        <v>1369</v>
      </c>
      <c r="P375" s="132" t="s">
        <v>151</v>
      </c>
      <c r="Q375" s="132" t="s">
        <v>167</v>
      </c>
      <c r="R375" s="132" t="s">
        <v>153</v>
      </c>
      <c r="S375" s="133">
        <v>41708</v>
      </c>
      <c r="T375" s="134">
        <v>277.7</v>
      </c>
      <c r="U375" s="132" t="s">
        <v>154</v>
      </c>
      <c r="V375" s="132" t="s">
        <v>159</v>
      </c>
      <c r="W375" s="132" t="s">
        <v>153</v>
      </c>
      <c r="X375" s="133">
        <v>41902</v>
      </c>
      <c r="Y375" s="134">
        <v>422</v>
      </c>
    </row>
    <row r="376" spans="1:25" x14ac:dyDescent="0.25">
      <c r="A376" s="79" t="s">
        <v>148</v>
      </c>
      <c r="B376" s="12" t="s">
        <v>169</v>
      </c>
      <c r="C376" s="12" t="s">
        <v>153</v>
      </c>
      <c r="D376" s="80">
        <v>41989</v>
      </c>
      <c r="E376" s="81">
        <v>260</v>
      </c>
      <c r="F376" s="76" t="s">
        <v>150</v>
      </c>
      <c r="G376" s="77" t="s">
        <v>156</v>
      </c>
      <c r="H376" s="77" t="s">
        <v>153</v>
      </c>
      <c r="I376" s="86">
        <v>41792</v>
      </c>
      <c r="J376" s="78">
        <v>839</v>
      </c>
      <c r="K376" s="132" t="s">
        <v>20</v>
      </c>
      <c r="L376" s="132" t="s">
        <v>192</v>
      </c>
      <c r="M376" s="132" t="s">
        <v>153</v>
      </c>
      <c r="N376" s="133">
        <v>41977</v>
      </c>
      <c r="O376" s="134">
        <v>664</v>
      </c>
      <c r="P376" s="132" t="s">
        <v>151</v>
      </c>
      <c r="Q376" s="132" t="s">
        <v>167</v>
      </c>
      <c r="R376" s="132" t="s">
        <v>153</v>
      </c>
      <c r="S376" s="133">
        <v>41712</v>
      </c>
      <c r="T376" s="134">
        <v>986.4</v>
      </c>
      <c r="U376" s="132" t="s">
        <v>154</v>
      </c>
      <c r="V376" s="132" t="s">
        <v>159</v>
      </c>
      <c r="W376" s="132" t="s">
        <v>153</v>
      </c>
      <c r="X376" s="133">
        <v>41903</v>
      </c>
      <c r="Y376" s="134">
        <v>560</v>
      </c>
    </row>
    <row r="377" spans="1:25" x14ac:dyDescent="0.25">
      <c r="A377" s="79" t="s">
        <v>148</v>
      </c>
      <c r="B377" s="12" t="s">
        <v>169</v>
      </c>
      <c r="C377" s="12" t="s">
        <v>153</v>
      </c>
      <c r="D377" s="80">
        <v>41990</v>
      </c>
      <c r="E377" s="81">
        <v>830</v>
      </c>
      <c r="F377" s="76" t="s">
        <v>150</v>
      </c>
      <c r="G377" s="77" t="s">
        <v>156</v>
      </c>
      <c r="H377" s="77" t="s">
        <v>153</v>
      </c>
      <c r="I377" s="86">
        <v>41793</v>
      </c>
      <c r="J377" s="78">
        <v>1206</v>
      </c>
      <c r="K377" s="132" t="s">
        <v>20</v>
      </c>
      <c r="L377" s="132" t="s">
        <v>193</v>
      </c>
      <c r="M377" s="132" t="s">
        <v>153</v>
      </c>
      <c r="N377" s="133">
        <v>41641</v>
      </c>
      <c r="O377" s="134">
        <v>1470</v>
      </c>
      <c r="P377" s="132" t="s">
        <v>151</v>
      </c>
      <c r="Q377" s="132" t="s">
        <v>167</v>
      </c>
      <c r="R377" s="132" t="s">
        <v>153</v>
      </c>
      <c r="S377" s="133">
        <v>41725</v>
      </c>
      <c r="T377" s="134">
        <v>518.6</v>
      </c>
      <c r="U377" s="132" t="s">
        <v>154</v>
      </c>
      <c r="V377" s="132" t="s">
        <v>159</v>
      </c>
      <c r="W377" s="132" t="s">
        <v>153</v>
      </c>
      <c r="X377" s="133">
        <v>41903</v>
      </c>
      <c r="Y377" s="134">
        <v>879</v>
      </c>
    </row>
    <row r="378" spans="1:25" x14ac:dyDescent="0.25">
      <c r="A378" s="79" t="s">
        <v>148</v>
      </c>
      <c r="B378" s="12" t="s">
        <v>169</v>
      </c>
      <c r="C378" s="12" t="s">
        <v>153</v>
      </c>
      <c r="D378" s="80">
        <v>41991</v>
      </c>
      <c r="E378" s="81">
        <v>875</v>
      </c>
      <c r="F378" s="76" t="s">
        <v>150</v>
      </c>
      <c r="G378" s="77" t="s">
        <v>156</v>
      </c>
      <c r="H378" s="77" t="s">
        <v>153</v>
      </c>
      <c r="I378" s="86">
        <v>41795</v>
      </c>
      <c r="J378" s="78">
        <v>1388</v>
      </c>
      <c r="K378" s="132" t="s">
        <v>20</v>
      </c>
      <c r="L378" s="132" t="s">
        <v>193</v>
      </c>
      <c r="M378" s="132" t="s">
        <v>153</v>
      </c>
      <c r="N378" s="133">
        <v>41644</v>
      </c>
      <c r="O378" s="134">
        <v>610</v>
      </c>
      <c r="P378" s="132" t="s">
        <v>151</v>
      </c>
      <c r="Q378" s="132" t="s">
        <v>167</v>
      </c>
      <c r="R378" s="132" t="s">
        <v>153</v>
      </c>
      <c r="S378" s="133">
        <v>41726</v>
      </c>
      <c r="T378" s="134">
        <v>606.6</v>
      </c>
      <c r="U378" s="132" t="s">
        <v>154</v>
      </c>
      <c r="V378" s="132" t="s">
        <v>159</v>
      </c>
      <c r="W378" s="132" t="s">
        <v>153</v>
      </c>
      <c r="X378" s="133">
        <v>41925</v>
      </c>
      <c r="Y378" s="134">
        <v>1100</v>
      </c>
    </row>
    <row r="379" spans="1:25" x14ac:dyDescent="0.25">
      <c r="A379" s="79" t="s">
        <v>148</v>
      </c>
      <c r="B379" s="12" t="s">
        <v>169</v>
      </c>
      <c r="C379" s="12" t="s">
        <v>153</v>
      </c>
      <c r="D379" s="80">
        <v>41992</v>
      </c>
      <c r="E379" s="81">
        <v>800</v>
      </c>
      <c r="F379" s="76" t="s">
        <v>150</v>
      </c>
      <c r="G379" s="77" t="s">
        <v>156</v>
      </c>
      <c r="H379" s="77" t="s">
        <v>153</v>
      </c>
      <c r="I379" s="86">
        <v>41800</v>
      </c>
      <c r="J379" s="78">
        <v>1166</v>
      </c>
      <c r="K379" s="132" t="s">
        <v>20</v>
      </c>
      <c r="L379" s="132" t="s">
        <v>193</v>
      </c>
      <c r="M379" s="132" t="s">
        <v>153</v>
      </c>
      <c r="N379" s="133">
        <v>41649</v>
      </c>
      <c r="O379" s="134">
        <v>843</v>
      </c>
      <c r="P379" s="132" t="s">
        <v>151</v>
      </c>
      <c r="Q379" s="132" t="s">
        <v>167</v>
      </c>
      <c r="R379" s="132" t="s">
        <v>153</v>
      </c>
      <c r="S379" s="133">
        <v>41729</v>
      </c>
      <c r="T379" s="134">
        <v>1139</v>
      </c>
      <c r="U379" s="132" t="s">
        <v>154</v>
      </c>
      <c r="V379" s="132" t="s">
        <v>159</v>
      </c>
      <c r="W379" s="132" t="s">
        <v>153</v>
      </c>
      <c r="X379" s="133">
        <v>41926</v>
      </c>
      <c r="Y379" s="134">
        <v>910</v>
      </c>
    </row>
    <row r="380" spans="1:25" x14ac:dyDescent="0.25">
      <c r="A380" s="79" t="s">
        <v>148</v>
      </c>
      <c r="B380" s="12" t="s">
        <v>169</v>
      </c>
      <c r="C380" s="12" t="s">
        <v>153</v>
      </c>
      <c r="D380" s="80">
        <v>41993</v>
      </c>
      <c r="E380" s="81">
        <v>1000</v>
      </c>
      <c r="F380" s="76" t="s">
        <v>150</v>
      </c>
      <c r="G380" s="77" t="s">
        <v>156</v>
      </c>
      <c r="H380" s="77" t="s">
        <v>153</v>
      </c>
      <c r="I380" s="86">
        <v>41800</v>
      </c>
      <c r="J380" s="78">
        <v>534</v>
      </c>
      <c r="K380" s="132" t="s">
        <v>20</v>
      </c>
      <c r="L380" s="132" t="s">
        <v>193</v>
      </c>
      <c r="M380" s="132" t="s">
        <v>153</v>
      </c>
      <c r="N380" s="133">
        <v>41683</v>
      </c>
      <c r="O380" s="134">
        <v>795</v>
      </c>
      <c r="P380" s="132" t="s">
        <v>151</v>
      </c>
      <c r="Q380" s="132" t="s">
        <v>167</v>
      </c>
      <c r="R380" s="132" t="s">
        <v>153</v>
      </c>
      <c r="S380" s="133">
        <v>41807</v>
      </c>
      <c r="T380" s="134">
        <v>195.2</v>
      </c>
      <c r="U380" s="132" t="s">
        <v>154</v>
      </c>
      <c r="V380" s="132" t="s">
        <v>159</v>
      </c>
      <c r="W380" s="132" t="s">
        <v>153</v>
      </c>
      <c r="X380" s="133">
        <v>41936</v>
      </c>
      <c r="Y380" s="134">
        <v>914</v>
      </c>
    </row>
    <row r="381" spans="1:25" x14ac:dyDescent="0.25">
      <c r="A381" s="79" t="s">
        <v>148</v>
      </c>
      <c r="B381" s="12" t="s">
        <v>169</v>
      </c>
      <c r="C381" s="12" t="s">
        <v>153</v>
      </c>
      <c r="D381" s="80">
        <v>41994</v>
      </c>
      <c r="E381" s="81">
        <v>825</v>
      </c>
      <c r="F381" s="76" t="s">
        <v>150</v>
      </c>
      <c r="G381" s="77" t="s">
        <v>156</v>
      </c>
      <c r="H381" s="77" t="s">
        <v>153</v>
      </c>
      <c r="I381" s="86">
        <v>41801</v>
      </c>
      <c r="J381" s="78">
        <v>1110</v>
      </c>
      <c r="K381" s="132" t="s">
        <v>20</v>
      </c>
      <c r="L381" s="132" t="s">
        <v>193</v>
      </c>
      <c r="M381" s="132" t="s">
        <v>153</v>
      </c>
      <c r="N381" s="133">
        <v>41685</v>
      </c>
      <c r="O381" s="134">
        <v>1053</v>
      </c>
      <c r="P381" s="132" t="s">
        <v>151</v>
      </c>
      <c r="Q381" s="132" t="s">
        <v>167</v>
      </c>
      <c r="R381" s="132" t="s">
        <v>153</v>
      </c>
      <c r="S381" s="133">
        <v>41808</v>
      </c>
      <c r="T381" s="134">
        <v>643.29999999999995</v>
      </c>
      <c r="U381" s="132" t="s">
        <v>154</v>
      </c>
      <c r="V381" s="132" t="s">
        <v>159</v>
      </c>
      <c r="W381" s="132" t="s">
        <v>153</v>
      </c>
      <c r="X381" s="133">
        <v>41937</v>
      </c>
      <c r="Y381" s="134">
        <v>479</v>
      </c>
    </row>
    <row r="382" spans="1:25" x14ac:dyDescent="0.25">
      <c r="A382" s="79" t="s">
        <v>148</v>
      </c>
      <c r="B382" s="12" t="s">
        <v>169</v>
      </c>
      <c r="C382" s="12" t="s">
        <v>153</v>
      </c>
      <c r="D382" s="80">
        <v>41995</v>
      </c>
      <c r="E382" s="81">
        <v>800</v>
      </c>
      <c r="F382" s="76" t="s">
        <v>150</v>
      </c>
      <c r="G382" s="77" t="s">
        <v>156</v>
      </c>
      <c r="H382" s="77" t="s">
        <v>153</v>
      </c>
      <c r="I382" s="86">
        <v>41803</v>
      </c>
      <c r="J382" s="78">
        <v>611</v>
      </c>
      <c r="K382" s="132" t="s">
        <v>20</v>
      </c>
      <c r="L382" s="132" t="s">
        <v>193</v>
      </c>
      <c r="M382" s="132" t="s">
        <v>153</v>
      </c>
      <c r="N382" s="133">
        <v>41687</v>
      </c>
      <c r="O382" s="134">
        <v>1025</v>
      </c>
      <c r="P382" s="132" t="s">
        <v>151</v>
      </c>
      <c r="Q382" s="132" t="s">
        <v>167</v>
      </c>
      <c r="R382" s="132" t="s">
        <v>153</v>
      </c>
      <c r="S382" s="133">
        <v>41820</v>
      </c>
      <c r="T382" s="134">
        <v>483.6</v>
      </c>
      <c r="U382" s="132" t="s">
        <v>154</v>
      </c>
      <c r="V382" s="132" t="s">
        <v>159</v>
      </c>
      <c r="W382" s="132" t="s">
        <v>153</v>
      </c>
      <c r="X382" s="133">
        <v>41938</v>
      </c>
      <c r="Y382" s="134">
        <v>191</v>
      </c>
    </row>
    <row r="383" spans="1:25" x14ac:dyDescent="0.25">
      <c r="A383" s="79" t="s">
        <v>148</v>
      </c>
      <c r="B383" s="12" t="s">
        <v>169</v>
      </c>
      <c r="C383" s="12" t="s">
        <v>153</v>
      </c>
      <c r="D383" s="80">
        <v>41996</v>
      </c>
      <c r="E383" s="81">
        <v>780</v>
      </c>
      <c r="F383" s="76" t="s">
        <v>150</v>
      </c>
      <c r="G383" s="77" t="s">
        <v>156</v>
      </c>
      <c r="H383" s="77" t="s">
        <v>153</v>
      </c>
      <c r="I383" s="86">
        <v>41805</v>
      </c>
      <c r="J383" s="78">
        <v>967</v>
      </c>
      <c r="K383" s="132" t="s">
        <v>20</v>
      </c>
      <c r="L383" s="132" t="s">
        <v>193</v>
      </c>
      <c r="M383" s="132" t="s">
        <v>153</v>
      </c>
      <c r="N383" s="133">
        <v>41689</v>
      </c>
      <c r="O383" s="134">
        <v>502</v>
      </c>
      <c r="P383" s="132" t="s">
        <v>151</v>
      </c>
      <c r="Q383" s="132" t="s">
        <v>167</v>
      </c>
      <c r="R383" s="132" t="s">
        <v>153</v>
      </c>
      <c r="S383" s="133">
        <v>41831</v>
      </c>
      <c r="T383" s="134">
        <v>587.4</v>
      </c>
      <c r="U383" s="132" t="s">
        <v>154</v>
      </c>
      <c r="V383" s="132" t="s">
        <v>159</v>
      </c>
      <c r="W383" s="132" t="s">
        <v>153</v>
      </c>
      <c r="X383" s="133">
        <v>41938</v>
      </c>
      <c r="Y383" s="134">
        <v>313</v>
      </c>
    </row>
    <row r="384" spans="1:25" x14ac:dyDescent="0.25">
      <c r="A384" s="79" t="s">
        <v>148</v>
      </c>
      <c r="B384" s="12" t="s">
        <v>169</v>
      </c>
      <c r="C384" s="12" t="s">
        <v>153</v>
      </c>
      <c r="D384" s="80">
        <v>41997</v>
      </c>
      <c r="E384" s="81">
        <v>1350</v>
      </c>
      <c r="F384" s="76" t="s">
        <v>150</v>
      </c>
      <c r="G384" s="77" t="s">
        <v>156</v>
      </c>
      <c r="H384" s="77" t="s">
        <v>153</v>
      </c>
      <c r="I384" s="86">
        <v>41806</v>
      </c>
      <c r="J384" s="78">
        <v>997</v>
      </c>
      <c r="K384" s="132" t="s">
        <v>20</v>
      </c>
      <c r="L384" s="132" t="s">
        <v>193</v>
      </c>
      <c r="M384" s="132" t="s">
        <v>153</v>
      </c>
      <c r="N384" s="133">
        <v>41697</v>
      </c>
      <c r="O384" s="134">
        <v>510</v>
      </c>
      <c r="P384" s="132" t="s">
        <v>151</v>
      </c>
      <c r="Q384" s="132" t="s">
        <v>167</v>
      </c>
      <c r="R384" s="132" t="s">
        <v>153</v>
      </c>
      <c r="S384" s="133">
        <v>41834</v>
      </c>
      <c r="T384" s="134">
        <v>633.5</v>
      </c>
      <c r="U384" s="132" t="s">
        <v>154</v>
      </c>
      <c r="V384" s="132" t="s">
        <v>159</v>
      </c>
      <c r="W384" s="132" t="s">
        <v>153</v>
      </c>
      <c r="X384" s="133">
        <v>41938</v>
      </c>
      <c r="Y384" s="134">
        <v>716</v>
      </c>
    </row>
    <row r="385" spans="1:25" x14ac:dyDescent="0.25">
      <c r="A385" s="79" t="s">
        <v>148</v>
      </c>
      <c r="B385" s="12" t="s">
        <v>169</v>
      </c>
      <c r="C385" s="12" t="s">
        <v>153</v>
      </c>
      <c r="D385" s="80">
        <v>41998</v>
      </c>
      <c r="E385" s="81">
        <v>928</v>
      </c>
      <c r="F385" s="76" t="s">
        <v>150</v>
      </c>
      <c r="G385" s="77" t="s">
        <v>156</v>
      </c>
      <c r="H385" s="77" t="s">
        <v>153</v>
      </c>
      <c r="I385" s="86">
        <v>41807</v>
      </c>
      <c r="J385" s="78">
        <v>854</v>
      </c>
      <c r="K385" s="132" t="s">
        <v>20</v>
      </c>
      <c r="L385" s="132" t="s">
        <v>193</v>
      </c>
      <c r="M385" s="132" t="s">
        <v>153</v>
      </c>
      <c r="N385" s="133">
        <v>41698</v>
      </c>
      <c r="O385" s="134">
        <v>633</v>
      </c>
      <c r="P385" s="132" t="s">
        <v>151</v>
      </c>
      <c r="Q385" s="132" t="s">
        <v>167</v>
      </c>
      <c r="R385" s="132" t="s">
        <v>153</v>
      </c>
      <c r="S385" s="133">
        <v>41835</v>
      </c>
      <c r="T385" s="134">
        <v>822.1</v>
      </c>
      <c r="U385" s="132" t="s">
        <v>154</v>
      </c>
      <c r="V385" s="132" t="s">
        <v>159</v>
      </c>
      <c r="W385" s="132" t="s">
        <v>153</v>
      </c>
      <c r="X385" s="133">
        <v>41939</v>
      </c>
      <c r="Y385" s="134">
        <v>1153</v>
      </c>
    </row>
    <row r="386" spans="1:25" x14ac:dyDescent="0.25">
      <c r="A386" s="79" t="s">
        <v>148</v>
      </c>
      <c r="B386" s="12" t="s">
        <v>169</v>
      </c>
      <c r="C386" s="12" t="s">
        <v>153</v>
      </c>
      <c r="D386" s="80">
        <v>41999</v>
      </c>
      <c r="E386" s="81">
        <v>350</v>
      </c>
      <c r="F386" s="76" t="s">
        <v>150</v>
      </c>
      <c r="G386" s="77" t="s">
        <v>156</v>
      </c>
      <c r="H386" s="77" t="s">
        <v>153</v>
      </c>
      <c r="I386" s="86">
        <v>41808</v>
      </c>
      <c r="J386" s="78">
        <v>565</v>
      </c>
      <c r="K386" s="132" t="s">
        <v>20</v>
      </c>
      <c r="L386" s="132" t="s">
        <v>193</v>
      </c>
      <c r="M386" s="132" t="s">
        <v>153</v>
      </c>
      <c r="N386" s="133">
        <v>41702</v>
      </c>
      <c r="O386" s="134">
        <v>768</v>
      </c>
      <c r="P386" s="132" t="s">
        <v>151</v>
      </c>
      <c r="Q386" s="132" t="s">
        <v>167</v>
      </c>
      <c r="R386" s="132" t="s">
        <v>153</v>
      </c>
      <c r="S386" s="133">
        <v>41898</v>
      </c>
      <c r="T386" s="134">
        <v>1190.0999999999999</v>
      </c>
      <c r="U386" s="132" t="s">
        <v>154</v>
      </c>
      <c r="V386" s="132" t="s">
        <v>159</v>
      </c>
      <c r="W386" s="132" t="s">
        <v>153</v>
      </c>
      <c r="X386" s="133">
        <v>41940</v>
      </c>
      <c r="Y386" s="134">
        <v>1075</v>
      </c>
    </row>
    <row r="387" spans="1:25" x14ac:dyDescent="0.25">
      <c r="A387" s="79" t="s">
        <v>148</v>
      </c>
      <c r="B387" s="12" t="s">
        <v>169</v>
      </c>
      <c r="C387" s="12" t="s">
        <v>153</v>
      </c>
      <c r="D387" s="80">
        <v>42000</v>
      </c>
      <c r="E387" s="81">
        <v>850</v>
      </c>
      <c r="F387" s="76" t="s">
        <v>150</v>
      </c>
      <c r="G387" s="77" t="s">
        <v>156</v>
      </c>
      <c r="H387" s="77" t="s">
        <v>153</v>
      </c>
      <c r="I387" s="86">
        <v>41810</v>
      </c>
      <c r="J387" s="78">
        <v>1107</v>
      </c>
      <c r="K387" s="132" t="s">
        <v>20</v>
      </c>
      <c r="L387" s="132" t="s">
        <v>193</v>
      </c>
      <c r="M387" s="132" t="s">
        <v>153</v>
      </c>
      <c r="N387" s="133">
        <v>41725</v>
      </c>
      <c r="O387" s="134">
        <v>920</v>
      </c>
      <c r="P387" s="132" t="s">
        <v>151</v>
      </c>
      <c r="Q387" s="132" t="s">
        <v>167</v>
      </c>
      <c r="R387" s="132" t="s">
        <v>153</v>
      </c>
      <c r="S387" s="133">
        <v>41899</v>
      </c>
      <c r="T387" s="134">
        <v>698.2</v>
      </c>
      <c r="U387" s="132" t="s">
        <v>154</v>
      </c>
      <c r="V387" s="132" t="s">
        <v>159</v>
      </c>
      <c r="W387" s="132" t="s">
        <v>153</v>
      </c>
      <c r="X387" s="133">
        <v>41941</v>
      </c>
      <c r="Y387" s="134">
        <v>851</v>
      </c>
    </row>
    <row r="388" spans="1:25" x14ac:dyDescent="0.25">
      <c r="A388" s="79" t="s">
        <v>148</v>
      </c>
      <c r="B388" s="12" t="s">
        <v>169</v>
      </c>
      <c r="C388" s="12" t="s">
        <v>153</v>
      </c>
      <c r="D388" s="80">
        <v>42001</v>
      </c>
      <c r="E388" s="81">
        <v>801</v>
      </c>
      <c r="F388" s="76" t="s">
        <v>150</v>
      </c>
      <c r="G388" s="77" t="s">
        <v>156</v>
      </c>
      <c r="H388" s="77" t="s">
        <v>153</v>
      </c>
      <c r="I388" s="86">
        <v>41813</v>
      </c>
      <c r="J388" s="78">
        <v>910</v>
      </c>
      <c r="K388" s="132" t="s">
        <v>20</v>
      </c>
      <c r="L388" s="132" t="s">
        <v>193</v>
      </c>
      <c r="M388" s="132" t="s">
        <v>153</v>
      </c>
      <c r="N388" s="133">
        <v>41764</v>
      </c>
      <c r="O388" s="134">
        <v>898</v>
      </c>
      <c r="P388" s="132" t="s">
        <v>151</v>
      </c>
      <c r="Q388" s="132" t="s">
        <v>167</v>
      </c>
      <c r="R388" s="132" t="s">
        <v>153</v>
      </c>
      <c r="S388" s="133">
        <v>41915</v>
      </c>
      <c r="T388" s="134">
        <v>838.4</v>
      </c>
      <c r="U388" s="132" t="s">
        <v>154</v>
      </c>
      <c r="V388" s="132" t="s">
        <v>159</v>
      </c>
      <c r="W388" s="132" t="s">
        <v>153</v>
      </c>
      <c r="X388" s="133">
        <v>41942</v>
      </c>
      <c r="Y388" s="134">
        <v>911</v>
      </c>
    </row>
    <row r="389" spans="1:25" x14ac:dyDescent="0.25">
      <c r="A389" s="79" t="s">
        <v>148</v>
      </c>
      <c r="B389" s="12" t="s">
        <v>202</v>
      </c>
      <c r="C389" s="12" t="s">
        <v>158</v>
      </c>
      <c r="D389" s="80">
        <v>41839</v>
      </c>
      <c r="E389" s="81">
        <v>1728</v>
      </c>
      <c r="F389" s="76" t="s">
        <v>150</v>
      </c>
      <c r="G389" s="77" t="s">
        <v>156</v>
      </c>
      <c r="H389" s="77" t="s">
        <v>153</v>
      </c>
      <c r="I389" s="86">
        <v>41816</v>
      </c>
      <c r="J389" s="78">
        <v>1296</v>
      </c>
      <c r="K389" s="132" t="s">
        <v>20</v>
      </c>
      <c r="L389" s="132" t="s">
        <v>193</v>
      </c>
      <c r="M389" s="132" t="s">
        <v>153</v>
      </c>
      <c r="N389" s="133">
        <v>41790</v>
      </c>
      <c r="O389" s="134">
        <v>1510</v>
      </c>
      <c r="P389" s="132" t="s">
        <v>151</v>
      </c>
      <c r="Q389" s="132" t="s">
        <v>167</v>
      </c>
      <c r="R389" s="132" t="s">
        <v>153</v>
      </c>
      <c r="S389" s="133">
        <v>41949</v>
      </c>
      <c r="T389" s="134">
        <v>650.9</v>
      </c>
      <c r="U389" s="132" t="s">
        <v>154</v>
      </c>
      <c r="V389" s="132" t="s">
        <v>159</v>
      </c>
      <c r="W389" s="132" t="s">
        <v>153</v>
      </c>
      <c r="X389" s="133">
        <v>41943</v>
      </c>
      <c r="Y389" s="134">
        <v>1232</v>
      </c>
    </row>
    <row r="390" spans="1:25" x14ac:dyDescent="0.25">
      <c r="A390" s="79" t="s">
        <v>148</v>
      </c>
      <c r="B390" s="12" t="s">
        <v>202</v>
      </c>
      <c r="C390" s="12" t="s">
        <v>158</v>
      </c>
      <c r="D390" s="80">
        <v>41840</v>
      </c>
      <c r="E390" s="81">
        <v>1131</v>
      </c>
      <c r="F390" s="76" t="s">
        <v>150</v>
      </c>
      <c r="G390" s="77" t="s">
        <v>156</v>
      </c>
      <c r="H390" s="77" t="s">
        <v>153</v>
      </c>
      <c r="I390" s="86">
        <v>41817</v>
      </c>
      <c r="J390" s="78">
        <v>447</v>
      </c>
      <c r="K390" s="132" t="s">
        <v>20</v>
      </c>
      <c r="L390" s="132" t="s">
        <v>193</v>
      </c>
      <c r="M390" s="132" t="s">
        <v>153</v>
      </c>
      <c r="N390" s="133">
        <v>41795</v>
      </c>
      <c r="O390" s="134">
        <v>1291</v>
      </c>
      <c r="P390" s="132" t="s">
        <v>151</v>
      </c>
      <c r="Q390" s="132" t="s">
        <v>167</v>
      </c>
      <c r="R390" s="132" t="s">
        <v>153</v>
      </c>
      <c r="S390" s="133">
        <v>41954</v>
      </c>
      <c r="T390" s="134">
        <v>677</v>
      </c>
      <c r="U390" s="132" t="s">
        <v>154</v>
      </c>
      <c r="V390" s="132" t="s">
        <v>159</v>
      </c>
      <c r="W390" s="132" t="s">
        <v>153</v>
      </c>
      <c r="X390" s="133">
        <v>41945</v>
      </c>
      <c r="Y390" s="134">
        <v>495</v>
      </c>
    </row>
    <row r="391" spans="1:25" x14ac:dyDescent="0.25">
      <c r="A391" s="79" t="s">
        <v>148</v>
      </c>
      <c r="B391" s="12" t="s">
        <v>202</v>
      </c>
      <c r="C391" s="12" t="s">
        <v>158</v>
      </c>
      <c r="D391" s="80">
        <v>41841</v>
      </c>
      <c r="E391" s="81">
        <v>901</v>
      </c>
      <c r="F391" s="76" t="s">
        <v>150</v>
      </c>
      <c r="G391" s="77" t="s">
        <v>156</v>
      </c>
      <c r="H391" s="77" t="s">
        <v>153</v>
      </c>
      <c r="I391" s="86">
        <v>41820</v>
      </c>
      <c r="J391" s="78">
        <v>1168</v>
      </c>
      <c r="K391" s="132" t="s">
        <v>20</v>
      </c>
      <c r="L391" s="132" t="s">
        <v>193</v>
      </c>
      <c r="M391" s="132" t="s">
        <v>153</v>
      </c>
      <c r="N391" s="133">
        <v>41803</v>
      </c>
      <c r="O391" s="134">
        <v>560</v>
      </c>
      <c r="P391" s="132" t="s">
        <v>151</v>
      </c>
      <c r="Q391" s="132" t="s">
        <v>168</v>
      </c>
      <c r="R391" s="132" t="s">
        <v>153</v>
      </c>
      <c r="S391" s="133">
        <v>41680</v>
      </c>
      <c r="T391" s="134">
        <v>1201.0999999999999</v>
      </c>
      <c r="U391" s="132" t="s">
        <v>154</v>
      </c>
      <c r="V391" s="132" t="s">
        <v>159</v>
      </c>
      <c r="W391" s="132" t="s">
        <v>153</v>
      </c>
      <c r="X391" s="133">
        <v>41946</v>
      </c>
      <c r="Y391" s="134">
        <v>1085</v>
      </c>
    </row>
    <row r="392" spans="1:25" x14ac:dyDescent="0.25">
      <c r="A392" s="79" t="s">
        <v>148</v>
      </c>
      <c r="B392" s="12" t="s">
        <v>202</v>
      </c>
      <c r="C392" s="12" t="s">
        <v>158</v>
      </c>
      <c r="D392" s="80">
        <v>41842</v>
      </c>
      <c r="E392" s="81">
        <v>502</v>
      </c>
      <c r="F392" s="76" t="s">
        <v>150</v>
      </c>
      <c r="G392" s="77" t="s">
        <v>156</v>
      </c>
      <c r="H392" s="77" t="s">
        <v>153</v>
      </c>
      <c r="I392" s="86">
        <v>41821</v>
      </c>
      <c r="J392" s="78">
        <v>848</v>
      </c>
      <c r="K392" s="132" t="s">
        <v>20</v>
      </c>
      <c r="L392" s="132" t="s">
        <v>193</v>
      </c>
      <c r="M392" s="132" t="s">
        <v>153</v>
      </c>
      <c r="N392" s="133">
        <v>41835</v>
      </c>
      <c r="O392" s="134">
        <v>497</v>
      </c>
      <c r="P392" s="132" t="s">
        <v>151</v>
      </c>
      <c r="Q392" s="132" t="s">
        <v>168</v>
      </c>
      <c r="R392" s="132" t="s">
        <v>153</v>
      </c>
      <c r="S392" s="133">
        <v>41682</v>
      </c>
      <c r="T392" s="134">
        <v>948.5</v>
      </c>
      <c r="U392" s="132" t="s">
        <v>154</v>
      </c>
      <c r="V392" s="132" t="s">
        <v>159</v>
      </c>
      <c r="W392" s="132" t="s">
        <v>153</v>
      </c>
      <c r="X392" s="133">
        <v>41947</v>
      </c>
      <c r="Y392" s="134">
        <v>1021</v>
      </c>
    </row>
    <row r="393" spans="1:25" x14ac:dyDescent="0.25">
      <c r="A393" s="79" t="s">
        <v>148</v>
      </c>
      <c r="B393" s="12" t="s">
        <v>202</v>
      </c>
      <c r="C393" s="12" t="s">
        <v>158</v>
      </c>
      <c r="D393" s="80">
        <v>41843</v>
      </c>
      <c r="E393" s="81">
        <v>950</v>
      </c>
      <c r="F393" s="76" t="s">
        <v>150</v>
      </c>
      <c r="G393" s="77" t="s">
        <v>156</v>
      </c>
      <c r="H393" s="77" t="s">
        <v>153</v>
      </c>
      <c r="I393" s="86">
        <v>41823</v>
      </c>
      <c r="J393" s="78">
        <v>984</v>
      </c>
      <c r="K393" s="132" t="s">
        <v>20</v>
      </c>
      <c r="L393" s="132" t="s">
        <v>193</v>
      </c>
      <c r="M393" s="132" t="s">
        <v>153</v>
      </c>
      <c r="N393" s="133">
        <v>41844</v>
      </c>
      <c r="O393" s="134">
        <v>585</v>
      </c>
      <c r="P393" s="132" t="s">
        <v>151</v>
      </c>
      <c r="Q393" s="132" t="s">
        <v>168</v>
      </c>
      <c r="R393" s="132" t="s">
        <v>153</v>
      </c>
      <c r="S393" s="133">
        <v>41683</v>
      </c>
      <c r="T393" s="134">
        <v>725</v>
      </c>
      <c r="U393" s="132" t="s">
        <v>154</v>
      </c>
      <c r="V393" s="132" t="s">
        <v>159</v>
      </c>
      <c r="W393" s="132" t="s">
        <v>153</v>
      </c>
      <c r="X393" s="133">
        <v>41949</v>
      </c>
      <c r="Y393" s="134">
        <v>540</v>
      </c>
    </row>
    <row r="394" spans="1:25" x14ac:dyDescent="0.25">
      <c r="A394" s="79" t="s">
        <v>148</v>
      </c>
      <c r="B394" s="12" t="s">
        <v>202</v>
      </c>
      <c r="C394" s="12" t="s">
        <v>158</v>
      </c>
      <c r="D394" s="80">
        <v>41844</v>
      </c>
      <c r="E394" s="81">
        <v>1000</v>
      </c>
      <c r="F394" s="76" t="s">
        <v>150</v>
      </c>
      <c r="G394" s="77" t="s">
        <v>156</v>
      </c>
      <c r="H394" s="77" t="s">
        <v>153</v>
      </c>
      <c r="I394" s="86">
        <v>41828</v>
      </c>
      <c r="J394" s="78">
        <v>597</v>
      </c>
      <c r="K394" s="132" t="s">
        <v>20</v>
      </c>
      <c r="L394" s="132" t="s">
        <v>193</v>
      </c>
      <c r="M394" s="132" t="s">
        <v>153</v>
      </c>
      <c r="N394" s="133">
        <v>41850</v>
      </c>
      <c r="O394" s="134">
        <v>609</v>
      </c>
      <c r="P394" s="132" t="s">
        <v>151</v>
      </c>
      <c r="Q394" s="132" t="s">
        <v>168</v>
      </c>
      <c r="R394" s="132" t="s">
        <v>153</v>
      </c>
      <c r="S394" s="133">
        <v>41719</v>
      </c>
      <c r="T394" s="134">
        <v>416.8</v>
      </c>
      <c r="U394" s="132" t="s">
        <v>154</v>
      </c>
      <c r="V394" s="132" t="s">
        <v>159</v>
      </c>
      <c r="W394" s="132" t="s">
        <v>153</v>
      </c>
      <c r="X394" s="133">
        <v>41953</v>
      </c>
      <c r="Y394" s="134">
        <v>560</v>
      </c>
    </row>
    <row r="395" spans="1:25" x14ac:dyDescent="0.25">
      <c r="A395" s="79" t="s">
        <v>148</v>
      </c>
      <c r="B395" s="12" t="s">
        <v>215</v>
      </c>
      <c r="C395" s="12" t="s">
        <v>149</v>
      </c>
      <c r="D395" s="80">
        <v>41849</v>
      </c>
      <c r="E395" s="81">
        <v>800</v>
      </c>
      <c r="F395" s="76" t="s">
        <v>150</v>
      </c>
      <c r="G395" s="77" t="s">
        <v>156</v>
      </c>
      <c r="H395" s="77" t="s">
        <v>153</v>
      </c>
      <c r="I395" s="86">
        <v>41830</v>
      </c>
      <c r="J395" s="78">
        <v>1145</v>
      </c>
      <c r="K395" s="132" t="s">
        <v>20</v>
      </c>
      <c r="L395" s="132" t="s">
        <v>193</v>
      </c>
      <c r="M395" s="132" t="s">
        <v>153</v>
      </c>
      <c r="N395" s="133">
        <v>41923</v>
      </c>
      <c r="O395" s="134">
        <v>401</v>
      </c>
      <c r="P395" s="132" t="s">
        <v>151</v>
      </c>
      <c r="Q395" s="132" t="s">
        <v>168</v>
      </c>
      <c r="R395" s="132" t="s">
        <v>153</v>
      </c>
      <c r="S395" s="133">
        <v>41722</v>
      </c>
      <c r="T395" s="134">
        <v>677.1</v>
      </c>
      <c r="U395" s="132" t="s">
        <v>154</v>
      </c>
      <c r="V395" s="132" t="s">
        <v>159</v>
      </c>
      <c r="W395" s="132" t="s">
        <v>153</v>
      </c>
      <c r="X395" s="133">
        <v>41960</v>
      </c>
      <c r="Y395" s="134">
        <v>352</v>
      </c>
    </row>
    <row r="396" spans="1:25" x14ac:dyDescent="0.25">
      <c r="A396" s="79" t="s">
        <v>148</v>
      </c>
      <c r="B396" s="12" t="s">
        <v>176</v>
      </c>
      <c r="C396" s="12" t="s">
        <v>158</v>
      </c>
      <c r="D396" s="80">
        <v>41815</v>
      </c>
      <c r="E396" s="81">
        <v>800</v>
      </c>
      <c r="F396" s="76" t="s">
        <v>150</v>
      </c>
      <c r="G396" s="77" t="s">
        <v>156</v>
      </c>
      <c r="H396" s="77" t="s">
        <v>153</v>
      </c>
      <c r="I396" s="86">
        <v>41836</v>
      </c>
      <c r="J396" s="78">
        <v>882</v>
      </c>
      <c r="K396" s="132" t="s">
        <v>20</v>
      </c>
      <c r="L396" s="132" t="s">
        <v>193</v>
      </c>
      <c r="M396" s="132" t="s">
        <v>153</v>
      </c>
      <c r="N396" s="133">
        <v>41929</v>
      </c>
      <c r="O396" s="134">
        <v>701</v>
      </c>
      <c r="P396" s="132" t="s">
        <v>151</v>
      </c>
      <c r="Q396" s="132" t="s">
        <v>168</v>
      </c>
      <c r="R396" s="132" t="s">
        <v>153</v>
      </c>
      <c r="S396" s="133">
        <v>41723</v>
      </c>
      <c r="T396" s="134">
        <v>739</v>
      </c>
      <c r="U396" s="132" t="s">
        <v>154</v>
      </c>
      <c r="V396" s="132" t="s">
        <v>160</v>
      </c>
      <c r="W396" s="132" t="s">
        <v>153</v>
      </c>
      <c r="X396" s="133">
        <v>41279</v>
      </c>
      <c r="Y396" s="134">
        <v>883</v>
      </c>
    </row>
    <row r="397" spans="1:25" x14ac:dyDescent="0.25">
      <c r="A397" s="79" t="s">
        <v>148</v>
      </c>
      <c r="B397" s="12" t="s">
        <v>176</v>
      </c>
      <c r="C397" s="12" t="s">
        <v>158</v>
      </c>
      <c r="D397" s="80">
        <v>41816</v>
      </c>
      <c r="E397" s="81">
        <v>1100</v>
      </c>
      <c r="F397" s="76" t="s">
        <v>150</v>
      </c>
      <c r="G397" s="77" t="s">
        <v>156</v>
      </c>
      <c r="H397" s="77" t="s">
        <v>153</v>
      </c>
      <c r="I397" s="86">
        <v>41837</v>
      </c>
      <c r="J397" s="78">
        <v>792</v>
      </c>
      <c r="K397" s="132" t="s">
        <v>20</v>
      </c>
      <c r="L397" s="132" t="s">
        <v>193</v>
      </c>
      <c r="M397" s="132" t="s">
        <v>153</v>
      </c>
      <c r="N397" s="133">
        <v>41944</v>
      </c>
      <c r="O397" s="134">
        <v>1008</v>
      </c>
      <c r="P397" s="132" t="s">
        <v>151</v>
      </c>
      <c r="Q397" s="132" t="s">
        <v>168</v>
      </c>
      <c r="R397" s="132" t="s">
        <v>153</v>
      </c>
      <c r="S397" s="133">
        <v>41760</v>
      </c>
      <c r="T397" s="134">
        <v>528.1</v>
      </c>
      <c r="U397" s="132" t="s">
        <v>154</v>
      </c>
      <c r="V397" s="132" t="s">
        <v>160</v>
      </c>
      <c r="W397" s="132" t="s">
        <v>153</v>
      </c>
      <c r="X397" s="133">
        <v>41279</v>
      </c>
      <c r="Y397" s="134">
        <v>343</v>
      </c>
    </row>
    <row r="398" spans="1:25" x14ac:dyDescent="0.25">
      <c r="A398" s="79" t="s">
        <v>148</v>
      </c>
      <c r="B398" s="12" t="s">
        <v>176</v>
      </c>
      <c r="C398" s="12" t="s">
        <v>158</v>
      </c>
      <c r="D398" s="80">
        <v>41817</v>
      </c>
      <c r="E398" s="81">
        <v>900</v>
      </c>
      <c r="F398" s="76" t="s">
        <v>150</v>
      </c>
      <c r="G398" s="77" t="s">
        <v>156</v>
      </c>
      <c r="H398" s="77" t="s">
        <v>153</v>
      </c>
      <c r="I398" s="86">
        <v>41838</v>
      </c>
      <c r="J398" s="78">
        <v>878</v>
      </c>
      <c r="K398" s="132" t="s">
        <v>20</v>
      </c>
      <c r="L398" s="132" t="s">
        <v>167</v>
      </c>
      <c r="M398" s="132" t="s">
        <v>153</v>
      </c>
      <c r="N398" s="133">
        <v>41639</v>
      </c>
      <c r="O398" s="134">
        <v>1166</v>
      </c>
      <c r="P398" s="132" t="s">
        <v>151</v>
      </c>
      <c r="Q398" s="132" t="s">
        <v>168</v>
      </c>
      <c r="R398" s="132" t="s">
        <v>153</v>
      </c>
      <c r="S398" s="133">
        <v>41761</v>
      </c>
      <c r="T398" s="134">
        <v>682.3</v>
      </c>
      <c r="U398" s="132" t="s">
        <v>154</v>
      </c>
      <c r="V398" s="132" t="s">
        <v>160</v>
      </c>
      <c r="W398" s="132" t="s">
        <v>153</v>
      </c>
      <c r="X398" s="133">
        <v>41635</v>
      </c>
      <c r="Y398" s="134">
        <v>525</v>
      </c>
    </row>
    <row r="399" spans="1:25" x14ac:dyDescent="0.25">
      <c r="A399" s="79" t="s">
        <v>148</v>
      </c>
      <c r="B399" s="12" t="s">
        <v>176</v>
      </c>
      <c r="C399" s="12" t="s">
        <v>158</v>
      </c>
      <c r="D399" s="80">
        <v>41818</v>
      </c>
      <c r="E399" s="81">
        <v>893</v>
      </c>
      <c r="F399" s="76" t="s">
        <v>150</v>
      </c>
      <c r="G399" s="77" t="s">
        <v>156</v>
      </c>
      <c r="H399" s="77" t="s">
        <v>153</v>
      </c>
      <c r="I399" s="86">
        <v>41873</v>
      </c>
      <c r="J399" s="78">
        <v>1067</v>
      </c>
      <c r="K399" s="132" t="s">
        <v>20</v>
      </c>
      <c r="L399" s="132" t="s">
        <v>167</v>
      </c>
      <c r="M399" s="132" t="s">
        <v>153</v>
      </c>
      <c r="N399" s="133">
        <v>41647</v>
      </c>
      <c r="O399" s="134">
        <v>1359</v>
      </c>
      <c r="P399" s="132" t="s">
        <v>151</v>
      </c>
      <c r="Q399" s="132" t="s">
        <v>168</v>
      </c>
      <c r="R399" s="132" t="s">
        <v>153</v>
      </c>
      <c r="S399" s="133">
        <v>41764</v>
      </c>
      <c r="T399" s="134">
        <v>709.6</v>
      </c>
      <c r="U399" s="132" t="s">
        <v>154</v>
      </c>
      <c r="V399" s="132" t="s">
        <v>160</v>
      </c>
      <c r="W399" s="132" t="s">
        <v>153</v>
      </c>
      <c r="X399" s="133">
        <v>41635</v>
      </c>
      <c r="Y399" s="134">
        <v>509</v>
      </c>
    </row>
    <row r="400" spans="1:25" x14ac:dyDescent="0.25">
      <c r="A400" s="79" t="s">
        <v>148</v>
      </c>
      <c r="B400" s="12" t="s">
        <v>176</v>
      </c>
      <c r="C400" s="12" t="s">
        <v>158</v>
      </c>
      <c r="D400" s="80">
        <v>41819</v>
      </c>
      <c r="E400" s="81">
        <v>669</v>
      </c>
      <c r="F400" s="76" t="s">
        <v>150</v>
      </c>
      <c r="G400" s="77" t="s">
        <v>156</v>
      </c>
      <c r="H400" s="77" t="s">
        <v>153</v>
      </c>
      <c r="I400" s="86">
        <v>41873</v>
      </c>
      <c r="J400" s="78">
        <v>1315</v>
      </c>
      <c r="K400" s="132" t="s">
        <v>20</v>
      </c>
      <c r="L400" s="132" t="s">
        <v>167</v>
      </c>
      <c r="M400" s="132" t="s">
        <v>153</v>
      </c>
      <c r="N400" s="133">
        <v>41653</v>
      </c>
      <c r="O400" s="134">
        <v>1582</v>
      </c>
      <c r="P400" s="132" t="s">
        <v>151</v>
      </c>
      <c r="Q400" s="132" t="s">
        <v>168</v>
      </c>
      <c r="R400" s="132" t="s">
        <v>153</v>
      </c>
      <c r="S400" s="133">
        <v>41767</v>
      </c>
      <c r="T400" s="134">
        <v>1416.8</v>
      </c>
      <c r="U400" s="132" t="s">
        <v>154</v>
      </c>
      <c r="V400" s="132" t="s">
        <v>160</v>
      </c>
      <c r="W400" s="132" t="s">
        <v>153</v>
      </c>
      <c r="X400" s="133">
        <v>41638</v>
      </c>
      <c r="Y400" s="134">
        <v>353</v>
      </c>
    </row>
    <row r="401" spans="1:25" x14ac:dyDescent="0.25">
      <c r="A401" s="79" t="s">
        <v>148</v>
      </c>
      <c r="B401" s="12" t="s">
        <v>176</v>
      </c>
      <c r="C401" s="12" t="s">
        <v>158</v>
      </c>
      <c r="D401" s="80">
        <v>41820</v>
      </c>
      <c r="E401" s="81">
        <v>1070</v>
      </c>
      <c r="F401" s="76" t="s">
        <v>150</v>
      </c>
      <c r="G401" s="77" t="s">
        <v>156</v>
      </c>
      <c r="H401" s="77" t="s">
        <v>153</v>
      </c>
      <c r="I401" s="86">
        <v>41874</v>
      </c>
      <c r="J401" s="78">
        <v>1421</v>
      </c>
      <c r="K401" s="132" t="s">
        <v>20</v>
      </c>
      <c r="L401" s="132" t="s">
        <v>167</v>
      </c>
      <c r="M401" s="132" t="s">
        <v>153</v>
      </c>
      <c r="N401" s="133">
        <v>41661</v>
      </c>
      <c r="O401" s="134">
        <v>747</v>
      </c>
      <c r="P401" s="132" t="s">
        <v>151</v>
      </c>
      <c r="Q401" s="132" t="s">
        <v>168</v>
      </c>
      <c r="R401" s="132" t="s">
        <v>153</v>
      </c>
      <c r="S401" s="133">
        <v>41768</v>
      </c>
      <c r="T401" s="134">
        <v>728.5</v>
      </c>
      <c r="U401" s="132" t="s">
        <v>154</v>
      </c>
      <c r="V401" s="132" t="s">
        <v>160</v>
      </c>
      <c r="W401" s="132" t="s">
        <v>153</v>
      </c>
      <c r="X401" s="133">
        <v>41638</v>
      </c>
      <c r="Y401" s="134">
        <v>390</v>
      </c>
    </row>
    <row r="402" spans="1:25" x14ac:dyDescent="0.25">
      <c r="A402" s="79" t="s">
        <v>148</v>
      </c>
      <c r="B402" s="12" t="s">
        <v>176</v>
      </c>
      <c r="C402" s="12" t="s">
        <v>158</v>
      </c>
      <c r="D402" s="80">
        <v>41909</v>
      </c>
      <c r="E402" s="81">
        <v>1547</v>
      </c>
      <c r="F402" s="76" t="s">
        <v>150</v>
      </c>
      <c r="G402" s="77" t="s">
        <v>156</v>
      </c>
      <c r="H402" s="77" t="s">
        <v>153</v>
      </c>
      <c r="I402" s="86">
        <v>41875</v>
      </c>
      <c r="J402" s="78">
        <v>1078</v>
      </c>
      <c r="K402" s="132" t="s">
        <v>20</v>
      </c>
      <c r="L402" s="132" t="s">
        <v>167</v>
      </c>
      <c r="M402" s="132" t="s">
        <v>153</v>
      </c>
      <c r="N402" s="133">
        <v>41746</v>
      </c>
      <c r="O402" s="134">
        <v>525</v>
      </c>
      <c r="P402" s="132" t="s">
        <v>151</v>
      </c>
      <c r="Q402" s="132" t="s">
        <v>168</v>
      </c>
      <c r="R402" s="132" t="s">
        <v>153</v>
      </c>
      <c r="S402" s="133">
        <v>41775</v>
      </c>
      <c r="T402" s="134">
        <v>618</v>
      </c>
      <c r="U402" s="132" t="s">
        <v>154</v>
      </c>
      <c r="V402" s="132" t="s">
        <v>160</v>
      </c>
      <c r="W402" s="132" t="s">
        <v>153</v>
      </c>
      <c r="X402" s="133">
        <v>41639</v>
      </c>
      <c r="Y402" s="134">
        <v>912</v>
      </c>
    </row>
    <row r="403" spans="1:25" x14ac:dyDescent="0.25">
      <c r="A403" s="79" t="s">
        <v>148</v>
      </c>
      <c r="B403" s="12" t="s">
        <v>182</v>
      </c>
      <c r="C403" s="12" t="s">
        <v>158</v>
      </c>
      <c r="D403" s="80">
        <v>41806</v>
      </c>
      <c r="E403" s="81">
        <v>726</v>
      </c>
      <c r="F403" s="76" t="s">
        <v>150</v>
      </c>
      <c r="G403" s="77" t="s">
        <v>156</v>
      </c>
      <c r="H403" s="77" t="s">
        <v>153</v>
      </c>
      <c r="I403" s="86">
        <v>41876</v>
      </c>
      <c r="J403" s="78">
        <v>1308</v>
      </c>
      <c r="K403" s="132" t="s">
        <v>20</v>
      </c>
      <c r="L403" s="132" t="s">
        <v>167</v>
      </c>
      <c r="M403" s="132" t="s">
        <v>153</v>
      </c>
      <c r="N403" s="133">
        <v>41790</v>
      </c>
      <c r="O403" s="134">
        <v>625</v>
      </c>
      <c r="P403" s="132" t="s">
        <v>151</v>
      </c>
      <c r="Q403" s="132" t="s">
        <v>168</v>
      </c>
      <c r="R403" s="132" t="s">
        <v>153</v>
      </c>
      <c r="S403" s="133">
        <v>41778</v>
      </c>
      <c r="T403" s="134">
        <v>856.9</v>
      </c>
      <c r="U403" s="132" t="s">
        <v>154</v>
      </c>
      <c r="V403" s="132" t="s">
        <v>160</v>
      </c>
      <c r="W403" s="132" t="s">
        <v>153</v>
      </c>
      <c r="X403" s="133">
        <v>41640</v>
      </c>
      <c r="Y403" s="134">
        <v>657</v>
      </c>
    </row>
    <row r="404" spans="1:25" x14ac:dyDescent="0.25">
      <c r="A404" s="79" t="s">
        <v>148</v>
      </c>
      <c r="B404" s="12" t="s">
        <v>182</v>
      </c>
      <c r="C404" s="12" t="s">
        <v>158</v>
      </c>
      <c r="D404" s="80">
        <v>41807</v>
      </c>
      <c r="E404" s="81">
        <v>840</v>
      </c>
      <c r="F404" s="76" t="s">
        <v>150</v>
      </c>
      <c r="G404" s="77" t="s">
        <v>156</v>
      </c>
      <c r="H404" s="77" t="s">
        <v>153</v>
      </c>
      <c r="I404" s="86">
        <v>41877</v>
      </c>
      <c r="J404" s="78">
        <v>1240</v>
      </c>
      <c r="K404" s="132" t="s">
        <v>20</v>
      </c>
      <c r="L404" s="132" t="s">
        <v>167</v>
      </c>
      <c r="M404" s="132" t="s">
        <v>153</v>
      </c>
      <c r="N404" s="133">
        <v>41799</v>
      </c>
      <c r="O404" s="134">
        <v>966</v>
      </c>
      <c r="P404" s="132" t="s">
        <v>151</v>
      </c>
      <c r="Q404" s="132" t="s">
        <v>168</v>
      </c>
      <c r="R404" s="132" t="s">
        <v>153</v>
      </c>
      <c r="S404" s="133">
        <v>41810</v>
      </c>
      <c r="T404" s="134">
        <v>309.3</v>
      </c>
      <c r="U404" s="132" t="s">
        <v>154</v>
      </c>
      <c r="V404" s="132" t="s">
        <v>160</v>
      </c>
      <c r="W404" s="132" t="s">
        <v>153</v>
      </c>
      <c r="X404" s="133">
        <v>41640</v>
      </c>
      <c r="Y404" s="134">
        <v>432</v>
      </c>
    </row>
    <row r="405" spans="1:25" x14ac:dyDescent="0.25">
      <c r="A405" s="79" t="s">
        <v>148</v>
      </c>
      <c r="B405" s="12" t="s">
        <v>182</v>
      </c>
      <c r="C405" s="12" t="s">
        <v>158</v>
      </c>
      <c r="D405" s="80">
        <v>41808</v>
      </c>
      <c r="E405" s="81">
        <v>1001</v>
      </c>
      <c r="F405" s="76" t="s">
        <v>150</v>
      </c>
      <c r="G405" s="77" t="s">
        <v>156</v>
      </c>
      <c r="H405" s="77" t="s">
        <v>153</v>
      </c>
      <c r="I405" s="86">
        <v>41878</v>
      </c>
      <c r="J405" s="78">
        <v>910</v>
      </c>
      <c r="K405" s="132" t="s">
        <v>20</v>
      </c>
      <c r="L405" s="132" t="s">
        <v>167</v>
      </c>
      <c r="M405" s="132" t="s">
        <v>153</v>
      </c>
      <c r="N405" s="133">
        <v>41865</v>
      </c>
      <c r="O405" s="134">
        <v>1135</v>
      </c>
      <c r="P405" s="132" t="s">
        <v>151</v>
      </c>
      <c r="Q405" s="132" t="s">
        <v>168</v>
      </c>
      <c r="R405" s="132" t="s">
        <v>153</v>
      </c>
      <c r="S405" s="133">
        <v>41823</v>
      </c>
      <c r="T405" s="134">
        <v>1052.8</v>
      </c>
      <c r="U405" s="132" t="s">
        <v>154</v>
      </c>
      <c r="V405" s="132" t="s">
        <v>160</v>
      </c>
      <c r="W405" s="132" t="s">
        <v>153</v>
      </c>
      <c r="X405" s="133">
        <v>41641</v>
      </c>
      <c r="Y405" s="134">
        <v>730</v>
      </c>
    </row>
    <row r="406" spans="1:25" x14ac:dyDescent="0.25">
      <c r="A406" s="79" t="s">
        <v>148</v>
      </c>
      <c r="B406" s="12" t="s">
        <v>182</v>
      </c>
      <c r="C406" s="12" t="s">
        <v>158</v>
      </c>
      <c r="D406" s="80">
        <v>41810</v>
      </c>
      <c r="E406" s="81">
        <v>1200</v>
      </c>
      <c r="F406" s="76" t="s">
        <v>150</v>
      </c>
      <c r="G406" s="77" t="s">
        <v>156</v>
      </c>
      <c r="H406" s="77" t="s">
        <v>153</v>
      </c>
      <c r="I406" s="86">
        <v>41880</v>
      </c>
      <c r="J406" s="78">
        <v>918</v>
      </c>
      <c r="K406" s="132" t="s">
        <v>20</v>
      </c>
      <c r="L406" s="132" t="s">
        <v>167</v>
      </c>
      <c r="M406" s="132" t="s">
        <v>153</v>
      </c>
      <c r="N406" s="133">
        <v>41885</v>
      </c>
      <c r="O406" s="134">
        <v>768</v>
      </c>
      <c r="P406" s="132" t="s">
        <v>151</v>
      </c>
      <c r="Q406" s="132" t="s">
        <v>168</v>
      </c>
      <c r="R406" s="132" t="s">
        <v>153</v>
      </c>
      <c r="S406" s="133">
        <v>41827</v>
      </c>
      <c r="T406" s="134">
        <v>783</v>
      </c>
      <c r="U406" s="132" t="s">
        <v>154</v>
      </c>
      <c r="V406" s="132" t="s">
        <v>160</v>
      </c>
      <c r="W406" s="132" t="s">
        <v>153</v>
      </c>
      <c r="X406" s="133">
        <v>41641</v>
      </c>
      <c r="Y406" s="134">
        <v>562</v>
      </c>
    </row>
    <row r="407" spans="1:25" x14ac:dyDescent="0.25">
      <c r="A407" s="79" t="s">
        <v>148</v>
      </c>
      <c r="B407" s="12" t="s">
        <v>182</v>
      </c>
      <c r="C407" s="12" t="s">
        <v>158</v>
      </c>
      <c r="D407" s="80">
        <v>41811</v>
      </c>
      <c r="E407" s="81">
        <v>1266</v>
      </c>
      <c r="F407" s="76" t="s">
        <v>150</v>
      </c>
      <c r="G407" s="77" t="s">
        <v>156</v>
      </c>
      <c r="H407" s="77" t="s">
        <v>153</v>
      </c>
      <c r="I407" s="86">
        <v>41880</v>
      </c>
      <c r="J407" s="78">
        <v>1146</v>
      </c>
      <c r="K407" s="132" t="s">
        <v>20</v>
      </c>
      <c r="L407" s="132" t="s">
        <v>167</v>
      </c>
      <c r="M407" s="132" t="s">
        <v>153</v>
      </c>
      <c r="N407" s="133">
        <v>41886</v>
      </c>
      <c r="O407" s="134">
        <v>524</v>
      </c>
      <c r="P407" s="132" t="s">
        <v>151</v>
      </c>
      <c r="Q407" s="132" t="s">
        <v>168</v>
      </c>
      <c r="R407" s="132" t="s">
        <v>153</v>
      </c>
      <c r="S407" s="133">
        <v>41897</v>
      </c>
      <c r="T407" s="134">
        <v>735.8</v>
      </c>
      <c r="U407" s="132" t="s">
        <v>154</v>
      </c>
      <c r="V407" s="132" t="s">
        <v>160</v>
      </c>
      <c r="W407" s="132" t="s">
        <v>153</v>
      </c>
      <c r="X407" s="133">
        <v>41643</v>
      </c>
      <c r="Y407" s="134">
        <v>1124</v>
      </c>
    </row>
    <row r="408" spans="1:25" x14ac:dyDescent="0.25">
      <c r="A408" s="79" t="s">
        <v>148</v>
      </c>
      <c r="B408" s="12" t="s">
        <v>182</v>
      </c>
      <c r="C408" s="12" t="s">
        <v>158</v>
      </c>
      <c r="D408" s="80">
        <v>41812</v>
      </c>
      <c r="E408" s="81">
        <v>821</v>
      </c>
      <c r="F408" s="76" t="s">
        <v>150</v>
      </c>
      <c r="G408" s="77" t="s">
        <v>156</v>
      </c>
      <c r="H408" s="77" t="s">
        <v>153</v>
      </c>
      <c r="I408" s="86">
        <v>41885</v>
      </c>
      <c r="J408" s="78">
        <v>1184</v>
      </c>
      <c r="K408" s="132" t="s">
        <v>20</v>
      </c>
      <c r="L408" s="132" t="s">
        <v>167</v>
      </c>
      <c r="M408" s="132" t="s">
        <v>153</v>
      </c>
      <c r="N408" s="133">
        <v>41887</v>
      </c>
      <c r="O408" s="134">
        <v>568</v>
      </c>
      <c r="P408" s="132" t="s">
        <v>151</v>
      </c>
      <c r="Q408" s="132" t="s">
        <v>168</v>
      </c>
      <c r="R408" s="132" t="s">
        <v>153</v>
      </c>
      <c r="S408" s="133">
        <v>41898</v>
      </c>
      <c r="T408" s="134">
        <v>577.9</v>
      </c>
      <c r="U408" s="132" t="s">
        <v>154</v>
      </c>
      <c r="V408" s="132" t="s">
        <v>160</v>
      </c>
      <c r="W408" s="132" t="s">
        <v>153</v>
      </c>
      <c r="X408" s="133">
        <v>41645</v>
      </c>
      <c r="Y408" s="134">
        <v>816</v>
      </c>
    </row>
    <row r="409" spans="1:25" x14ac:dyDescent="0.25">
      <c r="A409" s="79" t="s">
        <v>148</v>
      </c>
      <c r="B409" s="12" t="s">
        <v>182</v>
      </c>
      <c r="C409" s="12" t="s">
        <v>158</v>
      </c>
      <c r="D409" s="80">
        <v>41814</v>
      </c>
      <c r="E409" s="81">
        <v>1200</v>
      </c>
      <c r="F409" s="76" t="s">
        <v>150</v>
      </c>
      <c r="G409" s="77" t="s">
        <v>156</v>
      </c>
      <c r="H409" s="77" t="s">
        <v>153</v>
      </c>
      <c r="I409" s="86">
        <v>41885</v>
      </c>
      <c r="J409" s="78">
        <v>1060</v>
      </c>
      <c r="K409" s="132" t="s">
        <v>20</v>
      </c>
      <c r="L409" s="132" t="s">
        <v>167</v>
      </c>
      <c r="M409" s="132" t="s">
        <v>153</v>
      </c>
      <c r="N409" s="133">
        <v>41890</v>
      </c>
      <c r="O409" s="134">
        <v>204</v>
      </c>
      <c r="P409" s="132" t="s">
        <v>151</v>
      </c>
      <c r="Q409" s="132" t="s">
        <v>168</v>
      </c>
      <c r="R409" s="132" t="s">
        <v>153</v>
      </c>
      <c r="S409" s="133">
        <v>41912</v>
      </c>
      <c r="T409" s="134">
        <v>766.1</v>
      </c>
      <c r="U409" s="132" t="s">
        <v>154</v>
      </c>
      <c r="V409" s="132" t="s">
        <v>160</v>
      </c>
      <c r="W409" s="132" t="s">
        <v>153</v>
      </c>
      <c r="X409" s="133">
        <v>41646</v>
      </c>
      <c r="Y409" s="134">
        <v>1031</v>
      </c>
    </row>
    <row r="410" spans="1:25" x14ac:dyDescent="0.25">
      <c r="A410" s="79" t="s">
        <v>148</v>
      </c>
      <c r="B410" s="12" t="s">
        <v>182</v>
      </c>
      <c r="C410" s="12" t="s">
        <v>158</v>
      </c>
      <c r="D410" s="80">
        <v>41815</v>
      </c>
      <c r="E410" s="81">
        <v>1000</v>
      </c>
      <c r="F410" s="76" t="s">
        <v>150</v>
      </c>
      <c r="G410" s="77" t="s">
        <v>156</v>
      </c>
      <c r="H410" s="77" t="s">
        <v>153</v>
      </c>
      <c r="I410" s="86">
        <v>41886</v>
      </c>
      <c r="J410" s="78">
        <v>1138</v>
      </c>
      <c r="K410" s="132" t="s">
        <v>20</v>
      </c>
      <c r="L410" s="132" t="s">
        <v>167</v>
      </c>
      <c r="M410" s="132" t="s">
        <v>153</v>
      </c>
      <c r="N410" s="133">
        <v>41921</v>
      </c>
      <c r="O410" s="134">
        <v>578</v>
      </c>
      <c r="P410" s="132" t="s">
        <v>151</v>
      </c>
      <c r="Q410" s="132" t="s">
        <v>168</v>
      </c>
      <c r="R410" s="132" t="s">
        <v>153</v>
      </c>
      <c r="S410" s="133">
        <v>41913</v>
      </c>
      <c r="T410" s="134">
        <v>867.3</v>
      </c>
      <c r="U410" s="132" t="s">
        <v>154</v>
      </c>
      <c r="V410" s="132" t="s">
        <v>160</v>
      </c>
      <c r="W410" s="132" t="s">
        <v>153</v>
      </c>
      <c r="X410" s="133">
        <v>41647</v>
      </c>
      <c r="Y410" s="134">
        <v>980</v>
      </c>
    </row>
    <row r="411" spans="1:25" x14ac:dyDescent="0.25">
      <c r="A411" s="79" t="s">
        <v>148</v>
      </c>
      <c r="B411" s="12" t="s">
        <v>182</v>
      </c>
      <c r="C411" s="12" t="s">
        <v>158</v>
      </c>
      <c r="D411" s="80">
        <v>41816</v>
      </c>
      <c r="E411" s="81">
        <v>700</v>
      </c>
      <c r="F411" s="76" t="s">
        <v>150</v>
      </c>
      <c r="G411" s="77" t="s">
        <v>156</v>
      </c>
      <c r="H411" s="77" t="s">
        <v>153</v>
      </c>
      <c r="I411" s="86">
        <v>41888</v>
      </c>
      <c r="J411" s="78">
        <v>1265</v>
      </c>
      <c r="K411" s="132" t="s">
        <v>20</v>
      </c>
      <c r="L411" s="132" t="s">
        <v>167</v>
      </c>
      <c r="M411" s="132" t="s">
        <v>153</v>
      </c>
      <c r="N411" s="133">
        <v>41922</v>
      </c>
      <c r="O411" s="134">
        <v>486</v>
      </c>
      <c r="P411" s="132" t="s">
        <v>151</v>
      </c>
      <c r="Q411" s="132" t="s">
        <v>168</v>
      </c>
      <c r="R411" s="132" t="s">
        <v>153</v>
      </c>
      <c r="S411" s="133">
        <v>41914</v>
      </c>
      <c r="T411" s="134">
        <v>614.70000000000005</v>
      </c>
      <c r="U411" s="132" t="s">
        <v>154</v>
      </c>
      <c r="V411" s="132" t="s">
        <v>160</v>
      </c>
      <c r="W411" s="132" t="s">
        <v>153</v>
      </c>
      <c r="X411" s="133">
        <v>41648</v>
      </c>
      <c r="Y411" s="134">
        <v>900</v>
      </c>
    </row>
    <row r="412" spans="1:25" x14ac:dyDescent="0.25">
      <c r="A412" s="79" t="s">
        <v>148</v>
      </c>
      <c r="B412" s="12" t="s">
        <v>182</v>
      </c>
      <c r="C412" s="12" t="s">
        <v>158</v>
      </c>
      <c r="D412" s="80">
        <v>41820</v>
      </c>
      <c r="E412" s="81">
        <v>760</v>
      </c>
      <c r="F412" s="76" t="s">
        <v>150</v>
      </c>
      <c r="G412" s="77" t="s">
        <v>156</v>
      </c>
      <c r="H412" s="77" t="s">
        <v>153</v>
      </c>
      <c r="I412" s="86">
        <v>41888</v>
      </c>
      <c r="J412" s="78">
        <v>1274</v>
      </c>
      <c r="K412" s="132" t="s">
        <v>20</v>
      </c>
      <c r="L412" s="132" t="s">
        <v>167</v>
      </c>
      <c r="M412" s="132" t="s">
        <v>153</v>
      </c>
      <c r="N412" s="133">
        <v>41924</v>
      </c>
      <c r="O412" s="134">
        <v>1151</v>
      </c>
      <c r="P412" s="132" t="s">
        <v>151</v>
      </c>
      <c r="Q412" s="132" t="s">
        <v>168</v>
      </c>
      <c r="R412" s="132" t="s">
        <v>153</v>
      </c>
      <c r="S412" s="133">
        <v>41915</v>
      </c>
      <c r="T412" s="134">
        <v>366.1</v>
      </c>
      <c r="U412" s="132" t="s">
        <v>154</v>
      </c>
      <c r="V412" s="132" t="s">
        <v>160</v>
      </c>
      <c r="W412" s="132" t="s">
        <v>153</v>
      </c>
      <c r="X412" s="133">
        <v>41649</v>
      </c>
      <c r="Y412" s="134">
        <v>850</v>
      </c>
    </row>
    <row r="413" spans="1:25" x14ac:dyDescent="0.25">
      <c r="A413" s="79" t="s">
        <v>148</v>
      </c>
      <c r="B413" s="12" t="s">
        <v>182</v>
      </c>
      <c r="C413" s="12" t="s">
        <v>158</v>
      </c>
      <c r="D413" s="80">
        <v>41821</v>
      </c>
      <c r="E413" s="81">
        <v>800</v>
      </c>
      <c r="F413" s="76" t="s">
        <v>150</v>
      </c>
      <c r="G413" s="77" t="s">
        <v>156</v>
      </c>
      <c r="H413" s="77" t="s">
        <v>153</v>
      </c>
      <c r="I413" s="86">
        <v>41889</v>
      </c>
      <c r="J413" s="78">
        <v>1114</v>
      </c>
      <c r="K413" s="132" t="s">
        <v>20</v>
      </c>
      <c r="L413" s="132" t="s">
        <v>167</v>
      </c>
      <c r="M413" s="132" t="s">
        <v>153</v>
      </c>
      <c r="N413" s="133">
        <v>41930</v>
      </c>
      <c r="O413" s="134">
        <v>994</v>
      </c>
      <c r="P413" s="132" t="s">
        <v>151</v>
      </c>
      <c r="Q413" s="132" t="s">
        <v>168</v>
      </c>
      <c r="R413" s="132" t="s">
        <v>153</v>
      </c>
      <c r="S413" s="133">
        <v>41962</v>
      </c>
      <c r="T413" s="134">
        <v>367.8</v>
      </c>
      <c r="U413" s="132" t="s">
        <v>154</v>
      </c>
      <c r="V413" s="132" t="s">
        <v>160</v>
      </c>
      <c r="W413" s="132" t="s">
        <v>153</v>
      </c>
      <c r="X413" s="133">
        <v>41650</v>
      </c>
      <c r="Y413" s="134">
        <v>500</v>
      </c>
    </row>
    <row r="414" spans="1:25" x14ac:dyDescent="0.25">
      <c r="A414" s="79" t="s">
        <v>148</v>
      </c>
      <c r="B414" s="12" t="s">
        <v>182</v>
      </c>
      <c r="C414" s="12" t="s">
        <v>158</v>
      </c>
      <c r="D414" s="80">
        <v>41822</v>
      </c>
      <c r="E414" s="81">
        <v>820</v>
      </c>
      <c r="F414" s="76" t="s">
        <v>150</v>
      </c>
      <c r="G414" s="77" t="s">
        <v>156</v>
      </c>
      <c r="H414" s="77" t="s">
        <v>153</v>
      </c>
      <c r="I414" s="86">
        <v>41890</v>
      </c>
      <c r="J414" s="78">
        <v>809</v>
      </c>
      <c r="K414" s="132" t="s">
        <v>20</v>
      </c>
      <c r="L414" s="132" t="s">
        <v>167</v>
      </c>
      <c r="M414" s="132" t="s">
        <v>153</v>
      </c>
      <c r="N414" s="133">
        <v>41962</v>
      </c>
      <c r="O414" s="134">
        <v>958</v>
      </c>
      <c r="P414" s="132" t="s">
        <v>151</v>
      </c>
      <c r="Q414" s="132" t="s">
        <v>194</v>
      </c>
      <c r="R414" s="132" t="s">
        <v>153</v>
      </c>
      <c r="S414" s="133">
        <v>41673</v>
      </c>
      <c r="T414" s="134">
        <v>331</v>
      </c>
      <c r="U414" s="132" t="s">
        <v>154</v>
      </c>
      <c r="V414" s="132" t="s">
        <v>160</v>
      </c>
      <c r="W414" s="132" t="s">
        <v>153</v>
      </c>
      <c r="X414" s="133">
        <v>41651</v>
      </c>
      <c r="Y414" s="134">
        <v>855</v>
      </c>
    </row>
    <row r="415" spans="1:25" x14ac:dyDescent="0.25">
      <c r="A415" s="79" t="s">
        <v>148</v>
      </c>
      <c r="B415" s="12" t="s">
        <v>182</v>
      </c>
      <c r="C415" s="12" t="s">
        <v>158</v>
      </c>
      <c r="D415" s="80">
        <v>41823</v>
      </c>
      <c r="E415" s="81">
        <v>800</v>
      </c>
      <c r="F415" s="76" t="s">
        <v>150</v>
      </c>
      <c r="G415" s="77" t="s">
        <v>156</v>
      </c>
      <c r="H415" s="77" t="s">
        <v>153</v>
      </c>
      <c r="I415" s="86">
        <v>41892</v>
      </c>
      <c r="J415" s="78">
        <v>1205</v>
      </c>
      <c r="K415" s="132" t="s">
        <v>20</v>
      </c>
      <c r="L415" s="132" t="s">
        <v>167</v>
      </c>
      <c r="M415" s="132" t="s">
        <v>153</v>
      </c>
      <c r="N415" s="133">
        <v>41966</v>
      </c>
      <c r="O415" s="134">
        <v>1094</v>
      </c>
      <c r="P415" s="132" t="s">
        <v>151</v>
      </c>
      <c r="Q415" s="132" t="s">
        <v>194</v>
      </c>
      <c r="R415" s="132" t="s">
        <v>153</v>
      </c>
      <c r="S415" s="133">
        <v>41674</v>
      </c>
      <c r="T415" s="134">
        <v>782.4</v>
      </c>
      <c r="U415" s="132" t="s">
        <v>154</v>
      </c>
      <c r="V415" s="132" t="s">
        <v>160</v>
      </c>
      <c r="W415" s="132" t="s">
        <v>153</v>
      </c>
      <c r="X415" s="133">
        <v>41651</v>
      </c>
      <c r="Y415" s="134">
        <v>346</v>
      </c>
    </row>
    <row r="416" spans="1:25" x14ac:dyDescent="0.25">
      <c r="A416" s="79" t="s">
        <v>148</v>
      </c>
      <c r="B416" s="12" t="s">
        <v>182</v>
      </c>
      <c r="C416" s="12" t="s">
        <v>158</v>
      </c>
      <c r="D416" s="80">
        <v>41824</v>
      </c>
      <c r="E416" s="81">
        <v>820</v>
      </c>
      <c r="F416" s="76" t="s">
        <v>150</v>
      </c>
      <c r="G416" s="77" t="s">
        <v>156</v>
      </c>
      <c r="H416" s="77" t="s">
        <v>153</v>
      </c>
      <c r="I416" s="86">
        <v>41892</v>
      </c>
      <c r="J416" s="78">
        <v>1068</v>
      </c>
      <c r="K416" s="132" t="s">
        <v>20</v>
      </c>
      <c r="L416" s="132" t="s">
        <v>167</v>
      </c>
      <c r="M416" s="132" t="s">
        <v>153</v>
      </c>
      <c r="N416" s="133">
        <v>41974</v>
      </c>
      <c r="O416" s="134">
        <v>453</v>
      </c>
      <c r="P416" s="132" t="s">
        <v>151</v>
      </c>
      <c r="Q416" s="132" t="s">
        <v>194</v>
      </c>
      <c r="R416" s="132" t="s">
        <v>153</v>
      </c>
      <c r="S416" s="133">
        <v>41675</v>
      </c>
      <c r="T416" s="134">
        <v>560.29999999999995</v>
      </c>
      <c r="U416" s="132" t="s">
        <v>154</v>
      </c>
      <c r="V416" s="132" t="s">
        <v>160</v>
      </c>
      <c r="W416" s="132" t="s">
        <v>153</v>
      </c>
      <c r="X416" s="133">
        <v>41652</v>
      </c>
      <c r="Y416" s="134">
        <v>1000</v>
      </c>
    </row>
    <row r="417" spans="1:25" x14ac:dyDescent="0.25">
      <c r="A417" s="79" t="s">
        <v>148</v>
      </c>
      <c r="B417" s="12" t="s">
        <v>182</v>
      </c>
      <c r="C417" s="12" t="s">
        <v>158</v>
      </c>
      <c r="D417" s="80">
        <v>41825</v>
      </c>
      <c r="E417" s="81">
        <v>710</v>
      </c>
      <c r="F417" s="76" t="s">
        <v>150</v>
      </c>
      <c r="G417" s="77" t="s">
        <v>156</v>
      </c>
      <c r="H417" s="77" t="s">
        <v>153</v>
      </c>
      <c r="I417" s="86">
        <v>41893</v>
      </c>
      <c r="J417" s="78">
        <v>816</v>
      </c>
      <c r="K417" s="132" t="s">
        <v>20</v>
      </c>
      <c r="L417" s="132" t="s">
        <v>168</v>
      </c>
      <c r="M417" s="132" t="s">
        <v>153</v>
      </c>
      <c r="N417" s="133">
        <v>41639</v>
      </c>
      <c r="O417" s="134">
        <v>1087</v>
      </c>
      <c r="P417" s="132" t="s">
        <v>151</v>
      </c>
      <c r="Q417" s="132" t="s">
        <v>194</v>
      </c>
      <c r="R417" s="132" t="s">
        <v>153</v>
      </c>
      <c r="S417" s="133">
        <v>41676</v>
      </c>
      <c r="T417" s="134">
        <v>886</v>
      </c>
      <c r="U417" s="132" t="s">
        <v>154</v>
      </c>
      <c r="V417" s="132" t="s">
        <v>160</v>
      </c>
      <c r="W417" s="132" t="s">
        <v>153</v>
      </c>
      <c r="X417" s="133">
        <v>41653</v>
      </c>
      <c r="Y417" s="134">
        <v>746</v>
      </c>
    </row>
    <row r="418" spans="1:25" x14ac:dyDescent="0.25">
      <c r="A418" s="79" t="s">
        <v>148</v>
      </c>
      <c r="B418" s="12" t="s">
        <v>182</v>
      </c>
      <c r="C418" s="12" t="s">
        <v>158</v>
      </c>
      <c r="D418" s="80">
        <v>41828</v>
      </c>
      <c r="E418" s="81">
        <v>1600</v>
      </c>
      <c r="F418" s="76" t="s">
        <v>150</v>
      </c>
      <c r="G418" s="77" t="s">
        <v>156</v>
      </c>
      <c r="H418" s="77" t="s">
        <v>153</v>
      </c>
      <c r="I418" s="86">
        <v>41894</v>
      </c>
      <c r="J418" s="78">
        <v>506</v>
      </c>
      <c r="K418" s="132" t="s">
        <v>20</v>
      </c>
      <c r="L418" s="132" t="s">
        <v>168</v>
      </c>
      <c r="M418" s="132" t="s">
        <v>153</v>
      </c>
      <c r="N418" s="133">
        <v>41652</v>
      </c>
      <c r="O418" s="134">
        <v>499</v>
      </c>
      <c r="P418" s="132" t="s">
        <v>151</v>
      </c>
      <c r="Q418" s="132" t="s">
        <v>194</v>
      </c>
      <c r="R418" s="132" t="s">
        <v>153</v>
      </c>
      <c r="S418" s="133">
        <v>41682</v>
      </c>
      <c r="T418" s="134">
        <v>290</v>
      </c>
      <c r="U418" s="132" t="s">
        <v>154</v>
      </c>
      <c r="V418" s="132" t="s">
        <v>160</v>
      </c>
      <c r="W418" s="132" t="s">
        <v>153</v>
      </c>
      <c r="X418" s="133">
        <v>41653</v>
      </c>
      <c r="Y418" s="134">
        <v>350</v>
      </c>
    </row>
    <row r="419" spans="1:25" x14ac:dyDescent="0.25">
      <c r="A419" s="79" t="s">
        <v>148</v>
      </c>
      <c r="B419" s="12" t="s">
        <v>182</v>
      </c>
      <c r="C419" s="12" t="s">
        <v>158</v>
      </c>
      <c r="D419" s="80">
        <v>41829</v>
      </c>
      <c r="E419" s="81">
        <v>1002</v>
      </c>
      <c r="F419" s="76" t="s">
        <v>150</v>
      </c>
      <c r="G419" s="77" t="s">
        <v>156</v>
      </c>
      <c r="H419" s="77" t="s">
        <v>153</v>
      </c>
      <c r="I419" s="86">
        <v>41897</v>
      </c>
      <c r="J419" s="78">
        <v>752</v>
      </c>
      <c r="K419" s="132" t="s">
        <v>20</v>
      </c>
      <c r="L419" s="132" t="s">
        <v>168</v>
      </c>
      <c r="M419" s="132" t="s">
        <v>153</v>
      </c>
      <c r="N419" s="133">
        <v>41653</v>
      </c>
      <c r="O419" s="134">
        <v>491</v>
      </c>
      <c r="P419" s="132" t="s">
        <v>151</v>
      </c>
      <c r="Q419" s="132" t="s">
        <v>194</v>
      </c>
      <c r="R419" s="132" t="s">
        <v>153</v>
      </c>
      <c r="S419" s="133">
        <v>41683</v>
      </c>
      <c r="T419" s="134">
        <v>429.3</v>
      </c>
      <c r="U419" s="132" t="s">
        <v>154</v>
      </c>
      <c r="V419" s="132" t="s">
        <v>160</v>
      </c>
      <c r="W419" s="132" t="s">
        <v>153</v>
      </c>
      <c r="X419" s="133">
        <v>41654</v>
      </c>
      <c r="Y419" s="134">
        <v>1000</v>
      </c>
    </row>
    <row r="420" spans="1:25" x14ac:dyDescent="0.25">
      <c r="A420" s="79" t="s">
        <v>148</v>
      </c>
      <c r="B420" s="12" t="s">
        <v>182</v>
      </c>
      <c r="C420" s="12" t="s">
        <v>158</v>
      </c>
      <c r="D420" s="80">
        <v>41830</v>
      </c>
      <c r="E420" s="81">
        <v>793</v>
      </c>
      <c r="F420" s="76" t="s">
        <v>150</v>
      </c>
      <c r="G420" s="77" t="s">
        <v>156</v>
      </c>
      <c r="H420" s="77" t="s">
        <v>153</v>
      </c>
      <c r="I420" s="86">
        <v>41899</v>
      </c>
      <c r="J420" s="78">
        <v>800</v>
      </c>
      <c r="K420" s="132" t="s">
        <v>20</v>
      </c>
      <c r="L420" s="132" t="s">
        <v>168</v>
      </c>
      <c r="M420" s="132" t="s">
        <v>153</v>
      </c>
      <c r="N420" s="133">
        <v>41654</v>
      </c>
      <c r="O420" s="134">
        <v>552</v>
      </c>
      <c r="P420" s="132" t="s">
        <v>151</v>
      </c>
      <c r="Q420" s="132" t="s">
        <v>194</v>
      </c>
      <c r="R420" s="132" t="s">
        <v>153</v>
      </c>
      <c r="S420" s="133">
        <v>41697</v>
      </c>
      <c r="T420" s="134">
        <v>945.8</v>
      </c>
      <c r="U420" s="132" t="s">
        <v>154</v>
      </c>
      <c r="V420" s="132" t="s">
        <v>160</v>
      </c>
      <c r="W420" s="132" t="s">
        <v>153</v>
      </c>
      <c r="X420" s="133">
        <v>41655</v>
      </c>
      <c r="Y420" s="134">
        <v>557</v>
      </c>
    </row>
    <row r="421" spans="1:25" x14ac:dyDescent="0.25">
      <c r="A421" s="79" t="s">
        <v>148</v>
      </c>
      <c r="B421" s="12" t="s">
        <v>182</v>
      </c>
      <c r="C421" s="12" t="s">
        <v>158</v>
      </c>
      <c r="D421" s="80">
        <v>41831</v>
      </c>
      <c r="E421" s="81">
        <v>784</v>
      </c>
      <c r="F421" s="76" t="s">
        <v>150</v>
      </c>
      <c r="G421" s="77" t="s">
        <v>156</v>
      </c>
      <c r="H421" s="77" t="s">
        <v>153</v>
      </c>
      <c r="I421" s="86">
        <v>41904</v>
      </c>
      <c r="J421" s="78">
        <v>761</v>
      </c>
      <c r="K421" s="132" t="s">
        <v>20</v>
      </c>
      <c r="L421" s="132" t="s">
        <v>168</v>
      </c>
      <c r="M421" s="132" t="s">
        <v>153</v>
      </c>
      <c r="N421" s="133">
        <v>41734</v>
      </c>
      <c r="O421" s="134">
        <v>590</v>
      </c>
      <c r="P421" s="132" t="s">
        <v>151</v>
      </c>
      <c r="Q421" s="132" t="s">
        <v>194</v>
      </c>
      <c r="R421" s="132" t="s">
        <v>153</v>
      </c>
      <c r="S421" s="133">
        <v>41729</v>
      </c>
      <c r="T421" s="134">
        <v>490.4</v>
      </c>
      <c r="U421" s="132" t="s">
        <v>154</v>
      </c>
      <c r="V421" s="132" t="s">
        <v>160</v>
      </c>
      <c r="W421" s="132" t="s">
        <v>153</v>
      </c>
      <c r="X421" s="133">
        <v>41655</v>
      </c>
      <c r="Y421" s="134">
        <v>530</v>
      </c>
    </row>
    <row r="422" spans="1:25" x14ac:dyDescent="0.25">
      <c r="A422" s="79" t="s">
        <v>148</v>
      </c>
      <c r="B422" s="12" t="s">
        <v>182</v>
      </c>
      <c r="C422" s="12" t="s">
        <v>158</v>
      </c>
      <c r="D422" s="80">
        <v>41832</v>
      </c>
      <c r="E422" s="81">
        <v>525</v>
      </c>
      <c r="F422" s="76" t="s">
        <v>150</v>
      </c>
      <c r="G422" s="77" t="s">
        <v>156</v>
      </c>
      <c r="H422" s="77" t="s">
        <v>153</v>
      </c>
      <c r="I422" s="86">
        <v>41906</v>
      </c>
      <c r="J422" s="78">
        <v>668</v>
      </c>
      <c r="K422" s="132" t="s">
        <v>20</v>
      </c>
      <c r="L422" s="132" t="s">
        <v>168</v>
      </c>
      <c r="M422" s="132" t="s">
        <v>153</v>
      </c>
      <c r="N422" s="133">
        <v>41736</v>
      </c>
      <c r="O422" s="134">
        <v>886</v>
      </c>
      <c r="P422" s="132" t="s">
        <v>151</v>
      </c>
      <c r="Q422" s="132" t="s">
        <v>194</v>
      </c>
      <c r="R422" s="132" t="s">
        <v>153</v>
      </c>
      <c r="S422" s="133">
        <v>41730</v>
      </c>
      <c r="T422" s="134">
        <v>597.20000000000005</v>
      </c>
      <c r="U422" s="132" t="s">
        <v>154</v>
      </c>
      <c r="V422" s="132" t="s">
        <v>160</v>
      </c>
      <c r="W422" s="132" t="s">
        <v>153</v>
      </c>
      <c r="X422" s="133">
        <v>41673</v>
      </c>
      <c r="Y422" s="134">
        <v>1154</v>
      </c>
    </row>
    <row r="423" spans="1:25" x14ac:dyDescent="0.25">
      <c r="A423" s="79" t="s">
        <v>148</v>
      </c>
      <c r="B423" s="12" t="s">
        <v>182</v>
      </c>
      <c r="C423" s="12" t="s">
        <v>158</v>
      </c>
      <c r="D423" s="80">
        <v>41833</v>
      </c>
      <c r="E423" s="81">
        <v>760</v>
      </c>
      <c r="F423" s="76" t="s">
        <v>150</v>
      </c>
      <c r="G423" s="77" t="s">
        <v>156</v>
      </c>
      <c r="H423" s="77" t="s">
        <v>153</v>
      </c>
      <c r="I423" s="86">
        <v>41908</v>
      </c>
      <c r="J423" s="78">
        <v>954</v>
      </c>
      <c r="K423" s="132" t="s">
        <v>20</v>
      </c>
      <c r="L423" s="132" t="s">
        <v>168</v>
      </c>
      <c r="M423" s="132" t="s">
        <v>153</v>
      </c>
      <c r="N423" s="133">
        <v>41740</v>
      </c>
      <c r="O423" s="134">
        <v>478</v>
      </c>
      <c r="P423" s="132" t="s">
        <v>151</v>
      </c>
      <c r="Q423" s="132" t="s">
        <v>194</v>
      </c>
      <c r="R423" s="132" t="s">
        <v>153</v>
      </c>
      <c r="S423" s="133">
        <v>41731</v>
      </c>
      <c r="T423" s="134">
        <v>730</v>
      </c>
      <c r="U423" s="132" t="s">
        <v>154</v>
      </c>
      <c r="V423" s="132" t="s">
        <v>160</v>
      </c>
      <c r="W423" s="132" t="s">
        <v>153</v>
      </c>
      <c r="X423" s="133">
        <v>41673</v>
      </c>
      <c r="Y423" s="134">
        <v>250</v>
      </c>
    </row>
    <row r="424" spans="1:25" x14ac:dyDescent="0.25">
      <c r="A424" s="79" t="s">
        <v>148</v>
      </c>
      <c r="B424" s="12" t="s">
        <v>182</v>
      </c>
      <c r="C424" s="12" t="s">
        <v>158</v>
      </c>
      <c r="D424" s="80">
        <v>41834</v>
      </c>
      <c r="E424" s="81">
        <v>880</v>
      </c>
      <c r="F424" s="76" t="s">
        <v>150</v>
      </c>
      <c r="G424" s="77" t="s">
        <v>156</v>
      </c>
      <c r="H424" s="77" t="s">
        <v>153</v>
      </c>
      <c r="I424" s="86">
        <v>41911</v>
      </c>
      <c r="J424" s="78">
        <v>1178</v>
      </c>
      <c r="K424" s="132" t="s">
        <v>20</v>
      </c>
      <c r="L424" s="132" t="s">
        <v>168</v>
      </c>
      <c r="M424" s="132" t="s">
        <v>153</v>
      </c>
      <c r="N424" s="133">
        <v>41749</v>
      </c>
      <c r="O424" s="134">
        <v>473</v>
      </c>
      <c r="P424" s="132" t="s">
        <v>151</v>
      </c>
      <c r="Q424" s="132" t="s">
        <v>194</v>
      </c>
      <c r="R424" s="132" t="s">
        <v>153</v>
      </c>
      <c r="S424" s="133">
        <v>41747</v>
      </c>
      <c r="T424" s="134">
        <v>556.4</v>
      </c>
      <c r="U424" s="132" t="s">
        <v>154</v>
      </c>
      <c r="V424" s="132" t="s">
        <v>160</v>
      </c>
      <c r="W424" s="132" t="s">
        <v>153</v>
      </c>
      <c r="X424" s="133">
        <v>41674</v>
      </c>
      <c r="Y424" s="134">
        <v>600</v>
      </c>
    </row>
    <row r="425" spans="1:25" x14ac:dyDescent="0.25">
      <c r="A425" s="79" t="s">
        <v>148</v>
      </c>
      <c r="B425" s="12" t="s">
        <v>182</v>
      </c>
      <c r="C425" s="12" t="s">
        <v>158</v>
      </c>
      <c r="D425" s="80">
        <v>41835</v>
      </c>
      <c r="E425" s="81">
        <v>801</v>
      </c>
      <c r="F425" s="76" t="s">
        <v>150</v>
      </c>
      <c r="G425" s="77" t="s">
        <v>156</v>
      </c>
      <c r="H425" s="77" t="s">
        <v>153</v>
      </c>
      <c r="I425" s="86">
        <v>41912</v>
      </c>
      <c r="J425" s="78">
        <v>857</v>
      </c>
      <c r="K425" s="132" t="s">
        <v>20</v>
      </c>
      <c r="L425" s="132" t="s">
        <v>168</v>
      </c>
      <c r="M425" s="132" t="s">
        <v>153</v>
      </c>
      <c r="N425" s="133">
        <v>41754</v>
      </c>
      <c r="O425" s="134">
        <v>470</v>
      </c>
      <c r="P425" s="132" t="s">
        <v>151</v>
      </c>
      <c r="Q425" s="132" t="s">
        <v>194</v>
      </c>
      <c r="R425" s="132" t="s">
        <v>153</v>
      </c>
      <c r="S425" s="133">
        <v>41866</v>
      </c>
      <c r="T425" s="134">
        <v>1055.2</v>
      </c>
      <c r="U425" s="132" t="s">
        <v>154</v>
      </c>
      <c r="V425" s="132" t="s">
        <v>160</v>
      </c>
      <c r="W425" s="132" t="s">
        <v>153</v>
      </c>
      <c r="X425" s="133">
        <v>41675</v>
      </c>
      <c r="Y425" s="134">
        <v>201</v>
      </c>
    </row>
    <row r="426" spans="1:25" x14ac:dyDescent="0.25">
      <c r="A426" s="79" t="s">
        <v>148</v>
      </c>
      <c r="B426" s="12" t="s">
        <v>182</v>
      </c>
      <c r="C426" s="12" t="s">
        <v>158</v>
      </c>
      <c r="D426" s="80">
        <v>41836</v>
      </c>
      <c r="E426" s="81">
        <v>840</v>
      </c>
      <c r="F426" s="76" t="s">
        <v>150</v>
      </c>
      <c r="G426" s="77" t="s">
        <v>156</v>
      </c>
      <c r="H426" s="77" t="s">
        <v>153</v>
      </c>
      <c r="I426" s="86">
        <v>41914</v>
      </c>
      <c r="J426" s="78">
        <v>955</v>
      </c>
      <c r="K426" s="132" t="s">
        <v>20</v>
      </c>
      <c r="L426" s="132" t="s">
        <v>168</v>
      </c>
      <c r="M426" s="132" t="s">
        <v>153</v>
      </c>
      <c r="N426" s="133">
        <v>41774</v>
      </c>
      <c r="O426" s="134">
        <v>907</v>
      </c>
      <c r="P426" s="132" t="s">
        <v>151</v>
      </c>
      <c r="Q426" s="132" t="s">
        <v>194</v>
      </c>
      <c r="R426" s="132" t="s">
        <v>153</v>
      </c>
      <c r="S426" s="133">
        <v>41869</v>
      </c>
      <c r="T426" s="134">
        <v>559.9</v>
      </c>
      <c r="U426" s="132" t="s">
        <v>154</v>
      </c>
      <c r="V426" s="132" t="s">
        <v>160</v>
      </c>
      <c r="W426" s="132" t="s">
        <v>153</v>
      </c>
      <c r="X426" s="133">
        <v>41675</v>
      </c>
      <c r="Y426" s="134">
        <v>627</v>
      </c>
    </row>
    <row r="427" spans="1:25" x14ac:dyDescent="0.25">
      <c r="A427" s="79" t="s">
        <v>148</v>
      </c>
      <c r="B427" s="12" t="s">
        <v>182</v>
      </c>
      <c r="C427" s="12" t="s">
        <v>158</v>
      </c>
      <c r="D427" s="80">
        <v>41837</v>
      </c>
      <c r="E427" s="81">
        <v>600</v>
      </c>
      <c r="F427" s="76" t="s">
        <v>150</v>
      </c>
      <c r="G427" s="77" t="s">
        <v>156</v>
      </c>
      <c r="H427" s="77" t="s">
        <v>153</v>
      </c>
      <c r="I427" s="86">
        <v>41920</v>
      </c>
      <c r="J427" s="78">
        <v>884</v>
      </c>
      <c r="K427" s="132" t="s">
        <v>20</v>
      </c>
      <c r="L427" s="132" t="s">
        <v>168</v>
      </c>
      <c r="M427" s="132" t="s">
        <v>153</v>
      </c>
      <c r="N427" s="133">
        <v>41789</v>
      </c>
      <c r="O427" s="134">
        <v>961</v>
      </c>
      <c r="P427" s="132" t="s">
        <v>151</v>
      </c>
      <c r="Q427" s="132" t="s">
        <v>194</v>
      </c>
      <c r="R427" s="132" t="s">
        <v>153</v>
      </c>
      <c r="S427" s="133">
        <v>41870</v>
      </c>
      <c r="T427" s="134">
        <v>749.8</v>
      </c>
      <c r="U427" s="132" t="s">
        <v>154</v>
      </c>
      <c r="V427" s="132" t="s">
        <v>160</v>
      </c>
      <c r="W427" s="132" t="s">
        <v>153</v>
      </c>
      <c r="X427" s="133">
        <v>41829</v>
      </c>
      <c r="Y427" s="134">
        <v>470</v>
      </c>
    </row>
    <row r="428" spans="1:25" x14ac:dyDescent="0.25">
      <c r="A428" s="79" t="s">
        <v>148</v>
      </c>
      <c r="B428" s="12" t="s">
        <v>182</v>
      </c>
      <c r="C428" s="12" t="s">
        <v>158</v>
      </c>
      <c r="D428" s="80">
        <v>41838</v>
      </c>
      <c r="E428" s="81">
        <v>974</v>
      </c>
      <c r="F428" s="76" t="s">
        <v>150</v>
      </c>
      <c r="G428" s="77" t="s">
        <v>156</v>
      </c>
      <c r="H428" s="77" t="s">
        <v>153</v>
      </c>
      <c r="I428" s="86">
        <v>41924</v>
      </c>
      <c r="J428" s="78">
        <v>697</v>
      </c>
      <c r="K428" s="132" t="s">
        <v>20</v>
      </c>
      <c r="L428" s="132" t="s">
        <v>168</v>
      </c>
      <c r="M428" s="132" t="s">
        <v>153</v>
      </c>
      <c r="N428" s="133">
        <v>41791</v>
      </c>
      <c r="O428" s="134">
        <v>1039</v>
      </c>
      <c r="P428" s="132" t="s">
        <v>151</v>
      </c>
      <c r="Q428" s="132" t="s">
        <v>194</v>
      </c>
      <c r="R428" s="132" t="s">
        <v>153</v>
      </c>
      <c r="S428" s="133">
        <v>41871</v>
      </c>
      <c r="T428" s="134">
        <v>877.5</v>
      </c>
      <c r="U428" s="132" t="s">
        <v>154</v>
      </c>
      <c r="V428" s="132" t="s">
        <v>160</v>
      </c>
      <c r="W428" s="132" t="s">
        <v>153</v>
      </c>
      <c r="X428" s="133">
        <v>41833</v>
      </c>
      <c r="Y428" s="134">
        <v>717</v>
      </c>
    </row>
    <row r="429" spans="1:25" x14ac:dyDescent="0.25">
      <c r="A429" s="79" t="s">
        <v>148</v>
      </c>
      <c r="B429" s="12" t="s">
        <v>182</v>
      </c>
      <c r="C429" s="12" t="s">
        <v>158</v>
      </c>
      <c r="D429" s="80">
        <v>41848</v>
      </c>
      <c r="E429" s="81">
        <v>1151</v>
      </c>
      <c r="F429" s="76" t="s">
        <v>150</v>
      </c>
      <c r="G429" s="77" t="s">
        <v>156</v>
      </c>
      <c r="H429" s="77" t="s">
        <v>153</v>
      </c>
      <c r="I429" s="86">
        <v>41925</v>
      </c>
      <c r="J429" s="78">
        <v>868</v>
      </c>
      <c r="K429" s="132" t="s">
        <v>20</v>
      </c>
      <c r="L429" s="132" t="s">
        <v>168</v>
      </c>
      <c r="M429" s="132" t="s">
        <v>153</v>
      </c>
      <c r="N429" s="133">
        <v>41793</v>
      </c>
      <c r="O429" s="134">
        <v>995</v>
      </c>
      <c r="P429" s="132" t="s">
        <v>151</v>
      </c>
      <c r="Q429" s="132" t="s">
        <v>194</v>
      </c>
      <c r="R429" s="132" t="s">
        <v>153</v>
      </c>
      <c r="S429" s="133">
        <v>41872</v>
      </c>
      <c r="T429" s="134">
        <v>864.9</v>
      </c>
      <c r="U429" s="132" t="s">
        <v>154</v>
      </c>
      <c r="V429" s="132" t="s">
        <v>160</v>
      </c>
      <c r="W429" s="132" t="s">
        <v>153</v>
      </c>
      <c r="X429" s="133">
        <v>41834</v>
      </c>
      <c r="Y429" s="134">
        <v>888</v>
      </c>
    </row>
    <row r="430" spans="1:25" x14ac:dyDescent="0.25">
      <c r="A430" s="79" t="s">
        <v>148</v>
      </c>
      <c r="B430" s="12" t="s">
        <v>182</v>
      </c>
      <c r="C430" s="12" t="s">
        <v>158</v>
      </c>
      <c r="D430" s="80">
        <v>41850</v>
      </c>
      <c r="E430" s="81">
        <v>850</v>
      </c>
      <c r="F430" s="76" t="s">
        <v>150</v>
      </c>
      <c r="G430" s="77" t="s">
        <v>156</v>
      </c>
      <c r="H430" s="77" t="s">
        <v>153</v>
      </c>
      <c r="I430" s="86">
        <v>41938</v>
      </c>
      <c r="J430" s="78">
        <v>679</v>
      </c>
      <c r="K430" s="132" t="s">
        <v>20</v>
      </c>
      <c r="L430" s="132" t="s">
        <v>168</v>
      </c>
      <c r="M430" s="132" t="s">
        <v>153</v>
      </c>
      <c r="N430" s="133">
        <v>41804</v>
      </c>
      <c r="O430" s="134">
        <v>531</v>
      </c>
      <c r="P430" s="132" t="s">
        <v>151</v>
      </c>
      <c r="Q430" s="132" t="s">
        <v>194</v>
      </c>
      <c r="R430" s="132" t="s">
        <v>153</v>
      </c>
      <c r="S430" s="133">
        <v>41873</v>
      </c>
      <c r="T430" s="134">
        <v>995.2</v>
      </c>
      <c r="U430" s="132" t="s">
        <v>154</v>
      </c>
      <c r="V430" s="132" t="s">
        <v>160</v>
      </c>
      <c r="W430" s="132" t="s">
        <v>153</v>
      </c>
      <c r="X430" s="133">
        <v>41835</v>
      </c>
      <c r="Y430" s="134">
        <v>801</v>
      </c>
    </row>
    <row r="431" spans="1:25" x14ac:dyDescent="0.25">
      <c r="A431" s="79" t="s">
        <v>148</v>
      </c>
      <c r="B431" s="12" t="s">
        <v>182</v>
      </c>
      <c r="C431" s="12" t="s">
        <v>158</v>
      </c>
      <c r="D431" s="80">
        <v>41851</v>
      </c>
      <c r="E431" s="81">
        <v>871</v>
      </c>
      <c r="F431" s="76" t="s">
        <v>150</v>
      </c>
      <c r="G431" s="77" t="s">
        <v>156</v>
      </c>
      <c r="H431" s="77" t="s">
        <v>153</v>
      </c>
      <c r="I431" s="86">
        <v>41941</v>
      </c>
      <c r="J431" s="78">
        <v>877</v>
      </c>
      <c r="K431" s="132" t="s">
        <v>20</v>
      </c>
      <c r="L431" s="132" t="s">
        <v>168</v>
      </c>
      <c r="M431" s="132" t="s">
        <v>153</v>
      </c>
      <c r="N431" s="133">
        <v>41806</v>
      </c>
      <c r="O431" s="134">
        <v>1154</v>
      </c>
      <c r="P431" s="132" t="s">
        <v>151</v>
      </c>
      <c r="Q431" s="132" t="s">
        <v>194</v>
      </c>
      <c r="R431" s="132" t="s">
        <v>153</v>
      </c>
      <c r="S431" s="133">
        <v>41876</v>
      </c>
      <c r="T431" s="134">
        <v>795.5</v>
      </c>
      <c r="U431" s="132" t="s">
        <v>154</v>
      </c>
      <c r="V431" s="132" t="s">
        <v>160</v>
      </c>
      <c r="W431" s="132" t="s">
        <v>153</v>
      </c>
      <c r="X431" s="133">
        <v>41836</v>
      </c>
      <c r="Y431" s="134">
        <v>801</v>
      </c>
    </row>
    <row r="432" spans="1:25" x14ac:dyDescent="0.25">
      <c r="A432" s="79" t="s">
        <v>148</v>
      </c>
      <c r="B432" s="12" t="s">
        <v>182</v>
      </c>
      <c r="C432" s="12" t="s">
        <v>158</v>
      </c>
      <c r="D432" s="80">
        <v>41852</v>
      </c>
      <c r="E432" s="81">
        <v>957</v>
      </c>
      <c r="F432" s="76" t="s">
        <v>150</v>
      </c>
      <c r="G432" s="77" t="s">
        <v>156</v>
      </c>
      <c r="H432" s="77" t="s">
        <v>153</v>
      </c>
      <c r="I432" s="86">
        <v>41942</v>
      </c>
      <c r="J432" s="78">
        <v>621</v>
      </c>
      <c r="K432" s="132" t="s">
        <v>20</v>
      </c>
      <c r="L432" s="132" t="s">
        <v>168</v>
      </c>
      <c r="M432" s="132" t="s">
        <v>153</v>
      </c>
      <c r="N432" s="133">
        <v>41881</v>
      </c>
      <c r="O432" s="134">
        <v>1948</v>
      </c>
      <c r="P432" s="132" t="s">
        <v>151</v>
      </c>
      <c r="Q432" s="132" t="s">
        <v>194</v>
      </c>
      <c r="R432" s="132" t="s">
        <v>153</v>
      </c>
      <c r="S432" s="133">
        <v>41877</v>
      </c>
      <c r="T432" s="134">
        <v>843.9</v>
      </c>
      <c r="U432" s="132" t="s">
        <v>154</v>
      </c>
      <c r="V432" s="132" t="s">
        <v>160</v>
      </c>
      <c r="W432" s="132" t="s">
        <v>153</v>
      </c>
      <c r="X432" s="133">
        <v>41837</v>
      </c>
      <c r="Y432" s="134">
        <v>800</v>
      </c>
    </row>
    <row r="433" spans="1:25" x14ac:dyDescent="0.25">
      <c r="A433" s="79" t="s">
        <v>148</v>
      </c>
      <c r="B433" s="12" t="s">
        <v>182</v>
      </c>
      <c r="C433" s="12" t="s">
        <v>158</v>
      </c>
      <c r="D433" s="80">
        <v>41853</v>
      </c>
      <c r="E433" s="81">
        <v>600</v>
      </c>
      <c r="F433" s="76" t="s">
        <v>150</v>
      </c>
      <c r="G433" s="77" t="s">
        <v>156</v>
      </c>
      <c r="H433" s="77" t="s">
        <v>153</v>
      </c>
      <c r="I433" s="86">
        <v>41942</v>
      </c>
      <c r="J433" s="78">
        <v>688</v>
      </c>
      <c r="K433" s="132" t="s">
        <v>20</v>
      </c>
      <c r="L433" s="132" t="s">
        <v>168</v>
      </c>
      <c r="M433" s="132" t="s">
        <v>153</v>
      </c>
      <c r="N433" s="133">
        <v>41886</v>
      </c>
      <c r="O433" s="134">
        <v>59</v>
      </c>
      <c r="P433" s="132" t="s">
        <v>151</v>
      </c>
      <c r="Q433" s="132" t="s">
        <v>194</v>
      </c>
      <c r="R433" s="132" t="s">
        <v>153</v>
      </c>
      <c r="S433" s="133">
        <v>41878</v>
      </c>
      <c r="T433" s="134">
        <v>810.9</v>
      </c>
      <c r="U433" s="132" t="s">
        <v>154</v>
      </c>
      <c r="V433" s="132" t="s">
        <v>160</v>
      </c>
      <c r="W433" s="132" t="s">
        <v>153</v>
      </c>
      <c r="X433" s="133">
        <v>41838</v>
      </c>
      <c r="Y433" s="134">
        <v>781</v>
      </c>
    </row>
    <row r="434" spans="1:25" x14ac:dyDescent="0.25">
      <c r="A434" s="79" t="s">
        <v>148</v>
      </c>
      <c r="B434" s="12" t="s">
        <v>182</v>
      </c>
      <c r="C434" s="12" t="s">
        <v>158</v>
      </c>
      <c r="D434" s="80">
        <v>41854</v>
      </c>
      <c r="E434" s="81">
        <v>860</v>
      </c>
      <c r="F434" s="76" t="s">
        <v>150</v>
      </c>
      <c r="G434" s="77" t="s">
        <v>156</v>
      </c>
      <c r="H434" s="77" t="s">
        <v>153</v>
      </c>
      <c r="I434" s="86">
        <v>41943</v>
      </c>
      <c r="J434" s="78">
        <v>451</v>
      </c>
      <c r="K434" s="132" t="s">
        <v>20</v>
      </c>
      <c r="L434" s="132" t="s">
        <v>168</v>
      </c>
      <c r="M434" s="132" t="s">
        <v>153</v>
      </c>
      <c r="N434" s="133">
        <v>41983</v>
      </c>
      <c r="O434" s="134">
        <v>789</v>
      </c>
      <c r="P434" s="132" t="s">
        <v>151</v>
      </c>
      <c r="Q434" s="132" t="s">
        <v>194</v>
      </c>
      <c r="R434" s="132" t="s">
        <v>153</v>
      </c>
      <c r="S434" s="133">
        <v>41879</v>
      </c>
      <c r="T434" s="134">
        <v>824.1</v>
      </c>
      <c r="U434" s="132" t="s">
        <v>154</v>
      </c>
      <c r="V434" s="132" t="s">
        <v>160</v>
      </c>
      <c r="W434" s="132" t="s">
        <v>153</v>
      </c>
      <c r="X434" s="133">
        <v>41839</v>
      </c>
      <c r="Y434" s="134">
        <v>405</v>
      </c>
    </row>
    <row r="435" spans="1:25" x14ac:dyDescent="0.25">
      <c r="A435" s="79" t="s">
        <v>148</v>
      </c>
      <c r="B435" s="12" t="s">
        <v>182</v>
      </c>
      <c r="C435" s="12" t="s">
        <v>158</v>
      </c>
      <c r="D435" s="80">
        <v>41855</v>
      </c>
      <c r="E435" s="81">
        <v>950</v>
      </c>
      <c r="F435" s="76" t="s">
        <v>150</v>
      </c>
      <c r="G435" s="77" t="s">
        <v>156</v>
      </c>
      <c r="H435" s="77" t="s">
        <v>153</v>
      </c>
      <c r="I435" s="86">
        <v>41947</v>
      </c>
      <c r="J435" s="78">
        <v>669</v>
      </c>
      <c r="K435" s="132" t="s">
        <v>20</v>
      </c>
      <c r="L435" s="132" t="s">
        <v>168</v>
      </c>
      <c r="M435" s="132" t="s">
        <v>153</v>
      </c>
      <c r="N435" s="133">
        <v>41991</v>
      </c>
      <c r="O435" s="134">
        <v>806</v>
      </c>
      <c r="P435" s="132" t="s">
        <v>151</v>
      </c>
      <c r="Q435" s="132" t="s">
        <v>194</v>
      </c>
      <c r="R435" s="132" t="s">
        <v>153</v>
      </c>
      <c r="S435" s="133">
        <v>41906</v>
      </c>
      <c r="T435" s="134">
        <v>461.7</v>
      </c>
      <c r="U435" s="132" t="s">
        <v>154</v>
      </c>
      <c r="V435" s="132" t="s">
        <v>160</v>
      </c>
      <c r="W435" s="132" t="s">
        <v>153</v>
      </c>
      <c r="X435" s="133">
        <v>41839</v>
      </c>
      <c r="Y435" s="134">
        <v>528</v>
      </c>
    </row>
    <row r="436" spans="1:25" x14ac:dyDescent="0.25">
      <c r="A436" s="79" t="s">
        <v>148</v>
      </c>
      <c r="B436" s="12" t="s">
        <v>182</v>
      </c>
      <c r="C436" s="12" t="s">
        <v>158</v>
      </c>
      <c r="D436" s="80">
        <v>41856</v>
      </c>
      <c r="E436" s="81">
        <v>900</v>
      </c>
      <c r="F436" s="76" t="s">
        <v>150</v>
      </c>
      <c r="G436" s="77" t="s">
        <v>156</v>
      </c>
      <c r="H436" s="77" t="s">
        <v>153</v>
      </c>
      <c r="I436" s="86">
        <v>41948</v>
      </c>
      <c r="J436" s="78">
        <v>565</v>
      </c>
      <c r="K436" s="132" t="s">
        <v>20</v>
      </c>
      <c r="L436" s="132" t="s">
        <v>168</v>
      </c>
      <c r="M436" s="132" t="s">
        <v>153</v>
      </c>
      <c r="N436" s="133">
        <v>41994</v>
      </c>
      <c r="O436" s="134">
        <v>949</v>
      </c>
      <c r="P436" s="132" t="s">
        <v>151</v>
      </c>
      <c r="Q436" s="132" t="s">
        <v>194</v>
      </c>
      <c r="R436" s="132" t="s">
        <v>153</v>
      </c>
      <c r="S436" s="133">
        <v>41907</v>
      </c>
      <c r="T436" s="134">
        <v>308.7</v>
      </c>
      <c r="U436" s="132" t="s">
        <v>154</v>
      </c>
      <c r="V436" s="132" t="s">
        <v>160</v>
      </c>
      <c r="W436" s="132" t="s">
        <v>153</v>
      </c>
      <c r="X436" s="133">
        <v>41840</v>
      </c>
      <c r="Y436" s="134">
        <v>551</v>
      </c>
    </row>
    <row r="437" spans="1:25" x14ac:dyDescent="0.25">
      <c r="A437" s="79" t="s">
        <v>148</v>
      </c>
      <c r="B437" s="12" t="s">
        <v>182</v>
      </c>
      <c r="C437" s="12" t="s">
        <v>158</v>
      </c>
      <c r="D437" s="80">
        <v>41857</v>
      </c>
      <c r="E437" s="81">
        <v>900</v>
      </c>
      <c r="F437" s="76" t="s">
        <v>150</v>
      </c>
      <c r="G437" s="77" t="s">
        <v>156</v>
      </c>
      <c r="H437" s="77" t="s">
        <v>153</v>
      </c>
      <c r="I437" s="86">
        <v>41949</v>
      </c>
      <c r="J437" s="78">
        <v>773</v>
      </c>
      <c r="K437" s="132" t="s">
        <v>20</v>
      </c>
      <c r="L437" s="132" t="s">
        <v>194</v>
      </c>
      <c r="M437" s="132" t="s">
        <v>153</v>
      </c>
      <c r="N437" s="133">
        <v>41651</v>
      </c>
      <c r="O437" s="134">
        <v>1072</v>
      </c>
      <c r="P437" s="132" t="s">
        <v>151</v>
      </c>
      <c r="Q437" s="132" t="s">
        <v>194</v>
      </c>
      <c r="R437" s="132" t="s">
        <v>153</v>
      </c>
      <c r="S437" s="133">
        <v>41908</v>
      </c>
      <c r="T437" s="134">
        <v>186</v>
      </c>
      <c r="U437" s="132" t="s">
        <v>154</v>
      </c>
      <c r="V437" s="132" t="s">
        <v>160</v>
      </c>
      <c r="W437" s="132" t="s">
        <v>153</v>
      </c>
      <c r="X437" s="133">
        <v>41840</v>
      </c>
      <c r="Y437" s="134">
        <v>798</v>
      </c>
    </row>
    <row r="438" spans="1:25" x14ac:dyDescent="0.25">
      <c r="A438" s="79" t="s">
        <v>148</v>
      </c>
      <c r="B438" s="12" t="s">
        <v>182</v>
      </c>
      <c r="C438" s="12" t="s">
        <v>158</v>
      </c>
      <c r="D438" s="80">
        <v>41858</v>
      </c>
      <c r="E438" s="81">
        <v>870</v>
      </c>
      <c r="F438" s="76" t="s">
        <v>150</v>
      </c>
      <c r="G438" s="77" t="s">
        <v>156</v>
      </c>
      <c r="H438" s="77" t="s">
        <v>153</v>
      </c>
      <c r="I438" s="86">
        <v>41953</v>
      </c>
      <c r="J438" s="78">
        <v>622</v>
      </c>
      <c r="K438" s="132" t="s">
        <v>20</v>
      </c>
      <c r="L438" s="132" t="s">
        <v>194</v>
      </c>
      <c r="M438" s="132" t="s">
        <v>153</v>
      </c>
      <c r="N438" s="133">
        <v>41654</v>
      </c>
      <c r="O438" s="134">
        <v>1248</v>
      </c>
      <c r="P438" s="132" t="s">
        <v>151</v>
      </c>
      <c r="Q438" s="132" t="s">
        <v>194</v>
      </c>
      <c r="R438" s="132" t="s">
        <v>153</v>
      </c>
      <c r="S438" s="133">
        <v>41911</v>
      </c>
      <c r="T438" s="134">
        <v>224.7</v>
      </c>
      <c r="U438" s="132" t="s">
        <v>154</v>
      </c>
      <c r="V438" s="132" t="s">
        <v>160</v>
      </c>
      <c r="W438" s="132" t="s">
        <v>153</v>
      </c>
      <c r="X438" s="133">
        <v>41841</v>
      </c>
      <c r="Y438" s="134">
        <v>1201</v>
      </c>
    </row>
    <row r="439" spans="1:25" x14ac:dyDescent="0.25">
      <c r="A439" s="79" t="s">
        <v>148</v>
      </c>
      <c r="B439" s="12" t="s">
        <v>182</v>
      </c>
      <c r="C439" s="12" t="s">
        <v>158</v>
      </c>
      <c r="D439" s="80">
        <v>41859</v>
      </c>
      <c r="E439" s="81">
        <v>600</v>
      </c>
      <c r="F439" s="76" t="s">
        <v>150</v>
      </c>
      <c r="G439" s="77" t="s">
        <v>156</v>
      </c>
      <c r="H439" s="77" t="s">
        <v>153</v>
      </c>
      <c r="I439" s="86">
        <v>41954</v>
      </c>
      <c r="J439" s="78">
        <v>624</v>
      </c>
      <c r="K439" s="132" t="s">
        <v>20</v>
      </c>
      <c r="L439" s="132" t="s">
        <v>194</v>
      </c>
      <c r="M439" s="132" t="s">
        <v>153</v>
      </c>
      <c r="N439" s="133">
        <v>41671</v>
      </c>
      <c r="O439" s="134">
        <v>449</v>
      </c>
      <c r="P439" s="132" t="s">
        <v>151</v>
      </c>
      <c r="Q439" s="132" t="s">
        <v>194</v>
      </c>
      <c r="R439" s="132" t="s">
        <v>153</v>
      </c>
      <c r="S439" s="133">
        <v>41912</v>
      </c>
      <c r="T439" s="134">
        <v>250.3</v>
      </c>
      <c r="U439" s="132" t="s">
        <v>154</v>
      </c>
      <c r="V439" s="132" t="s">
        <v>160</v>
      </c>
      <c r="W439" s="132" t="s">
        <v>153</v>
      </c>
      <c r="X439" s="133">
        <v>41842</v>
      </c>
      <c r="Y439" s="134">
        <v>1111</v>
      </c>
    </row>
    <row r="440" spans="1:25" x14ac:dyDescent="0.25">
      <c r="A440" s="79" t="s">
        <v>148</v>
      </c>
      <c r="B440" s="12" t="s">
        <v>182</v>
      </c>
      <c r="C440" s="12" t="s">
        <v>158</v>
      </c>
      <c r="D440" s="80">
        <v>41860</v>
      </c>
      <c r="E440" s="81">
        <v>1050</v>
      </c>
      <c r="F440" s="76" t="s">
        <v>150</v>
      </c>
      <c r="G440" s="77" t="s">
        <v>156</v>
      </c>
      <c r="H440" s="77" t="s">
        <v>153</v>
      </c>
      <c r="I440" s="86">
        <v>41955</v>
      </c>
      <c r="J440" s="78">
        <v>326</v>
      </c>
      <c r="K440" s="132" t="s">
        <v>20</v>
      </c>
      <c r="L440" s="132" t="s">
        <v>194</v>
      </c>
      <c r="M440" s="132" t="s">
        <v>153</v>
      </c>
      <c r="N440" s="133">
        <v>41762</v>
      </c>
      <c r="O440" s="134">
        <v>896</v>
      </c>
      <c r="P440" s="132" t="s">
        <v>151</v>
      </c>
      <c r="Q440" s="132" t="s">
        <v>169</v>
      </c>
      <c r="R440" s="132" t="s">
        <v>153</v>
      </c>
      <c r="S440" s="133">
        <v>41701</v>
      </c>
      <c r="T440" s="134">
        <v>973.1</v>
      </c>
      <c r="U440" s="132" t="s">
        <v>154</v>
      </c>
      <c r="V440" s="132" t="s">
        <v>160</v>
      </c>
      <c r="W440" s="132" t="s">
        <v>153</v>
      </c>
      <c r="X440" s="133">
        <v>41843</v>
      </c>
      <c r="Y440" s="134">
        <v>820</v>
      </c>
    </row>
    <row r="441" spans="1:25" x14ac:dyDescent="0.25">
      <c r="A441" s="79" t="s">
        <v>148</v>
      </c>
      <c r="B441" s="12" t="s">
        <v>182</v>
      </c>
      <c r="C441" s="12" t="s">
        <v>158</v>
      </c>
      <c r="D441" s="80">
        <v>41861</v>
      </c>
      <c r="E441" s="81">
        <v>801</v>
      </c>
      <c r="F441" s="76" t="s">
        <v>150</v>
      </c>
      <c r="G441" s="77" t="s">
        <v>177</v>
      </c>
      <c r="H441" s="77" t="s">
        <v>153</v>
      </c>
      <c r="I441" s="86">
        <v>41766</v>
      </c>
      <c r="J441" s="78">
        <v>741</v>
      </c>
      <c r="K441" s="132" t="s">
        <v>20</v>
      </c>
      <c r="L441" s="132" t="s">
        <v>194</v>
      </c>
      <c r="M441" s="132" t="s">
        <v>153</v>
      </c>
      <c r="N441" s="133">
        <v>41775</v>
      </c>
      <c r="O441" s="134">
        <v>1202</v>
      </c>
      <c r="P441" s="132" t="s">
        <v>151</v>
      </c>
      <c r="Q441" s="132" t="s">
        <v>169</v>
      </c>
      <c r="R441" s="132" t="s">
        <v>153</v>
      </c>
      <c r="S441" s="133">
        <v>41731</v>
      </c>
      <c r="T441" s="134">
        <v>672.6</v>
      </c>
      <c r="U441" s="132" t="s">
        <v>154</v>
      </c>
      <c r="V441" s="132" t="s">
        <v>160</v>
      </c>
      <c r="W441" s="132" t="s">
        <v>153</v>
      </c>
      <c r="X441" s="133">
        <v>41844</v>
      </c>
      <c r="Y441" s="134">
        <v>847</v>
      </c>
    </row>
    <row r="442" spans="1:25" x14ac:dyDescent="0.25">
      <c r="A442" s="79" t="s">
        <v>148</v>
      </c>
      <c r="B442" s="12" t="s">
        <v>182</v>
      </c>
      <c r="C442" s="12" t="s">
        <v>158</v>
      </c>
      <c r="D442" s="80">
        <v>41865</v>
      </c>
      <c r="E442" s="81">
        <v>1600</v>
      </c>
      <c r="F442" s="76" t="s">
        <v>150</v>
      </c>
      <c r="G442" s="77" t="s">
        <v>177</v>
      </c>
      <c r="H442" s="77" t="s">
        <v>153</v>
      </c>
      <c r="I442" s="86">
        <v>41768</v>
      </c>
      <c r="J442" s="78">
        <v>835</v>
      </c>
      <c r="K442" s="132" t="s">
        <v>20</v>
      </c>
      <c r="L442" s="132" t="s">
        <v>194</v>
      </c>
      <c r="M442" s="132" t="s">
        <v>153</v>
      </c>
      <c r="N442" s="133">
        <v>41790</v>
      </c>
      <c r="O442" s="134">
        <v>843</v>
      </c>
      <c r="P442" s="132" t="s">
        <v>151</v>
      </c>
      <c r="Q442" s="132" t="s">
        <v>169</v>
      </c>
      <c r="R442" s="132" t="s">
        <v>153</v>
      </c>
      <c r="S442" s="133">
        <v>41754</v>
      </c>
      <c r="T442" s="134">
        <v>944.7</v>
      </c>
      <c r="U442" s="132" t="s">
        <v>154</v>
      </c>
      <c r="V442" s="132" t="s">
        <v>160</v>
      </c>
      <c r="W442" s="132" t="s">
        <v>153</v>
      </c>
      <c r="X442" s="133">
        <v>41845</v>
      </c>
      <c r="Y442" s="134">
        <v>889</v>
      </c>
    </row>
    <row r="443" spans="1:25" x14ac:dyDescent="0.25">
      <c r="A443" s="79" t="s">
        <v>148</v>
      </c>
      <c r="B443" s="12" t="s">
        <v>205</v>
      </c>
      <c r="C443" s="12" t="s">
        <v>158</v>
      </c>
      <c r="D443" s="80">
        <v>41632</v>
      </c>
      <c r="E443" s="81">
        <v>840</v>
      </c>
      <c r="F443" s="76" t="s">
        <v>150</v>
      </c>
      <c r="G443" s="77" t="s">
        <v>177</v>
      </c>
      <c r="H443" s="77" t="s">
        <v>153</v>
      </c>
      <c r="I443" s="86">
        <v>41771</v>
      </c>
      <c r="J443" s="78">
        <v>934</v>
      </c>
      <c r="K443" s="132" t="s">
        <v>20</v>
      </c>
      <c r="L443" s="132" t="s">
        <v>194</v>
      </c>
      <c r="M443" s="132" t="s">
        <v>153</v>
      </c>
      <c r="N443" s="133">
        <v>41795</v>
      </c>
      <c r="O443" s="134">
        <v>495</v>
      </c>
      <c r="P443" s="132" t="s">
        <v>151</v>
      </c>
      <c r="Q443" s="132" t="s">
        <v>169</v>
      </c>
      <c r="R443" s="132" t="s">
        <v>153</v>
      </c>
      <c r="S443" s="133">
        <v>41757</v>
      </c>
      <c r="T443" s="134">
        <v>849.6</v>
      </c>
      <c r="U443" s="132" t="s">
        <v>154</v>
      </c>
      <c r="V443" s="132" t="s">
        <v>160</v>
      </c>
      <c r="W443" s="132" t="s">
        <v>153</v>
      </c>
      <c r="X443" s="133">
        <v>41848</v>
      </c>
      <c r="Y443" s="134">
        <v>729</v>
      </c>
    </row>
    <row r="444" spans="1:25" x14ac:dyDescent="0.25">
      <c r="A444" s="79" t="s">
        <v>148</v>
      </c>
      <c r="B444" s="12" t="s">
        <v>205</v>
      </c>
      <c r="C444" s="12" t="s">
        <v>158</v>
      </c>
      <c r="D444" s="80">
        <v>41632</v>
      </c>
      <c r="E444" s="81">
        <v>512</v>
      </c>
      <c r="F444" s="76" t="s">
        <v>150</v>
      </c>
      <c r="G444" s="77" t="s">
        <v>177</v>
      </c>
      <c r="H444" s="77" t="s">
        <v>153</v>
      </c>
      <c r="I444" s="86">
        <v>41773</v>
      </c>
      <c r="J444" s="78">
        <v>818</v>
      </c>
      <c r="K444" s="132" t="s">
        <v>20</v>
      </c>
      <c r="L444" s="132" t="s">
        <v>194</v>
      </c>
      <c r="M444" s="132" t="s">
        <v>153</v>
      </c>
      <c r="N444" s="133">
        <v>41800</v>
      </c>
      <c r="O444" s="134">
        <v>484</v>
      </c>
      <c r="P444" s="132" t="s">
        <v>151</v>
      </c>
      <c r="Q444" s="132" t="s">
        <v>169</v>
      </c>
      <c r="R444" s="132" t="s">
        <v>153</v>
      </c>
      <c r="S444" s="133">
        <v>41758</v>
      </c>
      <c r="T444" s="134">
        <v>836.9</v>
      </c>
      <c r="U444" s="132" t="s">
        <v>154</v>
      </c>
      <c r="V444" s="132" t="s">
        <v>160</v>
      </c>
      <c r="W444" s="132" t="s">
        <v>153</v>
      </c>
      <c r="X444" s="133">
        <v>41849</v>
      </c>
      <c r="Y444" s="134">
        <v>801</v>
      </c>
    </row>
    <row r="445" spans="1:25" x14ac:dyDescent="0.25">
      <c r="A445" s="79" t="s">
        <v>148</v>
      </c>
      <c r="B445" s="12" t="s">
        <v>205</v>
      </c>
      <c r="C445" s="12" t="s">
        <v>158</v>
      </c>
      <c r="D445" s="80">
        <v>41634</v>
      </c>
      <c r="E445" s="81">
        <v>850</v>
      </c>
      <c r="F445" s="76" t="s">
        <v>150</v>
      </c>
      <c r="G445" s="77" t="s">
        <v>177</v>
      </c>
      <c r="H445" s="77" t="s">
        <v>153</v>
      </c>
      <c r="I445" s="86">
        <v>41774</v>
      </c>
      <c r="J445" s="78">
        <v>724</v>
      </c>
      <c r="K445" s="132" t="s">
        <v>20</v>
      </c>
      <c r="L445" s="132" t="s">
        <v>194</v>
      </c>
      <c r="M445" s="132" t="s">
        <v>153</v>
      </c>
      <c r="N445" s="133">
        <v>41830</v>
      </c>
      <c r="O445" s="134">
        <v>1235</v>
      </c>
      <c r="P445" s="132" t="s">
        <v>151</v>
      </c>
      <c r="Q445" s="132" t="s">
        <v>169</v>
      </c>
      <c r="R445" s="132" t="s">
        <v>153</v>
      </c>
      <c r="S445" s="133">
        <v>41761</v>
      </c>
      <c r="T445" s="134">
        <v>913</v>
      </c>
      <c r="U445" s="132" t="s">
        <v>154</v>
      </c>
      <c r="V445" s="132" t="s">
        <v>160</v>
      </c>
      <c r="W445" s="132" t="s">
        <v>153</v>
      </c>
      <c r="X445" s="133">
        <v>41850</v>
      </c>
      <c r="Y445" s="134">
        <v>760</v>
      </c>
    </row>
    <row r="446" spans="1:25" x14ac:dyDescent="0.25">
      <c r="A446" s="79" t="s">
        <v>148</v>
      </c>
      <c r="B446" s="12" t="s">
        <v>205</v>
      </c>
      <c r="C446" s="12" t="s">
        <v>158</v>
      </c>
      <c r="D446" s="80">
        <v>41635</v>
      </c>
      <c r="E446" s="81">
        <v>650</v>
      </c>
      <c r="F446" s="76" t="s">
        <v>150</v>
      </c>
      <c r="G446" s="77" t="s">
        <v>177</v>
      </c>
      <c r="H446" s="77" t="s">
        <v>153</v>
      </c>
      <c r="I446" s="86">
        <v>41778</v>
      </c>
      <c r="J446" s="78">
        <v>1247</v>
      </c>
      <c r="K446" s="132" t="s">
        <v>20</v>
      </c>
      <c r="L446" s="132" t="s">
        <v>194</v>
      </c>
      <c r="M446" s="132" t="s">
        <v>153</v>
      </c>
      <c r="N446" s="133">
        <v>41862</v>
      </c>
      <c r="O446" s="134">
        <v>502</v>
      </c>
      <c r="P446" s="132" t="s">
        <v>151</v>
      </c>
      <c r="Q446" s="132" t="s">
        <v>169</v>
      </c>
      <c r="R446" s="132" t="s">
        <v>153</v>
      </c>
      <c r="S446" s="133">
        <v>41764</v>
      </c>
      <c r="T446" s="134">
        <v>824.1</v>
      </c>
      <c r="U446" s="132" t="s">
        <v>154</v>
      </c>
      <c r="V446" s="132" t="s">
        <v>160</v>
      </c>
      <c r="W446" s="132" t="s">
        <v>153</v>
      </c>
      <c r="X446" s="133">
        <v>41857</v>
      </c>
      <c r="Y446" s="134">
        <v>428</v>
      </c>
    </row>
    <row r="447" spans="1:25" x14ac:dyDescent="0.25">
      <c r="A447" s="79" t="s">
        <v>148</v>
      </c>
      <c r="B447" s="12" t="s">
        <v>205</v>
      </c>
      <c r="C447" s="12" t="s">
        <v>158</v>
      </c>
      <c r="D447" s="80">
        <v>41636</v>
      </c>
      <c r="E447" s="81">
        <v>837</v>
      </c>
      <c r="F447" s="76" t="s">
        <v>150</v>
      </c>
      <c r="G447" s="77" t="s">
        <v>177</v>
      </c>
      <c r="H447" s="77" t="s">
        <v>153</v>
      </c>
      <c r="I447" s="86">
        <v>41780</v>
      </c>
      <c r="J447" s="78">
        <v>1210</v>
      </c>
      <c r="K447" s="132" t="s">
        <v>20</v>
      </c>
      <c r="L447" s="132" t="s">
        <v>194</v>
      </c>
      <c r="M447" s="132" t="s">
        <v>153</v>
      </c>
      <c r="N447" s="133">
        <v>41903</v>
      </c>
      <c r="O447" s="134">
        <v>1119</v>
      </c>
      <c r="P447" s="132" t="s">
        <v>151</v>
      </c>
      <c r="Q447" s="132" t="s">
        <v>169</v>
      </c>
      <c r="R447" s="132" t="s">
        <v>153</v>
      </c>
      <c r="S447" s="133">
        <v>41765</v>
      </c>
      <c r="T447" s="134">
        <v>794.7</v>
      </c>
      <c r="U447" s="132" t="s">
        <v>154</v>
      </c>
      <c r="V447" s="132" t="s">
        <v>160</v>
      </c>
      <c r="W447" s="132" t="s">
        <v>153</v>
      </c>
      <c r="X447" s="133">
        <v>41858</v>
      </c>
      <c r="Y447" s="134">
        <v>620</v>
      </c>
    </row>
    <row r="448" spans="1:25" x14ac:dyDescent="0.25">
      <c r="A448" s="79" t="s">
        <v>148</v>
      </c>
      <c r="B448" s="12" t="s">
        <v>213</v>
      </c>
      <c r="C448" s="12" t="s">
        <v>158</v>
      </c>
      <c r="D448" s="80">
        <v>41688</v>
      </c>
      <c r="E448" s="81">
        <v>1200</v>
      </c>
      <c r="F448" s="76" t="s">
        <v>150</v>
      </c>
      <c r="G448" s="77" t="s">
        <v>177</v>
      </c>
      <c r="H448" s="77" t="s">
        <v>153</v>
      </c>
      <c r="I448" s="86">
        <v>41780</v>
      </c>
      <c r="J448" s="78">
        <v>1167</v>
      </c>
      <c r="K448" s="132" t="s">
        <v>20</v>
      </c>
      <c r="L448" s="132" t="s">
        <v>194</v>
      </c>
      <c r="M448" s="132" t="s">
        <v>153</v>
      </c>
      <c r="N448" s="133">
        <v>41915</v>
      </c>
      <c r="O448" s="134">
        <v>926</v>
      </c>
      <c r="P448" s="132" t="s">
        <v>151</v>
      </c>
      <c r="Q448" s="132" t="s">
        <v>169</v>
      </c>
      <c r="R448" s="132" t="s">
        <v>153</v>
      </c>
      <c r="S448" s="133">
        <v>41766</v>
      </c>
      <c r="T448" s="134">
        <v>859.9</v>
      </c>
      <c r="U448" s="132" t="s">
        <v>154</v>
      </c>
      <c r="V448" s="132" t="s">
        <v>160</v>
      </c>
      <c r="W448" s="132" t="s">
        <v>153</v>
      </c>
      <c r="X448" s="133">
        <v>41859</v>
      </c>
      <c r="Y448" s="134">
        <v>851</v>
      </c>
    </row>
    <row r="449" spans="1:25" x14ac:dyDescent="0.25">
      <c r="A449" s="79" t="s">
        <v>148</v>
      </c>
      <c r="B449" s="12" t="s">
        <v>213</v>
      </c>
      <c r="C449" s="12" t="s">
        <v>158</v>
      </c>
      <c r="D449" s="80">
        <v>41689</v>
      </c>
      <c r="E449" s="81">
        <v>1528</v>
      </c>
      <c r="F449" s="76" t="s">
        <v>150</v>
      </c>
      <c r="G449" s="77" t="s">
        <v>177</v>
      </c>
      <c r="H449" s="77" t="s">
        <v>153</v>
      </c>
      <c r="I449" s="86">
        <v>41781</v>
      </c>
      <c r="J449" s="78">
        <v>1060</v>
      </c>
      <c r="K449" s="132" t="s">
        <v>20</v>
      </c>
      <c r="L449" s="132" t="s">
        <v>194</v>
      </c>
      <c r="M449" s="132" t="s">
        <v>153</v>
      </c>
      <c r="N449" s="133">
        <v>41916</v>
      </c>
      <c r="O449" s="134">
        <v>387</v>
      </c>
      <c r="P449" s="132" t="s">
        <v>151</v>
      </c>
      <c r="Q449" s="132" t="s">
        <v>169</v>
      </c>
      <c r="R449" s="132" t="s">
        <v>153</v>
      </c>
      <c r="S449" s="133">
        <v>41767</v>
      </c>
      <c r="T449" s="134">
        <v>863.1</v>
      </c>
      <c r="U449" s="132" t="s">
        <v>154</v>
      </c>
      <c r="V449" s="132" t="s">
        <v>160</v>
      </c>
      <c r="W449" s="132" t="s">
        <v>153</v>
      </c>
      <c r="X449" s="133">
        <v>41862</v>
      </c>
      <c r="Y449" s="134">
        <v>904</v>
      </c>
    </row>
    <row r="450" spans="1:25" x14ac:dyDescent="0.25">
      <c r="A450" s="79" t="s">
        <v>148</v>
      </c>
      <c r="B450" s="12" t="s">
        <v>213</v>
      </c>
      <c r="C450" s="12" t="s">
        <v>158</v>
      </c>
      <c r="D450" s="80">
        <v>41690</v>
      </c>
      <c r="E450" s="81">
        <v>650</v>
      </c>
      <c r="F450" s="76" t="s">
        <v>150</v>
      </c>
      <c r="G450" s="77" t="s">
        <v>177</v>
      </c>
      <c r="H450" s="77" t="s">
        <v>153</v>
      </c>
      <c r="I450" s="86">
        <v>41782</v>
      </c>
      <c r="J450" s="78">
        <v>1122</v>
      </c>
      <c r="K450" s="132" t="s">
        <v>20</v>
      </c>
      <c r="L450" s="132" t="s">
        <v>194</v>
      </c>
      <c r="M450" s="132" t="s">
        <v>153</v>
      </c>
      <c r="N450" s="133">
        <v>41918</v>
      </c>
      <c r="O450" s="134">
        <v>302</v>
      </c>
      <c r="P450" s="132" t="s">
        <v>151</v>
      </c>
      <c r="Q450" s="132" t="s">
        <v>169</v>
      </c>
      <c r="R450" s="132" t="s">
        <v>153</v>
      </c>
      <c r="S450" s="133">
        <v>41768</v>
      </c>
      <c r="T450" s="134">
        <v>816.5</v>
      </c>
      <c r="U450" s="132" t="s">
        <v>154</v>
      </c>
      <c r="V450" s="132" t="s">
        <v>160</v>
      </c>
      <c r="W450" s="132" t="s">
        <v>153</v>
      </c>
      <c r="X450" s="133">
        <v>41863</v>
      </c>
      <c r="Y450" s="134">
        <v>801</v>
      </c>
    </row>
    <row r="451" spans="1:25" x14ac:dyDescent="0.25">
      <c r="A451" s="79" t="s">
        <v>148</v>
      </c>
      <c r="B451" s="12" t="s">
        <v>213</v>
      </c>
      <c r="C451" s="12" t="s">
        <v>158</v>
      </c>
      <c r="D451" s="80">
        <v>41691</v>
      </c>
      <c r="E451" s="81">
        <v>720</v>
      </c>
      <c r="F451" s="76" t="s">
        <v>150</v>
      </c>
      <c r="G451" s="77" t="s">
        <v>177</v>
      </c>
      <c r="H451" s="77" t="s">
        <v>153</v>
      </c>
      <c r="I451" s="86">
        <v>41783</v>
      </c>
      <c r="J451" s="78">
        <v>1104</v>
      </c>
      <c r="K451" s="132" t="s">
        <v>20</v>
      </c>
      <c r="L451" s="132" t="s">
        <v>194</v>
      </c>
      <c r="M451" s="132" t="s">
        <v>153</v>
      </c>
      <c r="N451" s="133">
        <v>41947</v>
      </c>
      <c r="O451" s="134">
        <v>1351</v>
      </c>
      <c r="P451" s="132" t="s">
        <v>151</v>
      </c>
      <c r="Q451" s="132" t="s">
        <v>169</v>
      </c>
      <c r="R451" s="132" t="s">
        <v>153</v>
      </c>
      <c r="S451" s="133">
        <v>41771</v>
      </c>
      <c r="T451" s="134">
        <v>909.8</v>
      </c>
      <c r="U451" s="132" t="s">
        <v>154</v>
      </c>
      <c r="V451" s="132" t="s">
        <v>160</v>
      </c>
      <c r="W451" s="132" t="s">
        <v>153</v>
      </c>
      <c r="X451" s="133">
        <v>41865</v>
      </c>
      <c r="Y451" s="134">
        <v>1101</v>
      </c>
    </row>
    <row r="452" spans="1:25" x14ac:dyDescent="0.25">
      <c r="A452" s="79" t="s">
        <v>148</v>
      </c>
      <c r="B452" s="12" t="s">
        <v>213</v>
      </c>
      <c r="C452" s="12" t="s">
        <v>158</v>
      </c>
      <c r="D452" s="80">
        <v>41692</v>
      </c>
      <c r="E452" s="81">
        <v>500</v>
      </c>
      <c r="F452" s="76" t="s">
        <v>150</v>
      </c>
      <c r="G452" s="77" t="s">
        <v>177</v>
      </c>
      <c r="H452" s="77" t="s">
        <v>153</v>
      </c>
      <c r="I452" s="86">
        <v>41785</v>
      </c>
      <c r="J452" s="78">
        <v>1045</v>
      </c>
      <c r="K452" s="132" t="s">
        <v>20</v>
      </c>
      <c r="L452" s="132" t="s">
        <v>169</v>
      </c>
      <c r="M452" s="132" t="s">
        <v>153</v>
      </c>
      <c r="N452" s="133">
        <v>41675</v>
      </c>
      <c r="O452" s="134">
        <v>720</v>
      </c>
      <c r="P452" s="132" t="s">
        <v>151</v>
      </c>
      <c r="Q452" s="132" t="s">
        <v>169</v>
      </c>
      <c r="R452" s="132" t="s">
        <v>153</v>
      </c>
      <c r="S452" s="133">
        <v>41772</v>
      </c>
      <c r="T452" s="134">
        <v>848.6</v>
      </c>
      <c r="U452" s="132" t="s">
        <v>154</v>
      </c>
      <c r="V452" s="132" t="s">
        <v>160</v>
      </c>
      <c r="W452" s="132" t="s">
        <v>153</v>
      </c>
      <c r="X452" s="133">
        <v>41866</v>
      </c>
      <c r="Y452" s="134">
        <v>730</v>
      </c>
    </row>
    <row r="453" spans="1:25" x14ac:dyDescent="0.25">
      <c r="A453" s="79" t="s">
        <v>148</v>
      </c>
      <c r="B453" s="12" t="s">
        <v>213</v>
      </c>
      <c r="C453" s="12" t="s">
        <v>158</v>
      </c>
      <c r="D453" s="80">
        <v>41693</v>
      </c>
      <c r="E453" s="81">
        <v>750</v>
      </c>
      <c r="F453" s="76" t="s">
        <v>150</v>
      </c>
      <c r="G453" s="77" t="s">
        <v>177</v>
      </c>
      <c r="H453" s="77" t="s">
        <v>153</v>
      </c>
      <c r="I453" s="86">
        <v>41785</v>
      </c>
      <c r="J453" s="78">
        <v>1055</v>
      </c>
      <c r="K453" s="132" t="s">
        <v>20</v>
      </c>
      <c r="L453" s="132" t="s">
        <v>169</v>
      </c>
      <c r="M453" s="132" t="s">
        <v>153</v>
      </c>
      <c r="N453" s="133">
        <v>41682</v>
      </c>
      <c r="O453" s="134">
        <v>644</v>
      </c>
      <c r="P453" s="132" t="s">
        <v>151</v>
      </c>
      <c r="Q453" s="132" t="s">
        <v>169</v>
      </c>
      <c r="R453" s="132" t="s">
        <v>153</v>
      </c>
      <c r="S453" s="133">
        <v>41773</v>
      </c>
      <c r="T453" s="134">
        <v>878.9</v>
      </c>
      <c r="U453" s="132" t="s">
        <v>154</v>
      </c>
      <c r="V453" s="132" t="s">
        <v>160</v>
      </c>
      <c r="W453" s="132" t="s">
        <v>153</v>
      </c>
      <c r="X453" s="133">
        <v>41867</v>
      </c>
      <c r="Y453" s="134">
        <v>607</v>
      </c>
    </row>
    <row r="454" spans="1:25" x14ac:dyDescent="0.25">
      <c r="A454" s="79" t="s">
        <v>148</v>
      </c>
      <c r="B454" s="12" t="s">
        <v>213</v>
      </c>
      <c r="C454" s="12" t="s">
        <v>158</v>
      </c>
      <c r="D454" s="80">
        <v>41694</v>
      </c>
      <c r="E454" s="81">
        <v>970</v>
      </c>
      <c r="F454" s="76" t="s">
        <v>150</v>
      </c>
      <c r="G454" s="77" t="s">
        <v>177</v>
      </c>
      <c r="H454" s="77" t="s">
        <v>153</v>
      </c>
      <c r="I454" s="86">
        <v>41787</v>
      </c>
      <c r="J454" s="78">
        <v>1323</v>
      </c>
      <c r="K454" s="132" t="s">
        <v>20</v>
      </c>
      <c r="L454" s="132" t="s">
        <v>169</v>
      </c>
      <c r="M454" s="132" t="s">
        <v>153</v>
      </c>
      <c r="N454" s="133">
        <v>41704</v>
      </c>
      <c r="O454" s="134">
        <v>492</v>
      </c>
      <c r="P454" s="132" t="s">
        <v>151</v>
      </c>
      <c r="Q454" s="132" t="s">
        <v>169</v>
      </c>
      <c r="R454" s="132" t="s">
        <v>153</v>
      </c>
      <c r="S454" s="133">
        <v>41774</v>
      </c>
      <c r="T454" s="134">
        <v>513.29999999999995</v>
      </c>
      <c r="U454" s="132" t="s">
        <v>154</v>
      </c>
      <c r="V454" s="132" t="s">
        <v>160</v>
      </c>
      <c r="W454" s="132" t="s">
        <v>153</v>
      </c>
      <c r="X454" s="133">
        <v>41868</v>
      </c>
      <c r="Y454" s="134">
        <v>353</v>
      </c>
    </row>
    <row r="455" spans="1:25" x14ac:dyDescent="0.25">
      <c r="A455" s="79" t="s">
        <v>148</v>
      </c>
      <c r="B455" s="12" t="s">
        <v>213</v>
      </c>
      <c r="C455" s="12" t="s">
        <v>158</v>
      </c>
      <c r="D455" s="80">
        <v>41695</v>
      </c>
      <c r="E455" s="81">
        <v>850</v>
      </c>
      <c r="F455" s="76" t="s">
        <v>150</v>
      </c>
      <c r="G455" s="77" t="s">
        <v>177</v>
      </c>
      <c r="H455" s="77" t="s">
        <v>153</v>
      </c>
      <c r="I455" s="86">
        <v>41788</v>
      </c>
      <c r="J455" s="78">
        <v>632</v>
      </c>
      <c r="K455" s="132" t="s">
        <v>20</v>
      </c>
      <c r="L455" s="132" t="s">
        <v>169</v>
      </c>
      <c r="M455" s="132" t="s">
        <v>153</v>
      </c>
      <c r="N455" s="133">
        <v>41707</v>
      </c>
      <c r="O455" s="134">
        <v>217</v>
      </c>
      <c r="P455" s="132" t="s">
        <v>151</v>
      </c>
      <c r="Q455" s="132" t="s">
        <v>169</v>
      </c>
      <c r="R455" s="132" t="s">
        <v>153</v>
      </c>
      <c r="S455" s="133">
        <v>41799</v>
      </c>
      <c r="T455" s="134">
        <v>736.1</v>
      </c>
      <c r="U455" s="132" t="s">
        <v>154</v>
      </c>
      <c r="V455" s="132" t="s">
        <v>160</v>
      </c>
      <c r="W455" s="132" t="s">
        <v>153</v>
      </c>
      <c r="X455" s="133">
        <v>41869</v>
      </c>
      <c r="Y455" s="134">
        <v>950</v>
      </c>
    </row>
    <row r="456" spans="1:25" x14ac:dyDescent="0.25">
      <c r="A456" s="79" t="s">
        <v>148</v>
      </c>
      <c r="B456" s="12" t="s">
        <v>213</v>
      </c>
      <c r="C456" s="12" t="s">
        <v>158</v>
      </c>
      <c r="D456" s="80">
        <v>41696</v>
      </c>
      <c r="E456" s="81">
        <v>950</v>
      </c>
      <c r="F456" s="76" t="s">
        <v>150</v>
      </c>
      <c r="G456" s="77" t="s">
        <v>177</v>
      </c>
      <c r="H456" s="77" t="s">
        <v>153</v>
      </c>
      <c r="I456" s="86">
        <v>41792</v>
      </c>
      <c r="J456" s="78">
        <v>850</v>
      </c>
      <c r="K456" s="132" t="s">
        <v>20</v>
      </c>
      <c r="L456" s="132" t="s">
        <v>169</v>
      </c>
      <c r="M456" s="132" t="s">
        <v>153</v>
      </c>
      <c r="N456" s="133">
        <v>41708</v>
      </c>
      <c r="O456" s="134">
        <v>246</v>
      </c>
      <c r="P456" s="132" t="s">
        <v>151</v>
      </c>
      <c r="Q456" s="132" t="s">
        <v>169</v>
      </c>
      <c r="R456" s="132" t="s">
        <v>153</v>
      </c>
      <c r="S456" s="133">
        <v>41803</v>
      </c>
      <c r="T456" s="134">
        <v>924.4</v>
      </c>
      <c r="U456" s="132" t="s">
        <v>154</v>
      </c>
      <c r="V456" s="132" t="s">
        <v>160</v>
      </c>
      <c r="W456" s="132" t="s">
        <v>153</v>
      </c>
      <c r="X456" s="133">
        <v>41870</v>
      </c>
      <c r="Y456" s="134">
        <v>1050</v>
      </c>
    </row>
    <row r="457" spans="1:25" x14ac:dyDescent="0.25">
      <c r="A457" s="79" t="s">
        <v>148</v>
      </c>
      <c r="B457" s="12" t="s">
        <v>213</v>
      </c>
      <c r="C457" s="12" t="s">
        <v>158</v>
      </c>
      <c r="D457" s="80">
        <v>41697</v>
      </c>
      <c r="E457" s="81">
        <v>747</v>
      </c>
      <c r="F457" s="76" t="s">
        <v>150</v>
      </c>
      <c r="G457" s="77" t="s">
        <v>177</v>
      </c>
      <c r="H457" s="77" t="s">
        <v>153</v>
      </c>
      <c r="I457" s="86">
        <v>41794</v>
      </c>
      <c r="J457" s="78">
        <v>1009</v>
      </c>
      <c r="K457" s="132" t="s">
        <v>20</v>
      </c>
      <c r="L457" s="132" t="s">
        <v>169</v>
      </c>
      <c r="M457" s="132" t="s">
        <v>153</v>
      </c>
      <c r="N457" s="133">
        <v>41720</v>
      </c>
      <c r="O457" s="134">
        <v>823</v>
      </c>
      <c r="P457" s="132" t="s">
        <v>151</v>
      </c>
      <c r="Q457" s="132" t="s">
        <v>169</v>
      </c>
      <c r="R457" s="132" t="s">
        <v>153</v>
      </c>
      <c r="S457" s="133">
        <v>41806</v>
      </c>
      <c r="T457" s="134">
        <v>567.29999999999995</v>
      </c>
      <c r="U457" s="132" t="s">
        <v>154</v>
      </c>
      <c r="V457" s="132" t="s">
        <v>160</v>
      </c>
      <c r="W457" s="132" t="s">
        <v>153</v>
      </c>
      <c r="X457" s="133">
        <v>41871</v>
      </c>
      <c r="Y457" s="134">
        <v>1175</v>
      </c>
    </row>
    <row r="458" spans="1:25" x14ac:dyDescent="0.25">
      <c r="A458" s="79" t="s">
        <v>148</v>
      </c>
      <c r="B458" s="12" t="s">
        <v>213</v>
      </c>
      <c r="C458" s="12" t="s">
        <v>158</v>
      </c>
      <c r="D458" s="80">
        <v>41698</v>
      </c>
      <c r="E458" s="81">
        <v>815</v>
      </c>
      <c r="F458" s="76" t="s">
        <v>150</v>
      </c>
      <c r="G458" s="77" t="s">
        <v>177</v>
      </c>
      <c r="H458" s="77" t="s">
        <v>153</v>
      </c>
      <c r="I458" s="86">
        <v>41796</v>
      </c>
      <c r="J458" s="78">
        <v>403</v>
      </c>
      <c r="K458" s="132" t="s">
        <v>20</v>
      </c>
      <c r="L458" s="132" t="s">
        <v>169</v>
      </c>
      <c r="M458" s="132" t="s">
        <v>153</v>
      </c>
      <c r="N458" s="133">
        <v>41728</v>
      </c>
      <c r="O458" s="134">
        <v>775</v>
      </c>
      <c r="P458" s="132" t="s">
        <v>151</v>
      </c>
      <c r="Q458" s="132" t="s">
        <v>169</v>
      </c>
      <c r="R458" s="132" t="s">
        <v>153</v>
      </c>
      <c r="S458" s="133">
        <v>41885</v>
      </c>
      <c r="T458" s="134">
        <v>262.89999999999998</v>
      </c>
      <c r="U458" s="132" t="s">
        <v>154</v>
      </c>
      <c r="V458" s="132" t="s">
        <v>160</v>
      </c>
      <c r="W458" s="132" t="s">
        <v>153</v>
      </c>
      <c r="X458" s="133">
        <v>41872</v>
      </c>
      <c r="Y458" s="134">
        <v>960</v>
      </c>
    </row>
    <row r="459" spans="1:25" x14ac:dyDescent="0.25">
      <c r="A459" s="79" t="s">
        <v>148</v>
      </c>
      <c r="B459" s="12" t="s">
        <v>213</v>
      </c>
      <c r="C459" s="12" t="s">
        <v>158</v>
      </c>
      <c r="D459" s="80">
        <v>41699</v>
      </c>
      <c r="E459" s="81">
        <v>808</v>
      </c>
      <c r="F459" s="76" t="s">
        <v>150</v>
      </c>
      <c r="G459" s="77" t="s">
        <v>177</v>
      </c>
      <c r="H459" s="77" t="s">
        <v>153</v>
      </c>
      <c r="I459" s="86">
        <v>41799</v>
      </c>
      <c r="J459" s="78">
        <v>998</v>
      </c>
      <c r="K459" s="132" t="s">
        <v>20</v>
      </c>
      <c r="L459" s="132" t="s">
        <v>169</v>
      </c>
      <c r="M459" s="132" t="s">
        <v>153</v>
      </c>
      <c r="N459" s="133">
        <v>41742</v>
      </c>
      <c r="O459" s="134">
        <v>740</v>
      </c>
      <c r="P459" s="132" t="s">
        <v>151</v>
      </c>
      <c r="Q459" s="132" t="s">
        <v>195</v>
      </c>
      <c r="R459" s="132" t="s">
        <v>158</v>
      </c>
      <c r="S459" s="133">
        <v>41639</v>
      </c>
      <c r="T459" s="134">
        <v>667.8</v>
      </c>
      <c r="U459" s="132" t="s">
        <v>154</v>
      </c>
      <c r="V459" s="132" t="s">
        <v>160</v>
      </c>
      <c r="W459" s="132" t="s">
        <v>153</v>
      </c>
      <c r="X459" s="133">
        <v>41873</v>
      </c>
      <c r="Y459" s="134">
        <v>901</v>
      </c>
    </row>
    <row r="460" spans="1:25" x14ac:dyDescent="0.25">
      <c r="A460" s="79" t="s">
        <v>148</v>
      </c>
      <c r="B460" s="12" t="s">
        <v>213</v>
      </c>
      <c r="C460" s="12" t="s">
        <v>158</v>
      </c>
      <c r="D460" s="80">
        <v>41701</v>
      </c>
      <c r="E460" s="81">
        <v>1496</v>
      </c>
      <c r="F460" s="76" t="s">
        <v>150</v>
      </c>
      <c r="G460" s="77" t="s">
        <v>177</v>
      </c>
      <c r="H460" s="77" t="s">
        <v>153</v>
      </c>
      <c r="I460" s="86">
        <v>41800</v>
      </c>
      <c r="J460" s="78">
        <v>1013</v>
      </c>
      <c r="K460" s="132" t="s">
        <v>20</v>
      </c>
      <c r="L460" s="132" t="s">
        <v>169</v>
      </c>
      <c r="M460" s="132" t="s">
        <v>153</v>
      </c>
      <c r="N460" s="133">
        <v>41745</v>
      </c>
      <c r="O460" s="134">
        <v>409</v>
      </c>
      <c r="P460" s="132" t="s">
        <v>151</v>
      </c>
      <c r="Q460" s="132" t="s">
        <v>195</v>
      </c>
      <c r="R460" s="132" t="s">
        <v>158</v>
      </c>
      <c r="S460" s="133">
        <v>41733</v>
      </c>
      <c r="T460" s="134">
        <v>493.5</v>
      </c>
      <c r="U460" s="132" t="s">
        <v>154</v>
      </c>
      <c r="V460" s="132" t="s">
        <v>160</v>
      </c>
      <c r="W460" s="132" t="s">
        <v>153</v>
      </c>
      <c r="X460" s="133">
        <v>41876</v>
      </c>
      <c r="Y460" s="134">
        <v>798</v>
      </c>
    </row>
    <row r="461" spans="1:25" x14ac:dyDescent="0.25">
      <c r="A461" s="79" t="s">
        <v>148</v>
      </c>
      <c r="B461" s="12" t="s">
        <v>213</v>
      </c>
      <c r="C461" s="12" t="s">
        <v>158</v>
      </c>
      <c r="D461" s="80">
        <v>41702</v>
      </c>
      <c r="E461" s="81">
        <v>850</v>
      </c>
      <c r="F461" s="76" t="s">
        <v>150</v>
      </c>
      <c r="G461" s="77" t="s">
        <v>177</v>
      </c>
      <c r="H461" s="77" t="s">
        <v>153</v>
      </c>
      <c r="I461" s="86">
        <v>41802</v>
      </c>
      <c r="J461" s="78">
        <v>764</v>
      </c>
      <c r="K461" s="132" t="s">
        <v>20</v>
      </c>
      <c r="L461" s="132" t="s">
        <v>169</v>
      </c>
      <c r="M461" s="132" t="s">
        <v>153</v>
      </c>
      <c r="N461" s="133">
        <v>41826</v>
      </c>
      <c r="O461" s="134">
        <v>1404</v>
      </c>
      <c r="P461" s="132" t="s">
        <v>151</v>
      </c>
      <c r="Q461" s="132" t="s">
        <v>195</v>
      </c>
      <c r="R461" s="132" t="s">
        <v>158</v>
      </c>
      <c r="S461" s="133">
        <v>41773</v>
      </c>
      <c r="T461" s="134">
        <v>946.1</v>
      </c>
      <c r="U461" s="132" t="s">
        <v>154</v>
      </c>
      <c r="V461" s="132" t="s">
        <v>160</v>
      </c>
      <c r="W461" s="132" t="s">
        <v>153</v>
      </c>
      <c r="X461" s="133">
        <v>41877</v>
      </c>
      <c r="Y461" s="134">
        <v>730</v>
      </c>
    </row>
    <row r="462" spans="1:25" x14ac:dyDescent="0.25">
      <c r="A462" s="79" t="s">
        <v>148</v>
      </c>
      <c r="B462" s="12" t="s">
        <v>213</v>
      </c>
      <c r="C462" s="12" t="s">
        <v>158</v>
      </c>
      <c r="D462" s="80">
        <v>41703</v>
      </c>
      <c r="E462" s="81">
        <v>800</v>
      </c>
      <c r="F462" s="76" t="s">
        <v>150</v>
      </c>
      <c r="G462" s="77" t="s">
        <v>177</v>
      </c>
      <c r="H462" s="77" t="s">
        <v>153</v>
      </c>
      <c r="I462" s="86">
        <v>41802</v>
      </c>
      <c r="J462" s="78">
        <v>489</v>
      </c>
      <c r="K462" s="132" t="s">
        <v>20</v>
      </c>
      <c r="L462" s="132" t="s">
        <v>169</v>
      </c>
      <c r="M462" s="132" t="s">
        <v>153</v>
      </c>
      <c r="N462" s="133">
        <v>41836</v>
      </c>
      <c r="O462" s="134">
        <v>509</v>
      </c>
      <c r="P462" s="132" t="s">
        <v>151</v>
      </c>
      <c r="Q462" s="132" t="s">
        <v>195</v>
      </c>
      <c r="R462" s="132" t="s">
        <v>158</v>
      </c>
      <c r="S462" s="133">
        <v>41774</v>
      </c>
      <c r="T462" s="134">
        <v>587.5</v>
      </c>
      <c r="U462" s="132" t="s">
        <v>154</v>
      </c>
      <c r="V462" s="132" t="s">
        <v>160</v>
      </c>
      <c r="W462" s="132" t="s">
        <v>153</v>
      </c>
      <c r="X462" s="133">
        <v>41878</v>
      </c>
      <c r="Y462" s="134">
        <v>1120</v>
      </c>
    </row>
    <row r="463" spans="1:25" x14ac:dyDescent="0.25">
      <c r="A463" s="79" t="s">
        <v>148</v>
      </c>
      <c r="B463" s="12" t="s">
        <v>213</v>
      </c>
      <c r="C463" s="12" t="s">
        <v>158</v>
      </c>
      <c r="D463" s="80">
        <v>41704</v>
      </c>
      <c r="E463" s="81">
        <v>794</v>
      </c>
      <c r="F463" s="76" t="s">
        <v>150</v>
      </c>
      <c r="G463" s="77" t="s">
        <v>177</v>
      </c>
      <c r="H463" s="77" t="s">
        <v>153</v>
      </c>
      <c r="I463" s="86">
        <v>41806</v>
      </c>
      <c r="J463" s="78">
        <v>661</v>
      </c>
      <c r="K463" s="132" t="s">
        <v>20</v>
      </c>
      <c r="L463" s="132" t="s">
        <v>169</v>
      </c>
      <c r="M463" s="132" t="s">
        <v>153</v>
      </c>
      <c r="N463" s="133">
        <v>41842</v>
      </c>
      <c r="O463" s="134">
        <v>480</v>
      </c>
      <c r="P463" s="132" t="s">
        <v>151</v>
      </c>
      <c r="Q463" s="132" t="s">
        <v>195</v>
      </c>
      <c r="R463" s="132" t="s">
        <v>158</v>
      </c>
      <c r="S463" s="133">
        <v>41780</v>
      </c>
      <c r="T463" s="134">
        <v>344.3</v>
      </c>
      <c r="U463" s="132" t="s">
        <v>154</v>
      </c>
      <c r="V463" s="132" t="s">
        <v>160</v>
      </c>
      <c r="W463" s="132" t="s">
        <v>153</v>
      </c>
      <c r="X463" s="133">
        <v>41879</v>
      </c>
      <c r="Y463" s="134">
        <v>840</v>
      </c>
    </row>
    <row r="464" spans="1:25" x14ac:dyDescent="0.25">
      <c r="A464" s="79" t="s">
        <v>148</v>
      </c>
      <c r="B464" s="12" t="s">
        <v>213</v>
      </c>
      <c r="C464" s="12" t="s">
        <v>158</v>
      </c>
      <c r="D464" s="80">
        <v>41705</v>
      </c>
      <c r="E464" s="81">
        <v>793</v>
      </c>
      <c r="F464" s="76" t="s">
        <v>150</v>
      </c>
      <c r="G464" s="77" t="s">
        <v>177</v>
      </c>
      <c r="H464" s="77" t="s">
        <v>153</v>
      </c>
      <c r="I464" s="86">
        <v>41807</v>
      </c>
      <c r="J464" s="78">
        <v>662</v>
      </c>
      <c r="K464" s="132" t="s">
        <v>20</v>
      </c>
      <c r="L464" s="132" t="s">
        <v>169</v>
      </c>
      <c r="M464" s="132" t="s">
        <v>153</v>
      </c>
      <c r="N464" s="133">
        <v>41858</v>
      </c>
      <c r="O464" s="134">
        <v>482</v>
      </c>
      <c r="P464" s="132" t="s">
        <v>151</v>
      </c>
      <c r="Q464" s="132" t="s">
        <v>195</v>
      </c>
      <c r="R464" s="132" t="s">
        <v>158</v>
      </c>
      <c r="S464" s="133">
        <v>41782</v>
      </c>
      <c r="T464" s="134">
        <v>315.5</v>
      </c>
      <c r="U464" s="132" t="s">
        <v>154</v>
      </c>
      <c r="V464" s="132" t="s">
        <v>160</v>
      </c>
      <c r="W464" s="132" t="s">
        <v>153</v>
      </c>
      <c r="X464" s="133">
        <v>41880</v>
      </c>
      <c r="Y464" s="134">
        <v>883</v>
      </c>
    </row>
    <row r="465" spans="1:25" x14ac:dyDescent="0.25">
      <c r="A465" s="79" t="s">
        <v>148</v>
      </c>
      <c r="B465" s="12" t="s">
        <v>213</v>
      </c>
      <c r="C465" s="12" t="s">
        <v>158</v>
      </c>
      <c r="D465" s="80">
        <v>41706</v>
      </c>
      <c r="E465" s="81">
        <v>906</v>
      </c>
      <c r="F465" s="76" t="s">
        <v>150</v>
      </c>
      <c r="G465" s="77" t="s">
        <v>177</v>
      </c>
      <c r="H465" s="77" t="s">
        <v>153</v>
      </c>
      <c r="I465" s="86">
        <v>41817</v>
      </c>
      <c r="J465" s="78">
        <v>927</v>
      </c>
      <c r="K465" s="132" t="s">
        <v>20</v>
      </c>
      <c r="L465" s="132" t="s">
        <v>169</v>
      </c>
      <c r="M465" s="132" t="s">
        <v>153</v>
      </c>
      <c r="N465" s="133">
        <v>41863</v>
      </c>
      <c r="O465" s="134">
        <v>521</v>
      </c>
      <c r="P465" s="132" t="s">
        <v>151</v>
      </c>
      <c r="Q465" s="132" t="s">
        <v>195</v>
      </c>
      <c r="R465" s="132" t="s">
        <v>158</v>
      </c>
      <c r="S465" s="133">
        <v>41796</v>
      </c>
      <c r="T465" s="134">
        <v>1189.4000000000001</v>
      </c>
      <c r="U465" s="132" t="s">
        <v>154</v>
      </c>
      <c r="V465" s="132" t="s">
        <v>160</v>
      </c>
      <c r="W465" s="132" t="s">
        <v>153</v>
      </c>
      <c r="X465" s="133">
        <v>41881</v>
      </c>
      <c r="Y465" s="134">
        <v>812</v>
      </c>
    </row>
    <row r="466" spans="1:25" x14ac:dyDescent="0.25">
      <c r="A466" s="79" t="s">
        <v>148</v>
      </c>
      <c r="B466" s="12" t="s">
        <v>213</v>
      </c>
      <c r="C466" s="12" t="s">
        <v>158</v>
      </c>
      <c r="D466" s="80">
        <v>41708</v>
      </c>
      <c r="E466" s="81">
        <v>1260</v>
      </c>
      <c r="F466" s="76" t="s">
        <v>150</v>
      </c>
      <c r="G466" s="77" t="s">
        <v>177</v>
      </c>
      <c r="H466" s="77" t="s">
        <v>153</v>
      </c>
      <c r="I466" s="86">
        <v>41844</v>
      </c>
      <c r="J466" s="78">
        <v>1129</v>
      </c>
      <c r="K466" s="132" t="s">
        <v>20</v>
      </c>
      <c r="L466" s="132" t="s">
        <v>169</v>
      </c>
      <c r="M466" s="132" t="s">
        <v>153</v>
      </c>
      <c r="N466" s="133">
        <v>41877</v>
      </c>
      <c r="O466" s="134">
        <v>417</v>
      </c>
      <c r="P466" s="132" t="s">
        <v>151</v>
      </c>
      <c r="Q466" s="132" t="s">
        <v>195</v>
      </c>
      <c r="R466" s="132" t="s">
        <v>158</v>
      </c>
      <c r="S466" s="133">
        <v>41932</v>
      </c>
      <c r="T466" s="134">
        <v>528.5</v>
      </c>
      <c r="U466" s="132" t="s">
        <v>154</v>
      </c>
      <c r="V466" s="132" t="s">
        <v>160</v>
      </c>
      <c r="W466" s="132" t="s">
        <v>153</v>
      </c>
      <c r="X466" s="133">
        <v>41881</v>
      </c>
      <c r="Y466" s="134">
        <v>615</v>
      </c>
    </row>
    <row r="467" spans="1:25" x14ac:dyDescent="0.25">
      <c r="A467" s="79" t="s">
        <v>148</v>
      </c>
      <c r="B467" s="12" t="s">
        <v>213</v>
      </c>
      <c r="C467" s="12" t="s">
        <v>158</v>
      </c>
      <c r="D467" s="80">
        <v>41709</v>
      </c>
      <c r="E467" s="81">
        <v>740</v>
      </c>
      <c r="F467" s="76" t="s">
        <v>150</v>
      </c>
      <c r="G467" s="77" t="s">
        <v>177</v>
      </c>
      <c r="H467" s="77" t="s">
        <v>153</v>
      </c>
      <c r="I467" s="86">
        <v>41845</v>
      </c>
      <c r="J467" s="78">
        <v>324</v>
      </c>
      <c r="K467" s="132" t="s">
        <v>20</v>
      </c>
      <c r="L467" s="132" t="s">
        <v>169</v>
      </c>
      <c r="M467" s="132" t="s">
        <v>153</v>
      </c>
      <c r="N467" s="133">
        <v>41892</v>
      </c>
      <c r="O467" s="134">
        <v>319</v>
      </c>
      <c r="P467" s="132" t="s">
        <v>151</v>
      </c>
      <c r="Q467" s="132" t="s">
        <v>196</v>
      </c>
      <c r="R467" s="132" t="s">
        <v>158</v>
      </c>
      <c r="S467" s="133">
        <v>41683</v>
      </c>
      <c r="T467" s="134">
        <v>1244.2</v>
      </c>
      <c r="U467" s="132" t="s">
        <v>154</v>
      </c>
      <c r="V467" s="132" t="s">
        <v>160</v>
      </c>
      <c r="W467" s="132" t="s">
        <v>153</v>
      </c>
      <c r="X467" s="133">
        <v>41882</v>
      </c>
      <c r="Y467" s="134">
        <v>690</v>
      </c>
    </row>
    <row r="468" spans="1:25" x14ac:dyDescent="0.25">
      <c r="A468" s="79" t="s">
        <v>148</v>
      </c>
      <c r="B468" s="12" t="s">
        <v>213</v>
      </c>
      <c r="C468" s="12" t="s">
        <v>158</v>
      </c>
      <c r="D468" s="80">
        <v>41710</v>
      </c>
      <c r="E468" s="81">
        <v>740</v>
      </c>
      <c r="F468" s="76" t="s">
        <v>150</v>
      </c>
      <c r="G468" s="77" t="s">
        <v>177</v>
      </c>
      <c r="H468" s="77" t="s">
        <v>153</v>
      </c>
      <c r="I468" s="86">
        <v>41848</v>
      </c>
      <c r="J468" s="78">
        <v>1293</v>
      </c>
      <c r="K468" s="132" t="s">
        <v>20</v>
      </c>
      <c r="L468" s="132" t="s">
        <v>169</v>
      </c>
      <c r="M468" s="132" t="s">
        <v>153</v>
      </c>
      <c r="N468" s="133">
        <v>41911</v>
      </c>
      <c r="O468" s="134">
        <v>814</v>
      </c>
      <c r="P468" s="132" t="s">
        <v>151</v>
      </c>
      <c r="Q468" s="132" t="s">
        <v>196</v>
      </c>
      <c r="R468" s="132" t="s">
        <v>158</v>
      </c>
      <c r="S468" s="133">
        <v>41694</v>
      </c>
      <c r="T468" s="134">
        <v>1058.5999999999999</v>
      </c>
      <c r="U468" s="132" t="s">
        <v>154</v>
      </c>
      <c r="V468" s="132" t="s">
        <v>160</v>
      </c>
      <c r="W468" s="132" t="s">
        <v>153</v>
      </c>
      <c r="X468" s="133">
        <v>41884</v>
      </c>
      <c r="Y468" s="134">
        <v>1124</v>
      </c>
    </row>
    <row r="469" spans="1:25" x14ac:dyDescent="0.25">
      <c r="A469" s="79" t="s">
        <v>148</v>
      </c>
      <c r="B469" s="12" t="s">
        <v>213</v>
      </c>
      <c r="C469" s="12" t="s">
        <v>158</v>
      </c>
      <c r="D469" s="80">
        <v>41711</v>
      </c>
      <c r="E469" s="81">
        <v>810</v>
      </c>
      <c r="F469" s="76" t="s">
        <v>150</v>
      </c>
      <c r="G469" s="77" t="s">
        <v>177</v>
      </c>
      <c r="H469" s="77" t="s">
        <v>153</v>
      </c>
      <c r="I469" s="86">
        <v>41850</v>
      </c>
      <c r="J469" s="78">
        <v>1055</v>
      </c>
      <c r="K469" s="132" t="s">
        <v>20</v>
      </c>
      <c r="L469" s="132" t="s">
        <v>195</v>
      </c>
      <c r="M469" s="132" t="s">
        <v>158</v>
      </c>
      <c r="N469" s="133">
        <v>41690</v>
      </c>
      <c r="O469" s="134">
        <v>2071</v>
      </c>
      <c r="P469" s="132" t="s">
        <v>151</v>
      </c>
      <c r="Q469" s="132" t="s">
        <v>196</v>
      </c>
      <c r="R469" s="132" t="s">
        <v>158</v>
      </c>
      <c r="S469" s="133">
        <v>41695</v>
      </c>
      <c r="T469" s="134">
        <v>644.70000000000005</v>
      </c>
      <c r="U469" s="132" t="s">
        <v>154</v>
      </c>
      <c r="V469" s="132" t="s">
        <v>160</v>
      </c>
      <c r="W469" s="132" t="s">
        <v>153</v>
      </c>
      <c r="X469" s="133">
        <v>41885</v>
      </c>
      <c r="Y469" s="134">
        <v>845</v>
      </c>
    </row>
    <row r="470" spans="1:25" x14ac:dyDescent="0.25">
      <c r="A470" s="79" t="s">
        <v>148</v>
      </c>
      <c r="B470" s="12" t="s">
        <v>213</v>
      </c>
      <c r="C470" s="12" t="s">
        <v>158</v>
      </c>
      <c r="D470" s="80">
        <v>41712</v>
      </c>
      <c r="E470" s="81">
        <v>775</v>
      </c>
      <c r="F470" s="76" t="s">
        <v>150</v>
      </c>
      <c r="G470" s="77" t="s">
        <v>177</v>
      </c>
      <c r="H470" s="77" t="s">
        <v>153</v>
      </c>
      <c r="I470" s="86">
        <v>41851</v>
      </c>
      <c r="J470" s="78">
        <v>1243</v>
      </c>
      <c r="K470" s="132" t="s">
        <v>20</v>
      </c>
      <c r="L470" s="132" t="s">
        <v>195</v>
      </c>
      <c r="M470" s="132" t="s">
        <v>158</v>
      </c>
      <c r="N470" s="133">
        <v>41893</v>
      </c>
      <c r="O470" s="134">
        <v>896</v>
      </c>
      <c r="P470" s="132" t="s">
        <v>151</v>
      </c>
      <c r="Q470" s="132" t="s">
        <v>196</v>
      </c>
      <c r="R470" s="132" t="s">
        <v>158</v>
      </c>
      <c r="S470" s="133">
        <v>41711</v>
      </c>
      <c r="T470" s="134">
        <v>881.8</v>
      </c>
      <c r="U470" s="132" t="s">
        <v>154</v>
      </c>
      <c r="V470" s="132" t="s">
        <v>160</v>
      </c>
      <c r="W470" s="132" t="s">
        <v>153</v>
      </c>
      <c r="X470" s="133">
        <v>41886</v>
      </c>
      <c r="Y470" s="134">
        <v>1141</v>
      </c>
    </row>
    <row r="471" spans="1:25" x14ac:dyDescent="0.25">
      <c r="A471" s="79" t="s">
        <v>148</v>
      </c>
      <c r="B471" s="12" t="s">
        <v>213</v>
      </c>
      <c r="C471" s="12" t="s">
        <v>158</v>
      </c>
      <c r="D471" s="80">
        <v>41713</v>
      </c>
      <c r="E471" s="81">
        <v>1016</v>
      </c>
      <c r="F471" s="76" t="s">
        <v>150</v>
      </c>
      <c r="G471" s="77" t="s">
        <v>177</v>
      </c>
      <c r="H471" s="77" t="s">
        <v>153</v>
      </c>
      <c r="I471" s="86">
        <v>41854</v>
      </c>
      <c r="J471" s="78">
        <v>1441</v>
      </c>
      <c r="K471" s="132" t="s">
        <v>20</v>
      </c>
      <c r="L471" s="132" t="s">
        <v>196</v>
      </c>
      <c r="M471" s="132" t="s">
        <v>158</v>
      </c>
      <c r="N471" s="133">
        <v>41907</v>
      </c>
      <c r="O471" s="134">
        <v>1862</v>
      </c>
      <c r="P471" s="132" t="s">
        <v>151</v>
      </c>
      <c r="Q471" s="132" t="s">
        <v>196</v>
      </c>
      <c r="R471" s="132" t="s">
        <v>158</v>
      </c>
      <c r="S471" s="133">
        <v>41715</v>
      </c>
      <c r="T471" s="134">
        <v>1356.6</v>
      </c>
      <c r="U471" s="132" t="s">
        <v>154</v>
      </c>
      <c r="V471" s="132" t="s">
        <v>160</v>
      </c>
      <c r="W471" s="132" t="s">
        <v>153</v>
      </c>
      <c r="X471" s="133">
        <v>41887</v>
      </c>
      <c r="Y471" s="134">
        <v>1101</v>
      </c>
    </row>
    <row r="472" spans="1:25" x14ac:dyDescent="0.25">
      <c r="A472" s="79" t="s">
        <v>148</v>
      </c>
      <c r="B472" s="12" t="s">
        <v>213</v>
      </c>
      <c r="C472" s="12" t="s">
        <v>158</v>
      </c>
      <c r="D472" s="80">
        <v>41714</v>
      </c>
      <c r="E472" s="81">
        <v>799</v>
      </c>
      <c r="F472" s="76" t="s">
        <v>150</v>
      </c>
      <c r="G472" s="77" t="s">
        <v>177</v>
      </c>
      <c r="H472" s="77" t="s">
        <v>153</v>
      </c>
      <c r="I472" s="86">
        <v>41856</v>
      </c>
      <c r="J472" s="78">
        <v>1451</v>
      </c>
      <c r="K472" s="132" t="s">
        <v>20</v>
      </c>
      <c r="L472" s="132" t="s">
        <v>170</v>
      </c>
      <c r="M472" s="132" t="s">
        <v>158</v>
      </c>
      <c r="N472" s="133">
        <v>41638</v>
      </c>
      <c r="O472" s="134">
        <v>1925</v>
      </c>
      <c r="P472" s="132" t="s">
        <v>151</v>
      </c>
      <c r="Q472" s="132" t="s">
        <v>196</v>
      </c>
      <c r="R472" s="132" t="s">
        <v>158</v>
      </c>
      <c r="S472" s="133">
        <v>41733</v>
      </c>
      <c r="T472" s="134">
        <v>1431.5</v>
      </c>
      <c r="U472" s="132" t="s">
        <v>154</v>
      </c>
      <c r="V472" s="132" t="s">
        <v>160</v>
      </c>
      <c r="W472" s="132" t="s">
        <v>153</v>
      </c>
      <c r="X472" s="133">
        <v>41888</v>
      </c>
      <c r="Y472" s="134">
        <v>532</v>
      </c>
    </row>
    <row r="473" spans="1:25" x14ac:dyDescent="0.25">
      <c r="A473" s="79" t="s">
        <v>148</v>
      </c>
      <c r="B473" s="12" t="s">
        <v>213</v>
      </c>
      <c r="C473" s="12" t="s">
        <v>158</v>
      </c>
      <c r="D473" s="80">
        <v>41715</v>
      </c>
      <c r="E473" s="81">
        <v>525</v>
      </c>
      <c r="F473" s="76" t="s">
        <v>150</v>
      </c>
      <c r="G473" s="77" t="s">
        <v>177</v>
      </c>
      <c r="H473" s="77" t="s">
        <v>153</v>
      </c>
      <c r="I473" s="86">
        <v>41858</v>
      </c>
      <c r="J473" s="78">
        <v>1084</v>
      </c>
      <c r="K473" s="132" t="s">
        <v>20</v>
      </c>
      <c r="L473" s="132" t="s">
        <v>170</v>
      </c>
      <c r="M473" s="132" t="s">
        <v>158</v>
      </c>
      <c r="N473" s="133">
        <v>41655</v>
      </c>
      <c r="O473" s="134">
        <v>1641</v>
      </c>
      <c r="P473" s="132" t="s">
        <v>151</v>
      </c>
      <c r="Q473" s="132" t="s">
        <v>196</v>
      </c>
      <c r="R473" s="132" t="s">
        <v>158</v>
      </c>
      <c r="S473" s="133">
        <v>41753</v>
      </c>
      <c r="T473" s="134">
        <v>1619.5</v>
      </c>
      <c r="U473" s="132" t="s">
        <v>154</v>
      </c>
      <c r="V473" s="132" t="s">
        <v>160</v>
      </c>
      <c r="W473" s="132" t="s">
        <v>153</v>
      </c>
      <c r="X473" s="133">
        <v>41889</v>
      </c>
      <c r="Y473" s="134">
        <v>418</v>
      </c>
    </row>
    <row r="474" spans="1:25" x14ac:dyDescent="0.25">
      <c r="A474" s="79" t="s">
        <v>148</v>
      </c>
      <c r="B474" s="12" t="s">
        <v>213</v>
      </c>
      <c r="C474" s="12" t="s">
        <v>158</v>
      </c>
      <c r="D474" s="80">
        <v>41716</v>
      </c>
      <c r="E474" s="81">
        <v>720</v>
      </c>
      <c r="F474" s="76" t="s">
        <v>150</v>
      </c>
      <c r="G474" s="77" t="s">
        <v>177</v>
      </c>
      <c r="H474" s="77" t="s">
        <v>153</v>
      </c>
      <c r="I474" s="86">
        <v>41860</v>
      </c>
      <c r="J474" s="78">
        <v>1125</v>
      </c>
      <c r="K474" s="132" t="s">
        <v>20</v>
      </c>
      <c r="L474" s="132" t="s">
        <v>170</v>
      </c>
      <c r="M474" s="132" t="s">
        <v>158</v>
      </c>
      <c r="N474" s="133">
        <v>41670</v>
      </c>
      <c r="O474" s="134">
        <v>2001</v>
      </c>
      <c r="P474" s="132" t="s">
        <v>151</v>
      </c>
      <c r="Q474" s="132" t="s">
        <v>196</v>
      </c>
      <c r="R474" s="132" t="s">
        <v>158</v>
      </c>
      <c r="S474" s="133">
        <v>41754</v>
      </c>
      <c r="T474" s="134">
        <v>552.70000000000005</v>
      </c>
      <c r="U474" s="132" t="s">
        <v>154</v>
      </c>
      <c r="V474" s="132" t="s">
        <v>160</v>
      </c>
      <c r="W474" s="132" t="s">
        <v>153</v>
      </c>
      <c r="X474" s="133">
        <v>41890</v>
      </c>
      <c r="Y474" s="134">
        <v>900</v>
      </c>
    </row>
    <row r="475" spans="1:25" x14ac:dyDescent="0.25">
      <c r="A475" s="79" t="s">
        <v>148</v>
      </c>
      <c r="B475" s="12" t="s">
        <v>213</v>
      </c>
      <c r="C475" s="12" t="s">
        <v>158</v>
      </c>
      <c r="D475" s="80">
        <v>41718</v>
      </c>
      <c r="E475" s="81">
        <v>1520</v>
      </c>
      <c r="F475" s="76" t="s">
        <v>150</v>
      </c>
      <c r="G475" s="77" t="s">
        <v>177</v>
      </c>
      <c r="H475" s="77" t="s">
        <v>153</v>
      </c>
      <c r="I475" s="86">
        <v>41860</v>
      </c>
      <c r="J475" s="78">
        <v>1250</v>
      </c>
      <c r="K475" s="132" t="s">
        <v>20</v>
      </c>
      <c r="L475" s="132" t="s">
        <v>170</v>
      </c>
      <c r="M475" s="132" t="s">
        <v>158</v>
      </c>
      <c r="N475" s="133">
        <v>41684</v>
      </c>
      <c r="O475" s="134">
        <v>1505</v>
      </c>
      <c r="P475" s="132" t="s">
        <v>151</v>
      </c>
      <c r="Q475" s="132" t="s">
        <v>196</v>
      </c>
      <c r="R475" s="132" t="s">
        <v>158</v>
      </c>
      <c r="S475" s="133">
        <v>41757</v>
      </c>
      <c r="T475" s="134">
        <v>533.20000000000005</v>
      </c>
      <c r="U475" s="132" t="s">
        <v>154</v>
      </c>
      <c r="V475" s="132" t="s">
        <v>160</v>
      </c>
      <c r="W475" s="132" t="s">
        <v>153</v>
      </c>
      <c r="X475" s="133">
        <v>41891</v>
      </c>
      <c r="Y475" s="134">
        <v>845</v>
      </c>
    </row>
    <row r="476" spans="1:25" x14ac:dyDescent="0.25">
      <c r="A476" s="79" t="s">
        <v>148</v>
      </c>
      <c r="B476" s="12" t="s">
        <v>213</v>
      </c>
      <c r="C476" s="12" t="s">
        <v>158</v>
      </c>
      <c r="D476" s="80">
        <v>41719</v>
      </c>
      <c r="E476" s="81">
        <v>730</v>
      </c>
      <c r="F476" s="76" t="s">
        <v>150</v>
      </c>
      <c r="G476" s="77" t="s">
        <v>177</v>
      </c>
      <c r="H476" s="77" t="s">
        <v>153</v>
      </c>
      <c r="I476" s="86">
        <v>41861</v>
      </c>
      <c r="J476" s="78">
        <v>1241</v>
      </c>
      <c r="K476" s="132" t="s">
        <v>20</v>
      </c>
      <c r="L476" s="132" t="s">
        <v>170</v>
      </c>
      <c r="M476" s="132" t="s">
        <v>158</v>
      </c>
      <c r="N476" s="133">
        <v>41698</v>
      </c>
      <c r="O476" s="134">
        <v>2063</v>
      </c>
      <c r="P476" s="132" t="s">
        <v>151</v>
      </c>
      <c r="Q476" s="132" t="s">
        <v>196</v>
      </c>
      <c r="R476" s="132" t="s">
        <v>158</v>
      </c>
      <c r="S476" s="133">
        <v>41768</v>
      </c>
      <c r="T476" s="134">
        <v>1099.0999999999999</v>
      </c>
      <c r="U476" s="132" t="s">
        <v>154</v>
      </c>
      <c r="V476" s="132" t="s">
        <v>160</v>
      </c>
      <c r="W476" s="132" t="s">
        <v>153</v>
      </c>
      <c r="X476" s="133">
        <v>41892</v>
      </c>
      <c r="Y476" s="134">
        <v>1131</v>
      </c>
    </row>
    <row r="477" spans="1:25" x14ac:dyDescent="0.25">
      <c r="A477" s="79" t="s">
        <v>148</v>
      </c>
      <c r="B477" s="12" t="s">
        <v>213</v>
      </c>
      <c r="C477" s="12" t="s">
        <v>158</v>
      </c>
      <c r="D477" s="80">
        <v>41720</v>
      </c>
      <c r="E477" s="81">
        <v>800</v>
      </c>
      <c r="F477" s="76" t="s">
        <v>150</v>
      </c>
      <c r="G477" s="77" t="s">
        <v>177</v>
      </c>
      <c r="H477" s="77" t="s">
        <v>153</v>
      </c>
      <c r="I477" s="86">
        <v>41862</v>
      </c>
      <c r="J477" s="78">
        <v>1181</v>
      </c>
      <c r="K477" s="132" t="s">
        <v>20</v>
      </c>
      <c r="L477" s="132" t="s">
        <v>170</v>
      </c>
      <c r="M477" s="132" t="s">
        <v>158</v>
      </c>
      <c r="N477" s="133">
        <v>41894</v>
      </c>
      <c r="O477" s="134">
        <v>1261</v>
      </c>
      <c r="P477" s="132" t="s">
        <v>151</v>
      </c>
      <c r="Q477" s="132" t="s">
        <v>196</v>
      </c>
      <c r="R477" s="132" t="s">
        <v>158</v>
      </c>
      <c r="S477" s="133">
        <v>41771</v>
      </c>
      <c r="T477" s="134">
        <v>659.8</v>
      </c>
      <c r="U477" s="132" t="s">
        <v>154</v>
      </c>
      <c r="V477" s="132" t="s">
        <v>160</v>
      </c>
      <c r="W477" s="132" t="s">
        <v>153</v>
      </c>
      <c r="X477" s="133">
        <v>41893</v>
      </c>
      <c r="Y477" s="134">
        <v>762</v>
      </c>
    </row>
    <row r="478" spans="1:25" x14ac:dyDescent="0.25">
      <c r="A478" s="79" t="s">
        <v>148</v>
      </c>
      <c r="B478" s="12" t="s">
        <v>213</v>
      </c>
      <c r="C478" s="12" t="s">
        <v>158</v>
      </c>
      <c r="D478" s="80">
        <v>41721</v>
      </c>
      <c r="E478" s="81">
        <v>598</v>
      </c>
      <c r="F478" s="76" t="s">
        <v>150</v>
      </c>
      <c r="G478" s="77" t="s">
        <v>177</v>
      </c>
      <c r="H478" s="77" t="s">
        <v>153</v>
      </c>
      <c r="I478" s="86">
        <v>41863</v>
      </c>
      <c r="J478" s="78">
        <v>1192</v>
      </c>
      <c r="K478" s="132" t="s">
        <v>20</v>
      </c>
      <c r="L478" s="132" t="s">
        <v>170</v>
      </c>
      <c r="M478" s="132" t="s">
        <v>158</v>
      </c>
      <c r="N478" s="133">
        <v>41906</v>
      </c>
      <c r="O478" s="134">
        <v>1064</v>
      </c>
      <c r="P478" s="132" t="s">
        <v>151</v>
      </c>
      <c r="Q478" s="132" t="s">
        <v>196</v>
      </c>
      <c r="R478" s="132" t="s">
        <v>158</v>
      </c>
      <c r="S478" s="133">
        <v>41795</v>
      </c>
      <c r="T478" s="134">
        <v>434.9</v>
      </c>
      <c r="U478" s="132" t="s">
        <v>154</v>
      </c>
      <c r="V478" s="132" t="s">
        <v>160</v>
      </c>
      <c r="W478" s="132" t="s">
        <v>153</v>
      </c>
      <c r="X478" s="133">
        <v>41894</v>
      </c>
      <c r="Y478" s="134">
        <v>871</v>
      </c>
    </row>
    <row r="479" spans="1:25" x14ac:dyDescent="0.25">
      <c r="A479" s="79" t="s">
        <v>148</v>
      </c>
      <c r="B479" s="12" t="s">
        <v>213</v>
      </c>
      <c r="C479" s="12" t="s">
        <v>158</v>
      </c>
      <c r="D479" s="80">
        <v>41722</v>
      </c>
      <c r="E479" s="81">
        <v>777</v>
      </c>
      <c r="F479" s="76" t="s">
        <v>150</v>
      </c>
      <c r="G479" s="77" t="s">
        <v>177</v>
      </c>
      <c r="H479" s="77" t="s">
        <v>153</v>
      </c>
      <c r="I479" s="86">
        <v>41864</v>
      </c>
      <c r="J479" s="78">
        <v>1144</v>
      </c>
      <c r="K479" s="132" t="s">
        <v>20</v>
      </c>
      <c r="L479" s="132" t="s">
        <v>170</v>
      </c>
      <c r="M479" s="132" t="s">
        <v>158</v>
      </c>
      <c r="N479" s="133">
        <v>41927</v>
      </c>
      <c r="O479" s="134">
        <v>1719</v>
      </c>
      <c r="P479" s="132" t="s">
        <v>151</v>
      </c>
      <c r="Q479" s="132" t="s">
        <v>196</v>
      </c>
      <c r="R479" s="132" t="s">
        <v>158</v>
      </c>
      <c r="S479" s="133">
        <v>41799</v>
      </c>
      <c r="T479" s="134">
        <v>751.7</v>
      </c>
      <c r="U479" s="132" t="s">
        <v>154</v>
      </c>
      <c r="V479" s="132" t="s">
        <v>160</v>
      </c>
      <c r="W479" s="132" t="s">
        <v>153</v>
      </c>
      <c r="X479" s="133">
        <v>41895</v>
      </c>
      <c r="Y479" s="134">
        <v>548</v>
      </c>
    </row>
    <row r="480" spans="1:25" x14ac:dyDescent="0.25">
      <c r="A480" s="79" t="s">
        <v>148</v>
      </c>
      <c r="B480" s="12" t="s">
        <v>213</v>
      </c>
      <c r="C480" s="12" t="s">
        <v>158</v>
      </c>
      <c r="D480" s="80">
        <v>41723</v>
      </c>
      <c r="E480" s="81">
        <v>800</v>
      </c>
      <c r="F480" s="76" t="s">
        <v>150</v>
      </c>
      <c r="G480" s="77" t="s">
        <v>177</v>
      </c>
      <c r="H480" s="77" t="s">
        <v>153</v>
      </c>
      <c r="I480" s="86">
        <v>41866</v>
      </c>
      <c r="J480" s="78">
        <v>1195</v>
      </c>
      <c r="K480" s="132" t="s">
        <v>20</v>
      </c>
      <c r="L480" s="132" t="s">
        <v>197</v>
      </c>
      <c r="M480" s="132" t="s">
        <v>158</v>
      </c>
      <c r="N480" s="133">
        <v>41691</v>
      </c>
      <c r="O480" s="134">
        <v>760</v>
      </c>
      <c r="P480" s="132" t="s">
        <v>151</v>
      </c>
      <c r="Q480" s="132" t="s">
        <v>196</v>
      </c>
      <c r="R480" s="132" t="s">
        <v>158</v>
      </c>
      <c r="S480" s="133">
        <v>41810</v>
      </c>
      <c r="T480" s="134">
        <v>1300.4000000000001</v>
      </c>
      <c r="U480" s="132" t="s">
        <v>154</v>
      </c>
      <c r="V480" s="132" t="s">
        <v>160</v>
      </c>
      <c r="W480" s="132" t="s">
        <v>153</v>
      </c>
      <c r="X480" s="133">
        <v>41896</v>
      </c>
      <c r="Y480" s="134">
        <v>436</v>
      </c>
    </row>
    <row r="481" spans="1:25" x14ac:dyDescent="0.25">
      <c r="A481" s="79" t="s">
        <v>148</v>
      </c>
      <c r="B481" s="12" t="s">
        <v>213</v>
      </c>
      <c r="C481" s="12" t="s">
        <v>158</v>
      </c>
      <c r="D481" s="80">
        <v>41724</v>
      </c>
      <c r="E481" s="81">
        <v>810</v>
      </c>
      <c r="F481" s="76" t="s">
        <v>150</v>
      </c>
      <c r="G481" s="77" t="s">
        <v>177</v>
      </c>
      <c r="H481" s="77" t="s">
        <v>153</v>
      </c>
      <c r="I481" s="86">
        <v>41869</v>
      </c>
      <c r="J481" s="78">
        <v>518</v>
      </c>
      <c r="K481" s="132" t="s">
        <v>20</v>
      </c>
      <c r="L481" s="132" t="s">
        <v>197</v>
      </c>
      <c r="M481" s="132" t="s">
        <v>158</v>
      </c>
      <c r="N481" s="133">
        <v>41739</v>
      </c>
      <c r="O481" s="134">
        <v>1612</v>
      </c>
      <c r="P481" s="132" t="s">
        <v>151</v>
      </c>
      <c r="Q481" s="132" t="s">
        <v>196</v>
      </c>
      <c r="R481" s="132" t="s">
        <v>158</v>
      </c>
      <c r="S481" s="133">
        <v>41813</v>
      </c>
      <c r="T481" s="134">
        <v>601.20000000000005</v>
      </c>
      <c r="U481" s="132" t="s">
        <v>154</v>
      </c>
      <c r="V481" s="132" t="s">
        <v>160</v>
      </c>
      <c r="W481" s="132" t="s">
        <v>153</v>
      </c>
      <c r="X481" s="133">
        <v>41897</v>
      </c>
      <c r="Y481" s="134">
        <v>620</v>
      </c>
    </row>
    <row r="482" spans="1:25" x14ac:dyDescent="0.25">
      <c r="A482" s="79" t="s">
        <v>148</v>
      </c>
      <c r="B482" s="12" t="s">
        <v>213</v>
      </c>
      <c r="C482" s="12" t="s">
        <v>158</v>
      </c>
      <c r="D482" s="80">
        <v>41725</v>
      </c>
      <c r="E482" s="81">
        <v>711</v>
      </c>
      <c r="F482" s="76" t="s">
        <v>150</v>
      </c>
      <c r="G482" s="77" t="s">
        <v>177</v>
      </c>
      <c r="H482" s="77" t="s">
        <v>153</v>
      </c>
      <c r="I482" s="86">
        <v>41870</v>
      </c>
      <c r="J482" s="78">
        <v>463</v>
      </c>
      <c r="K482" s="132" t="s">
        <v>20</v>
      </c>
      <c r="L482" s="132" t="s">
        <v>197</v>
      </c>
      <c r="M482" s="132" t="s">
        <v>158</v>
      </c>
      <c r="N482" s="133">
        <v>41797</v>
      </c>
      <c r="O482" s="134">
        <v>33</v>
      </c>
      <c r="P482" s="132" t="s">
        <v>151</v>
      </c>
      <c r="Q482" s="132" t="s">
        <v>196</v>
      </c>
      <c r="R482" s="132" t="s">
        <v>158</v>
      </c>
      <c r="S482" s="133">
        <v>41815</v>
      </c>
      <c r="T482" s="134">
        <v>1275</v>
      </c>
      <c r="U482" s="132" t="s">
        <v>154</v>
      </c>
      <c r="V482" s="132" t="s">
        <v>160</v>
      </c>
      <c r="W482" s="132" t="s">
        <v>153</v>
      </c>
      <c r="X482" s="133">
        <v>41921</v>
      </c>
      <c r="Y482" s="134">
        <v>322</v>
      </c>
    </row>
    <row r="483" spans="1:25" x14ac:dyDescent="0.25">
      <c r="A483" s="79" t="s">
        <v>148</v>
      </c>
      <c r="B483" s="12" t="s">
        <v>213</v>
      </c>
      <c r="C483" s="12" t="s">
        <v>158</v>
      </c>
      <c r="D483" s="80">
        <v>41758</v>
      </c>
      <c r="E483" s="81">
        <v>1000</v>
      </c>
      <c r="F483" s="76" t="s">
        <v>150</v>
      </c>
      <c r="G483" s="77" t="s">
        <v>177</v>
      </c>
      <c r="H483" s="77" t="s">
        <v>153</v>
      </c>
      <c r="I483" s="86">
        <v>41876</v>
      </c>
      <c r="J483" s="78">
        <v>911</v>
      </c>
      <c r="K483" s="132" t="s">
        <v>20</v>
      </c>
      <c r="L483" s="132" t="s">
        <v>197</v>
      </c>
      <c r="M483" s="132" t="s">
        <v>158</v>
      </c>
      <c r="N483" s="133">
        <v>41873</v>
      </c>
      <c r="O483" s="134">
        <v>1997</v>
      </c>
      <c r="P483" s="132" t="s">
        <v>151</v>
      </c>
      <c r="Q483" s="132" t="s">
        <v>196</v>
      </c>
      <c r="R483" s="132" t="s">
        <v>158</v>
      </c>
      <c r="S483" s="133">
        <v>41816</v>
      </c>
      <c r="T483" s="134">
        <v>671.3</v>
      </c>
      <c r="U483" s="132" t="s">
        <v>154</v>
      </c>
      <c r="V483" s="132" t="s">
        <v>160</v>
      </c>
      <c r="W483" s="132" t="s">
        <v>153</v>
      </c>
      <c r="X483" s="133">
        <v>41921</v>
      </c>
      <c r="Y483" s="134">
        <v>774</v>
      </c>
    </row>
    <row r="484" spans="1:25" x14ac:dyDescent="0.25">
      <c r="A484" s="79" t="s">
        <v>148</v>
      </c>
      <c r="B484" s="12" t="s">
        <v>213</v>
      </c>
      <c r="C484" s="12" t="s">
        <v>158</v>
      </c>
      <c r="D484" s="80">
        <v>41759</v>
      </c>
      <c r="E484" s="81">
        <v>790</v>
      </c>
      <c r="F484" s="76" t="s">
        <v>150</v>
      </c>
      <c r="G484" s="77" t="s">
        <v>178</v>
      </c>
      <c r="H484" s="77" t="s">
        <v>153</v>
      </c>
      <c r="I484" s="86">
        <v>41666</v>
      </c>
      <c r="J484" s="78">
        <v>694</v>
      </c>
      <c r="K484" s="132" t="s">
        <v>20</v>
      </c>
      <c r="L484" s="132" t="s">
        <v>171</v>
      </c>
      <c r="M484" s="132" t="s">
        <v>158</v>
      </c>
      <c r="N484" s="133">
        <v>41658</v>
      </c>
      <c r="O484" s="134">
        <v>1559</v>
      </c>
      <c r="P484" s="132" t="s">
        <v>151</v>
      </c>
      <c r="Q484" s="132" t="s">
        <v>196</v>
      </c>
      <c r="R484" s="132" t="s">
        <v>158</v>
      </c>
      <c r="S484" s="133">
        <v>41821</v>
      </c>
      <c r="T484" s="134">
        <v>1483.4</v>
      </c>
      <c r="U484" s="132" t="s">
        <v>154</v>
      </c>
      <c r="V484" s="132" t="s">
        <v>160</v>
      </c>
      <c r="W484" s="132" t="s">
        <v>153</v>
      </c>
      <c r="X484" s="133">
        <v>41922</v>
      </c>
      <c r="Y484" s="134">
        <v>1001</v>
      </c>
    </row>
    <row r="485" spans="1:25" x14ac:dyDescent="0.25">
      <c r="A485" s="79" t="s">
        <v>148</v>
      </c>
      <c r="B485" s="12" t="s">
        <v>213</v>
      </c>
      <c r="C485" s="12" t="s">
        <v>158</v>
      </c>
      <c r="D485" s="80">
        <v>41760</v>
      </c>
      <c r="E485" s="81">
        <v>1090</v>
      </c>
      <c r="F485" s="76" t="s">
        <v>150</v>
      </c>
      <c r="G485" s="77" t="s">
        <v>178</v>
      </c>
      <c r="H485" s="77" t="s">
        <v>153</v>
      </c>
      <c r="I485" s="86">
        <v>41667</v>
      </c>
      <c r="J485" s="78">
        <v>753</v>
      </c>
      <c r="K485" s="132" t="s">
        <v>20</v>
      </c>
      <c r="L485" s="132" t="s">
        <v>171</v>
      </c>
      <c r="M485" s="132" t="s">
        <v>158</v>
      </c>
      <c r="N485" s="133">
        <v>41672</v>
      </c>
      <c r="O485" s="134">
        <v>1946</v>
      </c>
      <c r="P485" s="132" t="s">
        <v>151</v>
      </c>
      <c r="Q485" s="132" t="s">
        <v>196</v>
      </c>
      <c r="R485" s="132" t="s">
        <v>158</v>
      </c>
      <c r="S485" s="133">
        <v>41865</v>
      </c>
      <c r="T485" s="134">
        <v>1018.5</v>
      </c>
      <c r="U485" s="132" t="s">
        <v>154</v>
      </c>
      <c r="V485" s="132" t="s">
        <v>160</v>
      </c>
      <c r="W485" s="132" t="s">
        <v>153</v>
      </c>
      <c r="X485" s="133">
        <v>41924</v>
      </c>
      <c r="Y485" s="134">
        <v>292</v>
      </c>
    </row>
    <row r="486" spans="1:25" x14ac:dyDescent="0.25">
      <c r="A486" s="79" t="s">
        <v>148</v>
      </c>
      <c r="B486" s="12" t="s">
        <v>213</v>
      </c>
      <c r="C486" s="12" t="s">
        <v>158</v>
      </c>
      <c r="D486" s="80">
        <v>41761</v>
      </c>
      <c r="E486" s="81">
        <v>730</v>
      </c>
      <c r="F486" s="76" t="s">
        <v>150</v>
      </c>
      <c r="G486" s="77" t="s">
        <v>178</v>
      </c>
      <c r="H486" s="77" t="s">
        <v>153</v>
      </c>
      <c r="I486" s="86">
        <v>41669</v>
      </c>
      <c r="J486" s="78">
        <v>1093</v>
      </c>
      <c r="K486" s="132" t="s">
        <v>20</v>
      </c>
      <c r="L486" s="132" t="s">
        <v>171</v>
      </c>
      <c r="M486" s="132" t="s">
        <v>158</v>
      </c>
      <c r="N486" s="133">
        <v>41692</v>
      </c>
      <c r="O486" s="134">
        <v>1906</v>
      </c>
      <c r="P486" s="132" t="s">
        <v>151</v>
      </c>
      <c r="Q486" s="132" t="s">
        <v>196</v>
      </c>
      <c r="R486" s="132" t="s">
        <v>158</v>
      </c>
      <c r="S486" s="133">
        <v>41866</v>
      </c>
      <c r="T486" s="134">
        <v>642.9</v>
      </c>
      <c r="U486" s="132" t="s">
        <v>154</v>
      </c>
      <c r="V486" s="132" t="s">
        <v>160</v>
      </c>
      <c r="W486" s="132" t="s">
        <v>153</v>
      </c>
      <c r="X486" s="133">
        <v>41925</v>
      </c>
      <c r="Y486" s="134">
        <v>980</v>
      </c>
    </row>
    <row r="487" spans="1:25" x14ac:dyDescent="0.25">
      <c r="A487" s="79" t="s">
        <v>148</v>
      </c>
      <c r="B487" s="12" t="s">
        <v>213</v>
      </c>
      <c r="C487" s="12" t="s">
        <v>158</v>
      </c>
      <c r="D487" s="80">
        <v>41762</v>
      </c>
      <c r="E487" s="81">
        <v>750</v>
      </c>
      <c r="F487" s="76" t="s">
        <v>150</v>
      </c>
      <c r="G487" s="77" t="s">
        <v>178</v>
      </c>
      <c r="H487" s="77" t="s">
        <v>153</v>
      </c>
      <c r="I487" s="86">
        <v>41671</v>
      </c>
      <c r="J487" s="78">
        <v>633</v>
      </c>
      <c r="K487" s="132" t="s">
        <v>20</v>
      </c>
      <c r="L487" s="132" t="s">
        <v>171</v>
      </c>
      <c r="M487" s="132" t="s">
        <v>158</v>
      </c>
      <c r="N487" s="133">
        <v>41787</v>
      </c>
      <c r="O487" s="134">
        <v>1632</v>
      </c>
      <c r="P487" s="132" t="s">
        <v>151</v>
      </c>
      <c r="Q487" s="132" t="s">
        <v>196</v>
      </c>
      <c r="R487" s="132" t="s">
        <v>158</v>
      </c>
      <c r="S487" s="133">
        <v>41869</v>
      </c>
      <c r="T487" s="134">
        <v>763.7</v>
      </c>
      <c r="U487" s="132" t="s">
        <v>154</v>
      </c>
      <c r="V487" s="132" t="s">
        <v>160</v>
      </c>
      <c r="W487" s="132" t="s">
        <v>153</v>
      </c>
      <c r="X487" s="133">
        <v>41926</v>
      </c>
      <c r="Y487" s="134">
        <v>795</v>
      </c>
    </row>
    <row r="488" spans="1:25" x14ac:dyDescent="0.25">
      <c r="A488" s="79" t="s">
        <v>148</v>
      </c>
      <c r="B488" s="12" t="s">
        <v>213</v>
      </c>
      <c r="C488" s="12" t="s">
        <v>158</v>
      </c>
      <c r="D488" s="80">
        <v>41763</v>
      </c>
      <c r="E488" s="81">
        <v>705</v>
      </c>
      <c r="F488" s="76" t="s">
        <v>150</v>
      </c>
      <c r="G488" s="77" t="s">
        <v>178</v>
      </c>
      <c r="H488" s="77" t="s">
        <v>153</v>
      </c>
      <c r="I488" s="86">
        <v>41671</v>
      </c>
      <c r="J488" s="78">
        <v>965</v>
      </c>
      <c r="K488" s="132" t="s">
        <v>20</v>
      </c>
      <c r="L488" s="132" t="s">
        <v>171</v>
      </c>
      <c r="M488" s="132" t="s">
        <v>158</v>
      </c>
      <c r="N488" s="133">
        <v>41874</v>
      </c>
      <c r="O488" s="134">
        <v>1679</v>
      </c>
      <c r="P488" s="132" t="s">
        <v>151</v>
      </c>
      <c r="Q488" s="132" t="s">
        <v>196</v>
      </c>
      <c r="R488" s="132" t="s">
        <v>158</v>
      </c>
      <c r="S488" s="133">
        <v>41871</v>
      </c>
      <c r="T488" s="134">
        <v>927.2</v>
      </c>
      <c r="U488" s="132" t="s">
        <v>154</v>
      </c>
      <c r="V488" s="132" t="s">
        <v>160</v>
      </c>
      <c r="W488" s="132" t="s">
        <v>153</v>
      </c>
      <c r="X488" s="133">
        <v>41927</v>
      </c>
      <c r="Y488" s="134">
        <v>1001</v>
      </c>
    </row>
    <row r="489" spans="1:25" x14ac:dyDescent="0.25">
      <c r="A489" s="79" t="s">
        <v>148</v>
      </c>
      <c r="B489" s="12" t="s">
        <v>213</v>
      </c>
      <c r="C489" s="12" t="s">
        <v>158</v>
      </c>
      <c r="D489" s="80">
        <v>41764</v>
      </c>
      <c r="E489" s="81">
        <v>700</v>
      </c>
      <c r="F489" s="76" t="s">
        <v>150</v>
      </c>
      <c r="G489" s="77" t="s">
        <v>178</v>
      </c>
      <c r="H489" s="77" t="s">
        <v>153</v>
      </c>
      <c r="I489" s="86">
        <v>41672</v>
      </c>
      <c r="J489" s="78">
        <v>905</v>
      </c>
      <c r="K489" s="132" t="s">
        <v>20</v>
      </c>
      <c r="L489" s="132" t="s">
        <v>171</v>
      </c>
      <c r="M489" s="132" t="s">
        <v>158</v>
      </c>
      <c r="N489" s="133">
        <v>41902</v>
      </c>
      <c r="O489" s="134">
        <v>1627</v>
      </c>
      <c r="P489" s="132" t="s">
        <v>151</v>
      </c>
      <c r="Q489" s="132" t="s">
        <v>196</v>
      </c>
      <c r="R489" s="132" t="s">
        <v>158</v>
      </c>
      <c r="S489" s="133">
        <v>41948</v>
      </c>
      <c r="T489" s="134">
        <v>939.6</v>
      </c>
      <c r="U489" s="132" t="s">
        <v>154</v>
      </c>
      <c r="V489" s="132" t="s">
        <v>160</v>
      </c>
      <c r="W489" s="132" t="s">
        <v>153</v>
      </c>
      <c r="X489" s="133">
        <v>41928</v>
      </c>
      <c r="Y489" s="134">
        <v>801</v>
      </c>
    </row>
    <row r="490" spans="1:25" x14ac:dyDescent="0.25">
      <c r="A490" s="79" t="s">
        <v>148</v>
      </c>
      <c r="B490" s="12" t="s">
        <v>213</v>
      </c>
      <c r="C490" s="12" t="s">
        <v>158</v>
      </c>
      <c r="D490" s="80">
        <v>41766</v>
      </c>
      <c r="E490" s="81">
        <v>720</v>
      </c>
      <c r="F490" s="76" t="s">
        <v>150</v>
      </c>
      <c r="G490" s="77" t="s">
        <v>178</v>
      </c>
      <c r="H490" s="77" t="s">
        <v>153</v>
      </c>
      <c r="I490" s="86">
        <v>41675</v>
      </c>
      <c r="J490" s="78">
        <v>799</v>
      </c>
      <c r="K490" s="132" t="s">
        <v>20</v>
      </c>
      <c r="L490" s="132" t="s">
        <v>171</v>
      </c>
      <c r="M490" s="132" t="s">
        <v>158</v>
      </c>
      <c r="N490" s="133">
        <v>41905</v>
      </c>
      <c r="O490" s="134">
        <v>291</v>
      </c>
      <c r="P490" s="132" t="s">
        <v>151</v>
      </c>
      <c r="Q490" s="132" t="s">
        <v>196</v>
      </c>
      <c r="R490" s="132" t="s">
        <v>158</v>
      </c>
      <c r="S490" s="133">
        <v>41950</v>
      </c>
      <c r="T490" s="134">
        <v>957.6</v>
      </c>
      <c r="U490" s="132" t="s">
        <v>154</v>
      </c>
      <c r="V490" s="132" t="s">
        <v>160</v>
      </c>
      <c r="W490" s="132" t="s">
        <v>153</v>
      </c>
      <c r="X490" s="133">
        <v>41929</v>
      </c>
      <c r="Y490" s="134">
        <v>1061</v>
      </c>
    </row>
    <row r="491" spans="1:25" x14ac:dyDescent="0.25">
      <c r="A491" s="79" t="s">
        <v>148</v>
      </c>
      <c r="B491" s="12" t="s">
        <v>213</v>
      </c>
      <c r="C491" s="12" t="s">
        <v>158</v>
      </c>
      <c r="D491" s="80">
        <v>41796</v>
      </c>
      <c r="E491" s="81">
        <v>800</v>
      </c>
      <c r="F491" s="76" t="s">
        <v>150</v>
      </c>
      <c r="G491" s="77" t="s">
        <v>178</v>
      </c>
      <c r="H491" s="77" t="s">
        <v>153</v>
      </c>
      <c r="I491" s="86">
        <v>41675</v>
      </c>
      <c r="J491" s="78">
        <v>657</v>
      </c>
      <c r="K491" s="132" t="s">
        <v>20</v>
      </c>
      <c r="L491" s="132" t="s">
        <v>199</v>
      </c>
      <c r="M491" s="132" t="s">
        <v>158</v>
      </c>
      <c r="N491" s="133">
        <v>41646</v>
      </c>
      <c r="O491" s="134">
        <v>1701</v>
      </c>
      <c r="P491" s="132" t="s">
        <v>151</v>
      </c>
      <c r="Q491" s="132" t="s">
        <v>196</v>
      </c>
      <c r="R491" s="132" t="s">
        <v>158</v>
      </c>
      <c r="S491" s="133">
        <v>41954</v>
      </c>
      <c r="T491" s="134">
        <v>1374.2</v>
      </c>
      <c r="U491" s="132" t="s">
        <v>154</v>
      </c>
      <c r="V491" s="132" t="s">
        <v>160</v>
      </c>
      <c r="W491" s="132" t="s">
        <v>153</v>
      </c>
      <c r="X491" s="133">
        <v>41931</v>
      </c>
      <c r="Y491" s="134">
        <v>851</v>
      </c>
    </row>
    <row r="492" spans="1:25" x14ac:dyDescent="0.25">
      <c r="A492" s="79" t="s">
        <v>148</v>
      </c>
      <c r="B492" s="12" t="s">
        <v>213</v>
      </c>
      <c r="C492" s="12" t="s">
        <v>158</v>
      </c>
      <c r="D492" s="80">
        <v>41797</v>
      </c>
      <c r="E492" s="81">
        <v>770</v>
      </c>
      <c r="F492" s="76" t="s">
        <v>150</v>
      </c>
      <c r="G492" s="77" t="s">
        <v>178</v>
      </c>
      <c r="H492" s="77" t="s">
        <v>153</v>
      </c>
      <c r="I492" s="86">
        <v>41681</v>
      </c>
      <c r="J492" s="78">
        <v>1316</v>
      </c>
      <c r="K492" s="132" t="s">
        <v>20</v>
      </c>
      <c r="L492" s="132" t="s">
        <v>199</v>
      </c>
      <c r="M492" s="132" t="s">
        <v>158</v>
      </c>
      <c r="N492" s="133">
        <v>41679</v>
      </c>
      <c r="O492" s="134">
        <v>1453</v>
      </c>
      <c r="P492" s="132" t="s">
        <v>151</v>
      </c>
      <c r="Q492" s="132" t="s">
        <v>196</v>
      </c>
      <c r="R492" s="132" t="s">
        <v>158</v>
      </c>
      <c r="S492" s="133">
        <v>41955</v>
      </c>
      <c r="T492" s="134">
        <v>707.6</v>
      </c>
      <c r="U492" s="132" t="s">
        <v>154</v>
      </c>
      <c r="V492" s="132" t="s">
        <v>160</v>
      </c>
      <c r="W492" s="132" t="s">
        <v>153</v>
      </c>
      <c r="X492" s="133">
        <v>41932</v>
      </c>
      <c r="Y492" s="134">
        <v>900</v>
      </c>
    </row>
    <row r="493" spans="1:25" x14ac:dyDescent="0.25">
      <c r="A493" s="79" t="s">
        <v>148</v>
      </c>
      <c r="B493" s="12" t="s">
        <v>213</v>
      </c>
      <c r="C493" s="12" t="s">
        <v>158</v>
      </c>
      <c r="D493" s="80">
        <v>41798</v>
      </c>
      <c r="E493" s="81">
        <v>710</v>
      </c>
      <c r="F493" s="76" t="s">
        <v>150</v>
      </c>
      <c r="G493" s="77" t="s">
        <v>178</v>
      </c>
      <c r="H493" s="77" t="s">
        <v>153</v>
      </c>
      <c r="I493" s="86">
        <v>41683</v>
      </c>
      <c r="J493" s="78">
        <v>1196</v>
      </c>
      <c r="K493" s="132" t="s">
        <v>20</v>
      </c>
      <c r="L493" s="132" t="s">
        <v>199</v>
      </c>
      <c r="M493" s="132" t="s">
        <v>158</v>
      </c>
      <c r="N493" s="133">
        <v>41703</v>
      </c>
      <c r="O493" s="134">
        <v>1591</v>
      </c>
      <c r="P493" s="132" t="s">
        <v>151</v>
      </c>
      <c r="Q493" s="132" t="s">
        <v>196</v>
      </c>
      <c r="R493" s="132" t="s">
        <v>158</v>
      </c>
      <c r="S493" s="133">
        <v>41956</v>
      </c>
      <c r="T493" s="134">
        <v>557.1</v>
      </c>
      <c r="U493" s="132" t="s">
        <v>154</v>
      </c>
      <c r="V493" s="132" t="s">
        <v>160</v>
      </c>
      <c r="W493" s="132" t="s">
        <v>153</v>
      </c>
      <c r="X493" s="133">
        <v>41933</v>
      </c>
      <c r="Y493" s="134">
        <v>1061</v>
      </c>
    </row>
    <row r="494" spans="1:25" x14ac:dyDescent="0.25">
      <c r="A494" s="79" t="s">
        <v>148</v>
      </c>
      <c r="B494" s="12" t="s">
        <v>213</v>
      </c>
      <c r="C494" s="12" t="s">
        <v>158</v>
      </c>
      <c r="D494" s="80">
        <v>41799</v>
      </c>
      <c r="E494" s="81">
        <v>820</v>
      </c>
      <c r="F494" s="76" t="s">
        <v>150</v>
      </c>
      <c r="G494" s="77" t="s">
        <v>178</v>
      </c>
      <c r="H494" s="77" t="s">
        <v>153</v>
      </c>
      <c r="I494" s="86">
        <v>41684</v>
      </c>
      <c r="J494" s="78">
        <v>1159</v>
      </c>
      <c r="K494" s="132" t="s">
        <v>20</v>
      </c>
      <c r="L494" s="132" t="s">
        <v>199</v>
      </c>
      <c r="M494" s="132" t="s">
        <v>158</v>
      </c>
      <c r="N494" s="133">
        <v>41720</v>
      </c>
      <c r="O494" s="134">
        <v>1475</v>
      </c>
      <c r="P494" s="132" t="s">
        <v>151</v>
      </c>
      <c r="Q494" s="132" t="s">
        <v>196</v>
      </c>
      <c r="R494" s="132" t="s">
        <v>158</v>
      </c>
      <c r="S494" s="133">
        <v>41957</v>
      </c>
      <c r="T494" s="134">
        <v>405.1</v>
      </c>
      <c r="U494" s="132" t="s">
        <v>154</v>
      </c>
      <c r="V494" s="132" t="s">
        <v>160</v>
      </c>
      <c r="W494" s="132" t="s">
        <v>153</v>
      </c>
      <c r="X494" s="133">
        <v>41934</v>
      </c>
      <c r="Y494" s="134">
        <v>945</v>
      </c>
    </row>
    <row r="495" spans="1:25" x14ac:dyDescent="0.25">
      <c r="A495" s="79" t="s">
        <v>148</v>
      </c>
      <c r="B495" s="12" t="s">
        <v>213</v>
      </c>
      <c r="C495" s="12" t="s">
        <v>158</v>
      </c>
      <c r="D495" s="80">
        <v>41800</v>
      </c>
      <c r="E495" s="81">
        <v>850</v>
      </c>
      <c r="F495" s="76" t="s">
        <v>150</v>
      </c>
      <c r="G495" s="77" t="s">
        <v>178</v>
      </c>
      <c r="H495" s="77" t="s">
        <v>153</v>
      </c>
      <c r="I495" s="86">
        <v>41685</v>
      </c>
      <c r="J495" s="78">
        <v>895</v>
      </c>
      <c r="K495" s="132" t="s">
        <v>20</v>
      </c>
      <c r="L495" s="132" t="s">
        <v>199</v>
      </c>
      <c r="M495" s="132" t="s">
        <v>158</v>
      </c>
      <c r="N495" s="133">
        <v>41736</v>
      </c>
      <c r="O495" s="134">
        <v>1550</v>
      </c>
      <c r="P495" s="132" t="s">
        <v>151</v>
      </c>
      <c r="Q495" s="132" t="s">
        <v>196</v>
      </c>
      <c r="R495" s="132" t="s">
        <v>158</v>
      </c>
      <c r="S495" s="133">
        <v>41960</v>
      </c>
      <c r="T495" s="134">
        <v>921.9</v>
      </c>
      <c r="U495" s="132" t="s">
        <v>154</v>
      </c>
      <c r="V495" s="132" t="s">
        <v>160</v>
      </c>
      <c r="W495" s="132" t="s">
        <v>153</v>
      </c>
      <c r="X495" s="133">
        <v>41936</v>
      </c>
      <c r="Y495" s="134">
        <v>1326</v>
      </c>
    </row>
    <row r="496" spans="1:25" x14ac:dyDescent="0.25">
      <c r="A496" s="79" t="s">
        <v>148</v>
      </c>
      <c r="B496" s="12" t="s">
        <v>213</v>
      </c>
      <c r="C496" s="12" t="s">
        <v>158</v>
      </c>
      <c r="D496" s="80">
        <v>41801</v>
      </c>
      <c r="E496" s="81">
        <v>775</v>
      </c>
      <c r="F496" s="76" t="s">
        <v>150</v>
      </c>
      <c r="G496" s="77" t="s">
        <v>178</v>
      </c>
      <c r="H496" s="77" t="s">
        <v>153</v>
      </c>
      <c r="I496" s="86">
        <v>41686</v>
      </c>
      <c r="J496" s="78">
        <v>773</v>
      </c>
      <c r="K496" s="132" t="s">
        <v>20</v>
      </c>
      <c r="L496" s="132" t="s">
        <v>199</v>
      </c>
      <c r="M496" s="132" t="s">
        <v>158</v>
      </c>
      <c r="N496" s="133">
        <v>41762</v>
      </c>
      <c r="O496" s="134">
        <v>1246</v>
      </c>
      <c r="P496" s="132" t="s">
        <v>151</v>
      </c>
      <c r="Q496" s="132" t="s">
        <v>196</v>
      </c>
      <c r="R496" s="132" t="s">
        <v>158</v>
      </c>
      <c r="S496" s="133">
        <v>41961</v>
      </c>
      <c r="T496" s="134">
        <v>607.70000000000005</v>
      </c>
      <c r="U496" s="132" t="s">
        <v>154</v>
      </c>
      <c r="V496" s="132" t="s">
        <v>160</v>
      </c>
      <c r="W496" s="132" t="s">
        <v>153</v>
      </c>
      <c r="X496" s="133">
        <v>41937</v>
      </c>
      <c r="Y496" s="134">
        <v>416</v>
      </c>
    </row>
    <row r="497" spans="1:25" x14ac:dyDescent="0.25">
      <c r="A497" s="79" t="s">
        <v>148</v>
      </c>
      <c r="B497" s="12" t="s">
        <v>213</v>
      </c>
      <c r="C497" s="12" t="s">
        <v>158</v>
      </c>
      <c r="D497" s="80">
        <v>41802</v>
      </c>
      <c r="E497" s="81">
        <v>775</v>
      </c>
      <c r="F497" s="76" t="s">
        <v>150</v>
      </c>
      <c r="G497" s="77" t="s">
        <v>178</v>
      </c>
      <c r="H497" s="77" t="s">
        <v>153</v>
      </c>
      <c r="I497" s="86">
        <v>41687</v>
      </c>
      <c r="J497" s="78">
        <v>1082</v>
      </c>
      <c r="K497" s="132" t="s">
        <v>20</v>
      </c>
      <c r="L497" s="132" t="s">
        <v>199</v>
      </c>
      <c r="M497" s="132" t="s">
        <v>158</v>
      </c>
      <c r="N497" s="133">
        <v>41799</v>
      </c>
      <c r="O497" s="134">
        <v>1407</v>
      </c>
      <c r="P497" s="132" t="s">
        <v>151</v>
      </c>
      <c r="Q497" s="132" t="s">
        <v>196</v>
      </c>
      <c r="R497" s="132" t="s">
        <v>158</v>
      </c>
      <c r="S497" s="133">
        <v>41962</v>
      </c>
      <c r="T497" s="134">
        <v>743.3</v>
      </c>
      <c r="U497" s="132" t="s">
        <v>154</v>
      </c>
      <c r="V497" s="132" t="s">
        <v>160</v>
      </c>
      <c r="W497" s="132" t="s">
        <v>153</v>
      </c>
      <c r="X497" s="133">
        <v>41938</v>
      </c>
      <c r="Y497" s="134">
        <v>497</v>
      </c>
    </row>
    <row r="498" spans="1:25" x14ac:dyDescent="0.25">
      <c r="A498" s="79" t="s">
        <v>148</v>
      </c>
      <c r="B498" s="12" t="s">
        <v>213</v>
      </c>
      <c r="C498" s="12" t="s">
        <v>158</v>
      </c>
      <c r="D498" s="80">
        <v>41803</v>
      </c>
      <c r="E498" s="81">
        <v>775</v>
      </c>
      <c r="F498" s="76" t="s">
        <v>150</v>
      </c>
      <c r="G498" s="77" t="s">
        <v>178</v>
      </c>
      <c r="H498" s="77" t="s">
        <v>153</v>
      </c>
      <c r="I498" s="86">
        <v>41688</v>
      </c>
      <c r="J498" s="78">
        <v>1058</v>
      </c>
      <c r="K498" s="132" t="s">
        <v>20</v>
      </c>
      <c r="L498" s="132" t="s">
        <v>199</v>
      </c>
      <c r="M498" s="132" t="s">
        <v>158</v>
      </c>
      <c r="N498" s="133">
        <v>41908</v>
      </c>
      <c r="O498" s="134">
        <v>1214</v>
      </c>
      <c r="P498" s="132" t="s">
        <v>151</v>
      </c>
      <c r="Q498" s="132" t="s">
        <v>196</v>
      </c>
      <c r="R498" s="132" t="s">
        <v>158</v>
      </c>
      <c r="S498" s="133">
        <v>41963</v>
      </c>
      <c r="T498" s="134">
        <v>663.5</v>
      </c>
      <c r="U498" s="132" t="s">
        <v>154</v>
      </c>
      <c r="V498" s="132" t="s">
        <v>160</v>
      </c>
      <c r="W498" s="132" t="s">
        <v>153</v>
      </c>
      <c r="X498" s="133">
        <v>41938</v>
      </c>
      <c r="Y498" s="134">
        <v>731</v>
      </c>
    </row>
    <row r="499" spans="1:25" x14ac:dyDescent="0.25">
      <c r="A499" s="79" t="s">
        <v>148</v>
      </c>
      <c r="B499" s="12" t="s">
        <v>213</v>
      </c>
      <c r="C499" s="12" t="s">
        <v>158</v>
      </c>
      <c r="D499" s="80">
        <v>41804</v>
      </c>
      <c r="E499" s="81">
        <v>784</v>
      </c>
      <c r="F499" s="76" t="s">
        <v>150</v>
      </c>
      <c r="G499" s="77" t="s">
        <v>178</v>
      </c>
      <c r="H499" s="77" t="s">
        <v>153</v>
      </c>
      <c r="I499" s="86">
        <v>41689</v>
      </c>
      <c r="J499" s="78">
        <v>963</v>
      </c>
      <c r="K499" s="132" t="s">
        <v>20</v>
      </c>
      <c r="L499" s="132" t="s">
        <v>199</v>
      </c>
      <c r="M499" s="132" t="s">
        <v>158</v>
      </c>
      <c r="N499" s="133">
        <v>42000</v>
      </c>
      <c r="O499" s="134">
        <v>502</v>
      </c>
      <c r="P499" s="132" t="s">
        <v>151</v>
      </c>
      <c r="Q499" s="132" t="s">
        <v>196</v>
      </c>
      <c r="R499" s="132" t="s">
        <v>158</v>
      </c>
      <c r="S499" s="133">
        <v>41964</v>
      </c>
      <c r="T499" s="134">
        <v>443.7</v>
      </c>
      <c r="U499" s="132" t="s">
        <v>154</v>
      </c>
      <c r="V499" s="132" t="s">
        <v>160</v>
      </c>
      <c r="W499" s="132" t="s">
        <v>153</v>
      </c>
      <c r="X499" s="133">
        <v>41939</v>
      </c>
      <c r="Y499" s="134">
        <v>1070</v>
      </c>
    </row>
    <row r="500" spans="1:25" x14ac:dyDescent="0.25">
      <c r="A500" s="79" t="s">
        <v>148</v>
      </c>
      <c r="B500" s="12" t="s">
        <v>213</v>
      </c>
      <c r="C500" s="12" t="s">
        <v>158</v>
      </c>
      <c r="D500" s="80">
        <v>41805</v>
      </c>
      <c r="E500" s="81">
        <v>551</v>
      </c>
      <c r="F500" s="76" t="s">
        <v>150</v>
      </c>
      <c r="G500" s="77" t="s">
        <v>178</v>
      </c>
      <c r="H500" s="77" t="s">
        <v>153</v>
      </c>
      <c r="I500" s="86">
        <v>41691</v>
      </c>
      <c r="J500" s="78">
        <v>772</v>
      </c>
      <c r="K500" s="132" t="s">
        <v>20</v>
      </c>
      <c r="L500" s="132" t="s">
        <v>201</v>
      </c>
      <c r="M500" s="132" t="s">
        <v>158</v>
      </c>
      <c r="N500" s="133">
        <v>41650</v>
      </c>
      <c r="O500" s="134">
        <v>1003</v>
      </c>
      <c r="P500" s="132" t="s">
        <v>151</v>
      </c>
      <c r="Q500" s="132" t="s">
        <v>196</v>
      </c>
      <c r="R500" s="132" t="s">
        <v>158</v>
      </c>
      <c r="S500" s="133">
        <v>41967</v>
      </c>
      <c r="T500" s="134">
        <v>869</v>
      </c>
      <c r="U500" s="132" t="s">
        <v>154</v>
      </c>
      <c r="V500" s="132" t="s">
        <v>161</v>
      </c>
      <c r="W500" s="132" t="s">
        <v>153</v>
      </c>
      <c r="X500" s="133">
        <v>41279</v>
      </c>
      <c r="Y500" s="134">
        <v>943</v>
      </c>
    </row>
    <row r="501" spans="1:25" x14ac:dyDescent="0.25">
      <c r="A501" s="79" t="s">
        <v>148</v>
      </c>
      <c r="B501" s="12" t="s">
        <v>213</v>
      </c>
      <c r="C501" s="12" t="s">
        <v>158</v>
      </c>
      <c r="D501" s="80">
        <v>41806</v>
      </c>
      <c r="E501" s="81">
        <v>845</v>
      </c>
      <c r="F501" s="76" t="s">
        <v>150</v>
      </c>
      <c r="G501" s="77" t="s">
        <v>178</v>
      </c>
      <c r="H501" s="77" t="s">
        <v>153</v>
      </c>
      <c r="I501" s="86">
        <v>41694</v>
      </c>
      <c r="J501" s="78">
        <v>911</v>
      </c>
      <c r="K501" s="132" t="s">
        <v>20</v>
      </c>
      <c r="L501" s="132" t="s">
        <v>202</v>
      </c>
      <c r="M501" s="132" t="s">
        <v>158</v>
      </c>
      <c r="N501" s="133">
        <v>41691</v>
      </c>
      <c r="O501" s="134">
        <v>1515</v>
      </c>
      <c r="P501" s="132" t="s">
        <v>151</v>
      </c>
      <c r="Q501" s="132" t="s">
        <v>196</v>
      </c>
      <c r="R501" s="132" t="s">
        <v>158</v>
      </c>
      <c r="S501" s="133">
        <v>41968</v>
      </c>
      <c r="T501" s="134">
        <v>546.1</v>
      </c>
      <c r="U501" s="132" t="s">
        <v>154</v>
      </c>
      <c r="V501" s="132" t="s">
        <v>161</v>
      </c>
      <c r="W501" s="132" t="s">
        <v>153</v>
      </c>
      <c r="X501" s="133">
        <v>41635</v>
      </c>
      <c r="Y501" s="134">
        <v>588</v>
      </c>
    </row>
    <row r="502" spans="1:25" x14ac:dyDescent="0.25">
      <c r="A502" s="79" t="s">
        <v>148</v>
      </c>
      <c r="B502" s="12" t="s">
        <v>213</v>
      </c>
      <c r="C502" s="12" t="s">
        <v>158</v>
      </c>
      <c r="D502" s="80">
        <v>41807</v>
      </c>
      <c r="E502" s="81">
        <v>850</v>
      </c>
      <c r="F502" s="76" t="s">
        <v>150</v>
      </c>
      <c r="G502" s="77" t="s">
        <v>178</v>
      </c>
      <c r="H502" s="77" t="s">
        <v>153</v>
      </c>
      <c r="I502" s="86">
        <v>41695</v>
      </c>
      <c r="J502" s="78">
        <v>1286</v>
      </c>
      <c r="K502" s="132" t="s">
        <v>20</v>
      </c>
      <c r="L502" s="132" t="s">
        <v>203</v>
      </c>
      <c r="M502" s="132" t="s">
        <v>158</v>
      </c>
      <c r="N502" s="133">
        <v>41846</v>
      </c>
      <c r="O502" s="134">
        <v>1377</v>
      </c>
      <c r="P502" s="132" t="s">
        <v>151</v>
      </c>
      <c r="Q502" s="132" t="s">
        <v>196</v>
      </c>
      <c r="R502" s="132" t="s">
        <v>158</v>
      </c>
      <c r="S502" s="133">
        <v>41971</v>
      </c>
      <c r="T502" s="134">
        <v>1043.4000000000001</v>
      </c>
      <c r="U502" s="132" t="s">
        <v>154</v>
      </c>
      <c r="V502" s="132" t="s">
        <v>161</v>
      </c>
      <c r="W502" s="132" t="s">
        <v>153</v>
      </c>
      <c r="X502" s="133">
        <v>41636</v>
      </c>
      <c r="Y502" s="134">
        <v>632</v>
      </c>
    </row>
    <row r="503" spans="1:25" x14ac:dyDescent="0.25">
      <c r="A503" s="79" t="s">
        <v>148</v>
      </c>
      <c r="B503" s="12" t="s">
        <v>213</v>
      </c>
      <c r="C503" s="12" t="s">
        <v>158</v>
      </c>
      <c r="D503" s="80">
        <v>41809</v>
      </c>
      <c r="E503" s="81">
        <v>750</v>
      </c>
      <c r="F503" s="76" t="s">
        <v>150</v>
      </c>
      <c r="G503" s="77" t="s">
        <v>178</v>
      </c>
      <c r="H503" s="77" t="s">
        <v>153</v>
      </c>
      <c r="I503" s="86">
        <v>41696</v>
      </c>
      <c r="J503" s="78">
        <v>940</v>
      </c>
      <c r="K503" s="132" t="s">
        <v>20</v>
      </c>
      <c r="L503" s="132" t="s">
        <v>203</v>
      </c>
      <c r="M503" s="132" t="s">
        <v>158</v>
      </c>
      <c r="N503" s="133">
        <v>41962</v>
      </c>
      <c r="O503" s="134">
        <v>1555</v>
      </c>
      <c r="P503" s="132" t="s">
        <v>151</v>
      </c>
      <c r="Q503" s="132" t="s">
        <v>196</v>
      </c>
      <c r="R503" s="132" t="s">
        <v>158</v>
      </c>
      <c r="S503" s="133">
        <v>41982</v>
      </c>
      <c r="T503" s="134">
        <v>376.4</v>
      </c>
      <c r="U503" s="132" t="s">
        <v>154</v>
      </c>
      <c r="V503" s="132" t="s">
        <v>161</v>
      </c>
      <c r="W503" s="132" t="s">
        <v>153</v>
      </c>
      <c r="X503" s="133">
        <v>41636</v>
      </c>
      <c r="Y503" s="134">
        <v>400</v>
      </c>
    </row>
    <row r="504" spans="1:25" x14ac:dyDescent="0.25">
      <c r="A504" s="79" t="s">
        <v>148</v>
      </c>
      <c r="B504" s="12" t="s">
        <v>213</v>
      </c>
      <c r="C504" s="12" t="s">
        <v>158</v>
      </c>
      <c r="D504" s="80">
        <v>41809</v>
      </c>
      <c r="E504" s="81">
        <v>830</v>
      </c>
      <c r="F504" s="76" t="s">
        <v>150</v>
      </c>
      <c r="G504" s="77" t="s">
        <v>178</v>
      </c>
      <c r="H504" s="77" t="s">
        <v>153</v>
      </c>
      <c r="I504" s="86">
        <v>41698</v>
      </c>
      <c r="J504" s="78">
        <v>766</v>
      </c>
      <c r="K504" s="132" t="s">
        <v>20</v>
      </c>
      <c r="L504" s="132" t="s">
        <v>203</v>
      </c>
      <c r="M504" s="132" t="s">
        <v>158</v>
      </c>
      <c r="N504" s="133">
        <v>41977</v>
      </c>
      <c r="O504" s="134">
        <v>1609</v>
      </c>
      <c r="P504" s="132" t="s">
        <v>151</v>
      </c>
      <c r="Q504" s="132" t="s">
        <v>196</v>
      </c>
      <c r="R504" s="132" t="s">
        <v>158</v>
      </c>
      <c r="S504" s="133">
        <v>41984</v>
      </c>
      <c r="T504" s="134">
        <v>1133.8</v>
      </c>
      <c r="U504" s="132" t="s">
        <v>154</v>
      </c>
      <c r="V504" s="132" t="s">
        <v>161</v>
      </c>
      <c r="W504" s="132" t="s">
        <v>153</v>
      </c>
      <c r="X504" s="133">
        <v>41637</v>
      </c>
      <c r="Y504" s="134">
        <v>912</v>
      </c>
    </row>
    <row r="505" spans="1:25" x14ac:dyDescent="0.25">
      <c r="A505" s="79" t="s">
        <v>148</v>
      </c>
      <c r="B505" s="12" t="s">
        <v>213</v>
      </c>
      <c r="C505" s="12" t="s">
        <v>158</v>
      </c>
      <c r="D505" s="80">
        <v>41812</v>
      </c>
      <c r="E505" s="81">
        <v>1350</v>
      </c>
      <c r="F505" s="76" t="s">
        <v>150</v>
      </c>
      <c r="G505" s="77" t="s">
        <v>178</v>
      </c>
      <c r="H505" s="77" t="s">
        <v>153</v>
      </c>
      <c r="I505" s="86">
        <v>41699</v>
      </c>
      <c r="J505" s="78">
        <v>1181</v>
      </c>
      <c r="K505" s="132" t="s">
        <v>20</v>
      </c>
      <c r="L505" s="132" t="s">
        <v>204</v>
      </c>
      <c r="M505" s="132" t="s">
        <v>158</v>
      </c>
      <c r="N505" s="133">
        <v>41641</v>
      </c>
      <c r="O505" s="134">
        <v>1903</v>
      </c>
      <c r="P505" s="132" t="s">
        <v>151</v>
      </c>
      <c r="Q505" s="132" t="s">
        <v>170</v>
      </c>
      <c r="R505" s="132" t="s">
        <v>158</v>
      </c>
      <c r="S505" s="133">
        <v>41732</v>
      </c>
      <c r="T505" s="134">
        <v>488.3</v>
      </c>
      <c r="U505" s="132" t="s">
        <v>154</v>
      </c>
      <c r="V505" s="132" t="s">
        <v>161</v>
      </c>
      <c r="W505" s="132" t="s">
        <v>153</v>
      </c>
      <c r="X505" s="133">
        <v>41637</v>
      </c>
      <c r="Y505" s="134">
        <v>411</v>
      </c>
    </row>
    <row r="506" spans="1:25" x14ac:dyDescent="0.25">
      <c r="A506" s="79" t="s">
        <v>148</v>
      </c>
      <c r="B506" s="12" t="s">
        <v>213</v>
      </c>
      <c r="C506" s="12" t="s">
        <v>158</v>
      </c>
      <c r="D506" s="80">
        <v>41881</v>
      </c>
      <c r="E506" s="81">
        <v>565</v>
      </c>
      <c r="F506" s="76" t="s">
        <v>150</v>
      </c>
      <c r="G506" s="77" t="s">
        <v>178</v>
      </c>
      <c r="H506" s="77" t="s">
        <v>153</v>
      </c>
      <c r="I506" s="86">
        <v>41700</v>
      </c>
      <c r="J506" s="78">
        <v>505</v>
      </c>
      <c r="K506" s="132" t="s">
        <v>20</v>
      </c>
      <c r="L506" s="132" t="s">
        <v>204</v>
      </c>
      <c r="M506" s="132" t="s">
        <v>158</v>
      </c>
      <c r="N506" s="133">
        <v>41651</v>
      </c>
      <c r="O506" s="134">
        <v>1320</v>
      </c>
      <c r="P506" s="132" t="s">
        <v>151</v>
      </c>
      <c r="Q506" s="132" t="s">
        <v>170</v>
      </c>
      <c r="R506" s="132" t="s">
        <v>158</v>
      </c>
      <c r="S506" s="133">
        <v>41733</v>
      </c>
      <c r="T506" s="134">
        <v>642.79999999999995</v>
      </c>
      <c r="U506" s="132" t="s">
        <v>154</v>
      </c>
      <c r="V506" s="132" t="s">
        <v>161</v>
      </c>
      <c r="W506" s="132" t="s">
        <v>153</v>
      </c>
      <c r="X506" s="133">
        <v>41638</v>
      </c>
      <c r="Y506" s="134">
        <v>840</v>
      </c>
    </row>
    <row r="507" spans="1:25" x14ac:dyDescent="0.25">
      <c r="A507" s="79" t="s">
        <v>148</v>
      </c>
      <c r="B507" s="12" t="s">
        <v>213</v>
      </c>
      <c r="C507" s="12" t="s">
        <v>158</v>
      </c>
      <c r="D507" s="80">
        <v>41882</v>
      </c>
      <c r="E507" s="81">
        <v>1067</v>
      </c>
      <c r="F507" s="76" t="s">
        <v>150</v>
      </c>
      <c r="G507" s="77" t="s">
        <v>178</v>
      </c>
      <c r="H507" s="77" t="s">
        <v>153</v>
      </c>
      <c r="I507" s="86">
        <v>41702</v>
      </c>
      <c r="J507" s="78">
        <v>1320</v>
      </c>
      <c r="K507" s="132" t="s">
        <v>20</v>
      </c>
      <c r="L507" s="132" t="s">
        <v>204</v>
      </c>
      <c r="M507" s="132" t="s">
        <v>158</v>
      </c>
      <c r="N507" s="133">
        <v>41663</v>
      </c>
      <c r="O507" s="134">
        <v>1621</v>
      </c>
      <c r="P507" s="132" t="s">
        <v>151</v>
      </c>
      <c r="Q507" s="132" t="s">
        <v>170</v>
      </c>
      <c r="R507" s="132" t="s">
        <v>158</v>
      </c>
      <c r="S507" s="133">
        <v>41750</v>
      </c>
      <c r="T507" s="134">
        <v>648.9</v>
      </c>
      <c r="U507" s="132" t="s">
        <v>154</v>
      </c>
      <c r="V507" s="132" t="s">
        <v>161</v>
      </c>
      <c r="W507" s="132" t="s">
        <v>153</v>
      </c>
      <c r="X507" s="133">
        <v>41639</v>
      </c>
      <c r="Y507" s="134">
        <v>585</v>
      </c>
    </row>
    <row r="508" spans="1:25" x14ac:dyDescent="0.25">
      <c r="A508" s="79" t="s">
        <v>148</v>
      </c>
      <c r="B508" s="12" t="s">
        <v>213</v>
      </c>
      <c r="C508" s="12" t="s">
        <v>158</v>
      </c>
      <c r="D508" s="80">
        <v>41890</v>
      </c>
      <c r="E508" s="81">
        <v>1300</v>
      </c>
      <c r="F508" s="76" t="s">
        <v>150</v>
      </c>
      <c r="G508" s="77" t="s">
        <v>178</v>
      </c>
      <c r="H508" s="77" t="s">
        <v>153</v>
      </c>
      <c r="I508" s="86">
        <v>41704</v>
      </c>
      <c r="J508" s="78">
        <v>1167</v>
      </c>
      <c r="K508" s="132" t="s">
        <v>20</v>
      </c>
      <c r="L508" s="132" t="s">
        <v>204</v>
      </c>
      <c r="M508" s="132" t="s">
        <v>158</v>
      </c>
      <c r="N508" s="133">
        <v>41674</v>
      </c>
      <c r="O508" s="134">
        <v>1032</v>
      </c>
      <c r="P508" s="132" t="s">
        <v>151</v>
      </c>
      <c r="Q508" s="132" t="s">
        <v>170</v>
      </c>
      <c r="R508" s="132" t="s">
        <v>158</v>
      </c>
      <c r="S508" s="133">
        <v>41751</v>
      </c>
      <c r="T508" s="134">
        <v>372.3</v>
      </c>
      <c r="U508" s="132" t="s">
        <v>154</v>
      </c>
      <c r="V508" s="132" t="s">
        <v>161</v>
      </c>
      <c r="W508" s="132" t="s">
        <v>153</v>
      </c>
      <c r="X508" s="133">
        <v>41639</v>
      </c>
      <c r="Y508" s="134">
        <v>666</v>
      </c>
    </row>
    <row r="509" spans="1:25" x14ac:dyDescent="0.25">
      <c r="A509" s="79" t="s">
        <v>148</v>
      </c>
      <c r="B509" s="12" t="s">
        <v>213</v>
      </c>
      <c r="C509" s="12" t="s">
        <v>158</v>
      </c>
      <c r="D509" s="80">
        <v>41891</v>
      </c>
      <c r="E509" s="81">
        <v>1220</v>
      </c>
      <c r="F509" s="76" t="s">
        <v>150</v>
      </c>
      <c r="G509" s="77" t="s">
        <v>178</v>
      </c>
      <c r="H509" s="77" t="s">
        <v>153</v>
      </c>
      <c r="I509" s="86">
        <v>41708</v>
      </c>
      <c r="J509" s="78">
        <v>700</v>
      </c>
      <c r="K509" s="132" t="s">
        <v>20</v>
      </c>
      <c r="L509" s="132" t="s">
        <v>204</v>
      </c>
      <c r="M509" s="132" t="s">
        <v>158</v>
      </c>
      <c r="N509" s="133">
        <v>41693</v>
      </c>
      <c r="O509" s="134">
        <v>1619</v>
      </c>
      <c r="P509" s="132" t="s">
        <v>151</v>
      </c>
      <c r="Q509" s="132" t="s">
        <v>170</v>
      </c>
      <c r="R509" s="132" t="s">
        <v>158</v>
      </c>
      <c r="S509" s="133">
        <v>41786</v>
      </c>
      <c r="T509" s="134">
        <v>1256.9000000000001</v>
      </c>
      <c r="U509" s="132" t="s">
        <v>154</v>
      </c>
      <c r="V509" s="132" t="s">
        <v>161</v>
      </c>
      <c r="W509" s="132" t="s">
        <v>153</v>
      </c>
      <c r="X509" s="133">
        <v>41640</v>
      </c>
      <c r="Y509" s="134">
        <v>645</v>
      </c>
    </row>
    <row r="510" spans="1:25" x14ac:dyDescent="0.25">
      <c r="A510" s="79" t="s">
        <v>148</v>
      </c>
      <c r="B510" s="12" t="s">
        <v>213</v>
      </c>
      <c r="C510" s="12" t="s">
        <v>158</v>
      </c>
      <c r="D510" s="80">
        <v>41892</v>
      </c>
      <c r="E510" s="81">
        <v>800</v>
      </c>
      <c r="F510" s="76" t="s">
        <v>150</v>
      </c>
      <c r="G510" s="77" t="s">
        <v>178</v>
      </c>
      <c r="H510" s="77" t="s">
        <v>153</v>
      </c>
      <c r="I510" s="86">
        <v>41710</v>
      </c>
      <c r="J510" s="78">
        <v>714</v>
      </c>
      <c r="K510" s="132" t="s">
        <v>20</v>
      </c>
      <c r="L510" s="132" t="s">
        <v>204</v>
      </c>
      <c r="M510" s="132" t="s">
        <v>158</v>
      </c>
      <c r="N510" s="133">
        <v>41705</v>
      </c>
      <c r="O510" s="134">
        <v>1357</v>
      </c>
      <c r="P510" s="132" t="s">
        <v>151</v>
      </c>
      <c r="Q510" s="132" t="s">
        <v>170</v>
      </c>
      <c r="R510" s="132" t="s">
        <v>158</v>
      </c>
      <c r="S510" s="133">
        <v>41787</v>
      </c>
      <c r="T510" s="134">
        <v>790.5</v>
      </c>
      <c r="U510" s="132" t="s">
        <v>154</v>
      </c>
      <c r="V510" s="132" t="s">
        <v>161</v>
      </c>
      <c r="W510" s="132" t="s">
        <v>153</v>
      </c>
      <c r="X510" s="133">
        <v>41640</v>
      </c>
      <c r="Y510" s="134">
        <v>290</v>
      </c>
    </row>
    <row r="511" spans="1:25" x14ac:dyDescent="0.25">
      <c r="A511" s="79" t="s">
        <v>148</v>
      </c>
      <c r="B511" s="12" t="s">
        <v>213</v>
      </c>
      <c r="C511" s="12" t="s">
        <v>158</v>
      </c>
      <c r="D511" s="80">
        <v>41893</v>
      </c>
      <c r="E511" s="81">
        <v>770</v>
      </c>
      <c r="F511" s="76" t="s">
        <v>150</v>
      </c>
      <c r="G511" s="77" t="s">
        <v>178</v>
      </c>
      <c r="H511" s="77" t="s">
        <v>153</v>
      </c>
      <c r="I511" s="86">
        <v>41710</v>
      </c>
      <c r="J511" s="78">
        <v>928</v>
      </c>
      <c r="K511" s="132" t="s">
        <v>20</v>
      </c>
      <c r="L511" s="132" t="s">
        <v>204</v>
      </c>
      <c r="M511" s="132" t="s">
        <v>158</v>
      </c>
      <c r="N511" s="133">
        <v>41720</v>
      </c>
      <c r="O511" s="134">
        <v>1894</v>
      </c>
      <c r="P511" s="132" t="s">
        <v>151</v>
      </c>
      <c r="Q511" s="132" t="s">
        <v>170</v>
      </c>
      <c r="R511" s="132" t="s">
        <v>158</v>
      </c>
      <c r="S511" s="133">
        <v>41792</v>
      </c>
      <c r="T511" s="134">
        <v>1327.2</v>
      </c>
      <c r="U511" s="132" t="s">
        <v>154</v>
      </c>
      <c r="V511" s="132" t="s">
        <v>161</v>
      </c>
      <c r="W511" s="132" t="s">
        <v>153</v>
      </c>
      <c r="X511" s="133">
        <v>41641</v>
      </c>
      <c r="Y511" s="134">
        <v>555</v>
      </c>
    </row>
    <row r="512" spans="1:25" x14ac:dyDescent="0.25">
      <c r="A512" s="79" t="s">
        <v>148</v>
      </c>
      <c r="B512" s="12" t="s">
        <v>213</v>
      </c>
      <c r="C512" s="12" t="s">
        <v>158</v>
      </c>
      <c r="D512" s="80">
        <v>41975</v>
      </c>
      <c r="E512" s="81">
        <v>1500</v>
      </c>
      <c r="F512" s="76" t="s">
        <v>150</v>
      </c>
      <c r="G512" s="77" t="s">
        <v>178</v>
      </c>
      <c r="H512" s="77" t="s">
        <v>153</v>
      </c>
      <c r="I512" s="86">
        <v>41711</v>
      </c>
      <c r="J512" s="78">
        <v>747</v>
      </c>
      <c r="K512" s="132" t="s">
        <v>20</v>
      </c>
      <c r="L512" s="132" t="s">
        <v>204</v>
      </c>
      <c r="M512" s="132" t="s">
        <v>158</v>
      </c>
      <c r="N512" s="133">
        <v>41737</v>
      </c>
      <c r="O512" s="134">
        <v>1914</v>
      </c>
      <c r="P512" s="132" t="s">
        <v>151</v>
      </c>
      <c r="Q512" s="132" t="s">
        <v>170</v>
      </c>
      <c r="R512" s="132" t="s">
        <v>158</v>
      </c>
      <c r="S512" s="133">
        <v>41793</v>
      </c>
      <c r="T512" s="134">
        <v>634.4</v>
      </c>
      <c r="U512" s="132" t="s">
        <v>154</v>
      </c>
      <c r="V512" s="132" t="s">
        <v>161</v>
      </c>
      <c r="W512" s="132" t="s">
        <v>153</v>
      </c>
      <c r="X512" s="133">
        <v>41641</v>
      </c>
      <c r="Y512" s="134">
        <v>550</v>
      </c>
    </row>
    <row r="513" spans="1:25" x14ac:dyDescent="0.25">
      <c r="A513" s="79" t="s">
        <v>148</v>
      </c>
      <c r="B513" s="12" t="s">
        <v>213</v>
      </c>
      <c r="C513" s="12" t="s">
        <v>158</v>
      </c>
      <c r="D513" s="80">
        <v>41976</v>
      </c>
      <c r="E513" s="81">
        <v>560</v>
      </c>
      <c r="F513" s="76" t="s">
        <v>150</v>
      </c>
      <c r="G513" s="77" t="s">
        <v>178</v>
      </c>
      <c r="H513" s="77" t="s">
        <v>153</v>
      </c>
      <c r="I513" s="86">
        <v>41712</v>
      </c>
      <c r="J513" s="78">
        <v>707</v>
      </c>
      <c r="K513" s="132" t="s">
        <v>20</v>
      </c>
      <c r="L513" s="132" t="s">
        <v>204</v>
      </c>
      <c r="M513" s="132" t="s">
        <v>158</v>
      </c>
      <c r="N513" s="133">
        <v>41754</v>
      </c>
      <c r="O513" s="134">
        <v>1821</v>
      </c>
      <c r="P513" s="132" t="s">
        <v>151</v>
      </c>
      <c r="Q513" s="132" t="s">
        <v>170</v>
      </c>
      <c r="R513" s="132" t="s">
        <v>158</v>
      </c>
      <c r="S513" s="133">
        <v>41802</v>
      </c>
      <c r="T513" s="134">
        <v>408.9</v>
      </c>
      <c r="U513" s="132" t="s">
        <v>154</v>
      </c>
      <c r="V513" s="132" t="s">
        <v>161</v>
      </c>
      <c r="W513" s="132" t="s">
        <v>153</v>
      </c>
      <c r="X513" s="133">
        <v>41642</v>
      </c>
      <c r="Y513" s="134">
        <v>752</v>
      </c>
    </row>
    <row r="514" spans="1:25" x14ac:dyDescent="0.25">
      <c r="A514" s="79" t="s">
        <v>148</v>
      </c>
      <c r="B514" s="12" t="s">
        <v>213</v>
      </c>
      <c r="C514" s="12" t="s">
        <v>158</v>
      </c>
      <c r="D514" s="80">
        <v>41977</v>
      </c>
      <c r="E514" s="81">
        <v>760</v>
      </c>
      <c r="F514" s="76" t="s">
        <v>150</v>
      </c>
      <c r="G514" s="77" t="s">
        <v>178</v>
      </c>
      <c r="H514" s="77" t="s">
        <v>153</v>
      </c>
      <c r="I514" s="86">
        <v>41713</v>
      </c>
      <c r="J514" s="78">
        <v>1151</v>
      </c>
      <c r="K514" s="132" t="s">
        <v>20</v>
      </c>
      <c r="L514" s="132" t="s">
        <v>172</v>
      </c>
      <c r="M514" s="132" t="s">
        <v>158</v>
      </c>
      <c r="N514" s="133">
        <v>41733</v>
      </c>
      <c r="O514" s="134">
        <v>1766</v>
      </c>
      <c r="P514" s="132" t="s">
        <v>151</v>
      </c>
      <c r="Q514" s="132" t="s">
        <v>170</v>
      </c>
      <c r="R514" s="132" t="s">
        <v>158</v>
      </c>
      <c r="S514" s="133">
        <v>41803</v>
      </c>
      <c r="T514" s="134">
        <v>400</v>
      </c>
      <c r="U514" s="132" t="s">
        <v>154</v>
      </c>
      <c r="V514" s="132" t="s">
        <v>161</v>
      </c>
      <c r="W514" s="132" t="s">
        <v>153</v>
      </c>
      <c r="X514" s="133">
        <v>41643</v>
      </c>
      <c r="Y514" s="134">
        <v>517</v>
      </c>
    </row>
    <row r="515" spans="1:25" x14ac:dyDescent="0.25">
      <c r="A515" s="79" t="s">
        <v>148</v>
      </c>
      <c r="B515" s="12" t="s">
        <v>213</v>
      </c>
      <c r="C515" s="12" t="s">
        <v>158</v>
      </c>
      <c r="D515" s="80">
        <v>41978</v>
      </c>
      <c r="E515" s="81">
        <v>800</v>
      </c>
      <c r="F515" s="76" t="s">
        <v>150</v>
      </c>
      <c r="G515" s="77" t="s">
        <v>178</v>
      </c>
      <c r="H515" s="77" t="s">
        <v>153</v>
      </c>
      <c r="I515" s="86">
        <v>41713</v>
      </c>
      <c r="J515" s="78">
        <v>492</v>
      </c>
      <c r="K515" s="132" t="s">
        <v>20</v>
      </c>
      <c r="L515" s="132" t="s">
        <v>172</v>
      </c>
      <c r="M515" s="132" t="s">
        <v>158</v>
      </c>
      <c r="N515" s="133">
        <v>41749</v>
      </c>
      <c r="O515" s="134">
        <v>1493</v>
      </c>
      <c r="P515" s="132" t="s">
        <v>151</v>
      </c>
      <c r="Q515" s="132" t="s">
        <v>170</v>
      </c>
      <c r="R515" s="132" t="s">
        <v>158</v>
      </c>
      <c r="S515" s="133">
        <v>41806</v>
      </c>
      <c r="T515" s="134">
        <v>500.7</v>
      </c>
      <c r="U515" s="132" t="s">
        <v>154</v>
      </c>
      <c r="V515" s="132" t="s">
        <v>161</v>
      </c>
      <c r="W515" s="132" t="s">
        <v>153</v>
      </c>
      <c r="X515" s="133">
        <v>41645</v>
      </c>
      <c r="Y515" s="134">
        <v>933</v>
      </c>
    </row>
    <row r="516" spans="1:25" x14ac:dyDescent="0.25">
      <c r="A516" s="79" t="s">
        <v>148</v>
      </c>
      <c r="B516" s="12" t="s">
        <v>213</v>
      </c>
      <c r="C516" s="12" t="s">
        <v>158</v>
      </c>
      <c r="D516" s="80">
        <v>41979</v>
      </c>
      <c r="E516" s="81">
        <v>1115</v>
      </c>
      <c r="F516" s="76" t="s">
        <v>150</v>
      </c>
      <c r="G516" s="77" t="s">
        <v>178</v>
      </c>
      <c r="H516" s="77" t="s">
        <v>153</v>
      </c>
      <c r="I516" s="86">
        <v>41714</v>
      </c>
      <c r="J516" s="78">
        <v>906</v>
      </c>
      <c r="K516" s="132" t="s">
        <v>20</v>
      </c>
      <c r="L516" s="132" t="s">
        <v>172</v>
      </c>
      <c r="M516" s="132" t="s">
        <v>158</v>
      </c>
      <c r="N516" s="133">
        <v>41765</v>
      </c>
      <c r="O516" s="134">
        <v>1464</v>
      </c>
      <c r="P516" s="132" t="s">
        <v>151</v>
      </c>
      <c r="Q516" s="132" t="s">
        <v>171</v>
      </c>
      <c r="R516" s="132" t="s">
        <v>158</v>
      </c>
      <c r="S516" s="133">
        <v>41722</v>
      </c>
      <c r="T516" s="134">
        <v>479.6</v>
      </c>
      <c r="U516" s="132" t="s">
        <v>154</v>
      </c>
      <c r="V516" s="132" t="s">
        <v>161</v>
      </c>
      <c r="W516" s="132" t="s">
        <v>153</v>
      </c>
      <c r="X516" s="133">
        <v>41646</v>
      </c>
      <c r="Y516" s="134">
        <v>1412</v>
      </c>
    </row>
    <row r="517" spans="1:25" x14ac:dyDescent="0.25">
      <c r="A517" s="79" t="s">
        <v>148</v>
      </c>
      <c r="B517" s="12" t="s">
        <v>213</v>
      </c>
      <c r="C517" s="12" t="s">
        <v>158</v>
      </c>
      <c r="D517" s="80">
        <v>41982</v>
      </c>
      <c r="E517" s="81">
        <v>1400</v>
      </c>
      <c r="F517" s="76" t="s">
        <v>150</v>
      </c>
      <c r="G517" s="77" t="s">
        <v>178</v>
      </c>
      <c r="H517" s="77" t="s">
        <v>153</v>
      </c>
      <c r="I517" s="86">
        <v>41716</v>
      </c>
      <c r="J517" s="78">
        <v>1050</v>
      </c>
      <c r="K517" s="132" t="s">
        <v>20</v>
      </c>
      <c r="L517" s="132" t="s">
        <v>172</v>
      </c>
      <c r="M517" s="132" t="s">
        <v>158</v>
      </c>
      <c r="N517" s="133">
        <v>41787</v>
      </c>
      <c r="O517" s="134">
        <v>1624</v>
      </c>
      <c r="P517" s="132" t="s">
        <v>151</v>
      </c>
      <c r="Q517" s="132" t="s">
        <v>199</v>
      </c>
      <c r="R517" s="132" t="s">
        <v>158</v>
      </c>
      <c r="S517" s="133">
        <v>41704</v>
      </c>
      <c r="T517" s="134">
        <v>779.4</v>
      </c>
      <c r="U517" s="132" t="s">
        <v>154</v>
      </c>
      <c r="V517" s="132" t="s">
        <v>161</v>
      </c>
      <c r="W517" s="132" t="s">
        <v>153</v>
      </c>
      <c r="X517" s="133">
        <v>41647</v>
      </c>
      <c r="Y517" s="134">
        <v>735</v>
      </c>
    </row>
    <row r="518" spans="1:25" x14ac:dyDescent="0.25">
      <c r="A518" s="79" t="s">
        <v>148</v>
      </c>
      <c r="B518" s="12" t="s">
        <v>213</v>
      </c>
      <c r="C518" s="12" t="s">
        <v>158</v>
      </c>
      <c r="D518" s="80">
        <v>41983</v>
      </c>
      <c r="E518" s="81">
        <v>800</v>
      </c>
      <c r="F518" s="76" t="s">
        <v>150</v>
      </c>
      <c r="G518" s="77" t="s">
        <v>178</v>
      </c>
      <c r="H518" s="77" t="s">
        <v>153</v>
      </c>
      <c r="I518" s="86">
        <v>41716</v>
      </c>
      <c r="J518" s="78">
        <v>1039</v>
      </c>
      <c r="K518" s="132" t="s">
        <v>20</v>
      </c>
      <c r="L518" s="132" t="s">
        <v>172</v>
      </c>
      <c r="M518" s="132" t="s">
        <v>158</v>
      </c>
      <c r="N518" s="133">
        <v>41812</v>
      </c>
      <c r="O518" s="134">
        <v>1643</v>
      </c>
      <c r="P518" s="132" t="s">
        <v>151</v>
      </c>
      <c r="Q518" s="132" t="s">
        <v>202</v>
      </c>
      <c r="R518" s="132" t="s">
        <v>158</v>
      </c>
      <c r="S518" s="133">
        <v>41648</v>
      </c>
      <c r="T518" s="134">
        <v>312.7</v>
      </c>
      <c r="U518" s="132" t="s">
        <v>154</v>
      </c>
      <c r="V518" s="132" t="s">
        <v>161</v>
      </c>
      <c r="W518" s="132" t="s">
        <v>153</v>
      </c>
      <c r="X518" s="133">
        <v>41648</v>
      </c>
      <c r="Y518" s="134">
        <v>770</v>
      </c>
    </row>
    <row r="519" spans="1:25" x14ac:dyDescent="0.25">
      <c r="A519" s="79" t="s">
        <v>148</v>
      </c>
      <c r="B519" s="12" t="s">
        <v>213</v>
      </c>
      <c r="C519" s="12" t="s">
        <v>158</v>
      </c>
      <c r="D519" s="80">
        <v>41987</v>
      </c>
      <c r="E519" s="81">
        <v>882</v>
      </c>
      <c r="F519" s="76" t="s">
        <v>150</v>
      </c>
      <c r="G519" s="77" t="s">
        <v>178</v>
      </c>
      <c r="H519" s="77" t="s">
        <v>153</v>
      </c>
      <c r="I519" s="86">
        <v>41717</v>
      </c>
      <c r="J519" s="78">
        <v>1058</v>
      </c>
      <c r="K519" s="132" t="s">
        <v>20</v>
      </c>
      <c r="L519" s="132" t="s">
        <v>172</v>
      </c>
      <c r="M519" s="132" t="s">
        <v>158</v>
      </c>
      <c r="N519" s="133">
        <v>41832</v>
      </c>
      <c r="O519" s="134">
        <v>1062</v>
      </c>
      <c r="P519" s="132" t="s">
        <v>151</v>
      </c>
      <c r="Q519" s="132" t="s">
        <v>202</v>
      </c>
      <c r="R519" s="132" t="s">
        <v>158</v>
      </c>
      <c r="S519" s="133">
        <v>41655</v>
      </c>
      <c r="T519" s="134">
        <v>290</v>
      </c>
      <c r="U519" s="132" t="s">
        <v>154</v>
      </c>
      <c r="V519" s="132" t="s">
        <v>161</v>
      </c>
      <c r="W519" s="132" t="s">
        <v>153</v>
      </c>
      <c r="X519" s="133">
        <v>41649</v>
      </c>
      <c r="Y519" s="134">
        <v>919</v>
      </c>
    </row>
    <row r="520" spans="1:25" x14ac:dyDescent="0.25">
      <c r="A520" s="79" t="s">
        <v>148</v>
      </c>
      <c r="B520" s="12" t="s">
        <v>213</v>
      </c>
      <c r="C520" s="12" t="s">
        <v>158</v>
      </c>
      <c r="D520" s="80">
        <v>41988</v>
      </c>
      <c r="E520" s="81">
        <v>401</v>
      </c>
      <c r="F520" s="76" t="s">
        <v>150</v>
      </c>
      <c r="G520" s="77" t="s">
        <v>178</v>
      </c>
      <c r="H520" s="77" t="s">
        <v>153</v>
      </c>
      <c r="I520" s="86">
        <v>41719</v>
      </c>
      <c r="J520" s="78">
        <v>1192</v>
      </c>
      <c r="K520" s="132" t="s">
        <v>20</v>
      </c>
      <c r="L520" s="132" t="s">
        <v>172</v>
      </c>
      <c r="M520" s="132" t="s">
        <v>158</v>
      </c>
      <c r="N520" s="133">
        <v>41843</v>
      </c>
      <c r="O520" s="134">
        <v>946</v>
      </c>
      <c r="P520" s="132" t="s">
        <v>151</v>
      </c>
      <c r="Q520" s="132" t="s">
        <v>202</v>
      </c>
      <c r="R520" s="132" t="s">
        <v>158</v>
      </c>
      <c r="S520" s="133">
        <v>41656</v>
      </c>
      <c r="T520" s="134">
        <v>537.70000000000005</v>
      </c>
      <c r="U520" s="132" t="s">
        <v>154</v>
      </c>
      <c r="V520" s="132" t="s">
        <v>161</v>
      </c>
      <c r="W520" s="132" t="s">
        <v>153</v>
      </c>
      <c r="X520" s="133">
        <v>41651</v>
      </c>
      <c r="Y520" s="134">
        <v>839</v>
      </c>
    </row>
    <row r="521" spans="1:25" x14ac:dyDescent="0.25">
      <c r="A521" s="79" t="s">
        <v>148</v>
      </c>
      <c r="B521" s="12" t="s">
        <v>213</v>
      </c>
      <c r="C521" s="12" t="s">
        <v>158</v>
      </c>
      <c r="D521" s="80">
        <v>41989</v>
      </c>
      <c r="E521" s="81">
        <v>1200</v>
      </c>
      <c r="F521" s="76" t="s">
        <v>150</v>
      </c>
      <c r="G521" s="77" t="s">
        <v>178</v>
      </c>
      <c r="H521" s="77" t="s">
        <v>153</v>
      </c>
      <c r="I521" s="86">
        <v>41720</v>
      </c>
      <c r="J521" s="78">
        <v>955</v>
      </c>
      <c r="K521" s="132" t="s">
        <v>20</v>
      </c>
      <c r="L521" s="132" t="s">
        <v>172</v>
      </c>
      <c r="M521" s="132" t="s">
        <v>158</v>
      </c>
      <c r="N521" s="133">
        <v>41858</v>
      </c>
      <c r="O521" s="134">
        <v>1851</v>
      </c>
      <c r="P521" s="132" t="s">
        <v>151</v>
      </c>
      <c r="Q521" s="132" t="s">
        <v>202</v>
      </c>
      <c r="R521" s="132" t="s">
        <v>158</v>
      </c>
      <c r="S521" s="133">
        <v>41701</v>
      </c>
      <c r="T521" s="134">
        <v>191.7</v>
      </c>
      <c r="U521" s="132" t="s">
        <v>154</v>
      </c>
      <c r="V521" s="132" t="s">
        <v>161</v>
      </c>
      <c r="W521" s="132" t="s">
        <v>153</v>
      </c>
      <c r="X521" s="133">
        <v>41651</v>
      </c>
      <c r="Y521" s="134">
        <v>375</v>
      </c>
    </row>
    <row r="522" spans="1:25" x14ac:dyDescent="0.25">
      <c r="A522" s="79" t="s">
        <v>148</v>
      </c>
      <c r="B522" s="12" t="s">
        <v>213</v>
      </c>
      <c r="C522" s="12" t="s">
        <v>158</v>
      </c>
      <c r="D522" s="80">
        <v>41995</v>
      </c>
      <c r="E522" s="81">
        <v>647</v>
      </c>
      <c r="F522" s="76" t="s">
        <v>150</v>
      </c>
      <c r="G522" s="77" t="s">
        <v>178</v>
      </c>
      <c r="H522" s="77" t="s">
        <v>153</v>
      </c>
      <c r="I522" s="86">
        <v>41720</v>
      </c>
      <c r="J522" s="78">
        <v>620</v>
      </c>
      <c r="K522" s="132" t="s">
        <v>20</v>
      </c>
      <c r="L522" s="132" t="s">
        <v>172</v>
      </c>
      <c r="M522" s="132" t="s">
        <v>158</v>
      </c>
      <c r="N522" s="133">
        <v>41879</v>
      </c>
      <c r="O522" s="134">
        <v>1871</v>
      </c>
      <c r="P522" s="132" t="s">
        <v>151</v>
      </c>
      <c r="Q522" s="132" t="s">
        <v>202</v>
      </c>
      <c r="R522" s="132" t="s">
        <v>158</v>
      </c>
      <c r="S522" s="133">
        <v>41702</v>
      </c>
      <c r="T522" s="134">
        <v>788.3</v>
      </c>
      <c r="U522" s="132" t="s">
        <v>154</v>
      </c>
      <c r="V522" s="132" t="s">
        <v>161</v>
      </c>
      <c r="W522" s="132" t="s">
        <v>153</v>
      </c>
      <c r="X522" s="133">
        <v>41652</v>
      </c>
      <c r="Y522" s="134">
        <v>800</v>
      </c>
    </row>
    <row r="523" spans="1:25" x14ac:dyDescent="0.25">
      <c r="A523" s="79" t="s">
        <v>148</v>
      </c>
      <c r="B523" s="12" t="s">
        <v>216</v>
      </c>
      <c r="C523" s="12" t="s">
        <v>158</v>
      </c>
      <c r="D523" s="80">
        <v>41632</v>
      </c>
      <c r="E523" s="81">
        <v>740</v>
      </c>
      <c r="F523" s="76" t="s">
        <v>150</v>
      </c>
      <c r="G523" s="77" t="s">
        <v>178</v>
      </c>
      <c r="H523" s="77" t="s">
        <v>153</v>
      </c>
      <c r="I523" s="86">
        <v>41721</v>
      </c>
      <c r="J523" s="78">
        <v>1012</v>
      </c>
      <c r="K523" s="132" t="s">
        <v>20</v>
      </c>
      <c r="L523" s="132" t="s">
        <v>172</v>
      </c>
      <c r="M523" s="132" t="s">
        <v>158</v>
      </c>
      <c r="N523" s="133">
        <v>41896</v>
      </c>
      <c r="O523" s="134">
        <v>1697</v>
      </c>
      <c r="P523" s="132" t="s">
        <v>151</v>
      </c>
      <c r="Q523" s="132" t="s">
        <v>202</v>
      </c>
      <c r="R523" s="132" t="s">
        <v>158</v>
      </c>
      <c r="S523" s="133">
        <v>41703</v>
      </c>
      <c r="T523" s="134">
        <v>708.7</v>
      </c>
      <c r="U523" s="132" t="s">
        <v>154</v>
      </c>
      <c r="V523" s="132" t="s">
        <v>161</v>
      </c>
      <c r="W523" s="132" t="s">
        <v>153</v>
      </c>
      <c r="X523" s="133">
        <v>41653</v>
      </c>
      <c r="Y523" s="134">
        <v>920</v>
      </c>
    </row>
    <row r="524" spans="1:25" x14ac:dyDescent="0.25">
      <c r="A524" s="79" t="s">
        <v>148</v>
      </c>
      <c r="B524" s="12" t="s">
        <v>216</v>
      </c>
      <c r="C524" s="12" t="s">
        <v>158</v>
      </c>
      <c r="D524" s="80">
        <v>41632</v>
      </c>
      <c r="E524" s="81">
        <v>1002</v>
      </c>
      <c r="F524" s="76" t="s">
        <v>150</v>
      </c>
      <c r="G524" s="77" t="s">
        <v>178</v>
      </c>
      <c r="H524" s="77" t="s">
        <v>153</v>
      </c>
      <c r="I524" s="86">
        <v>41723</v>
      </c>
      <c r="J524" s="78">
        <v>1331</v>
      </c>
      <c r="K524" s="132" t="s">
        <v>20</v>
      </c>
      <c r="L524" s="132" t="s">
        <v>172</v>
      </c>
      <c r="M524" s="132" t="s">
        <v>158</v>
      </c>
      <c r="N524" s="133">
        <v>41906</v>
      </c>
      <c r="O524" s="134">
        <v>427</v>
      </c>
      <c r="P524" s="132" t="s">
        <v>151</v>
      </c>
      <c r="Q524" s="132" t="s">
        <v>202</v>
      </c>
      <c r="R524" s="132" t="s">
        <v>158</v>
      </c>
      <c r="S524" s="133">
        <v>41704</v>
      </c>
      <c r="T524" s="134">
        <v>759.4</v>
      </c>
      <c r="U524" s="132" t="s">
        <v>154</v>
      </c>
      <c r="V524" s="132" t="s">
        <v>161</v>
      </c>
      <c r="W524" s="132" t="s">
        <v>153</v>
      </c>
      <c r="X524" s="133">
        <v>41654</v>
      </c>
      <c r="Y524" s="134">
        <v>540</v>
      </c>
    </row>
    <row r="525" spans="1:25" x14ac:dyDescent="0.25">
      <c r="A525" s="79" t="s">
        <v>148</v>
      </c>
      <c r="B525" s="12" t="s">
        <v>216</v>
      </c>
      <c r="C525" s="12" t="s">
        <v>158</v>
      </c>
      <c r="D525" s="80">
        <v>41635</v>
      </c>
      <c r="E525" s="81">
        <v>1375</v>
      </c>
      <c r="F525" s="76" t="s">
        <v>150</v>
      </c>
      <c r="G525" s="77" t="s">
        <v>178</v>
      </c>
      <c r="H525" s="77" t="s">
        <v>153</v>
      </c>
      <c r="I525" s="86">
        <v>41724</v>
      </c>
      <c r="J525" s="78">
        <v>426</v>
      </c>
      <c r="K525" s="132" t="s">
        <v>20</v>
      </c>
      <c r="L525" s="132" t="s">
        <v>172</v>
      </c>
      <c r="M525" s="132" t="s">
        <v>158</v>
      </c>
      <c r="N525" s="133">
        <v>41947</v>
      </c>
      <c r="O525" s="134">
        <v>1419</v>
      </c>
      <c r="P525" s="132" t="s">
        <v>151</v>
      </c>
      <c r="Q525" s="132" t="s">
        <v>202</v>
      </c>
      <c r="R525" s="132" t="s">
        <v>158</v>
      </c>
      <c r="S525" s="133">
        <v>41709</v>
      </c>
      <c r="T525" s="134">
        <v>1280.0999999999999</v>
      </c>
      <c r="U525" s="132" t="s">
        <v>154</v>
      </c>
      <c r="V525" s="132" t="s">
        <v>161</v>
      </c>
      <c r="W525" s="132" t="s">
        <v>153</v>
      </c>
      <c r="X525" s="133">
        <v>41654</v>
      </c>
      <c r="Y525" s="134">
        <v>580</v>
      </c>
    </row>
    <row r="526" spans="1:25" x14ac:dyDescent="0.25">
      <c r="A526" s="79" t="s">
        <v>148</v>
      </c>
      <c r="B526" s="12" t="s">
        <v>216</v>
      </c>
      <c r="C526" s="12" t="s">
        <v>158</v>
      </c>
      <c r="D526" s="80">
        <v>41636</v>
      </c>
      <c r="E526" s="81">
        <v>750</v>
      </c>
      <c r="F526" s="76" t="s">
        <v>150</v>
      </c>
      <c r="G526" s="77" t="s">
        <v>178</v>
      </c>
      <c r="H526" s="77" t="s">
        <v>153</v>
      </c>
      <c r="I526" s="86">
        <v>41726</v>
      </c>
      <c r="J526" s="78">
        <v>930</v>
      </c>
      <c r="K526" s="132" t="s">
        <v>20</v>
      </c>
      <c r="L526" s="132" t="s">
        <v>172</v>
      </c>
      <c r="M526" s="132" t="s">
        <v>158</v>
      </c>
      <c r="N526" s="133">
        <v>41955</v>
      </c>
      <c r="O526" s="134">
        <v>1265</v>
      </c>
      <c r="P526" s="132" t="s">
        <v>151</v>
      </c>
      <c r="Q526" s="132" t="s">
        <v>202</v>
      </c>
      <c r="R526" s="132" t="s">
        <v>158</v>
      </c>
      <c r="S526" s="133">
        <v>41716</v>
      </c>
      <c r="T526" s="134">
        <v>306.10000000000002</v>
      </c>
      <c r="U526" s="132" t="s">
        <v>154</v>
      </c>
      <c r="V526" s="132" t="s">
        <v>161</v>
      </c>
      <c r="W526" s="132" t="s">
        <v>153</v>
      </c>
      <c r="X526" s="133">
        <v>41800</v>
      </c>
      <c r="Y526" s="134">
        <v>701</v>
      </c>
    </row>
    <row r="527" spans="1:25" x14ac:dyDescent="0.25">
      <c r="A527" s="79" t="s">
        <v>148</v>
      </c>
      <c r="B527" s="12" t="s">
        <v>216</v>
      </c>
      <c r="C527" s="12" t="s">
        <v>158</v>
      </c>
      <c r="D527" s="80">
        <v>41637</v>
      </c>
      <c r="E527" s="81">
        <v>732</v>
      </c>
      <c r="F527" s="76" t="s">
        <v>150</v>
      </c>
      <c r="G527" s="77" t="s">
        <v>178</v>
      </c>
      <c r="H527" s="77" t="s">
        <v>153</v>
      </c>
      <c r="I527" s="86">
        <v>41727</v>
      </c>
      <c r="J527" s="78">
        <v>452</v>
      </c>
      <c r="K527" s="132" t="s">
        <v>20</v>
      </c>
      <c r="L527" s="132" t="s">
        <v>172</v>
      </c>
      <c r="M527" s="132" t="s">
        <v>158</v>
      </c>
      <c r="N527" s="133">
        <v>41959</v>
      </c>
      <c r="O527" s="134">
        <v>324</v>
      </c>
      <c r="P527" s="132" t="s">
        <v>151</v>
      </c>
      <c r="Q527" s="132" t="s">
        <v>202</v>
      </c>
      <c r="R527" s="132" t="s">
        <v>158</v>
      </c>
      <c r="S527" s="133">
        <v>41787</v>
      </c>
      <c r="T527" s="134">
        <v>908.2</v>
      </c>
      <c r="U527" s="132" t="s">
        <v>154</v>
      </c>
      <c r="V527" s="132" t="s">
        <v>161</v>
      </c>
      <c r="W527" s="132" t="s">
        <v>153</v>
      </c>
      <c r="X527" s="133">
        <v>41801</v>
      </c>
      <c r="Y527" s="134">
        <v>963</v>
      </c>
    </row>
    <row r="528" spans="1:25" x14ac:dyDescent="0.25">
      <c r="A528" s="79" t="s">
        <v>148</v>
      </c>
      <c r="B528" s="12" t="s">
        <v>216</v>
      </c>
      <c r="C528" s="12" t="s">
        <v>158</v>
      </c>
      <c r="D528" s="80">
        <v>41638</v>
      </c>
      <c r="E528" s="81">
        <v>680</v>
      </c>
      <c r="F528" s="76" t="s">
        <v>150</v>
      </c>
      <c r="G528" s="77" t="s">
        <v>178</v>
      </c>
      <c r="H528" s="77" t="s">
        <v>153</v>
      </c>
      <c r="I528" s="86">
        <v>41730</v>
      </c>
      <c r="J528" s="78">
        <v>1059</v>
      </c>
      <c r="K528" s="132" t="s">
        <v>20</v>
      </c>
      <c r="L528" s="132" t="s">
        <v>173</v>
      </c>
      <c r="M528" s="132" t="s">
        <v>174</v>
      </c>
      <c r="N528" s="133">
        <v>41655</v>
      </c>
      <c r="O528" s="134">
        <v>1695</v>
      </c>
      <c r="P528" s="132" t="s">
        <v>151</v>
      </c>
      <c r="Q528" s="132" t="s">
        <v>202</v>
      </c>
      <c r="R528" s="132" t="s">
        <v>158</v>
      </c>
      <c r="S528" s="133">
        <v>41793</v>
      </c>
      <c r="T528" s="134">
        <v>821.7</v>
      </c>
      <c r="U528" s="132" t="s">
        <v>154</v>
      </c>
      <c r="V528" s="132" t="s">
        <v>161</v>
      </c>
      <c r="W528" s="132" t="s">
        <v>153</v>
      </c>
      <c r="X528" s="133">
        <v>41802</v>
      </c>
      <c r="Y528" s="134">
        <v>875</v>
      </c>
    </row>
    <row r="529" spans="1:25" x14ac:dyDescent="0.25">
      <c r="A529" s="79" t="s">
        <v>148</v>
      </c>
      <c r="B529" s="12" t="s">
        <v>216</v>
      </c>
      <c r="C529" s="12" t="s">
        <v>158</v>
      </c>
      <c r="D529" s="80">
        <v>41639</v>
      </c>
      <c r="E529" s="81">
        <v>800</v>
      </c>
      <c r="F529" s="76" t="s">
        <v>150</v>
      </c>
      <c r="G529" s="77" t="s">
        <v>178</v>
      </c>
      <c r="H529" s="77" t="s">
        <v>153</v>
      </c>
      <c r="I529" s="86">
        <v>41731</v>
      </c>
      <c r="J529" s="78">
        <v>712</v>
      </c>
      <c r="K529" s="132" t="s">
        <v>20</v>
      </c>
      <c r="L529" s="132" t="s">
        <v>207</v>
      </c>
      <c r="M529" s="132" t="s">
        <v>174</v>
      </c>
      <c r="N529" s="133">
        <v>41908</v>
      </c>
      <c r="O529" s="134">
        <v>939</v>
      </c>
      <c r="P529" s="132" t="s">
        <v>151</v>
      </c>
      <c r="Q529" s="132" t="s">
        <v>202</v>
      </c>
      <c r="R529" s="132" t="s">
        <v>158</v>
      </c>
      <c r="S529" s="133">
        <v>41794</v>
      </c>
      <c r="T529" s="134">
        <v>607.4</v>
      </c>
      <c r="U529" s="132" t="s">
        <v>154</v>
      </c>
      <c r="V529" s="132" t="s">
        <v>161</v>
      </c>
      <c r="W529" s="132" t="s">
        <v>153</v>
      </c>
      <c r="X529" s="133">
        <v>41806</v>
      </c>
      <c r="Y529" s="134">
        <v>432</v>
      </c>
    </row>
    <row r="530" spans="1:25" x14ac:dyDescent="0.25">
      <c r="A530" s="79" t="s">
        <v>148</v>
      </c>
      <c r="B530" s="12" t="s">
        <v>216</v>
      </c>
      <c r="C530" s="12" t="s">
        <v>158</v>
      </c>
      <c r="D530" s="80">
        <v>41640</v>
      </c>
      <c r="E530" s="81">
        <v>750</v>
      </c>
      <c r="F530" s="76" t="s">
        <v>150</v>
      </c>
      <c r="G530" s="77" t="s">
        <v>178</v>
      </c>
      <c r="H530" s="77" t="s">
        <v>153</v>
      </c>
      <c r="I530" s="86">
        <v>41736</v>
      </c>
      <c r="J530" s="78">
        <v>699</v>
      </c>
      <c r="K530" s="132" t="s">
        <v>20</v>
      </c>
      <c r="L530" s="132" t="s">
        <v>207</v>
      </c>
      <c r="M530" s="132" t="s">
        <v>174</v>
      </c>
      <c r="N530" s="133">
        <v>41961</v>
      </c>
      <c r="O530" s="134">
        <v>895</v>
      </c>
      <c r="P530" s="132" t="s">
        <v>151</v>
      </c>
      <c r="Q530" s="132" t="s">
        <v>202</v>
      </c>
      <c r="R530" s="132" t="s">
        <v>158</v>
      </c>
      <c r="S530" s="133">
        <v>41795</v>
      </c>
      <c r="T530" s="134">
        <v>592.5</v>
      </c>
      <c r="U530" s="132" t="s">
        <v>154</v>
      </c>
      <c r="V530" s="132" t="s">
        <v>161</v>
      </c>
      <c r="W530" s="132" t="s">
        <v>153</v>
      </c>
      <c r="X530" s="133">
        <v>41808</v>
      </c>
      <c r="Y530" s="134">
        <v>550</v>
      </c>
    </row>
    <row r="531" spans="1:25" x14ac:dyDescent="0.25">
      <c r="A531" s="79" t="s">
        <v>148</v>
      </c>
      <c r="B531" s="12" t="s">
        <v>216</v>
      </c>
      <c r="C531" s="12" t="s">
        <v>158</v>
      </c>
      <c r="D531" s="80">
        <v>41641</v>
      </c>
      <c r="E531" s="81">
        <v>750</v>
      </c>
      <c r="F531" s="76" t="s">
        <v>150</v>
      </c>
      <c r="G531" s="77" t="s">
        <v>178</v>
      </c>
      <c r="H531" s="77" t="s">
        <v>153</v>
      </c>
      <c r="I531" s="86">
        <v>41737</v>
      </c>
      <c r="J531" s="78">
        <v>436</v>
      </c>
      <c r="K531" s="132" t="s">
        <v>20</v>
      </c>
      <c r="L531" s="132" t="s">
        <v>207</v>
      </c>
      <c r="M531" s="132" t="s">
        <v>174</v>
      </c>
      <c r="N531" s="133">
        <v>41971</v>
      </c>
      <c r="O531" s="134">
        <v>1126</v>
      </c>
      <c r="P531" s="132" t="s">
        <v>151</v>
      </c>
      <c r="Q531" s="132" t="s">
        <v>202</v>
      </c>
      <c r="R531" s="132" t="s">
        <v>158</v>
      </c>
      <c r="S531" s="133">
        <v>41796</v>
      </c>
      <c r="T531" s="134">
        <v>487.5</v>
      </c>
      <c r="U531" s="132" t="s">
        <v>154</v>
      </c>
      <c r="V531" s="132" t="s">
        <v>161</v>
      </c>
      <c r="W531" s="132" t="s">
        <v>153</v>
      </c>
      <c r="X531" s="133">
        <v>41810</v>
      </c>
      <c r="Y531" s="134">
        <v>1110</v>
      </c>
    </row>
    <row r="532" spans="1:25" x14ac:dyDescent="0.25">
      <c r="A532" s="79" t="s">
        <v>148</v>
      </c>
      <c r="B532" s="12" t="s">
        <v>216</v>
      </c>
      <c r="C532" s="12" t="s">
        <v>158</v>
      </c>
      <c r="D532" s="80">
        <v>41643</v>
      </c>
      <c r="E532" s="81">
        <v>1550</v>
      </c>
      <c r="F532" s="76" t="s">
        <v>150</v>
      </c>
      <c r="G532" s="77" t="s">
        <v>178</v>
      </c>
      <c r="H532" s="77" t="s">
        <v>153</v>
      </c>
      <c r="I532" s="86">
        <v>41738</v>
      </c>
      <c r="J532" s="78">
        <v>644</v>
      </c>
      <c r="K532" s="132" t="s">
        <v>20</v>
      </c>
      <c r="L532" s="132" t="s">
        <v>207</v>
      </c>
      <c r="M532" s="132" t="s">
        <v>174</v>
      </c>
      <c r="N532" s="133">
        <v>41979</v>
      </c>
      <c r="O532" s="134">
        <v>823</v>
      </c>
      <c r="P532" s="132" t="s">
        <v>151</v>
      </c>
      <c r="Q532" s="132" t="s">
        <v>202</v>
      </c>
      <c r="R532" s="132" t="s">
        <v>158</v>
      </c>
      <c r="S532" s="133">
        <v>41799</v>
      </c>
      <c r="T532" s="134">
        <v>739.2</v>
      </c>
      <c r="U532" s="132" t="s">
        <v>154</v>
      </c>
      <c r="V532" s="132" t="s">
        <v>161</v>
      </c>
      <c r="W532" s="132" t="s">
        <v>153</v>
      </c>
      <c r="X532" s="133">
        <v>41813</v>
      </c>
      <c r="Y532" s="134">
        <v>1000</v>
      </c>
    </row>
    <row r="533" spans="1:25" x14ac:dyDescent="0.25">
      <c r="A533" s="79" t="s">
        <v>148</v>
      </c>
      <c r="B533" s="12" t="s">
        <v>216</v>
      </c>
      <c r="C533" s="12" t="s">
        <v>158</v>
      </c>
      <c r="D533" s="80">
        <v>41644</v>
      </c>
      <c r="E533" s="81">
        <v>1252</v>
      </c>
      <c r="F533" s="76" t="s">
        <v>150</v>
      </c>
      <c r="G533" s="77" t="s">
        <v>178</v>
      </c>
      <c r="H533" s="77" t="s">
        <v>153</v>
      </c>
      <c r="I533" s="86">
        <v>41740</v>
      </c>
      <c r="J533" s="78">
        <v>1255</v>
      </c>
      <c r="K533" s="132" t="s">
        <v>20</v>
      </c>
      <c r="L533" s="132" t="s">
        <v>207</v>
      </c>
      <c r="M533" s="132" t="s">
        <v>174</v>
      </c>
      <c r="N533" s="133">
        <v>41987</v>
      </c>
      <c r="O533" s="134">
        <v>922</v>
      </c>
      <c r="P533" s="132" t="s">
        <v>151</v>
      </c>
      <c r="Q533" s="132" t="s">
        <v>202</v>
      </c>
      <c r="R533" s="132" t="s">
        <v>158</v>
      </c>
      <c r="S533" s="133">
        <v>41800</v>
      </c>
      <c r="T533" s="134">
        <v>584.29999999999995</v>
      </c>
      <c r="U533" s="132" t="s">
        <v>154</v>
      </c>
      <c r="V533" s="132" t="s">
        <v>161</v>
      </c>
      <c r="W533" s="132" t="s">
        <v>153</v>
      </c>
      <c r="X533" s="133">
        <v>41873</v>
      </c>
      <c r="Y533" s="134">
        <v>1021</v>
      </c>
    </row>
    <row r="534" spans="1:25" x14ac:dyDescent="0.25">
      <c r="A534" s="79" t="s">
        <v>148</v>
      </c>
      <c r="B534" s="12" t="s">
        <v>216</v>
      </c>
      <c r="C534" s="12" t="s">
        <v>158</v>
      </c>
      <c r="D534" s="80">
        <v>41646</v>
      </c>
      <c r="E534" s="81">
        <v>1200</v>
      </c>
      <c r="F534" s="76" t="s">
        <v>150</v>
      </c>
      <c r="G534" s="77" t="s">
        <v>178</v>
      </c>
      <c r="H534" s="77" t="s">
        <v>153</v>
      </c>
      <c r="I534" s="86">
        <v>41741</v>
      </c>
      <c r="J534" s="78">
        <v>805</v>
      </c>
      <c r="K534" s="132" t="s">
        <v>20</v>
      </c>
      <c r="L534" s="132" t="s">
        <v>207</v>
      </c>
      <c r="M534" s="132" t="s">
        <v>174</v>
      </c>
      <c r="N534" s="133">
        <v>41995</v>
      </c>
      <c r="O534" s="134">
        <v>792</v>
      </c>
      <c r="P534" s="132" t="s">
        <v>151</v>
      </c>
      <c r="Q534" s="132" t="s">
        <v>202</v>
      </c>
      <c r="R534" s="132" t="s">
        <v>158</v>
      </c>
      <c r="S534" s="133">
        <v>41821</v>
      </c>
      <c r="T534" s="134">
        <v>444.7</v>
      </c>
      <c r="U534" s="132" t="s">
        <v>154</v>
      </c>
      <c r="V534" s="132" t="s">
        <v>161</v>
      </c>
      <c r="W534" s="132" t="s">
        <v>153</v>
      </c>
      <c r="X534" s="133">
        <v>41926</v>
      </c>
      <c r="Y534" s="134">
        <v>661</v>
      </c>
    </row>
    <row r="535" spans="1:25" x14ac:dyDescent="0.25">
      <c r="A535" s="79" t="s">
        <v>148</v>
      </c>
      <c r="B535" s="12" t="s">
        <v>216</v>
      </c>
      <c r="C535" s="12" t="s">
        <v>158</v>
      </c>
      <c r="D535" s="80">
        <v>41647</v>
      </c>
      <c r="E535" s="81">
        <v>1100</v>
      </c>
      <c r="F535" s="76" t="s">
        <v>150</v>
      </c>
      <c r="G535" s="77" t="s">
        <v>178</v>
      </c>
      <c r="H535" s="77" t="s">
        <v>153</v>
      </c>
      <c r="I535" s="86">
        <v>41741</v>
      </c>
      <c r="J535" s="78">
        <v>826</v>
      </c>
      <c r="K535" s="132" t="s">
        <v>20</v>
      </c>
      <c r="L535" s="132" t="s">
        <v>208</v>
      </c>
      <c r="M535" s="132" t="s">
        <v>174</v>
      </c>
      <c r="N535" s="133">
        <v>41645</v>
      </c>
      <c r="O535" s="134">
        <v>1279</v>
      </c>
      <c r="P535" s="132" t="s">
        <v>151</v>
      </c>
      <c r="Q535" s="132" t="s">
        <v>202</v>
      </c>
      <c r="R535" s="132" t="s">
        <v>158</v>
      </c>
      <c r="S535" s="133">
        <v>41822</v>
      </c>
      <c r="T535" s="134">
        <v>777.8</v>
      </c>
      <c r="U535" s="132" t="s">
        <v>154</v>
      </c>
      <c r="V535" s="132" t="s">
        <v>161</v>
      </c>
      <c r="W535" s="132" t="s">
        <v>153</v>
      </c>
      <c r="X535" s="133">
        <v>41927</v>
      </c>
      <c r="Y535" s="134">
        <v>416</v>
      </c>
    </row>
    <row r="536" spans="1:25" x14ac:dyDescent="0.25">
      <c r="A536" s="79" t="s">
        <v>148</v>
      </c>
      <c r="B536" s="12" t="s">
        <v>216</v>
      </c>
      <c r="C536" s="12" t="s">
        <v>158</v>
      </c>
      <c r="D536" s="80">
        <v>41648</v>
      </c>
      <c r="E536" s="81">
        <v>825</v>
      </c>
      <c r="F536" s="76" t="s">
        <v>150</v>
      </c>
      <c r="G536" s="77" t="s">
        <v>178</v>
      </c>
      <c r="H536" s="77" t="s">
        <v>153</v>
      </c>
      <c r="I536" s="86">
        <v>41743</v>
      </c>
      <c r="J536" s="78">
        <v>1226</v>
      </c>
      <c r="K536" s="132" t="s">
        <v>20</v>
      </c>
      <c r="L536" s="132" t="s">
        <v>208</v>
      </c>
      <c r="M536" s="132" t="s">
        <v>174</v>
      </c>
      <c r="N536" s="133">
        <v>41655</v>
      </c>
      <c r="O536" s="134">
        <v>1085</v>
      </c>
      <c r="P536" s="132" t="s">
        <v>151</v>
      </c>
      <c r="Q536" s="132" t="s">
        <v>202</v>
      </c>
      <c r="R536" s="132" t="s">
        <v>158</v>
      </c>
      <c r="S536" s="133">
        <v>41829</v>
      </c>
      <c r="T536" s="134">
        <v>392.8</v>
      </c>
      <c r="U536" s="132" t="s">
        <v>154</v>
      </c>
      <c r="V536" s="132" t="s">
        <v>161</v>
      </c>
      <c r="W536" s="132" t="s">
        <v>153</v>
      </c>
      <c r="X536" s="133">
        <v>41928</v>
      </c>
      <c r="Y536" s="134">
        <v>451</v>
      </c>
    </row>
    <row r="537" spans="1:25" x14ac:dyDescent="0.25">
      <c r="A537" s="79" t="s">
        <v>148</v>
      </c>
      <c r="B537" s="12" t="s">
        <v>216</v>
      </c>
      <c r="C537" s="12" t="s">
        <v>158</v>
      </c>
      <c r="D537" s="80">
        <v>41649</v>
      </c>
      <c r="E537" s="81">
        <v>725</v>
      </c>
      <c r="F537" s="76" t="s">
        <v>150</v>
      </c>
      <c r="G537" s="77" t="s">
        <v>178</v>
      </c>
      <c r="H537" s="77" t="s">
        <v>153</v>
      </c>
      <c r="I537" s="86">
        <v>41765</v>
      </c>
      <c r="J537" s="78">
        <v>928</v>
      </c>
      <c r="K537" s="132" t="s">
        <v>20</v>
      </c>
      <c r="L537" s="132" t="s">
        <v>208</v>
      </c>
      <c r="M537" s="132" t="s">
        <v>174</v>
      </c>
      <c r="N537" s="133">
        <v>41666</v>
      </c>
      <c r="O537" s="134">
        <v>983</v>
      </c>
      <c r="P537" s="132" t="s">
        <v>151</v>
      </c>
      <c r="Q537" s="132" t="s">
        <v>202</v>
      </c>
      <c r="R537" s="132" t="s">
        <v>158</v>
      </c>
      <c r="S537" s="133">
        <v>41830</v>
      </c>
      <c r="T537" s="134">
        <v>681.2</v>
      </c>
      <c r="U537" s="132" t="s">
        <v>154</v>
      </c>
      <c r="V537" s="132" t="s">
        <v>161</v>
      </c>
      <c r="W537" s="132" t="s">
        <v>153</v>
      </c>
      <c r="X537" s="133">
        <v>41932</v>
      </c>
      <c r="Y537" s="134">
        <v>532</v>
      </c>
    </row>
    <row r="538" spans="1:25" x14ac:dyDescent="0.25">
      <c r="A538" s="79" t="s">
        <v>148</v>
      </c>
      <c r="B538" s="12" t="s">
        <v>216</v>
      </c>
      <c r="C538" s="12" t="s">
        <v>158</v>
      </c>
      <c r="D538" s="80">
        <v>41650</v>
      </c>
      <c r="E538" s="81">
        <v>721</v>
      </c>
      <c r="F538" s="76" t="s">
        <v>150</v>
      </c>
      <c r="G538" s="77" t="s">
        <v>178</v>
      </c>
      <c r="H538" s="77" t="s">
        <v>153</v>
      </c>
      <c r="I538" s="86">
        <v>41767</v>
      </c>
      <c r="J538" s="78">
        <v>904</v>
      </c>
      <c r="K538" s="132" t="s">
        <v>20</v>
      </c>
      <c r="L538" s="132" t="s">
        <v>208</v>
      </c>
      <c r="M538" s="132" t="s">
        <v>174</v>
      </c>
      <c r="N538" s="133">
        <v>41670</v>
      </c>
      <c r="O538" s="134">
        <v>539</v>
      </c>
      <c r="P538" s="132" t="s">
        <v>151</v>
      </c>
      <c r="Q538" s="132" t="s">
        <v>202</v>
      </c>
      <c r="R538" s="132" t="s">
        <v>158</v>
      </c>
      <c r="S538" s="133">
        <v>41831</v>
      </c>
      <c r="T538" s="134">
        <v>621.4</v>
      </c>
      <c r="U538" s="132" t="s">
        <v>154</v>
      </c>
      <c r="V538" s="132" t="s">
        <v>161</v>
      </c>
      <c r="W538" s="132" t="s">
        <v>153</v>
      </c>
      <c r="X538" s="133">
        <v>41933</v>
      </c>
      <c r="Y538" s="134">
        <v>406</v>
      </c>
    </row>
    <row r="539" spans="1:25" x14ac:dyDescent="0.25">
      <c r="A539" s="79" t="s">
        <v>148</v>
      </c>
      <c r="B539" s="12" t="s">
        <v>216</v>
      </c>
      <c r="C539" s="12" t="s">
        <v>158</v>
      </c>
      <c r="D539" s="80">
        <v>41651</v>
      </c>
      <c r="E539" s="81">
        <v>730</v>
      </c>
      <c r="F539" s="76" t="s">
        <v>150</v>
      </c>
      <c r="G539" s="77" t="s">
        <v>178</v>
      </c>
      <c r="H539" s="77" t="s">
        <v>153</v>
      </c>
      <c r="I539" s="86">
        <v>41772</v>
      </c>
      <c r="J539" s="78">
        <v>875</v>
      </c>
      <c r="K539" s="132" t="s">
        <v>20</v>
      </c>
      <c r="L539" s="132" t="s">
        <v>208</v>
      </c>
      <c r="M539" s="132" t="s">
        <v>174</v>
      </c>
      <c r="N539" s="133">
        <v>41680</v>
      </c>
      <c r="O539" s="134">
        <v>780</v>
      </c>
      <c r="P539" s="132" t="s">
        <v>151</v>
      </c>
      <c r="Q539" s="132" t="s">
        <v>202</v>
      </c>
      <c r="R539" s="132" t="s">
        <v>158</v>
      </c>
      <c r="S539" s="133">
        <v>41834</v>
      </c>
      <c r="T539" s="134">
        <v>727.6</v>
      </c>
      <c r="U539" s="132" t="s">
        <v>154</v>
      </c>
      <c r="V539" s="132" t="s">
        <v>161</v>
      </c>
      <c r="W539" s="132" t="s">
        <v>153</v>
      </c>
      <c r="X539" s="133">
        <v>41934</v>
      </c>
      <c r="Y539" s="134">
        <v>761</v>
      </c>
    </row>
    <row r="540" spans="1:25" x14ac:dyDescent="0.25">
      <c r="A540" s="79" t="s">
        <v>148</v>
      </c>
      <c r="B540" s="12" t="s">
        <v>216</v>
      </c>
      <c r="C540" s="12" t="s">
        <v>158</v>
      </c>
      <c r="D540" s="80">
        <v>41652</v>
      </c>
      <c r="E540" s="81">
        <v>675</v>
      </c>
      <c r="F540" s="76" t="s">
        <v>150</v>
      </c>
      <c r="G540" s="77" t="s">
        <v>178</v>
      </c>
      <c r="H540" s="77" t="s">
        <v>153</v>
      </c>
      <c r="I540" s="86">
        <v>41775</v>
      </c>
      <c r="J540" s="78">
        <v>884</v>
      </c>
      <c r="K540" s="132" t="s">
        <v>20</v>
      </c>
      <c r="L540" s="132" t="s">
        <v>208</v>
      </c>
      <c r="M540" s="132" t="s">
        <v>174</v>
      </c>
      <c r="N540" s="133">
        <v>41689</v>
      </c>
      <c r="O540" s="134">
        <v>1134</v>
      </c>
      <c r="P540" s="132" t="s">
        <v>151</v>
      </c>
      <c r="Q540" s="132" t="s">
        <v>203</v>
      </c>
      <c r="R540" s="132" t="s">
        <v>158</v>
      </c>
      <c r="S540" s="133">
        <v>41660</v>
      </c>
      <c r="T540" s="134">
        <v>329.4</v>
      </c>
      <c r="U540" s="132" t="s">
        <v>154</v>
      </c>
      <c r="V540" s="132" t="s">
        <v>161</v>
      </c>
      <c r="W540" s="132" t="s">
        <v>153</v>
      </c>
      <c r="X540" s="133">
        <v>41936</v>
      </c>
      <c r="Y540" s="134">
        <v>624</v>
      </c>
    </row>
    <row r="541" spans="1:25" x14ac:dyDescent="0.25">
      <c r="A541" s="79" t="s">
        <v>148</v>
      </c>
      <c r="B541" s="12" t="s">
        <v>216</v>
      </c>
      <c r="C541" s="12" t="s">
        <v>158</v>
      </c>
      <c r="D541" s="80">
        <v>41656</v>
      </c>
      <c r="E541" s="81">
        <v>1275</v>
      </c>
      <c r="F541" s="76" t="s">
        <v>150</v>
      </c>
      <c r="G541" s="77" t="s">
        <v>178</v>
      </c>
      <c r="H541" s="77" t="s">
        <v>153</v>
      </c>
      <c r="I541" s="86">
        <v>41779</v>
      </c>
      <c r="J541" s="78">
        <v>596</v>
      </c>
      <c r="K541" s="132" t="s">
        <v>20</v>
      </c>
      <c r="L541" s="132" t="s">
        <v>208</v>
      </c>
      <c r="M541" s="132" t="s">
        <v>174</v>
      </c>
      <c r="N541" s="133">
        <v>41701</v>
      </c>
      <c r="O541" s="134">
        <v>450</v>
      </c>
      <c r="P541" s="132" t="s">
        <v>151</v>
      </c>
      <c r="Q541" s="132" t="s">
        <v>203</v>
      </c>
      <c r="R541" s="132" t="s">
        <v>158</v>
      </c>
      <c r="S541" s="133">
        <v>41661</v>
      </c>
      <c r="T541" s="134">
        <v>471.7</v>
      </c>
      <c r="U541" s="132" t="s">
        <v>154</v>
      </c>
      <c r="V541" s="132" t="s">
        <v>161</v>
      </c>
      <c r="W541" s="132" t="s">
        <v>153</v>
      </c>
      <c r="X541" s="133">
        <v>41940</v>
      </c>
      <c r="Y541" s="134">
        <v>400</v>
      </c>
    </row>
    <row r="542" spans="1:25" x14ac:dyDescent="0.25">
      <c r="A542" s="79" t="s">
        <v>148</v>
      </c>
      <c r="B542" s="12" t="s">
        <v>216</v>
      </c>
      <c r="C542" s="12" t="s">
        <v>158</v>
      </c>
      <c r="D542" s="80">
        <v>41657</v>
      </c>
      <c r="E542" s="81">
        <v>700</v>
      </c>
      <c r="F542" s="76" t="s">
        <v>150</v>
      </c>
      <c r="G542" s="77" t="s">
        <v>178</v>
      </c>
      <c r="H542" s="77" t="s">
        <v>153</v>
      </c>
      <c r="I542" s="86">
        <v>41782</v>
      </c>
      <c r="J542" s="78">
        <v>882</v>
      </c>
      <c r="K542" s="132" t="s">
        <v>20</v>
      </c>
      <c r="L542" s="132" t="s">
        <v>208</v>
      </c>
      <c r="M542" s="132" t="s">
        <v>174</v>
      </c>
      <c r="N542" s="133">
        <v>41712</v>
      </c>
      <c r="O542" s="134">
        <v>425</v>
      </c>
      <c r="P542" s="132" t="s">
        <v>151</v>
      </c>
      <c r="Q542" s="132" t="s">
        <v>203</v>
      </c>
      <c r="R542" s="132" t="s">
        <v>158</v>
      </c>
      <c r="S542" s="133">
        <v>41680</v>
      </c>
      <c r="T542" s="134">
        <v>897.1</v>
      </c>
      <c r="U542" s="132" t="s">
        <v>154</v>
      </c>
      <c r="V542" s="132" t="s">
        <v>161</v>
      </c>
      <c r="W542" s="132" t="s">
        <v>153</v>
      </c>
      <c r="X542" s="133">
        <v>41941</v>
      </c>
      <c r="Y542" s="134">
        <v>561</v>
      </c>
    </row>
    <row r="543" spans="1:25" x14ac:dyDescent="0.25">
      <c r="A543" s="79" t="s">
        <v>148</v>
      </c>
      <c r="B543" s="12" t="s">
        <v>216</v>
      </c>
      <c r="C543" s="12" t="s">
        <v>158</v>
      </c>
      <c r="D543" s="80">
        <v>41658</v>
      </c>
      <c r="E543" s="81">
        <v>800</v>
      </c>
      <c r="F543" s="76" t="s">
        <v>150</v>
      </c>
      <c r="G543" s="77" t="s">
        <v>178</v>
      </c>
      <c r="H543" s="77" t="s">
        <v>153</v>
      </c>
      <c r="I543" s="86">
        <v>41787</v>
      </c>
      <c r="J543" s="78">
        <v>930</v>
      </c>
      <c r="K543" s="132" t="s">
        <v>20</v>
      </c>
      <c r="L543" s="132" t="s">
        <v>208</v>
      </c>
      <c r="M543" s="132" t="s">
        <v>174</v>
      </c>
      <c r="N543" s="133">
        <v>41722</v>
      </c>
      <c r="O543" s="134">
        <v>908</v>
      </c>
      <c r="P543" s="132" t="s">
        <v>151</v>
      </c>
      <c r="Q543" s="132" t="s">
        <v>203</v>
      </c>
      <c r="R543" s="132" t="s">
        <v>158</v>
      </c>
      <c r="S543" s="133">
        <v>41698</v>
      </c>
      <c r="T543" s="134">
        <v>636</v>
      </c>
      <c r="U543" s="132" t="s">
        <v>154</v>
      </c>
      <c r="V543" s="132" t="s">
        <v>161</v>
      </c>
      <c r="W543" s="132" t="s">
        <v>153</v>
      </c>
      <c r="X543" s="133">
        <v>41943</v>
      </c>
      <c r="Y543" s="134">
        <v>787</v>
      </c>
    </row>
    <row r="544" spans="1:25" x14ac:dyDescent="0.25">
      <c r="A544" s="79" t="s">
        <v>148</v>
      </c>
      <c r="B544" s="12" t="s">
        <v>216</v>
      </c>
      <c r="C544" s="12" t="s">
        <v>158</v>
      </c>
      <c r="D544" s="80">
        <v>41659</v>
      </c>
      <c r="E544" s="81">
        <v>725</v>
      </c>
      <c r="F544" s="76" t="s">
        <v>150</v>
      </c>
      <c r="G544" s="77" t="s">
        <v>178</v>
      </c>
      <c r="H544" s="77" t="s">
        <v>153</v>
      </c>
      <c r="I544" s="86">
        <v>41789</v>
      </c>
      <c r="J544" s="78">
        <v>936</v>
      </c>
      <c r="K544" s="132" t="s">
        <v>20</v>
      </c>
      <c r="L544" s="132" t="s">
        <v>208</v>
      </c>
      <c r="M544" s="132" t="s">
        <v>174</v>
      </c>
      <c r="N544" s="133">
        <v>41728</v>
      </c>
      <c r="O544" s="134">
        <v>707</v>
      </c>
      <c r="P544" s="132" t="s">
        <v>151</v>
      </c>
      <c r="Q544" s="132" t="s">
        <v>203</v>
      </c>
      <c r="R544" s="132" t="s">
        <v>158</v>
      </c>
      <c r="S544" s="133">
        <v>41701</v>
      </c>
      <c r="T544" s="134">
        <v>1264.0999999999999</v>
      </c>
      <c r="U544" s="132" t="s">
        <v>154</v>
      </c>
      <c r="V544" s="132" t="s">
        <v>161</v>
      </c>
      <c r="W544" s="132" t="s">
        <v>153</v>
      </c>
      <c r="X544" s="133">
        <v>41946</v>
      </c>
      <c r="Y544" s="134">
        <v>733</v>
      </c>
    </row>
    <row r="545" spans="1:25" x14ac:dyDescent="0.25">
      <c r="A545" s="79" t="s">
        <v>148</v>
      </c>
      <c r="B545" s="12" t="s">
        <v>216</v>
      </c>
      <c r="C545" s="12" t="s">
        <v>158</v>
      </c>
      <c r="D545" s="80">
        <v>41660</v>
      </c>
      <c r="E545" s="81">
        <v>750</v>
      </c>
      <c r="F545" s="76" t="s">
        <v>150</v>
      </c>
      <c r="G545" s="77" t="s">
        <v>178</v>
      </c>
      <c r="H545" s="77" t="s">
        <v>153</v>
      </c>
      <c r="I545" s="86">
        <v>41790</v>
      </c>
      <c r="J545" s="78">
        <v>672</v>
      </c>
      <c r="K545" s="132" t="s">
        <v>20</v>
      </c>
      <c r="L545" s="132" t="s">
        <v>208</v>
      </c>
      <c r="M545" s="132" t="s">
        <v>174</v>
      </c>
      <c r="N545" s="133">
        <v>41737</v>
      </c>
      <c r="O545" s="134">
        <v>1124</v>
      </c>
      <c r="P545" s="132" t="s">
        <v>151</v>
      </c>
      <c r="Q545" s="132" t="s">
        <v>203</v>
      </c>
      <c r="R545" s="132" t="s">
        <v>158</v>
      </c>
      <c r="S545" s="133">
        <v>41702</v>
      </c>
      <c r="T545" s="134">
        <v>568.5</v>
      </c>
      <c r="U545" s="132" t="s">
        <v>154</v>
      </c>
      <c r="V545" s="132" t="s">
        <v>161</v>
      </c>
      <c r="W545" s="132" t="s">
        <v>153</v>
      </c>
      <c r="X545" s="133">
        <v>41947</v>
      </c>
      <c r="Y545" s="134">
        <v>1090</v>
      </c>
    </row>
    <row r="546" spans="1:25" x14ac:dyDescent="0.25">
      <c r="A546" s="79" t="s">
        <v>148</v>
      </c>
      <c r="B546" s="12" t="s">
        <v>216</v>
      </c>
      <c r="C546" s="12" t="s">
        <v>158</v>
      </c>
      <c r="D546" s="80">
        <v>41661</v>
      </c>
      <c r="E546" s="81">
        <v>840</v>
      </c>
      <c r="F546" s="76" t="s">
        <v>150</v>
      </c>
      <c r="G546" s="77" t="s">
        <v>178</v>
      </c>
      <c r="H546" s="77" t="s">
        <v>153</v>
      </c>
      <c r="I546" s="86">
        <v>41792</v>
      </c>
      <c r="J546" s="78">
        <v>771</v>
      </c>
      <c r="K546" s="132" t="s">
        <v>20</v>
      </c>
      <c r="L546" s="132" t="s">
        <v>208</v>
      </c>
      <c r="M546" s="132" t="s">
        <v>174</v>
      </c>
      <c r="N546" s="133">
        <v>41747</v>
      </c>
      <c r="O546" s="134">
        <v>1061</v>
      </c>
      <c r="P546" s="132" t="s">
        <v>151</v>
      </c>
      <c r="Q546" s="132" t="s">
        <v>203</v>
      </c>
      <c r="R546" s="132" t="s">
        <v>158</v>
      </c>
      <c r="S546" s="133">
        <v>41703</v>
      </c>
      <c r="T546" s="134">
        <v>805.9</v>
      </c>
      <c r="U546" s="132" t="s">
        <v>154</v>
      </c>
      <c r="V546" s="132" t="s">
        <v>161</v>
      </c>
      <c r="W546" s="132" t="s">
        <v>153</v>
      </c>
      <c r="X546" s="133">
        <v>41948</v>
      </c>
      <c r="Y546" s="134">
        <v>950</v>
      </c>
    </row>
    <row r="547" spans="1:25" x14ac:dyDescent="0.25">
      <c r="A547" s="79" t="s">
        <v>148</v>
      </c>
      <c r="B547" s="12" t="s">
        <v>216</v>
      </c>
      <c r="C547" s="12" t="s">
        <v>158</v>
      </c>
      <c r="D547" s="80">
        <v>41764</v>
      </c>
      <c r="E547" s="81">
        <v>733</v>
      </c>
      <c r="F547" s="76" t="s">
        <v>150</v>
      </c>
      <c r="G547" s="77" t="s">
        <v>178</v>
      </c>
      <c r="H547" s="77" t="s">
        <v>153</v>
      </c>
      <c r="I547" s="86">
        <v>41793</v>
      </c>
      <c r="J547" s="78">
        <v>680</v>
      </c>
      <c r="K547" s="132" t="s">
        <v>20</v>
      </c>
      <c r="L547" s="132" t="s">
        <v>208</v>
      </c>
      <c r="M547" s="132" t="s">
        <v>174</v>
      </c>
      <c r="N547" s="133">
        <v>41961</v>
      </c>
      <c r="O547" s="134">
        <v>1090</v>
      </c>
      <c r="P547" s="132" t="s">
        <v>151</v>
      </c>
      <c r="Q547" s="132" t="s">
        <v>203</v>
      </c>
      <c r="R547" s="132" t="s">
        <v>158</v>
      </c>
      <c r="S547" s="133">
        <v>41704</v>
      </c>
      <c r="T547" s="134">
        <v>462.8</v>
      </c>
      <c r="U547" s="132" t="s">
        <v>154</v>
      </c>
      <c r="V547" s="132" t="s">
        <v>161</v>
      </c>
      <c r="W547" s="132" t="s">
        <v>153</v>
      </c>
      <c r="X547" s="133">
        <v>41949</v>
      </c>
      <c r="Y547" s="134">
        <v>885</v>
      </c>
    </row>
    <row r="548" spans="1:25" x14ac:dyDescent="0.25">
      <c r="A548" s="79" t="s">
        <v>148</v>
      </c>
      <c r="B548" s="12" t="s">
        <v>216</v>
      </c>
      <c r="C548" s="12" t="s">
        <v>158</v>
      </c>
      <c r="D548" s="80">
        <v>41765</v>
      </c>
      <c r="E548" s="81">
        <v>710</v>
      </c>
      <c r="F548" s="76" t="s">
        <v>150</v>
      </c>
      <c r="G548" s="77" t="s">
        <v>178</v>
      </c>
      <c r="H548" s="77" t="s">
        <v>153</v>
      </c>
      <c r="I548" s="86">
        <v>41794</v>
      </c>
      <c r="J548" s="78">
        <v>741</v>
      </c>
      <c r="K548" s="132" t="s">
        <v>20</v>
      </c>
      <c r="L548" s="132" t="s">
        <v>208</v>
      </c>
      <c r="M548" s="132" t="s">
        <v>174</v>
      </c>
      <c r="N548" s="133">
        <v>41973</v>
      </c>
      <c r="O548" s="134">
        <v>1050</v>
      </c>
      <c r="P548" s="132" t="s">
        <v>151</v>
      </c>
      <c r="Q548" s="132" t="s">
        <v>203</v>
      </c>
      <c r="R548" s="132" t="s">
        <v>158</v>
      </c>
      <c r="S548" s="133">
        <v>41705</v>
      </c>
      <c r="T548" s="134">
        <v>750.2</v>
      </c>
      <c r="U548" s="132" t="s">
        <v>154</v>
      </c>
      <c r="V548" s="132" t="s">
        <v>161</v>
      </c>
      <c r="W548" s="132" t="s">
        <v>153</v>
      </c>
      <c r="X548" s="133">
        <v>41950</v>
      </c>
      <c r="Y548" s="134">
        <v>900</v>
      </c>
    </row>
    <row r="549" spans="1:25" x14ac:dyDescent="0.25">
      <c r="A549" s="79" t="s">
        <v>148</v>
      </c>
      <c r="B549" s="12" t="s">
        <v>216</v>
      </c>
      <c r="C549" s="12" t="s">
        <v>158</v>
      </c>
      <c r="D549" s="80">
        <v>41807</v>
      </c>
      <c r="E549" s="81">
        <v>1230</v>
      </c>
      <c r="F549" s="76" t="s">
        <v>150</v>
      </c>
      <c r="G549" s="77" t="s">
        <v>178</v>
      </c>
      <c r="H549" s="77" t="s">
        <v>153</v>
      </c>
      <c r="I549" s="86">
        <v>41795</v>
      </c>
      <c r="J549" s="78">
        <v>679</v>
      </c>
      <c r="K549" s="132" t="s">
        <v>20</v>
      </c>
      <c r="L549" s="132" t="s">
        <v>208</v>
      </c>
      <c r="M549" s="132" t="s">
        <v>174</v>
      </c>
      <c r="N549" s="133">
        <v>41979</v>
      </c>
      <c r="O549" s="134">
        <v>611</v>
      </c>
      <c r="P549" s="132" t="s">
        <v>151</v>
      </c>
      <c r="Q549" s="132" t="s">
        <v>203</v>
      </c>
      <c r="R549" s="132" t="s">
        <v>158</v>
      </c>
      <c r="S549" s="133">
        <v>41708</v>
      </c>
      <c r="T549" s="134">
        <v>333.7</v>
      </c>
      <c r="U549" s="132" t="s">
        <v>154</v>
      </c>
      <c r="V549" s="132" t="s">
        <v>161</v>
      </c>
      <c r="W549" s="132" t="s">
        <v>153</v>
      </c>
      <c r="X549" s="133">
        <v>41953</v>
      </c>
      <c r="Y549" s="134">
        <v>590</v>
      </c>
    </row>
    <row r="550" spans="1:25" x14ac:dyDescent="0.25">
      <c r="A550" s="79" t="s">
        <v>148</v>
      </c>
      <c r="B550" s="12" t="s">
        <v>216</v>
      </c>
      <c r="C550" s="12" t="s">
        <v>158</v>
      </c>
      <c r="D550" s="80">
        <v>41808</v>
      </c>
      <c r="E550" s="81">
        <v>760</v>
      </c>
      <c r="F550" s="76" t="s">
        <v>150</v>
      </c>
      <c r="G550" s="77" t="s">
        <v>178</v>
      </c>
      <c r="H550" s="77" t="s">
        <v>153</v>
      </c>
      <c r="I550" s="86">
        <v>41796</v>
      </c>
      <c r="J550" s="78">
        <v>714</v>
      </c>
      <c r="K550" s="132" t="s">
        <v>20</v>
      </c>
      <c r="L550" s="132" t="s">
        <v>208</v>
      </c>
      <c r="M550" s="132" t="s">
        <v>174</v>
      </c>
      <c r="N550" s="133">
        <v>41987</v>
      </c>
      <c r="O550" s="134">
        <v>784</v>
      </c>
      <c r="P550" s="132" t="s">
        <v>151</v>
      </c>
      <c r="Q550" s="132" t="s">
        <v>203</v>
      </c>
      <c r="R550" s="132" t="s">
        <v>158</v>
      </c>
      <c r="S550" s="133">
        <v>41732</v>
      </c>
      <c r="T550" s="134">
        <v>475.6</v>
      </c>
      <c r="U550" s="132" t="s">
        <v>154</v>
      </c>
      <c r="V550" s="132" t="s">
        <v>161</v>
      </c>
      <c r="W550" s="132" t="s">
        <v>153</v>
      </c>
      <c r="X550" s="133">
        <v>41954</v>
      </c>
      <c r="Y550" s="134">
        <v>896</v>
      </c>
    </row>
    <row r="551" spans="1:25" x14ac:dyDescent="0.25">
      <c r="A551" s="79" t="s">
        <v>148</v>
      </c>
      <c r="B551" s="12" t="s">
        <v>216</v>
      </c>
      <c r="C551" s="12" t="s">
        <v>158</v>
      </c>
      <c r="D551" s="80">
        <v>41809</v>
      </c>
      <c r="E551" s="81">
        <v>800</v>
      </c>
      <c r="F551" s="76" t="s">
        <v>150</v>
      </c>
      <c r="G551" s="77" t="s">
        <v>178</v>
      </c>
      <c r="H551" s="77" t="s">
        <v>153</v>
      </c>
      <c r="I551" s="86">
        <v>41797</v>
      </c>
      <c r="J551" s="78">
        <v>632</v>
      </c>
      <c r="K551" s="132" t="s">
        <v>20</v>
      </c>
      <c r="L551" s="132" t="s">
        <v>208</v>
      </c>
      <c r="M551" s="132" t="s">
        <v>174</v>
      </c>
      <c r="N551" s="133">
        <v>41995</v>
      </c>
      <c r="O551" s="134">
        <v>890</v>
      </c>
      <c r="P551" s="132" t="s">
        <v>151</v>
      </c>
      <c r="Q551" s="132" t="s">
        <v>203</v>
      </c>
      <c r="R551" s="132" t="s">
        <v>158</v>
      </c>
      <c r="S551" s="133">
        <v>41738</v>
      </c>
      <c r="T551" s="134">
        <v>1140.8</v>
      </c>
      <c r="U551" s="132" t="s">
        <v>154</v>
      </c>
      <c r="V551" s="132" t="s">
        <v>161</v>
      </c>
      <c r="W551" s="132" t="s">
        <v>153</v>
      </c>
      <c r="X551" s="133">
        <v>41955</v>
      </c>
      <c r="Y551" s="134">
        <v>1166</v>
      </c>
    </row>
    <row r="552" spans="1:25" x14ac:dyDescent="0.25">
      <c r="A552" s="79" t="s">
        <v>148</v>
      </c>
      <c r="B552" s="12" t="s">
        <v>216</v>
      </c>
      <c r="C552" s="12" t="s">
        <v>158</v>
      </c>
      <c r="D552" s="80">
        <v>41810</v>
      </c>
      <c r="E552" s="81">
        <v>725</v>
      </c>
      <c r="F552" s="76" t="s">
        <v>150</v>
      </c>
      <c r="G552" s="77" t="s">
        <v>178</v>
      </c>
      <c r="H552" s="77" t="s">
        <v>153</v>
      </c>
      <c r="I552" s="86">
        <v>41798</v>
      </c>
      <c r="J552" s="78">
        <v>792</v>
      </c>
      <c r="K552" s="132" t="s">
        <v>20</v>
      </c>
      <c r="L552" s="132" t="s">
        <v>209</v>
      </c>
      <c r="M552" s="132" t="s">
        <v>174</v>
      </c>
      <c r="N552" s="133">
        <v>41663</v>
      </c>
      <c r="O552" s="134">
        <v>1098</v>
      </c>
      <c r="P552" s="132" t="s">
        <v>151</v>
      </c>
      <c r="Q552" s="132" t="s">
        <v>203</v>
      </c>
      <c r="R552" s="132" t="s">
        <v>158</v>
      </c>
      <c r="S552" s="133">
        <v>41739</v>
      </c>
      <c r="T552" s="134">
        <v>604.9</v>
      </c>
      <c r="U552" s="132" t="s">
        <v>154</v>
      </c>
      <c r="V552" s="132" t="s">
        <v>161</v>
      </c>
      <c r="W552" s="132" t="s">
        <v>153</v>
      </c>
      <c r="X552" s="133">
        <v>41956</v>
      </c>
      <c r="Y552" s="134">
        <v>1028</v>
      </c>
    </row>
    <row r="553" spans="1:25" x14ac:dyDescent="0.25">
      <c r="A553" s="79" t="s">
        <v>148</v>
      </c>
      <c r="B553" s="12" t="s">
        <v>216</v>
      </c>
      <c r="C553" s="12" t="s">
        <v>158</v>
      </c>
      <c r="D553" s="80">
        <v>41811</v>
      </c>
      <c r="E553" s="81">
        <v>784</v>
      </c>
      <c r="F553" s="76" t="s">
        <v>150</v>
      </c>
      <c r="G553" s="77" t="s">
        <v>178</v>
      </c>
      <c r="H553" s="77" t="s">
        <v>153</v>
      </c>
      <c r="I553" s="86">
        <v>41799</v>
      </c>
      <c r="J553" s="78">
        <v>639</v>
      </c>
      <c r="K553" s="132" t="s">
        <v>20</v>
      </c>
      <c r="L553" s="132" t="s">
        <v>209</v>
      </c>
      <c r="M553" s="132" t="s">
        <v>174</v>
      </c>
      <c r="N553" s="133">
        <v>41670</v>
      </c>
      <c r="O553" s="134">
        <v>883</v>
      </c>
      <c r="P553" s="132" t="s">
        <v>151</v>
      </c>
      <c r="Q553" s="132" t="s">
        <v>203</v>
      </c>
      <c r="R553" s="132" t="s">
        <v>158</v>
      </c>
      <c r="S553" s="133">
        <v>41757</v>
      </c>
      <c r="T553" s="134">
        <v>907.9</v>
      </c>
      <c r="U553" s="132" t="s">
        <v>154</v>
      </c>
      <c r="V553" s="132" t="s">
        <v>161</v>
      </c>
      <c r="W553" s="132" t="s">
        <v>153</v>
      </c>
      <c r="X553" s="133">
        <v>41957</v>
      </c>
      <c r="Y553" s="134">
        <v>827</v>
      </c>
    </row>
    <row r="554" spans="1:25" x14ac:dyDescent="0.25">
      <c r="A554" s="79" t="s">
        <v>148</v>
      </c>
      <c r="B554" s="12" t="s">
        <v>216</v>
      </c>
      <c r="C554" s="12" t="s">
        <v>158</v>
      </c>
      <c r="D554" s="80">
        <v>41812</v>
      </c>
      <c r="E554" s="81">
        <v>450</v>
      </c>
      <c r="F554" s="76" t="s">
        <v>150</v>
      </c>
      <c r="G554" s="77" t="s">
        <v>178</v>
      </c>
      <c r="H554" s="77" t="s">
        <v>153</v>
      </c>
      <c r="I554" s="86">
        <v>41800</v>
      </c>
      <c r="J554" s="78">
        <v>702</v>
      </c>
      <c r="K554" s="132" t="s">
        <v>20</v>
      </c>
      <c r="L554" s="132" t="s">
        <v>209</v>
      </c>
      <c r="M554" s="132" t="s">
        <v>174</v>
      </c>
      <c r="N554" s="133">
        <v>41680</v>
      </c>
      <c r="O554" s="134">
        <v>996</v>
      </c>
      <c r="P554" s="132" t="s">
        <v>151</v>
      </c>
      <c r="Q554" s="132" t="s">
        <v>203</v>
      </c>
      <c r="R554" s="132" t="s">
        <v>158</v>
      </c>
      <c r="S554" s="133">
        <v>41767</v>
      </c>
      <c r="T554" s="134">
        <v>891.1</v>
      </c>
      <c r="U554" s="132" t="s">
        <v>154</v>
      </c>
      <c r="V554" s="132" t="s">
        <v>161</v>
      </c>
      <c r="W554" s="132" t="s">
        <v>153</v>
      </c>
      <c r="X554" s="133">
        <v>41958</v>
      </c>
      <c r="Y554" s="134">
        <v>218</v>
      </c>
    </row>
    <row r="555" spans="1:25" x14ac:dyDescent="0.25">
      <c r="A555" s="79" t="s">
        <v>148</v>
      </c>
      <c r="B555" s="12" t="s">
        <v>216</v>
      </c>
      <c r="C555" s="12" t="s">
        <v>158</v>
      </c>
      <c r="D555" s="80">
        <v>41813</v>
      </c>
      <c r="E555" s="81">
        <v>724</v>
      </c>
      <c r="F555" s="76" t="s">
        <v>150</v>
      </c>
      <c r="G555" s="77" t="s">
        <v>178</v>
      </c>
      <c r="H555" s="77" t="s">
        <v>153</v>
      </c>
      <c r="I555" s="86">
        <v>41801</v>
      </c>
      <c r="J555" s="78">
        <v>352</v>
      </c>
      <c r="K555" s="132" t="s">
        <v>20</v>
      </c>
      <c r="L555" s="132" t="s">
        <v>209</v>
      </c>
      <c r="M555" s="132" t="s">
        <v>174</v>
      </c>
      <c r="N555" s="133">
        <v>41689</v>
      </c>
      <c r="O555" s="134">
        <v>1150</v>
      </c>
      <c r="P555" s="132" t="s">
        <v>151</v>
      </c>
      <c r="Q555" s="132" t="s">
        <v>203</v>
      </c>
      <c r="R555" s="132" t="s">
        <v>158</v>
      </c>
      <c r="S555" s="133">
        <v>41768</v>
      </c>
      <c r="T555" s="134">
        <v>648.29999999999995</v>
      </c>
      <c r="U555" s="132" t="s">
        <v>154</v>
      </c>
      <c r="V555" s="132" t="s">
        <v>161</v>
      </c>
      <c r="W555" s="132" t="s">
        <v>153</v>
      </c>
      <c r="X555" s="133">
        <v>41959</v>
      </c>
      <c r="Y555" s="134">
        <v>652</v>
      </c>
    </row>
    <row r="556" spans="1:25" x14ac:dyDescent="0.25">
      <c r="A556" s="79" t="s">
        <v>148</v>
      </c>
      <c r="B556" s="12" t="s">
        <v>216</v>
      </c>
      <c r="C556" s="12" t="s">
        <v>158</v>
      </c>
      <c r="D556" s="80">
        <v>41814</v>
      </c>
      <c r="E556" s="81">
        <v>770</v>
      </c>
      <c r="F556" s="76" t="s">
        <v>150</v>
      </c>
      <c r="G556" s="77" t="s">
        <v>178</v>
      </c>
      <c r="H556" s="77" t="s">
        <v>153</v>
      </c>
      <c r="I556" s="86">
        <v>41802</v>
      </c>
      <c r="J556" s="78">
        <v>536</v>
      </c>
      <c r="K556" s="132" t="s">
        <v>20</v>
      </c>
      <c r="L556" s="132" t="s">
        <v>209</v>
      </c>
      <c r="M556" s="132" t="s">
        <v>174</v>
      </c>
      <c r="N556" s="133">
        <v>41701</v>
      </c>
      <c r="O556" s="134">
        <v>522</v>
      </c>
      <c r="P556" s="132" t="s">
        <v>151</v>
      </c>
      <c r="Q556" s="132" t="s">
        <v>203</v>
      </c>
      <c r="R556" s="132" t="s">
        <v>158</v>
      </c>
      <c r="S556" s="133">
        <v>41771</v>
      </c>
      <c r="T556" s="134">
        <v>643.79999999999995</v>
      </c>
      <c r="U556" s="132" t="s">
        <v>154</v>
      </c>
      <c r="V556" s="132" t="s">
        <v>161</v>
      </c>
      <c r="W556" s="132" t="s">
        <v>153</v>
      </c>
      <c r="X556" s="133">
        <v>41959</v>
      </c>
      <c r="Y556" s="134">
        <v>351</v>
      </c>
    </row>
    <row r="557" spans="1:25" x14ac:dyDescent="0.25">
      <c r="A557" s="79" t="s">
        <v>148</v>
      </c>
      <c r="B557" s="12" t="s">
        <v>216</v>
      </c>
      <c r="C557" s="12" t="s">
        <v>158</v>
      </c>
      <c r="D557" s="80">
        <v>41815</v>
      </c>
      <c r="E557" s="81">
        <v>770</v>
      </c>
      <c r="F557" s="76" t="s">
        <v>150</v>
      </c>
      <c r="G557" s="77" t="s">
        <v>178</v>
      </c>
      <c r="H557" s="77" t="s">
        <v>153</v>
      </c>
      <c r="I557" s="86">
        <v>41803</v>
      </c>
      <c r="J557" s="78">
        <v>736</v>
      </c>
      <c r="K557" s="132" t="s">
        <v>20</v>
      </c>
      <c r="L557" s="132" t="s">
        <v>209</v>
      </c>
      <c r="M557" s="132" t="s">
        <v>174</v>
      </c>
      <c r="N557" s="133">
        <v>41712</v>
      </c>
      <c r="O557" s="134">
        <v>509</v>
      </c>
      <c r="P557" s="132" t="s">
        <v>151</v>
      </c>
      <c r="Q557" s="132" t="s">
        <v>203</v>
      </c>
      <c r="R557" s="132" t="s">
        <v>158</v>
      </c>
      <c r="S557" s="133">
        <v>41772</v>
      </c>
      <c r="T557" s="134">
        <v>639.29999999999995</v>
      </c>
      <c r="U557" s="132" t="s">
        <v>154</v>
      </c>
      <c r="V557" s="132" t="s">
        <v>161</v>
      </c>
      <c r="W557" s="132" t="s">
        <v>153</v>
      </c>
      <c r="X557" s="133">
        <v>41959</v>
      </c>
      <c r="Y557" s="134">
        <v>170</v>
      </c>
    </row>
    <row r="558" spans="1:25" x14ac:dyDescent="0.25">
      <c r="A558" s="79" t="s">
        <v>148</v>
      </c>
      <c r="B558" s="12" t="s">
        <v>216</v>
      </c>
      <c r="C558" s="12" t="s">
        <v>158</v>
      </c>
      <c r="D558" s="80">
        <v>41816</v>
      </c>
      <c r="E558" s="81">
        <v>856</v>
      </c>
      <c r="F558" s="76" t="s">
        <v>150</v>
      </c>
      <c r="G558" s="77" t="s">
        <v>178</v>
      </c>
      <c r="H558" s="77" t="s">
        <v>153</v>
      </c>
      <c r="I558" s="86">
        <v>41806</v>
      </c>
      <c r="J558" s="78">
        <v>594</v>
      </c>
      <c r="K558" s="132" t="s">
        <v>20</v>
      </c>
      <c r="L558" s="132" t="s">
        <v>209</v>
      </c>
      <c r="M558" s="132" t="s">
        <v>174</v>
      </c>
      <c r="N558" s="133">
        <v>41720</v>
      </c>
      <c r="O558" s="134">
        <v>877</v>
      </c>
      <c r="P558" s="132" t="s">
        <v>151</v>
      </c>
      <c r="Q558" s="132" t="s">
        <v>203</v>
      </c>
      <c r="R558" s="132" t="s">
        <v>158</v>
      </c>
      <c r="S558" s="133">
        <v>41782</v>
      </c>
      <c r="T558" s="134">
        <v>648.70000000000005</v>
      </c>
      <c r="U558" s="132" t="s">
        <v>154</v>
      </c>
      <c r="V558" s="132" t="s">
        <v>161</v>
      </c>
      <c r="W558" s="132" t="s">
        <v>153</v>
      </c>
      <c r="X558" s="133">
        <v>41960</v>
      </c>
      <c r="Y558" s="134">
        <v>901</v>
      </c>
    </row>
    <row r="559" spans="1:25" x14ac:dyDescent="0.25">
      <c r="A559" s="79" t="s">
        <v>148</v>
      </c>
      <c r="B559" s="12" t="s">
        <v>216</v>
      </c>
      <c r="C559" s="12" t="s">
        <v>158</v>
      </c>
      <c r="D559" s="80">
        <v>41817</v>
      </c>
      <c r="E559" s="81">
        <v>818</v>
      </c>
      <c r="F559" s="76" t="s">
        <v>150</v>
      </c>
      <c r="G559" s="77" t="s">
        <v>178</v>
      </c>
      <c r="H559" s="77" t="s">
        <v>153</v>
      </c>
      <c r="I559" s="86">
        <v>41808</v>
      </c>
      <c r="J559" s="78">
        <v>1254</v>
      </c>
      <c r="K559" s="132" t="s">
        <v>20</v>
      </c>
      <c r="L559" s="132" t="s">
        <v>214</v>
      </c>
      <c r="M559" s="132" t="s">
        <v>149</v>
      </c>
      <c r="N559" s="133">
        <v>41641</v>
      </c>
      <c r="O559" s="134">
        <v>1410</v>
      </c>
      <c r="P559" s="132" t="s">
        <v>151</v>
      </c>
      <c r="Q559" s="132" t="s">
        <v>203</v>
      </c>
      <c r="R559" s="132" t="s">
        <v>158</v>
      </c>
      <c r="S559" s="133">
        <v>41786</v>
      </c>
      <c r="T559" s="134">
        <v>664.3</v>
      </c>
      <c r="U559" s="132" t="s">
        <v>154</v>
      </c>
      <c r="V559" s="132" t="s">
        <v>161</v>
      </c>
      <c r="W559" s="132" t="s">
        <v>153</v>
      </c>
      <c r="X559" s="133">
        <v>41961</v>
      </c>
      <c r="Y559" s="134">
        <v>851</v>
      </c>
    </row>
    <row r="560" spans="1:25" x14ac:dyDescent="0.25">
      <c r="A560" s="79" t="s">
        <v>148</v>
      </c>
      <c r="B560" s="12" t="s">
        <v>216</v>
      </c>
      <c r="C560" s="12" t="s">
        <v>158</v>
      </c>
      <c r="D560" s="80">
        <v>41818</v>
      </c>
      <c r="E560" s="81">
        <v>600</v>
      </c>
      <c r="F560" s="76" t="s">
        <v>150</v>
      </c>
      <c r="G560" s="77" t="s">
        <v>178</v>
      </c>
      <c r="H560" s="77" t="s">
        <v>153</v>
      </c>
      <c r="I560" s="86">
        <v>41810</v>
      </c>
      <c r="J560" s="78">
        <v>725</v>
      </c>
      <c r="K560" s="132" t="s">
        <v>20</v>
      </c>
      <c r="L560" s="132" t="s">
        <v>214</v>
      </c>
      <c r="M560" s="132" t="s">
        <v>149</v>
      </c>
      <c r="N560" s="133">
        <v>41657</v>
      </c>
      <c r="O560" s="134">
        <v>1389</v>
      </c>
      <c r="P560" s="132" t="s">
        <v>151</v>
      </c>
      <c r="Q560" s="132" t="s">
        <v>203</v>
      </c>
      <c r="R560" s="132" t="s">
        <v>158</v>
      </c>
      <c r="S560" s="133">
        <v>41828</v>
      </c>
      <c r="T560" s="134">
        <v>496.9</v>
      </c>
      <c r="U560" s="132" t="s">
        <v>154</v>
      </c>
      <c r="V560" s="132" t="s">
        <v>161</v>
      </c>
      <c r="W560" s="132" t="s">
        <v>153</v>
      </c>
      <c r="X560" s="133">
        <v>41962</v>
      </c>
      <c r="Y560" s="134">
        <v>600</v>
      </c>
    </row>
    <row r="561" spans="1:25" x14ac:dyDescent="0.25">
      <c r="A561" s="79" t="s">
        <v>148</v>
      </c>
      <c r="B561" s="12" t="s">
        <v>216</v>
      </c>
      <c r="C561" s="12" t="s">
        <v>158</v>
      </c>
      <c r="D561" s="80">
        <v>41819</v>
      </c>
      <c r="E561" s="81">
        <v>850</v>
      </c>
      <c r="F561" s="76" t="s">
        <v>150</v>
      </c>
      <c r="G561" s="77" t="s">
        <v>178</v>
      </c>
      <c r="H561" s="77" t="s">
        <v>153</v>
      </c>
      <c r="I561" s="86">
        <v>41814</v>
      </c>
      <c r="J561" s="78">
        <v>414</v>
      </c>
      <c r="K561" s="132" t="s">
        <v>20</v>
      </c>
      <c r="L561" s="132" t="s">
        <v>214</v>
      </c>
      <c r="M561" s="132" t="s">
        <v>149</v>
      </c>
      <c r="N561" s="133">
        <v>41674</v>
      </c>
      <c r="O561" s="134">
        <v>2054</v>
      </c>
      <c r="P561" s="132" t="s">
        <v>151</v>
      </c>
      <c r="Q561" s="132" t="s">
        <v>203</v>
      </c>
      <c r="R561" s="132" t="s">
        <v>158</v>
      </c>
      <c r="S561" s="133">
        <v>41829</v>
      </c>
      <c r="T561" s="134">
        <v>455.5</v>
      </c>
      <c r="U561" s="132" t="s">
        <v>154</v>
      </c>
      <c r="V561" s="132" t="s">
        <v>161</v>
      </c>
      <c r="W561" s="132" t="s">
        <v>153</v>
      </c>
      <c r="X561" s="133">
        <v>41963</v>
      </c>
      <c r="Y561" s="134">
        <v>235</v>
      </c>
    </row>
    <row r="562" spans="1:25" x14ac:dyDescent="0.25">
      <c r="A562" s="79" t="s">
        <v>148</v>
      </c>
      <c r="B562" s="12" t="s">
        <v>216</v>
      </c>
      <c r="C562" s="12" t="s">
        <v>158</v>
      </c>
      <c r="D562" s="80">
        <v>41820</v>
      </c>
      <c r="E562" s="81">
        <v>738</v>
      </c>
      <c r="F562" s="76" t="s">
        <v>150</v>
      </c>
      <c r="G562" s="77" t="s">
        <v>178</v>
      </c>
      <c r="H562" s="77" t="s">
        <v>153</v>
      </c>
      <c r="I562" s="86">
        <v>41816</v>
      </c>
      <c r="J562" s="78">
        <v>990</v>
      </c>
      <c r="K562" s="132" t="s">
        <v>20</v>
      </c>
      <c r="L562" s="132" t="s">
        <v>214</v>
      </c>
      <c r="M562" s="132" t="s">
        <v>149</v>
      </c>
      <c r="N562" s="133">
        <v>41691</v>
      </c>
      <c r="O562" s="134">
        <v>1538</v>
      </c>
      <c r="P562" s="132" t="s">
        <v>151</v>
      </c>
      <c r="Q562" s="132" t="s">
        <v>203</v>
      </c>
      <c r="R562" s="132" t="s">
        <v>158</v>
      </c>
      <c r="S562" s="133">
        <v>41862</v>
      </c>
      <c r="T562" s="134">
        <v>1066.3</v>
      </c>
      <c r="U562" s="132" t="s">
        <v>154</v>
      </c>
      <c r="V562" s="132" t="s">
        <v>161</v>
      </c>
      <c r="W562" s="132" t="s">
        <v>153</v>
      </c>
      <c r="X562" s="133">
        <v>41964</v>
      </c>
      <c r="Y562" s="134">
        <v>450</v>
      </c>
    </row>
    <row r="563" spans="1:25" x14ac:dyDescent="0.25">
      <c r="A563" s="79" t="s">
        <v>148</v>
      </c>
      <c r="B563" s="12" t="s">
        <v>216</v>
      </c>
      <c r="C563" s="12" t="s">
        <v>158</v>
      </c>
      <c r="D563" s="80">
        <v>41821</v>
      </c>
      <c r="E563" s="81">
        <v>855</v>
      </c>
      <c r="F563" s="76" t="s">
        <v>150</v>
      </c>
      <c r="G563" s="77" t="s">
        <v>178</v>
      </c>
      <c r="H563" s="77" t="s">
        <v>153</v>
      </c>
      <c r="I563" s="86">
        <v>41844</v>
      </c>
      <c r="J563" s="78">
        <v>459</v>
      </c>
      <c r="K563" s="132" t="s">
        <v>20</v>
      </c>
      <c r="L563" s="132" t="s">
        <v>214</v>
      </c>
      <c r="M563" s="132" t="s">
        <v>149</v>
      </c>
      <c r="N563" s="133">
        <v>41701</v>
      </c>
      <c r="O563" s="134">
        <v>1162</v>
      </c>
      <c r="P563" s="132" t="s">
        <v>151</v>
      </c>
      <c r="Q563" s="132" t="s">
        <v>203</v>
      </c>
      <c r="R563" s="132" t="s">
        <v>158</v>
      </c>
      <c r="S563" s="133">
        <v>41863</v>
      </c>
      <c r="T563" s="134">
        <v>620.79999999999995</v>
      </c>
      <c r="U563" s="132" t="s">
        <v>154</v>
      </c>
      <c r="V563" s="132" t="s">
        <v>161</v>
      </c>
      <c r="W563" s="132" t="s">
        <v>153</v>
      </c>
      <c r="X563" s="133">
        <v>41967</v>
      </c>
      <c r="Y563" s="134">
        <v>770</v>
      </c>
    </row>
    <row r="564" spans="1:25" x14ac:dyDescent="0.25">
      <c r="A564" s="79" t="s">
        <v>148</v>
      </c>
      <c r="B564" s="12" t="s">
        <v>216</v>
      </c>
      <c r="C564" s="12" t="s">
        <v>158</v>
      </c>
      <c r="D564" s="80">
        <v>41822</v>
      </c>
      <c r="E564" s="81">
        <v>800</v>
      </c>
      <c r="F564" s="76" t="s">
        <v>150</v>
      </c>
      <c r="G564" s="77" t="s">
        <v>178</v>
      </c>
      <c r="H564" s="77" t="s">
        <v>153</v>
      </c>
      <c r="I564" s="86">
        <v>41846</v>
      </c>
      <c r="J564" s="78">
        <v>788</v>
      </c>
      <c r="K564" s="132" t="s">
        <v>20</v>
      </c>
      <c r="L564" s="132" t="s">
        <v>214</v>
      </c>
      <c r="M564" s="132" t="s">
        <v>149</v>
      </c>
      <c r="N564" s="133">
        <v>41722</v>
      </c>
      <c r="O564" s="134">
        <v>1504</v>
      </c>
      <c r="P564" s="132" t="s">
        <v>151</v>
      </c>
      <c r="Q564" s="132" t="s">
        <v>203</v>
      </c>
      <c r="R564" s="132" t="s">
        <v>158</v>
      </c>
      <c r="S564" s="133">
        <v>41864</v>
      </c>
      <c r="T564" s="134">
        <v>696.2</v>
      </c>
      <c r="U564" s="132" t="s">
        <v>154</v>
      </c>
      <c r="V564" s="132" t="s">
        <v>161</v>
      </c>
      <c r="W564" s="132" t="s">
        <v>153</v>
      </c>
      <c r="X564" s="133">
        <v>41968</v>
      </c>
      <c r="Y564" s="134">
        <v>528</v>
      </c>
    </row>
    <row r="565" spans="1:25" x14ac:dyDescent="0.25">
      <c r="A565" s="79" t="s">
        <v>148</v>
      </c>
      <c r="B565" s="12" t="s">
        <v>216</v>
      </c>
      <c r="C565" s="12" t="s">
        <v>158</v>
      </c>
      <c r="D565" s="80">
        <v>41823</v>
      </c>
      <c r="E565" s="81">
        <v>808</v>
      </c>
      <c r="F565" s="76" t="s">
        <v>150</v>
      </c>
      <c r="G565" s="77" t="s">
        <v>178</v>
      </c>
      <c r="H565" s="77" t="s">
        <v>153</v>
      </c>
      <c r="I565" s="86">
        <v>41847</v>
      </c>
      <c r="J565" s="78">
        <v>568</v>
      </c>
      <c r="K565" s="132" t="s">
        <v>20</v>
      </c>
      <c r="L565" s="132" t="s">
        <v>214</v>
      </c>
      <c r="M565" s="132" t="s">
        <v>149</v>
      </c>
      <c r="N565" s="133">
        <v>41731</v>
      </c>
      <c r="O565" s="134">
        <v>1123</v>
      </c>
      <c r="P565" s="132" t="s">
        <v>151</v>
      </c>
      <c r="Q565" s="132" t="s">
        <v>203</v>
      </c>
      <c r="R565" s="132" t="s">
        <v>158</v>
      </c>
      <c r="S565" s="133">
        <v>41869</v>
      </c>
      <c r="T565" s="134">
        <v>1306.7</v>
      </c>
      <c r="U565" s="132" t="s">
        <v>154</v>
      </c>
      <c r="V565" s="132" t="s">
        <v>161</v>
      </c>
      <c r="W565" s="132" t="s">
        <v>153</v>
      </c>
      <c r="X565" s="133">
        <v>41969</v>
      </c>
      <c r="Y565" s="134">
        <v>820</v>
      </c>
    </row>
    <row r="566" spans="1:25" x14ac:dyDescent="0.25">
      <c r="A566" s="79" t="s">
        <v>148</v>
      </c>
      <c r="B566" s="12" t="s">
        <v>216</v>
      </c>
      <c r="C566" s="12" t="s">
        <v>158</v>
      </c>
      <c r="D566" s="80">
        <v>41824</v>
      </c>
      <c r="E566" s="81">
        <v>551</v>
      </c>
      <c r="F566" s="76" t="s">
        <v>150</v>
      </c>
      <c r="G566" s="77" t="s">
        <v>178</v>
      </c>
      <c r="H566" s="77" t="s">
        <v>153</v>
      </c>
      <c r="I566" s="86">
        <v>41848</v>
      </c>
      <c r="J566" s="78">
        <v>753</v>
      </c>
      <c r="K566" s="132" t="s">
        <v>20</v>
      </c>
      <c r="L566" s="132" t="s">
        <v>214</v>
      </c>
      <c r="M566" s="132" t="s">
        <v>149</v>
      </c>
      <c r="N566" s="133">
        <v>41747</v>
      </c>
      <c r="O566" s="134">
        <v>1690</v>
      </c>
      <c r="P566" s="132" t="s">
        <v>151</v>
      </c>
      <c r="Q566" s="132" t="s">
        <v>203</v>
      </c>
      <c r="R566" s="132" t="s">
        <v>158</v>
      </c>
      <c r="S566" s="133">
        <v>41870</v>
      </c>
      <c r="T566" s="134">
        <v>665.8</v>
      </c>
      <c r="U566" s="132" t="s">
        <v>154</v>
      </c>
      <c r="V566" s="132" t="s">
        <v>161</v>
      </c>
      <c r="W566" s="132" t="s">
        <v>153</v>
      </c>
      <c r="X566" s="133">
        <v>41971</v>
      </c>
      <c r="Y566" s="134">
        <v>961</v>
      </c>
    </row>
    <row r="567" spans="1:25" x14ac:dyDescent="0.25">
      <c r="A567" s="79" t="s">
        <v>148</v>
      </c>
      <c r="B567" s="12" t="s">
        <v>216</v>
      </c>
      <c r="C567" s="12" t="s">
        <v>158</v>
      </c>
      <c r="D567" s="80">
        <v>41825</v>
      </c>
      <c r="E567" s="81">
        <v>520</v>
      </c>
      <c r="F567" s="76" t="s">
        <v>150</v>
      </c>
      <c r="G567" s="77" t="s">
        <v>178</v>
      </c>
      <c r="H567" s="77" t="s">
        <v>153</v>
      </c>
      <c r="I567" s="86">
        <v>41953</v>
      </c>
      <c r="J567" s="78">
        <v>1465</v>
      </c>
      <c r="K567" s="132" t="s">
        <v>20</v>
      </c>
      <c r="L567" s="132" t="s">
        <v>214</v>
      </c>
      <c r="M567" s="132" t="s">
        <v>149</v>
      </c>
      <c r="N567" s="133">
        <v>41759</v>
      </c>
      <c r="O567" s="134">
        <v>1225</v>
      </c>
      <c r="P567" s="132" t="s">
        <v>151</v>
      </c>
      <c r="Q567" s="132" t="s">
        <v>203</v>
      </c>
      <c r="R567" s="132" t="s">
        <v>158</v>
      </c>
      <c r="S567" s="133">
        <v>41871</v>
      </c>
      <c r="T567" s="134">
        <v>714</v>
      </c>
      <c r="U567" s="132" t="s">
        <v>154</v>
      </c>
      <c r="V567" s="132" t="s">
        <v>161</v>
      </c>
      <c r="W567" s="132" t="s">
        <v>153</v>
      </c>
      <c r="X567" s="133">
        <v>41973</v>
      </c>
      <c r="Y567" s="134">
        <v>913</v>
      </c>
    </row>
    <row r="568" spans="1:25" x14ac:dyDescent="0.25">
      <c r="A568" s="79" t="s">
        <v>148</v>
      </c>
      <c r="B568" s="12" t="s">
        <v>216</v>
      </c>
      <c r="C568" s="12" t="s">
        <v>158</v>
      </c>
      <c r="D568" s="80">
        <v>41827</v>
      </c>
      <c r="E568" s="81">
        <v>1863</v>
      </c>
      <c r="F568" s="76" t="s">
        <v>150</v>
      </c>
      <c r="G568" s="77" t="s">
        <v>178</v>
      </c>
      <c r="H568" s="77" t="s">
        <v>153</v>
      </c>
      <c r="I568" s="86">
        <v>41982</v>
      </c>
      <c r="J568" s="78">
        <v>696</v>
      </c>
      <c r="K568" s="132" t="s">
        <v>20</v>
      </c>
      <c r="L568" s="132" t="s">
        <v>214</v>
      </c>
      <c r="M568" s="132" t="s">
        <v>149</v>
      </c>
      <c r="N568" s="133">
        <v>41776</v>
      </c>
      <c r="O568" s="134">
        <v>1717</v>
      </c>
      <c r="P568" s="132" t="s">
        <v>151</v>
      </c>
      <c r="Q568" s="132" t="s">
        <v>203</v>
      </c>
      <c r="R568" s="132" t="s">
        <v>158</v>
      </c>
      <c r="S568" s="133">
        <v>41877</v>
      </c>
      <c r="T568" s="134">
        <v>643.9</v>
      </c>
      <c r="U568" s="132" t="s">
        <v>154</v>
      </c>
      <c r="V568" s="132" t="s">
        <v>161</v>
      </c>
      <c r="W568" s="132" t="s">
        <v>153</v>
      </c>
      <c r="X568" s="133">
        <v>41974</v>
      </c>
      <c r="Y568" s="134">
        <v>792</v>
      </c>
    </row>
    <row r="569" spans="1:25" x14ac:dyDescent="0.25">
      <c r="A569" s="79" t="s">
        <v>148</v>
      </c>
      <c r="B569" s="12" t="s">
        <v>216</v>
      </c>
      <c r="C569" s="12" t="s">
        <v>158</v>
      </c>
      <c r="D569" s="80">
        <v>41829</v>
      </c>
      <c r="E569" s="81">
        <v>1250</v>
      </c>
      <c r="F569" s="76" t="s">
        <v>150</v>
      </c>
      <c r="G569" s="77" t="s">
        <v>178</v>
      </c>
      <c r="H569" s="77" t="s">
        <v>153</v>
      </c>
      <c r="I569" s="86">
        <v>41987</v>
      </c>
      <c r="J569" s="78">
        <v>529</v>
      </c>
      <c r="K569" s="132" t="s">
        <v>20</v>
      </c>
      <c r="L569" s="132" t="s">
        <v>214</v>
      </c>
      <c r="M569" s="132" t="s">
        <v>149</v>
      </c>
      <c r="N569" s="133">
        <v>41794</v>
      </c>
      <c r="O569" s="134">
        <v>893</v>
      </c>
      <c r="P569" s="132" t="s">
        <v>151</v>
      </c>
      <c r="Q569" s="132" t="s">
        <v>203</v>
      </c>
      <c r="R569" s="132" t="s">
        <v>158</v>
      </c>
      <c r="S569" s="133">
        <v>41878</v>
      </c>
      <c r="T569" s="134">
        <v>623.70000000000005</v>
      </c>
      <c r="U569" s="132" t="s">
        <v>154</v>
      </c>
      <c r="V569" s="132" t="s">
        <v>161</v>
      </c>
      <c r="W569" s="132" t="s">
        <v>153</v>
      </c>
      <c r="X569" s="133">
        <v>41975</v>
      </c>
      <c r="Y569" s="134">
        <v>850</v>
      </c>
    </row>
    <row r="570" spans="1:25" x14ac:dyDescent="0.25">
      <c r="A570" s="79" t="s">
        <v>148</v>
      </c>
      <c r="B570" s="12" t="s">
        <v>216</v>
      </c>
      <c r="C570" s="12" t="s">
        <v>158</v>
      </c>
      <c r="D570" s="80">
        <v>41830</v>
      </c>
      <c r="E570" s="81">
        <v>760</v>
      </c>
      <c r="F570" s="76" t="s">
        <v>150</v>
      </c>
      <c r="G570" s="77" t="s">
        <v>178</v>
      </c>
      <c r="H570" s="77" t="s">
        <v>153</v>
      </c>
      <c r="I570" s="86">
        <v>41990</v>
      </c>
      <c r="J570" s="78">
        <v>834</v>
      </c>
      <c r="K570" s="132" t="s">
        <v>20</v>
      </c>
      <c r="L570" s="132" t="s">
        <v>157</v>
      </c>
      <c r="M570" s="132" t="s">
        <v>158</v>
      </c>
      <c r="N570" s="133">
        <v>41638</v>
      </c>
      <c r="O570" s="134">
        <v>1671</v>
      </c>
      <c r="P570" s="132" t="s">
        <v>151</v>
      </c>
      <c r="Q570" s="132" t="s">
        <v>203</v>
      </c>
      <c r="R570" s="132" t="s">
        <v>158</v>
      </c>
      <c r="S570" s="133">
        <v>41886</v>
      </c>
      <c r="T570" s="134">
        <v>1292.3</v>
      </c>
      <c r="U570" s="132" t="s">
        <v>154</v>
      </c>
      <c r="V570" s="132" t="s">
        <v>161</v>
      </c>
      <c r="W570" s="132" t="s">
        <v>153</v>
      </c>
      <c r="X570" s="133">
        <v>41976</v>
      </c>
      <c r="Y570" s="134">
        <v>798</v>
      </c>
    </row>
    <row r="571" spans="1:25" x14ac:dyDescent="0.25">
      <c r="A571" s="79" t="s">
        <v>148</v>
      </c>
      <c r="B571" s="12" t="s">
        <v>216</v>
      </c>
      <c r="C571" s="12" t="s">
        <v>158</v>
      </c>
      <c r="D571" s="80">
        <v>41831</v>
      </c>
      <c r="E571" s="81">
        <v>820</v>
      </c>
      <c r="F571" s="76" t="s">
        <v>150</v>
      </c>
      <c r="G571" s="77" t="s">
        <v>178</v>
      </c>
      <c r="H571" s="77" t="s">
        <v>153</v>
      </c>
      <c r="I571" s="86">
        <v>41993</v>
      </c>
      <c r="J571" s="78">
        <v>803</v>
      </c>
      <c r="K571" s="132" t="s">
        <v>20</v>
      </c>
      <c r="L571" s="132" t="s">
        <v>157</v>
      </c>
      <c r="M571" s="132" t="s">
        <v>158</v>
      </c>
      <c r="N571" s="133">
        <v>41646</v>
      </c>
      <c r="O571" s="134">
        <v>824</v>
      </c>
      <c r="P571" s="132" t="s">
        <v>151</v>
      </c>
      <c r="Q571" s="132" t="s">
        <v>203</v>
      </c>
      <c r="R571" s="132" t="s">
        <v>158</v>
      </c>
      <c r="S571" s="133">
        <v>41928</v>
      </c>
      <c r="T571" s="134">
        <v>739.5</v>
      </c>
      <c r="U571" s="132" t="s">
        <v>154</v>
      </c>
      <c r="V571" s="132" t="s">
        <v>161</v>
      </c>
      <c r="W571" s="132" t="s">
        <v>153</v>
      </c>
      <c r="X571" s="133">
        <v>41977</v>
      </c>
      <c r="Y571" s="134">
        <v>890</v>
      </c>
    </row>
    <row r="572" spans="1:25" x14ac:dyDescent="0.25">
      <c r="A572" s="79" t="s">
        <v>148</v>
      </c>
      <c r="B572" s="12" t="s">
        <v>216</v>
      </c>
      <c r="C572" s="12" t="s">
        <v>158</v>
      </c>
      <c r="D572" s="80">
        <v>41832</v>
      </c>
      <c r="E572" s="81">
        <v>750</v>
      </c>
      <c r="F572" s="76" t="s">
        <v>150</v>
      </c>
      <c r="G572" s="77" t="s">
        <v>178</v>
      </c>
      <c r="H572" s="77" t="s">
        <v>153</v>
      </c>
      <c r="I572" s="86">
        <v>41993</v>
      </c>
      <c r="J572" s="78">
        <v>1220</v>
      </c>
      <c r="K572" s="132" t="s">
        <v>20</v>
      </c>
      <c r="L572" s="132" t="s">
        <v>157</v>
      </c>
      <c r="M572" s="132" t="s">
        <v>158</v>
      </c>
      <c r="N572" s="133">
        <v>41655</v>
      </c>
      <c r="O572" s="134">
        <v>613</v>
      </c>
      <c r="P572" s="132" t="s">
        <v>151</v>
      </c>
      <c r="Q572" s="132" t="s">
        <v>203</v>
      </c>
      <c r="R572" s="132" t="s">
        <v>158</v>
      </c>
      <c r="S572" s="133">
        <v>41942</v>
      </c>
      <c r="T572" s="134">
        <v>639.5</v>
      </c>
      <c r="U572" s="132" t="s">
        <v>154</v>
      </c>
      <c r="V572" s="132" t="s">
        <v>181</v>
      </c>
      <c r="W572" s="132" t="s">
        <v>153</v>
      </c>
      <c r="X572" s="133">
        <v>41279</v>
      </c>
      <c r="Y572" s="134">
        <v>528</v>
      </c>
    </row>
    <row r="573" spans="1:25" x14ac:dyDescent="0.25">
      <c r="A573" s="79" t="s">
        <v>148</v>
      </c>
      <c r="B573" s="12" t="s">
        <v>216</v>
      </c>
      <c r="C573" s="12" t="s">
        <v>158</v>
      </c>
      <c r="D573" s="80">
        <v>41833</v>
      </c>
      <c r="E573" s="81">
        <v>900</v>
      </c>
      <c r="F573" s="76" t="s">
        <v>150</v>
      </c>
      <c r="G573" s="77" t="s">
        <v>178</v>
      </c>
      <c r="H573" s="77" t="s">
        <v>153</v>
      </c>
      <c r="I573" s="86">
        <v>41994</v>
      </c>
      <c r="J573" s="78">
        <v>823</v>
      </c>
      <c r="K573" s="132" t="s">
        <v>20</v>
      </c>
      <c r="L573" s="132" t="s">
        <v>157</v>
      </c>
      <c r="M573" s="132" t="s">
        <v>158</v>
      </c>
      <c r="N573" s="133">
        <v>41684</v>
      </c>
      <c r="O573" s="134">
        <v>1378</v>
      </c>
      <c r="P573" s="132" t="s">
        <v>151</v>
      </c>
      <c r="Q573" s="132" t="s">
        <v>203</v>
      </c>
      <c r="R573" s="132" t="s">
        <v>158</v>
      </c>
      <c r="S573" s="133">
        <v>41947</v>
      </c>
      <c r="T573" s="134">
        <v>1759.3</v>
      </c>
      <c r="U573" s="132" t="s">
        <v>154</v>
      </c>
      <c r="V573" s="132" t="s">
        <v>181</v>
      </c>
      <c r="W573" s="132" t="s">
        <v>153</v>
      </c>
      <c r="X573" s="133">
        <v>41635</v>
      </c>
      <c r="Y573" s="134">
        <v>448</v>
      </c>
    </row>
    <row r="574" spans="1:25" x14ac:dyDescent="0.25">
      <c r="A574" s="79" t="s">
        <v>148</v>
      </c>
      <c r="B574" s="12" t="s">
        <v>216</v>
      </c>
      <c r="C574" s="12" t="s">
        <v>158</v>
      </c>
      <c r="D574" s="80">
        <v>41834</v>
      </c>
      <c r="E574" s="81">
        <v>770</v>
      </c>
      <c r="F574" s="76" t="s">
        <v>150</v>
      </c>
      <c r="G574" s="77" t="s">
        <v>179</v>
      </c>
      <c r="H574" s="77" t="s">
        <v>153</v>
      </c>
      <c r="I574" s="86">
        <v>41681</v>
      </c>
      <c r="J574" s="78">
        <v>1007</v>
      </c>
      <c r="K574" s="132" t="s">
        <v>20</v>
      </c>
      <c r="L574" s="132" t="s">
        <v>157</v>
      </c>
      <c r="M574" s="132" t="s">
        <v>158</v>
      </c>
      <c r="N574" s="133">
        <v>41687</v>
      </c>
      <c r="O574" s="134">
        <v>718</v>
      </c>
      <c r="P574" s="132" t="s">
        <v>151</v>
      </c>
      <c r="Q574" s="132" t="s">
        <v>203</v>
      </c>
      <c r="R574" s="132" t="s">
        <v>158</v>
      </c>
      <c r="S574" s="133">
        <v>41995</v>
      </c>
      <c r="T574" s="134">
        <v>725.6</v>
      </c>
      <c r="U574" s="132" t="s">
        <v>154</v>
      </c>
      <c r="V574" s="132" t="s">
        <v>181</v>
      </c>
      <c r="W574" s="132" t="s">
        <v>153</v>
      </c>
      <c r="X574" s="133">
        <v>41636</v>
      </c>
      <c r="Y574" s="134">
        <v>458</v>
      </c>
    </row>
    <row r="575" spans="1:25" x14ac:dyDescent="0.25">
      <c r="A575" s="79" t="s">
        <v>148</v>
      </c>
      <c r="B575" s="12" t="s">
        <v>217</v>
      </c>
      <c r="C575" s="12" t="s">
        <v>158</v>
      </c>
      <c r="D575" s="80">
        <v>41646</v>
      </c>
      <c r="E575" s="81">
        <v>1400</v>
      </c>
      <c r="F575" s="76" t="s">
        <v>150</v>
      </c>
      <c r="G575" s="77" t="s">
        <v>179</v>
      </c>
      <c r="H575" s="77" t="s">
        <v>153</v>
      </c>
      <c r="I575" s="86">
        <v>41704</v>
      </c>
      <c r="J575" s="78">
        <v>352</v>
      </c>
      <c r="K575" s="132" t="s">
        <v>20</v>
      </c>
      <c r="L575" s="132" t="s">
        <v>157</v>
      </c>
      <c r="M575" s="132" t="s">
        <v>158</v>
      </c>
      <c r="N575" s="133">
        <v>41691</v>
      </c>
      <c r="O575" s="134">
        <v>1024</v>
      </c>
      <c r="P575" s="132" t="s">
        <v>151</v>
      </c>
      <c r="Q575" s="132" t="s">
        <v>203</v>
      </c>
      <c r="R575" s="132" t="s">
        <v>158</v>
      </c>
      <c r="S575" s="133">
        <v>41996</v>
      </c>
      <c r="T575" s="134">
        <v>509.4</v>
      </c>
      <c r="U575" s="132" t="s">
        <v>154</v>
      </c>
      <c r="V575" s="132" t="s">
        <v>181</v>
      </c>
      <c r="W575" s="132" t="s">
        <v>153</v>
      </c>
      <c r="X575" s="133">
        <v>41637</v>
      </c>
      <c r="Y575" s="134">
        <v>591</v>
      </c>
    </row>
    <row r="576" spans="1:25" x14ac:dyDescent="0.25">
      <c r="A576" s="79" t="s">
        <v>148</v>
      </c>
      <c r="B576" s="12" t="s">
        <v>217</v>
      </c>
      <c r="C576" s="12" t="s">
        <v>158</v>
      </c>
      <c r="D576" s="80">
        <v>41649</v>
      </c>
      <c r="E576" s="81">
        <v>1365</v>
      </c>
      <c r="F576" s="76" t="s">
        <v>150</v>
      </c>
      <c r="G576" s="77" t="s">
        <v>179</v>
      </c>
      <c r="H576" s="77" t="s">
        <v>153</v>
      </c>
      <c r="I576" s="86">
        <v>41708</v>
      </c>
      <c r="J576" s="78">
        <v>1045</v>
      </c>
      <c r="K576" s="132" t="s">
        <v>20</v>
      </c>
      <c r="L576" s="132" t="s">
        <v>157</v>
      </c>
      <c r="M576" s="132" t="s">
        <v>158</v>
      </c>
      <c r="N576" s="133">
        <v>41693</v>
      </c>
      <c r="O576" s="134">
        <v>827</v>
      </c>
      <c r="P576" s="132" t="s">
        <v>151</v>
      </c>
      <c r="Q576" s="132" t="s">
        <v>203</v>
      </c>
      <c r="R576" s="132" t="s">
        <v>158</v>
      </c>
      <c r="S576" s="133">
        <v>41997</v>
      </c>
      <c r="T576" s="134">
        <v>668.4</v>
      </c>
      <c r="U576" s="132" t="s">
        <v>154</v>
      </c>
      <c r="V576" s="132" t="s">
        <v>181</v>
      </c>
      <c r="W576" s="132" t="s">
        <v>153</v>
      </c>
      <c r="X576" s="133">
        <v>41638</v>
      </c>
      <c r="Y576" s="134">
        <v>549</v>
      </c>
    </row>
    <row r="577" spans="1:25" x14ac:dyDescent="0.25">
      <c r="A577" s="79" t="s">
        <v>148</v>
      </c>
      <c r="B577" s="12" t="s">
        <v>217</v>
      </c>
      <c r="C577" s="12" t="s">
        <v>158</v>
      </c>
      <c r="D577" s="80">
        <v>41650</v>
      </c>
      <c r="E577" s="81">
        <v>1185</v>
      </c>
      <c r="F577" s="76" t="s">
        <v>150</v>
      </c>
      <c r="G577" s="77" t="s">
        <v>179</v>
      </c>
      <c r="H577" s="77" t="s">
        <v>153</v>
      </c>
      <c r="I577" s="86">
        <v>41710</v>
      </c>
      <c r="J577" s="78">
        <v>1183</v>
      </c>
      <c r="K577" s="132" t="s">
        <v>20</v>
      </c>
      <c r="L577" s="132" t="s">
        <v>157</v>
      </c>
      <c r="M577" s="132" t="s">
        <v>158</v>
      </c>
      <c r="N577" s="133">
        <v>41699</v>
      </c>
      <c r="O577" s="134">
        <v>1299</v>
      </c>
      <c r="P577" s="132" t="s">
        <v>151</v>
      </c>
      <c r="Q577" s="132" t="s">
        <v>203</v>
      </c>
      <c r="R577" s="132" t="s">
        <v>158</v>
      </c>
      <c r="S577" s="133">
        <v>41999</v>
      </c>
      <c r="T577" s="134">
        <v>673.6</v>
      </c>
      <c r="U577" s="132" t="s">
        <v>154</v>
      </c>
      <c r="V577" s="132" t="s">
        <v>181</v>
      </c>
      <c r="W577" s="132" t="s">
        <v>153</v>
      </c>
      <c r="X577" s="133">
        <v>41639</v>
      </c>
      <c r="Y577" s="134">
        <v>763</v>
      </c>
    </row>
    <row r="578" spans="1:25" x14ac:dyDescent="0.25">
      <c r="A578" s="79" t="s">
        <v>148</v>
      </c>
      <c r="B578" s="12" t="s">
        <v>217</v>
      </c>
      <c r="C578" s="12" t="s">
        <v>158</v>
      </c>
      <c r="D578" s="80">
        <v>41652</v>
      </c>
      <c r="E578" s="81">
        <v>1350</v>
      </c>
      <c r="F578" s="76" t="s">
        <v>150</v>
      </c>
      <c r="G578" s="77" t="s">
        <v>179</v>
      </c>
      <c r="H578" s="77" t="s">
        <v>153</v>
      </c>
      <c r="I578" s="86">
        <v>41710</v>
      </c>
      <c r="J578" s="78">
        <v>726</v>
      </c>
      <c r="K578" s="132" t="s">
        <v>20</v>
      </c>
      <c r="L578" s="132" t="s">
        <v>157</v>
      </c>
      <c r="M578" s="132" t="s">
        <v>158</v>
      </c>
      <c r="N578" s="133">
        <v>41703</v>
      </c>
      <c r="O578" s="134">
        <v>1372</v>
      </c>
      <c r="P578" s="132" t="s">
        <v>151</v>
      </c>
      <c r="Q578" s="132" t="s">
        <v>204</v>
      </c>
      <c r="R578" s="132" t="s">
        <v>158</v>
      </c>
      <c r="S578" s="133">
        <v>41696</v>
      </c>
      <c r="T578" s="134">
        <v>968.1</v>
      </c>
      <c r="U578" s="132" t="s">
        <v>154</v>
      </c>
      <c r="V578" s="132" t="s">
        <v>181</v>
      </c>
      <c r="W578" s="132" t="s">
        <v>153</v>
      </c>
      <c r="X578" s="133">
        <v>41641</v>
      </c>
      <c r="Y578" s="134">
        <v>1220</v>
      </c>
    </row>
    <row r="579" spans="1:25" x14ac:dyDescent="0.25">
      <c r="A579" s="79" t="s">
        <v>148</v>
      </c>
      <c r="B579" s="12" t="s">
        <v>217</v>
      </c>
      <c r="C579" s="12" t="s">
        <v>158</v>
      </c>
      <c r="D579" s="80">
        <v>41654</v>
      </c>
      <c r="E579" s="81">
        <v>1200</v>
      </c>
      <c r="F579" s="76" t="s">
        <v>150</v>
      </c>
      <c r="G579" s="77" t="s">
        <v>179</v>
      </c>
      <c r="H579" s="77" t="s">
        <v>153</v>
      </c>
      <c r="I579" s="86">
        <v>41712</v>
      </c>
      <c r="J579" s="78">
        <v>1226</v>
      </c>
      <c r="K579" s="132" t="s">
        <v>20</v>
      </c>
      <c r="L579" s="132" t="s">
        <v>157</v>
      </c>
      <c r="M579" s="132" t="s">
        <v>158</v>
      </c>
      <c r="N579" s="133">
        <v>41705</v>
      </c>
      <c r="O579" s="134">
        <v>988</v>
      </c>
      <c r="P579" s="132" t="s">
        <v>151</v>
      </c>
      <c r="Q579" s="132" t="s">
        <v>172</v>
      </c>
      <c r="R579" s="132" t="s">
        <v>158</v>
      </c>
      <c r="S579" s="133">
        <v>41695</v>
      </c>
      <c r="T579" s="134">
        <v>1629.8</v>
      </c>
      <c r="U579" s="132" t="s">
        <v>154</v>
      </c>
      <c r="V579" s="132" t="s">
        <v>181</v>
      </c>
      <c r="W579" s="132" t="s">
        <v>153</v>
      </c>
      <c r="X579" s="133">
        <v>41642</v>
      </c>
      <c r="Y579" s="134">
        <v>620</v>
      </c>
    </row>
    <row r="580" spans="1:25" x14ac:dyDescent="0.25">
      <c r="A580" s="79" t="s">
        <v>148</v>
      </c>
      <c r="B580" s="12" t="s">
        <v>217</v>
      </c>
      <c r="C580" s="12" t="s">
        <v>158</v>
      </c>
      <c r="D580" s="80">
        <v>41655</v>
      </c>
      <c r="E580" s="81">
        <v>600</v>
      </c>
      <c r="F580" s="76" t="s">
        <v>150</v>
      </c>
      <c r="G580" s="77" t="s">
        <v>179</v>
      </c>
      <c r="H580" s="77" t="s">
        <v>153</v>
      </c>
      <c r="I580" s="86">
        <v>41715</v>
      </c>
      <c r="J580" s="78">
        <v>526</v>
      </c>
      <c r="K580" s="132" t="s">
        <v>20</v>
      </c>
      <c r="L580" s="132" t="s">
        <v>157</v>
      </c>
      <c r="M580" s="132" t="s">
        <v>158</v>
      </c>
      <c r="N580" s="133">
        <v>41707</v>
      </c>
      <c r="O580" s="134">
        <v>767</v>
      </c>
      <c r="P580" s="132" t="s">
        <v>151</v>
      </c>
      <c r="Q580" s="132" t="s">
        <v>172</v>
      </c>
      <c r="R580" s="132" t="s">
        <v>158</v>
      </c>
      <c r="S580" s="133">
        <v>41696</v>
      </c>
      <c r="T580" s="134">
        <v>791.2</v>
      </c>
      <c r="U580" s="132" t="s">
        <v>154</v>
      </c>
      <c r="V580" s="132" t="s">
        <v>181</v>
      </c>
      <c r="W580" s="132" t="s">
        <v>153</v>
      </c>
      <c r="X580" s="133">
        <v>41643</v>
      </c>
      <c r="Y580" s="134">
        <v>506</v>
      </c>
    </row>
    <row r="581" spans="1:25" x14ac:dyDescent="0.25">
      <c r="A581" s="79" t="s">
        <v>148</v>
      </c>
      <c r="B581" s="12" t="s">
        <v>218</v>
      </c>
      <c r="C581" s="12" t="s">
        <v>158</v>
      </c>
      <c r="D581" s="80">
        <v>41708</v>
      </c>
      <c r="E581" s="81">
        <v>825</v>
      </c>
      <c r="F581" s="76" t="s">
        <v>150</v>
      </c>
      <c r="G581" s="77" t="s">
        <v>179</v>
      </c>
      <c r="H581" s="77" t="s">
        <v>153</v>
      </c>
      <c r="I581" s="86">
        <v>41720</v>
      </c>
      <c r="J581" s="78">
        <v>739</v>
      </c>
      <c r="K581" s="132" t="s">
        <v>20</v>
      </c>
      <c r="L581" s="132" t="s">
        <v>157</v>
      </c>
      <c r="M581" s="132" t="s">
        <v>158</v>
      </c>
      <c r="N581" s="133">
        <v>41712</v>
      </c>
      <c r="O581" s="134">
        <v>1009</v>
      </c>
      <c r="P581" s="132" t="s">
        <v>151</v>
      </c>
      <c r="Q581" s="132" t="s">
        <v>172</v>
      </c>
      <c r="R581" s="132" t="s">
        <v>158</v>
      </c>
      <c r="S581" s="133">
        <v>41697</v>
      </c>
      <c r="T581" s="134">
        <v>918.9</v>
      </c>
      <c r="U581" s="132" t="s">
        <v>154</v>
      </c>
      <c r="V581" s="132" t="s">
        <v>181</v>
      </c>
      <c r="W581" s="132" t="s">
        <v>153</v>
      </c>
      <c r="X581" s="133">
        <v>41643</v>
      </c>
      <c r="Y581" s="134">
        <v>527</v>
      </c>
    </row>
    <row r="582" spans="1:25" x14ac:dyDescent="0.25">
      <c r="A582" s="79" t="s">
        <v>148</v>
      </c>
      <c r="B582" s="12" t="s">
        <v>218</v>
      </c>
      <c r="C582" s="12" t="s">
        <v>158</v>
      </c>
      <c r="D582" s="80">
        <v>41709</v>
      </c>
      <c r="E582" s="81">
        <v>775</v>
      </c>
      <c r="F582" s="76" t="s">
        <v>150</v>
      </c>
      <c r="G582" s="77" t="s">
        <v>179</v>
      </c>
      <c r="H582" s="77" t="s">
        <v>153</v>
      </c>
      <c r="I582" s="86">
        <v>41720</v>
      </c>
      <c r="J582" s="78">
        <v>619</v>
      </c>
      <c r="K582" s="132" t="s">
        <v>20</v>
      </c>
      <c r="L582" s="132" t="s">
        <v>157</v>
      </c>
      <c r="M582" s="132" t="s">
        <v>158</v>
      </c>
      <c r="N582" s="133">
        <v>41714</v>
      </c>
      <c r="O582" s="134">
        <v>923</v>
      </c>
      <c r="P582" s="132" t="s">
        <v>151</v>
      </c>
      <c r="Q582" s="132" t="s">
        <v>172</v>
      </c>
      <c r="R582" s="132" t="s">
        <v>158</v>
      </c>
      <c r="S582" s="133">
        <v>41711</v>
      </c>
      <c r="T582" s="134">
        <v>1159.5999999999999</v>
      </c>
      <c r="U582" s="132" t="s">
        <v>154</v>
      </c>
      <c r="V582" s="132" t="s">
        <v>181</v>
      </c>
      <c r="W582" s="132" t="s">
        <v>153</v>
      </c>
      <c r="X582" s="133">
        <v>41645</v>
      </c>
      <c r="Y582" s="134">
        <v>1300</v>
      </c>
    </row>
    <row r="583" spans="1:25" x14ac:dyDescent="0.25">
      <c r="A583" s="79" t="s">
        <v>148</v>
      </c>
      <c r="B583" s="12" t="s">
        <v>218</v>
      </c>
      <c r="C583" s="12" t="s">
        <v>158</v>
      </c>
      <c r="D583" s="80">
        <v>41710</v>
      </c>
      <c r="E583" s="81">
        <v>700</v>
      </c>
      <c r="F583" s="76" t="s">
        <v>150</v>
      </c>
      <c r="G583" s="77" t="s">
        <v>179</v>
      </c>
      <c r="H583" s="77" t="s">
        <v>153</v>
      </c>
      <c r="I583" s="86">
        <v>41721</v>
      </c>
      <c r="J583" s="78">
        <v>967</v>
      </c>
      <c r="K583" s="132" t="s">
        <v>20</v>
      </c>
      <c r="L583" s="132" t="s">
        <v>157</v>
      </c>
      <c r="M583" s="132" t="s">
        <v>158</v>
      </c>
      <c r="N583" s="133">
        <v>41720</v>
      </c>
      <c r="O583" s="134">
        <v>855</v>
      </c>
      <c r="P583" s="132" t="s">
        <v>151</v>
      </c>
      <c r="Q583" s="132" t="s">
        <v>172</v>
      </c>
      <c r="R583" s="132" t="s">
        <v>158</v>
      </c>
      <c r="S583" s="133">
        <v>41719</v>
      </c>
      <c r="T583" s="134">
        <v>1264.3</v>
      </c>
      <c r="U583" s="132" t="s">
        <v>154</v>
      </c>
      <c r="V583" s="132" t="s">
        <v>181</v>
      </c>
      <c r="W583" s="132" t="s">
        <v>153</v>
      </c>
      <c r="X583" s="133">
        <v>41646</v>
      </c>
      <c r="Y583" s="134">
        <v>1200</v>
      </c>
    </row>
    <row r="584" spans="1:25" x14ac:dyDescent="0.25">
      <c r="A584" s="79" t="s">
        <v>148</v>
      </c>
      <c r="B584" s="12" t="s">
        <v>218</v>
      </c>
      <c r="C584" s="12" t="s">
        <v>158</v>
      </c>
      <c r="D584" s="80">
        <v>41711</v>
      </c>
      <c r="E584" s="81">
        <v>786</v>
      </c>
      <c r="F584" s="76" t="s">
        <v>150</v>
      </c>
      <c r="G584" s="77" t="s">
        <v>179</v>
      </c>
      <c r="H584" s="77" t="s">
        <v>153</v>
      </c>
      <c r="I584" s="86">
        <v>41722</v>
      </c>
      <c r="J584" s="78">
        <v>1171</v>
      </c>
      <c r="K584" s="132" t="s">
        <v>20</v>
      </c>
      <c r="L584" s="132" t="s">
        <v>157</v>
      </c>
      <c r="M584" s="132" t="s">
        <v>158</v>
      </c>
      <c r="N584" s="133">
        <v>41724</v>
      </c>
      <c r="O584" s="134">
        <v>1195</v>
      </c>
      <c r="P584" s="132" t="s">
        <v>151</v>
      </c>
      <c r="Q584" s="132" t="s">
        <v>206</v>
      </c>
      <c r="R584" s="132" t="s">
        <v>174</v>
      </c>
      <c r="S584" s="133">
        <v>41991</v>
      </c>
      <c r="T584" s="134">
        <v>581.1</v>
      </c>
      <c r="U584" s="132" t="s">
        <v>154</v>
      </c>
      <c r="V584" s="132" t="s">
        <v>181</v>
      </c>
      <c r="W584" s="132" t="s">
        <v>153</v>
      </c>
      <c r="X584" s="133">
        <v>41647</v>
      </c>
      <c r="Y584" s="134">
        <v>1040</v>
      </c>
    </row>
    <row r="585" spans="1:25" x14ac:dyDescent="0.25">
      <c r="A585" s="79" t="s">
        <v>148</v>
      </c>
      <c r="B585" s="12" t="s">
        <v>218</v>
      </c>
      <c r="C585" s="12" t="s">
        <v>158</v>
      </c>
      <c r="D585" s="80">
        <v>41712</v>
      </c>
      <c r="E585" s="81">
        <v>759</v>
      </c>
      <c r="F585" s="76" t="s">
        <v>150</v>
      </c>
      <c r="G585" s="77" t="s">
        <v>179</v>
      </c>
      <c r="H585" s="77" t="s">
        <v>153</v>
      </c>
      <c r="I585" s="86">
        <v>41723</v>
      </c>
      <c r="J585" s="78">
        <v>832</v>
      </c>
      <c r="K585" s="132" t="s">
        <v>20</v>
      </c>
      <c r="L585" s="132" t="s">
        <v>157</v>
      </c>
      <c r="M585" s="132" t="s">
        <v>158</v>
      </c>
      <c r="N585" s="133">
        <v>41727</v>
      </c>
      <c r="O585" s="134">
        <v>915</v>
      </c>
      <c r="P585" s="132" t="s">
        <v>151</v>
      </c>
      <c r="Q585" s="132" t="s">
        <v>209</v>
      </c>
      <c r="R585" s="132" t="s">
        <v>174</v>
      </c>
      <c r="S585" s="133">
        <v>41645</v>
      </c>
      <c r="T585" s="134">
        <v>852.2</v>
      </c>
      <c r="U585" s="132" t="s">
        <v>154</v>
      </c>
      <c r="V585" s="132" t="s">
        <v>181</v>
      </c>
      <c r="W585" s="132" t="s">
        <v>153</v>
      </c>
      <c r="X585" s="133">
        <v>41648</v>
      </c>
      <c r="Y585" s="134">
        <v>780</v>
      </c>
    </row>
    <row r="586" spans="1:25" x14ac:dyDescent="0.25">
      <c r="A586" s="79" t="s">
        <v>148</v>
      </c>
      <c r="B586" s="12" t="s">
        <v>218</v>
      </c>
      <c r="C586" s="12" t="s">
        <v>158</v>
      </c>
      <c r="D586" s="80">
        <v>41713</v>
      </c>
      <c r="E586" s="81">
        <v>500</v>
      </c>
      <c r="F586" s="76" t="s">
        <v>150</v>
      </c>
      <c r="G586" s="77" t="s">
        <v>179</v>
      </c>
      <c r="H586" s="77" t="s">
        <v>153</v>
      </c>
      <c r="I586" s="86">
        <v>41724</v>
      </c>
      <c r="J586" s="78">
        <v>980</v>
      </c>
      <c r="K586" s="132" t="s">
        <v>20</v>
      </c>
      <c r="L586" s="132" t="s">
        <v>157</v>
      </c>
      <c r="M586" s="132" t="s">
        <v>158</v>
      </c>
      <c r="N586" s="133">
        <v>41748</v>
      </c>
      <c r="O586" s="134">
        <v>594</v>
      </c>
      <c r="P586" s="132" t="s">
        <v>151</v>
      </c>
      <c r="Q586" s="132" t="s">
        <v>209</v>
      </c>
      <c r="R586" s="132" t="s">
        <v>174</v>
      </c>
      <c r="S586" s="133">
        <v>41654</v>
      </c>
      <c r="T586" s="134">
        <v>280.2</v>
      </c>
      <c r="U586" s="132" t="s">
        <v>154</v>
      </c>
      <c r="V586" s="132" t="s">
        <v>181</v>
      </c>
      <c r="W586" s="132" t="s">
        <v>153</v>
      </c>
      <c r="X586" s="133">
        <v>41649</v>
      </c>
      <c r="Y586" s="134">
        <v>642</v>
      </c>
    </row>
    <row r="587" spans="1:25" x14ac:dyDescent="0.25">
      <c r="A587" s="79" t="s">
        <v>148</v>
      </c>
      <c r="B587" s="12" t="s">
        <v>218</v>
      </c>
      <c r="C587" s="12" t="s">
        <v>158</v>
      </c>
      <c r="D587" s="80">
        <v>41714</v>
      </c>
      <c r="E587" s="81">
        <v>650</v>
      </c>
      <c r="F587" s="76" t="s">
        <v>150</v>
      </c>
      <c r="G587" s="77" t="s">
        <v>179</v>
      </c>
      <c r="H587" s="77" t="s">
        <v>153</v>
      </c>
      <c r="I587" s="86">
        <v>41736</v>
      </c>
      <c r="J587" s="78">
        <v>608</v>
      </c>
      <c r="K587" s="132" t="s">
        <v>20</v>
      </c>
      <c r="L587" s="132" t="s">
        <v>157</v>
      </c>
      <c r="M587" s="132" t="s">
        <v>158</v>
      </c>
      <c r="N587" s="133">
        <v>41796</v>
      </c>
      <c r="O587" s="134">
        <v>1438</v>
      </c>
      <c r="P587" s="132" t="s">
        <v>151</v>
      </c>
      <c r="Q587" s="132" t="s">
        <v>176</v>
      </c>
      <c r="R587" s="132" t="s">
        <v>158</v>
      </c>
      <c r="S587" s="133">
        <v>41639</v>
      </c>
      <c r="T587" s="134">
        <v>751.4</v>
      </c>
      <c r="U587" s="132" t="s">
        <v>154</v>
      </c>
      <c r="V587" s="132" t="s">
        <v>181</v>
      </c>
      <c r="W587" s="132" t="s">
        <v>153</v>
      </c>
      <c r="X587" s="133">
        <v>41649</v>
      </c>
      <c r="Y587" s="134">
        <v>275</v>
      </c>
    </row>
    <row r="588" spans="1:25" x14ac:dyDescent="0.25">
      <c r="A588" s="79" t="s">
        <v>148</v>
      </c>
      <c r="B588" s="12" t="s">
        <v>218</v>
      </c>
      <c r="C588" s="12" t="s">
        <v>158</v>
      </c>
      <c r="D588" s="80">
        <v>41716</v>
      </c>
      <c r="E588" s="81">
        <v>1050</v>
      </c>
      <c r="F588" s="76" t="s">
        <v>150</v>
      </c>
      <c r="G588" s="77" t="s">
        <v>179</v>
      </c>
      <c r="H588" s="77" t="s">
        <v>153</v>
      </c>
      <c r="I588" s="86">
        <v>41740</v>
      </c>
      <c r="J588" s="78">
        <v>817</v>
      </c>
      <c r="K588" s="132" t="s">
        <v>20</v>
      </c>
      <c r="L588" s="132" t="s">
        <v>157</v>
      </c>
      <c r="M588" s="132" t="s">
        <v>158</v>
      </c>
      <c r="N588" s="133">
        <v>41839</v>
      </c>
      <c r="O588" s="134">
        <v>558</v>
      </c>
      <c r="P588" s="132" t="s">
        <v>151</v>
      </c>
      <c r="Q588" s="132" t="s">
        <v>176</v>
      </c>
      <c r="R588" s="132" t="s">
        <v>158</v>
      </c>
      <c r="S588" s="133">
        <v>41698</v>
      </c>
      <c r="T588" s="134">
        <v>407.8</v>
      </c>
      <c r="U588" s="132" t="s">
        <v>154</v>
      </c>
      <c r="V588" s="132" t="s">
        <v>181</v>
      </c>
      <c r="W588" s="132" t="s">
        <v>153</v>
      </c>
      <c r="X588" s="133">
        <v>41652</v>
      </c>
      <c r="Y588" s="134">
        <v>538</v>
      </c>
    </row>
    <row r="589" spans="1:25" x14ac:dyDescent="0.25">
      <c r="A589" s="79" t="s">
        <v>148</v>
      </c>
      <c r="B589" s="12" t="s">
        <v>218</v>
      </c>
      <c r="C589" s="12" t="s">
        <v>158</v>
      </c>
      <c r="D589" s="80">
        <v>41717</v>
      </c>
      <c r="E589" s="81">
        <v>710</v>
      </c>
      <c r="F589" s="76" t="s">
        <v>150</v>
      </c>
      <c r="G589" s="77" t="s">
        <v>179</v>
      </c>
      <c r="H589" s="77" t="s">
        <v>153</v>
      </c>
      <c r="I589" s="86">
        <v>41743</v>
      </c>
      <c r="J589" s="78">
        <v>1025</v>
      </c>
      <c r="K589" s="132" t="s">
        <v>20</v>
      </c>
      <c r="L589" s="132" t="s">
        <v>157</v>
      </c>
      <c r="M589" s="132" t="s">
        <v>158</v>
      </c>
      <c r="N589" s="133">
        <v>41909</v>
      </c>
      <c r="O589" s="134">
        <v>1344</v>
      </c>
      <c r="P589" s="132" t="s">
        <v>151</v>
      </c>
      <c r="Q589" s="132" t="s">
        <v>176</v>
      </c>
      <c r="R589" s="132" t="s">
        <v>158</v>
      </c>
      <c r="S589" s="133">
        <v>41708</v>
      </c>
      <c r="T589" s="134">
        <v>659.6</v>
      </c>
      <c r="U589" s="132" t="s">
        <v>154</v>
      </c>
      <c r="V589" s="132" t="s">
        <v>181</v>
      </c>
      <c r="W589" s="132" t="s">
        <v>153</v>
      </c>
      <c r="X589" s="133">
        <v>41652</v>
      </c>
      <c r="Y589" s="134">
        <v>359</v>
      </c>
    </row>
    <row r="590" spans="1:25" x14ac:dyDescent="0.25">
      <c r="A590" s="79" t="s">
        <v>148</v>
      </c>
      <c r="B590" s="12" t="s">
        <v>218</v>
      </c>
      <c r="C590" s="12" t="s">
        <v>158</v>
      </c>
      <c r="D590" s="80">
        <v>41718</v>
      </c>
      <c r="E590" s="81">
        <v>714</v>
      </c>
      <c r="F590" s="76" t="s">
        <v>150</v>
      </c>
      <c r="G590" s="77" t="s">
        <v>179</v>
      </c>
      <c r="H590" s="77" t="s">
        <v>153</v>
      </c>
      <c r="I590" s="86">
        <v>41744</v>
      </c>
      <c r="J590" s="78">
        <v>766</v>
      </c>
      <c r="K590" s="132" t="s">
        <v>20</v>
      </c>
      <c r="L590" s="132" t="s">
        <v>157</v>
      </c>
      <c r="M590" s="132" t="s">
        <v>158</v>
      </c>
      <c r="N590" s="133">
        <v>41958</v>
      </c>
      <c r="O590" s="134">
        <v>1483</v>
      </c>
      <c r="P590" s="132" t="s">
        <v>151</v>
      </c>
      <c r="Q590" s="132" t="s">
        <v>176</v>
      </c>
      <c r="R590" s="132" t="s">
        <v>158</v>
      </c>
      <c r="S590" s="133">
        <v>41709</v>
      </c>
      <c r="T590" s="134">
        <v>712.1</v>
      </c>
      <c r="U590" s="132" t="s">
        <v>154</v>
      </c>
      <c r="V590" s="132" t="s">
        <v>181</v>
      </c>
      <c r="W590" s="132" t="s">
        <v>153</v>
      </c>
      <c r="X590" s="133">
        <v>41653</v>
      </c>
      <c r="Y590" s="134">
        <v>1000</v>
      </c>
    </row>
    <row r="591" spans="1:25" x14ac:dyDescent="0.25">
      <c r="A591" s="79" t="s">
        <v>148</v>
      </c>
      <c r="B591" s="12" t="s">
        <v>218</v>
      </c>
      <c r="C591" s="12" t="s">
        <v>158</v>
      </c>
      <c r="D591" s="80">
        <v>41719</v>
      </c>
      <c r="E591" s="81">
        <v>740</v>
      </c>
      <c r="F591" s="76" t="s">
        <v>150</v>
      </c>
      <c r="G591" s="77" t="s">
        <v>179</v>
      </c>
      <c r="H591" s="77" t="s">
        <v>153</v>
      </c>
      <c r="I591" s="86">
        <v>41744</v>
      </c>
      <c r="J591" s="78">
        <v>463</v>
      </c>
      <c r="K591" s="132" t="s">
        <v>20</v>
      </c>
      <c r="L591" s="132" t="s">
        <v>157</v>
      </c>
      <c r="M591" s="132" t="s">
        <v>158</v>
      </c>
      <c r="N591" s="133">
        <v>41978</v>
      </c>
      <c r="O591" s="134">
        <v>1630</v>
      </c>
      <c r="P591" s="132" t="s">
        <v>151</v>
      </c>
      <c r="Q591" s="132" t="s">
        <v>176</v>
      </c>
      <c r="R591" s="132" t="s">
        <v>158</v>
      </c>
      <c r="S591" s="133">
        <v>41737</v>
      </c>
      <c r="T591" s="134">
        <v>218.3</v>
      </c>
      <c r="U591" s="132" t="s">
        <v>154</v>
      </c>
      <c r="V591" s="132" t="s">
        <v>181</v>
      </c>
      <c r="W591" s="132" t="s">
        <v>153</v>
      </c>
      <c r="X591" s="133">
        <v>41654</v>
      </c>
      <c r="Y591" s="134">
        <v>580</v>
      </c>
    </row>
    <row r="592" spans="1:25" x14ac:dyDescent="0.25">
      <c r="A592" s="79" t="s">
        <v>148</v>
      </c>
      <c r="B592" s="12" t="s">
        <v>218</v>
      </c>
      <c r="C592" s="12" t="s">
        <v>158</v>
      </c>
      <c r="D592" s="80">
        <v>41720</v>
      </c>
      <c r="E592" s="81">
        <v>525</v>
      </c>
      <c r="F592" s="76" t="s">
        <v>150</v>
      </c>
      <c r="G592" s="77" t="s">
        <v>179</v>
      </c>
      <c r="H592" s="77" t="s">
        <v>153</v>
      </c>
      <c r="I592" s="86">
        <v>41745</v>
      </c>
      <c r="J592" s="78">
        <v>741</v>
      </c>
      <c r="K592" s="132" t="s">
        <v>20</v>
      </c>
      <c r="L592" s="132" t="s">
        <v>157</v>
      </c>
      <c r="M592" s="132" t="s">
        <v>158</v>
      </c>
      <c r="N592" s="133">
        <v>41994</v>
      </c>
      <c r="O592" s="134">
        <v>1513</v>
      </c>
      <c r="P592" s="132" t="s">
        <v>151</v>
      </c>
      <c r="Q592" s="132" t="s">
        <v>176</v>
      </c>
      <c r="R592" s="132" t="s">
        <v>158</v>
      </c>
      <c r="S592" s="133">
        <v>41738</v>
      </c>
      <c r="T592" s="134">
        <v>514.20000000000005</v>
      </c>
      <c r="U592" s="132" t="s">
        <v>154</v>
      </c>
      <c r="V592" s="132" t="s">
        <v>181</v>
      </c>
      <c r="W592" s="132" t="s">
        <v>153</v>
      </c>
      <c r="X592" s="133">
        <v>41655</v>
      </c>
      <c r="Y592" s="134">
        <v>570</v>
      </c>
    </row>
    <row r="593" spans="1:25" x14ac:dyDescent="0.25">
      <c r="A593" s="79" t="s">
        <v>148</v>
      </c>
      <c r="B593" s="12" t="s">
        <v>219</v>
      </c>
      <c r="C593" s="12" t="s">
        <v>158</v>
      </c>
      <c r="D593" s="80">
        <v>41846</v>
      </c>
      <c r="E593" s="81">
        <v>986</v>
      </c>
      <c r="F593" s="76" t="s">
        <v>150</v>
      </c>
      <c r="G593" s="77" t="s">
        <v>179</v>
      </c>
      <c r="H593" s="77" t="s">
        <v>153</v>
      </c>
      <c r="I593" s="86">
        <v>41747</v>
      </c>
      <c r="J593" s="78">
        <v>688</v>
      </c>
      <c r="K593" s="132" t="s">
        <v>20</v>
      </c>
      <c r="L593" s="132" t="s">
        <v>176</v>
      </c>
      <c r="M593" s="132" t="s">
        <v>158</v>
      </c>
      <c r="N593" s="133">
        <v>41650</v>
      </c>
      <c r="O593" s="134">
        <v>1191</v>
      </c>
      <c r="P593" s="132" t="s">
        <v>151</v>
      </c>
      <c r="Q593" s="132" t="s">
        <v>176</v>
      </c>
      <c r="R593" s="132" t="s">
        <v>158</v>
      </c>
      <c r="S593" s="133">
        <v>41739</v>
      </c>
      <c r="T593" s="134">
        <v>640.5</v>
      </c>
      <c r="U593" s="132" t="s">
        <v>154</v>
      </c>
      <c r="V593" s="132" t="s">
        <v>181</v>
      </c>
      <c r="W593" s="132" t="s">
        <v>153</v>
      </c>
      <c r="X593" s="133">
        <v>41656</v>
      </c>
      <c r="Y593" s="134">
        <v>670</v>
      </c>
    </row>
    <row r="594" spans="1:25" x14ac:dyDescent="0.25">
      <c r="A594" s="79" t="s">
        <v>148</v>
      </c>
      <c r="B594" s="12" t="s">
        <v>219</v>
      </c>
      <c r="C594" s="12" t="s">
        <v>158</v>
      </c>
      <c r="D594" s="80">
        <v>41848</v>
      </c>
      <c r="E594" s="81">
        <v>1170</v>
      </c>
      <c r="F594" s="76" t="s">
        <v>150</v>
      </c>
      <c r="G594" s="77" t="s">
        <v>179</v>
      </c>
      <c r="H594" s="77" t="s">
        <v>153</v>
      </c>
      <c r="I594" s="86">
        <v>41747</v>
      </c>
      <c r="J594" s="78">
        <v>943</v>
      </c>
      <c r="K594" s="132" t="s">
        <v>20</v>
      </c>
      <c r="L594" s="132" t="s">
        <v>176</v>
      </c>
      <c r="M594" s="132" t="s">
        <v>158</v>
      </c>
      <c r="N594" s="133">
        <v>41661</v>
      </c>
      <c r="O594" s="134">
        <v>370</v>
      </c>
      <c r="P594" s="132" t="s">
        <v>151</v>
      </c>
      <c r="Q594" s="132" t="s">
        <v>176</v>
      </c>
      <c r="R594" s="132" t="s">
        <v>158</v>
      </c>
      <c r="S594" s="133">
        <v>41740</v>
      </c>
      <c r="T594" s="134">
        <v>423.5</v>
      </c>
      <c r="U594" s="132" t="s">
        <v>154</v>
      </c>
      <c r="V594" s="132" t="s">
        <v>181</v>
      </c>
      <c r="W594" s="132" t="s">
        <v>153</v>
      </c>
      <c r="X594" s="133">
        <v>41660</v>
      </c>
      <c r="Y594" s="134">
        <v>574</v>
      </c>
    </row>
    <row r="595" spans="1:25" x14ac:dyDescent="0.25">
      <c r="A595" s="79" t="s">
        <v>148</v>
      </c>
      <c r="B595" s="12" t="s">
        <v>219</v>
      </c>
      <c r="C595" s="12" t="s">
        <v>158</v>
      </c>
      <c r="D595" s="80">
        <v>41849</v>
      </c>
      <c r="E595" s="81">
        <v>810</v>
      </c>
      <c r="F595" s="76" t="s">
        <v>150</v>
      </c>
      <c r="G595" s="77" t="s">
        <v>179</v>
      </c>
      <c r="H595" s="77" t="s">
        <v>153</v>
      </c>
      <c r="I595" s="86">
        <v>41748</v>
      </c>
      <c r="J595" s="78">
        <v>1088</v>
      </c>
      <c r="K595" s="132" t="s">
        <v>20</v>
      </c>
      <c r="L595" s="132" t="s">
        <v>176</v>
      </c>
      <c r="M595" s="132" t="s">
        <v>158</v>
      </c>
      <c r="N595" s="133">
        <v>41664</v>
      </c>
      <c r="O595" s="134">
        <v>607</v>
      </c>
      <c r="P595" s="132" t="s">
        <v>151</v>
      </c>
      <c r="Q595" s="132" t="s">
        <v>176</v>
      </c>
      <c r="R595" s="132" t="s">
        <v>158</v>
      </c>
      <c r="S595" s="133">
        <v>41743</v>
      </c>
      <c r="T595" s="134">
        <v>770.3</v>
      </c>
      <c r="U595" s="132" t="s">
        <v>154</v>
      </c>
      <c r="V595" s="132" t="s">
        <v>181</v>
      </c>
      <c r="W595" s="132" t="s">
        <v>153</v>
      </c>
      <c r="X595" s="133">
        <v>41661</v>
      </c>
      <c r="Y595" s="134">
        <v>1001</v>
      </c>
    </row>
    <row r="596" spans="1:25" x14ac:dyDescent="0.25">
      <c r="A596" s="79" t="s">
        <v>148</v>
      </c>
      <c r="B596" s="12" t="s">
        <v>219</v>
      </c>
      <c r="C596" s="12" t="s">
        <v>158</v>
      </c>
      <c r="D596" s="80">
        <v>41850</v>
      </c>
      <c r="E596" s="81">
        <v>850</v>
      </c>
      <c r="F596" s="76" t="s">
        <v>150</v>
      </c>
      <c r="G596" s="77" t="s">
        <v>179</v>
      </c>
      <c r="H596" s="77" t="s">
        <v>153</v>
      </c>
      <c r="I596" s="86">
        <v>41749</v>
      </c>
      <c r="J596" s="78">
        <v>832</v>
      </c>
      <c r="K596" s="132" t="s">
        <v>20</v>
      </c>
      <c r="L596" s="132" t="s">
        <v>176</v>
      </c>
      <c r="M596" s="132" t="s">
        <v>158</v>
      </c>
      <c r="N596" s="133">
        <v>41694</v>
      </c>
      <c r="O596" s="134">
        <v>874</v>
      </c>
      <c r="P596" s="132" t="s">
        <v>151</v>
      </c>
      <c r="Q596" s="132" t="s">
        <v>176</v>
      </c>
      <c r="R596" s="132" t="s">
        <v>158</v>
      </c>
      <c r="S596" s="133">
        <v>41754</v>
      </c>
      <c r="T596" s="134">
        <v>781.2</v>
      </c>
      <c r="U596" s="132" t="s">
        <v>154</v>
      </c>
      <c r="V596" s="132" t="s">
        <v>181</v>
      </c>
      <c r="W596" s="132" t="s">
        <v>153</v>
      </c>
      <c r="X596" s="133">
        <v>41662</v>
      </c>
      <c r="Y596" s="134">
        <v>770</v>
      </c>
    </row>
    <row r="597" spans="1:25" x14ac:dyDescent="0.25">
      <c r="A597" s="79" t="s">
        <v>148</v>
      </c>
      <c r="B597" s="12" t="s">
        <v>219</v>
      </c>
      <c r="C597" s="12" t="s">
        <v>158</v>
      </c>
      <c r="D597" s="80">
        <v>41851</v>
      </c>
      <c r="E597" s="81">
        <v>825</v>
      </c>
      <c r="F597" s="76" t="s">
        <v>150</v>
      </c>
      <c r="G597" s="77" t="s">
        <v>179</v>
      </c>
      <c r="H597" s="77" t="s">
        <v>153</v>
      </c>
      <c r="I597" s="86">
        <v>41751</v>
      </c>
      <c r="J597" s="78">
        <v>664</v>
      </c>
      <c r="K597" s="132" t="s">
        <v>20</v>
      </c>
      <c r="L597" s="132" t="s">
        <v>176</v>
      </c>
      <c r="M597" s="132" t="s">
        <v>158</v>
      </c>
      <c r="N597" s="133">
        <v>41723</v>
      </c>
      <c r="O597" s="134">
        <v>1070</v>
      </c>
      <c r="P597" s="132" t="s">
        <v>151</v>
      </c>
      <c r="Q597" s="132" t="s">
        <v>176</v>
      </c>
      <c r="R597" s="132" t="s">
        <v>158</v>
      </c>
      <c r="S597" s="133">
        <v>41759</v>
      </c>
      <c r="T597" s="134">
        <v>840.3</v>
      </c>
      <c r="U597" s="132" t="s">
        <v>154</v>
      </c>
      <c r="V597" s="132" t="s">
        <v>181</v>
      </c>
      <c r="W597" s="132" t="s">
        <v>153</v>
      </c>
      <c r="X597" s="133">
        <v>41663</v>
      </c>
      <c r="Y597" s="134">
        <v>620</v>
      </c>
    </row>
    <row r="598" spans="1:25" x14ac:dyDescent="0.25">
      <c r="A598" s="79" t="s">
        <v>148</v>
      </c>
      <c r="B598" s="12" t="s">
        <v>219</v>
      </c>
      <c r="C598" s="12" t="s">
        <v>158</v>
      </c>
      <c r="D598" s="80">
        <v>41855</v>
      </c>
      <c r="E598" s="81">
        <v>900</v>
      </c>
      <c r="F598" s="76" t="s">
        <v>150</v>
      </c>
      <c r="G598" s="77" t="s">
        <v>179</v>
      </c>
      <c r="H598" s="77" t="s">
        <v>153</v>
      </c>
      <c r="I598" s="86">
        <v>41751</v>
      </c>
      <c r="J598" s="78">
        <v>1132</v>
      </c>
      <c r="K598" s="132" t="s">
        <v>20</v>
      </c>
      <c r="L598" s="132" t="s">
        <v>176</v>
      </c>
      <c r="M598" s="132" t="s">
        <v>158</v>
      </c>
      <c r="N598" s="133">
        <v>41726</v>
      </c>
      <c r="O598" s="134">
        <v>1228</v>
      </c>
      <c r="P598" s="132" t="s">
        <v>151</v>
      </c>
      <c r="Q598" s="132" t="s">
        <v>176</v>
      </c>
      <c r="R598" s="132" t="s">
        <v>158</v>
      </c>
      <c r="S598" s="133">
        <v>41760</v>
      </c>
      <c r="T598" s="134">
        <v>532.70000000000005</v>
      </c>
      <c r="U598" s="132" t="s">
        <v>154</v>
      </c>
      <c r="V598" s="132" t="s">
        <v>181</v>
      </c>
      <c r="W598" s="132" t="s">
        <v>153</v>
      </c>
      <c r="X598" s="133">
        <v>41676</v>
      </c>
      <c r="Y598" s="134">
        <v>528</v>
      </c>
    </row>
    <row r="599" spans="1:25" x14ac:dyDescent="0.25">
      <c r="A599" s="79" t="s">
        <v>148</v>
      </c>
      <c r="B599" s="12" t="s">
        <v>219</v>
      </c>
      <c r="C599" s="12" t="s">
        <v>158</v>
      </c>
      <c r="D599" s="80">
        <v>41856</v>
      </c>
      <c r="E599" s="81">
        <v>1200</v>
      </c>
      <c r="F599" s="76" t="s">
        <v>150</v>
      </c>
      <c r="G599" s="77" t="s">
        <v>179</v>
      </c>
      <c r="H599" s="77" t="s">
        <v>153</v>
      </c>
      <c r="I599" s="86">
        <v>41753</v>
      </c>
      <c r="J599" s="78">
        <v>1266</v>
      </c>
      <c r="K599" s="132" t="s">
        <v>20</v>
      </c>
      <c r="L599" s="132" t="s">
        <v>176</v>
      </c>
      <c r="M599" s="132" t="s">
        <v>158</v>
      </c>
      <c r="N599" s="133">
        <v>41731</v>
      </c>
      <c r="O599" s="134">
        <v>580</v>
      </c>
      <c r="P599" s="132" t="s">
        <v>151</v>
      </c>
      <c r="Q599" s="132" t="s">
        <v>176</v>
      </c>
      <c r="R599" s="132" t="s">
        <v>158</v>
      </c>
      <c r="S599" s="133">
        <v>41766</v>
      </c>
      <c r="T599" s="134">
        <v>799</v>
      </c>
      <c r="U599" s="132" t="s">
        <v>154</v>
      </c>
      <c r="V599" s="132" t="s">
        <v>181</v>
      </c>
      <c r="W599" s="132" t="s">
        <v>153</v>
      </c>
      <c r="X599" s="133">
        <v>41677</v>
      </c>
      <c r="Y599" s="134">
        <v>760</v>
      </c>
    </row>
    <row r="600" spans="1:25" x14ac:dyDescent="0.25">
      <c r="A600" s="79" t="s">
        <v>148</v>
      </c>
      <c r="B600" s="12" t="s">
        <v>219</v>
      </c>
      <c r="C600" s="12" t="s">
        <v>158</v>
      </c>
      <c r="D600" s="80">
        <v>41857</v>
      </c>
      <c r="E600" s="81">
        <v>980</v>
      </c>
      <c r="F600" s="76" t="s">
        <v>150</v>
      </c>
      <c r="G600" s="77" t="s">
        <v>179</v>
      </c>
      <c r="H600" s="77" t="s">
        <v>153</v>
      </c>
      <c r="I600" s="86">
        <v>41753</v>
      </c>
      <c r="J600" s="78">
        <v>759</v>
      </c>
      <c r="K600" s="132" t="s">
        <v>20</v>
      </c>
      <c r="L600" s="132" t="s">
        <v>176</v>
      </c>
      <c r="M600" s="132" t="s">
        <v>158</v>
      </c>
      <c r="N600" s="133">
        <v>41735</v>
      </c>
      <c r="O600" s="134">
        <v>870</v>
      </c>
      <c r="P600" s="132" t="s">
        <v>151</v>
      </c>
      <c r="Q600" s="132" t="s">
        <v>176</v>
      </c>
      <c r="R600" s="132" t="s">
        <v>158</v>
      </c>
      <c r="S600" s="133">
        <v>41767</v>
      </c>
      <c r="T600" s="134">
        <v>516.4</v>
      </c>
      <c r="U600" s="132" t="s">
        <v>154</v>
      </c>
      <c r="V600" s="132" t="s">
        <v>181</v>
      </c>
      <c r="W600" s="132" t="s">
        <v>153</v>
      </c>
      <c r="X600" s="133">
        <v>41678</v>
      </c>
      <c r="Y600" s="134">
        <v>560</v>
      </c>
    </row>
    <row r="601" spans="1:25" x14ac:dyDescent="0.25">
      <c r="A601" s="79" t="s">
        <v>148</v>
      </c>
      <c r="B601" s="12" t="s">
        <v>219</v>
      </c>
      <c r="C601" s="12" t="s">
        <v>158</v>
      </c>
      <c r="D601" s="80">
        <v>41858</v>
      </c>
      <c r="E601" s="81">
        <v>850</v>
      </c>
      <c r="F601" s="76" t="s">
        <v>150</v>
      </c>
      <c r="G601" s="77" t="s">
        <v>179</v>
      </c>
      <c r="H601" s="77" t="s">
        <v>153</v>
      </c>
      <c r="I601" s="86">
        <v>41754</v>
      </c>
      <c r="J601" s="78">
        <v>685</v>
      </c>
      <c r="K601" s="132" t="s">
        <v>20</v>
      </c>
      <c r="L601" s="132" t="s">
        <v>176</v>
      </c>
      <c r="M601" s="132" t="s">
        <v>158</v>
      </c>
      <c r="N601" s="133">
        <v>41802</v>
      </c>
      <c r="O601" s="134">
        <v>1583</v>
      </c>
      <c r="P601" s="132" t="s">
        <v>151</v>
      </c>
      <c r="Q601" s="132" t="s">
        <v>176</v>
      </c>
      <c r="R601" s="132" t="s">
        <v>158</v>
      </c>
      <c r="S601" s="133">
        <v>41947</v>
      </c>
      <c r="T601" s="134">
        <v>1055</v>
      </c>
      <c r="U601" s="132" t="s">
        <v>154</v>
      </c>
      <c r="V601" s="132" t="s">
        <v>181</v>
      </c>
      <c r="W601" s="132" t="s">
        <v>153</v>
      </c>
      <c r="X601" s="133">
        <v>41678</v>
      </c>
      <c r="Y601" s="134">
        <v>411</v>
      </c>
    </row>
    <row r="602" spans="1:25" x14ac:dyDescent="0.25">
      <c r="A602" s="79" t="s">
        <v>148</v>
      </c>
      <c r="B602" s="12" t="s">
        <v>219</v>
      </c>
      <c r="C602" s="12" t="s">
        <v>158</v>
      </c>
      <c r="D602" s="80">
        <v>41859</v>
      </c>
      <c r="E602" s="81">
        <v>880</v>
      </c>
      <c r="F602" s="76" t="s">
        <v>150</v>
      </c>
      <c r="G602" s="77" t="s">
        <v>179</v>
      </c>
      <c r="H602" s="77" t="s">
        <v>153</v>
      </c>
      <c r="I602" s="86">
        <v>41755</v>
      </c>
      <c r="J602" s="78">
        <v>631</v>
      </c>
      <c r="K602" s="132" t="s">
        <v>20</v>
      </c>
      <c r="L602" s="132" t="s">
        <v>176</v>
      </c>
      <c r="M602" s="132" t="s">
        <v>158</v>
      </c>
      <c r="N602" s="133">
        <v>41830</v>
      </c>
      <c r="O602" s="134">
        <v>1713</v>
      </c>
      <c r="P602" s="132" t="s">
        <v>151</v>
      </c>
      <c r="Q602" s="132" t="s">
        <v>176</v>
      </c>
      <c r="R602" s="132" t="s">
        <v>158</v>
      </c>
      <c r="S602" s="133">
        <v>41948</v>
      </c>
      <c r="T602" s="134">
        <v>413.5</v>
      </c>
      <c r="U602" s="132" t="s">
        <v>154</v>
      </c>
      <c r="V602" s="132" t="s">
        <v>181</v>
      </c>
      <c r="W602" s="132" t="s">
        <v>153</v>
      </c>
      <c r="X602" s="133">
        <v>41679</v>
      </c>
      <c r="Y602" s="134">
        <v>706</v>
      </c>
    </row>
    <row r="603" spans="1:25" x14ac:dyDescent="0.25">
      <c r="A603" s="79" t="s">
        <v>148</v>
      </c>
      <c r="B603" s="12" t="s">
        <v>219</v>
      </c>
      <c r="C603" s="12" t="s">
        <v>158</v>
      </c>
      <c r="D603" s="80">
        <v>41860</v>
      </c>
      <c r="E603" s="81">
        <v>1369</v>
      </c>
      <c r="F603" s="76" t="s">
        <v>150</v>
      </c>
      <c r="G603" s="77" t="s">
        <v>179</v>
      </c>
      <c r="H603" s="77" t="s">
        <v>153</v>
      </c>
      <c r="I603" s="86">
        <v>41755</v>
      </c>
      <c r="J603" s="78">
        <v>668</v>
      </c>
      <c r="K603" s="132" t="s">
        <v>20</v>
      </c>
      <c r="L603" s="132" t="s">
        <v>176</v>
      </c>
      <c r="M603" s="132" t="s">
        <v>158</v>
      </c>
      <c r="N603" s="133">
        <v>41878</v>
      </c>
      <c r="O603" s="134">
        <v>1574</v>
      </c>
      <c r="P603" s="132" t="s">
        <v>151</v>
      </c>
      <c r="Q603" s="132" t="s">
        <v>176</v>
      </c>
      <c r="R603" s="132" t="s">
        <v>158</v>
      </c>
      <c r="S603" s="133">
        <v>41949</v>
      </c>
      <c r="T603" s="134">
        <v>51.8</v>
      </c>
      <c r="U603" s="132" t="s">
        <v>154</v>
      </c>
      <c r="V603" s="132" t="s">
        <v>181</v>
      </c>
      <c r="W603" s="132" t="s">
        <v>153</v>
      </c>
      <c r="X603" s="133">
        <v>41680</v>
      </c>
      <c r="Y603" s="134">
        <v>1400</v>
      </c>
    </row>
    <row r="604" spans="1:25" x14ac:dyDescent="0.25">
      <c r="A604" s="79" t="s">
        <v>148</v>
      </c>
      <c r="B604" s="12" t="s">
        <v>219</v>
      </c>
      <c r="C604" s="12" t="s">
        <v>158</v>
      </c>
      <c r="D604" s="80">
        <v>41861</v>
      </c>
      <c r="E604" s="81">
        <v>425</v>
      </c>
      <c r="F604" s="76" t="s">
        <v>150</v>
      </c>
      <c r="G604" s="77" t="s">
        <v>179</v>
      </c>
      <c r="H604" s="77" t="s">
        <v>153</v>
      </c>
      <c r="I604" s="86">
        <v>41756</v>
      </c>
      <c r="J604" s="78">
        <v>971</v>
      </c>
      <c r="K604" s="132" t="s">
        <v>20</v>
      </c>
      <c r="L604" s="132" t="s">
        <v>176</v>
      </c>
      <c r="M604" s="132" t="s">
        <v>158</v>
      </c>
      <c r="N604" s="133">
        <v>41917</v>
      </c>
      <c r="O604" s="134">
        <v>1229</v>
      </c>
      <c r="P604" s="132" t="s">
        <v>151</v>
      </c>
      <c r="Q604" s="132" t="s">
        <v>176</v>
      </c>
      <c r="R604" s="132" t="s">
        <v>158</v>
      </c>
      <c r="S604" s="133">
        <v>41950</v>
      </c>
      <c r="T604" s="134">
        <v>366.8</v>
      </c>
      <c r="U604" s="132" t="s">
        <v>154</v>
      </c>
      <c r="V604" s="132" t="s">
        <v>181</v>
      </c>
      <c r="W604" s="132" t="s">
        <v>153</v>
      </c>
      <c r="X604" s="133">
        <v>41681</v>
      </c>
      <c r="Y604" s="134">
        <v>1160</v>
      </c>
    </row>
    <row r="605" spans="1:25" x14ac:dyDescent="0.25">
      <c r="A605" s="79" t="s">
        <v>148</v>
      </c>
      <c r="B605" s="12" t="s">
        <v>219</v>
      </c>
      <c r="C605" s="12" t="s">
        <v>158</v>
      </c>
      <c r="D605" s="80">
        <v>41866</v>
      </c>
      <c r="E605" s="81">
        <v>955</v>
      </c>
      <c r="F605" s="76" t="s">
        <v>150</v>
      </c>
      <c r="G605" s="77" t="s">
        <v>179</v>
      </c>
      <c r="H605" s="77" t="s">
        <v>153</v>
      </c>
      <c r="I605" s="86">
        <v>41757</v>
      </c>
      <c r="J605" s="78">
        <v>834</v>
      </c>
      <c r="K605" s="132" t="s">
        <v>20</v>
      </c>
      <c r="L605" s="132" t="s">
        <v>176</v>
      </c>
      <c r="M605" s="132" t="s">
        <v>158</v>
      </c>
      <c r="N605" s="133">
        <v>41979</v>
      </c>
      <c r="O605" s="134">
        <v>758</v>
      </c>
      <c r="P605" s="132" t="s">
        <v>151</v>
      </c>
      <c r="Q605" s="132" t="s">
        <v>176</v>
      </c>
      <c r="R605" s="132" t="s">
        <v>158</v>
      </c>
      <c r="S605" s="133">
        <v>41985</v>
      </c>
      <c r="T605" s="134">
        <v>186</v>
      </c>
      <c r="U605" s="132" t="s">
        <v>154</v>
      </c>
      <c r="V605" s="132" t="s">
        <v>181</v>
      </c>
      <c r="W605" s="132" t="s">
        <v>153</v>
      </c>
      <c r="X605" s="133">
        <v>41682</v>
      </c>
      <c r="Y605" s="134">
        <v>1135</v>
      </c>
    </row>
    <row r="606" spans="1:25" x14ac:dyDescent="0.25">
      <c r="A606" s="79" t="s">
        <v>148</v>
      </c>
      <c r="B606" s="12" t="s">
        <v>219</v>
      </c>
      <c r="C606" s="12" t="s">
        <v>158</v>
      </c>
      <c r="D606" s="80">
        <v>41867</v>
      </c>
      <c r="E606" s="81">
        <v>510</v>
      </c>
      <c r="F606" s="76" t="s">
        <v>150</v>
      </c>
      <c r="G606" s="77" t="s">
        <v>179</v>
      </c>
      <c r="H606" s="77" t="s">
        <v>153</v>
      </c>
      <c r="I606" s="86">
        <v>41759</v>
      </c>
      <c r="J606" s="78">
        <v>757</v>
      </c>
      <c r="K606" s="132" t="s">
        <v>20</v>
      </c>
      <c r="L606" s="132" t="s">
        <v>182</v>
      </c>
      <c r="M606" s="132" t="s">
        <v>158</v>
      </c>
      <c r="N606" s="133">
        <v>41636</v>
      </c>
      <c r="O606" s="134">
        <v>1046</v>
      </c>
      <c r="P606" s="132" t="s">
        <v>151</v>
      </c>
      <c r="Q606" s="132" t="s">
        <v>176</v>
      </c>
      <c r="R606" s="132" t="s">
        <v>158</v>
      </c>
      <c r="S606" s="133">
        <v>41990</v>
      </c>
      <c r="T606" s="134">
        <v>590.79999999999995</v>
      </c>
      <c r="U606" s="132" t="s">
        <v>154</v>
      </c>
      <c r="V606" s="132" t="s">
        <v>181</v>
      </c>
      <c r="W606" s="132" t="s">
        <v>153</v>
      </c>
      <c r="X606" s="133">
        <v>41683</v>
      </c>
      <c r="Y606" s="134">
        <v>493</v>
      </c>
    </row>
    <row r="607" spans="1:25" x14ac:dyDescent="0.25">
      <c r="A607" s="79" t="s">
        <v>148</v>
      </c>
      <c r="B607" s="12" t="s">
        <v>219</v>
      </c>
      <c r="C607" s="12" t="s">
        <v>158</v>
      </c>
      <c r="D607" s="80">
        <v>41868</v>
      </c>
      <c r="E607" s="81">
        <v>800</v>
      </c>
      <c r="F607" s="76" t="s">
        <v>150</v>
      </c>
      <c r="G607" s="77" t="s">
        <v>179</v>
      </c>
      <c r="H607" s="77" t="s">
        <v>153</v>
      </c>
      <c r="I607" s="86">
        <v>41759</v>
      </c>
      <c r="J607" s="78">
        <v>1089</v>
      </c>
      <c r="K607" s="132" t="s">
        <v>20</v>
      </c>
      <c r="L607" s="132" t="s">
        <v>182</v>
      </c>
      <c r="M607" s="132" t="s">
        <v>158</v>
      </c>
      <c r="N607" s="133">
        <v>41642</v>
      </c>
      <c r="O607" s="134">
        <v>1272</v>
      </c>
      <c r="P607" s="132" t="s">
        <v>151</v>
      </c>
      <c r="Q607" s="132" t="s">
        <v>176</v>
      </c>
      <c r="R607" s="132" t="s">
        <v>158</v>
      </c>
      <c r="S607" s="133">
        <v>41992</v>
      </c>
      <c r="T607" s="134">
        <v>714.7</v>
      </c>
      <c r="U607" s="132" t="s">
        <v>154</v>
      </c>
      <c r="V607" s="132" t="s">
        <v>181</v>
      </c>
      <c r="W607" s="132" t="s">
        <v>153</v>
      </c>
      <c r="X607" s="133">
        <v>41683</v>
      </c>
      <c r="Y607" s="134">
        <v>715</v>
      </c>
    </row>
    <row r="608" spans="1:25" x14ac:dyDescent="0.25">
      <c r="A608" s="79" t="s">
        <v>148</v>
      </c>
      <c r="B608" s="12" t="s">
        <v>219</v>
      </c>
      <c r="C608" s="12" t="s">
        <v>158</v>
      </c>
      <c r="D608" s="80">
        <v>41869</v>
      </c>
      <c r="E608" s="81">
        <v>800</v>
      </c>
      <c r="F608" s="76" t="s">
        <v>150</v>
      </c>
      <c r="G608" s="77" t="s">
        <v>179</v>
      </c>
      <c r="H608" s="77" t="s">
        <v>153</v>
      </c>
      <c r="I608" s="86">
        <v>41760</v>
      </c>
      <c r="J608" s="78">
        <v>729</v>
      </c>
      <c r="K608" s="132" t="s">
        <v>20</v>
      </c>
      <c r="L608" s="132" t="s">
        <v>182</v>
      </c>
      <c r="M608" s="132" t="s">
        <v>158</v>
      </c>
      <c r="N608" s="133">
        <v>41644</v>
      </c>
      <c r="O608" s="134">
        <v>1104</v>
      </c>
      <c r="P608" s="132" t="s">
        <v>151</v>
      </c>
      <c r="Q608" s="132" t="s">
        <v>182</v>
      </c>
      <c r="R608" s="132" t="s">
        <v>158</v>
      </c>
      <c r="S608" s="133">
        <v>41648</v>
      </c>
      <c r="T608" s="134">
        <v>710.6</v>
      </c>
      <c r="U608" s="132" t="s">
        <v>154</v>
      </c>
      <c r="V608" s="132" t="s">
        <v>181</v>
      </c>
      <c r="W608" s="132" t="s">
        <v>153</v>
      </c>
      <c r="X608" s="133">
        <v>41684</v>
      </c>
      <c r="Y608" s="134">
        <v>1000</v>
      </c>
    </row>
    <row r="609" spans="1:25" x14ac:dyDescent="0.25">
      <c r="A609" s="79" t="s">
        <v>148</v>
      </c>
      <c r="B609" s="12" t="s">
        <v>219</v>
      </c>
      <c r="C609" s="12" t="s">
        <v>158</v>
      </c>
      <c r="D609" s="80">
        <v>41870</v>
      </c>
      <c r="E609" s="81">
        <v>772</v>
      </c>
      <c r="F609" s="76" t="s">
        <v>150</v>
      </c>
      <c r="G609" s="77" t="s">
        <v>179</v>
      </c>
      <c r="H609" s="77" t="s">
        <v>153</v>
      </c>
      <c r="I609" s="86">
        <v>41761</v>
      </c>
      <c r="J609" s="78">
        <v>463</v>
      </c>
      <c r="K609" s="132" t="s">
        <v>20</v>
      </c>
      <c r="L609" s="132" t="s">
        <v>182</v>
      </c>
      <c r="M609" s="132" t="s">
        <v>158</v>
      </c>
      <c r="N609" s="133">
        <v>41658</v>
      </c>
      <c r="O609" s="134">
        <v>1055</v>
      </c>
      <c r="P609" s="132" t="s">
        <v>151</v>
      </c>
      <c r="Q609" s="132" t="s">
        <v>182</v>
      </c>
      <c r="R609" s="132" t="s">
        <v>158</v>
      </c>
      <c r="S609" s="133">
        <v>41703</v>
      </c>
      <c r="T609" s="134">
        <v>1417.3</v>
      </c>
      <c r="U609" s="132" t="s">
        <v>154</v>
      </c>
      <c r="V609" s="132" t="s">
        <v>181</v>
      </c>
      <c r="W609" s="132" t="s">
        <v>153</v>
      </c>
      <c r="X609" s="133">
        <v>41685</v>
      </c>
      <c r="Y609" s="134">
        <v>650</v>
      </c>
    </row>
    <row r="610" spans="1:25" x14ac:dyDescent="0.25">
      <c r="A610" s="79" t="s">
        <v>148</v>
      </c>
      <c r="B610" s="12" t="s">
        <v>219</v>
      </c>
      <c r="C610" s="12" t="s">
        <v>158</v>
      </c>
      <c r="D610" s="80">
        <v>41871</v>
      </c>
      <c r="E610" s="81">
        <v>756</v>
      </c>
      <c r="F610" s="76" t="s">
        <v>150</v>
      </c>
      <c r="G610" s="77" t="s">
        <v>179</v>
      </c>
      <c r="H610" s="77" t="s">
        <v>153</v>
      </c>
      <c r="I610" s="86">
        <v>41764</v>
      </c>
      <c r="J610" s="78">
        <v>1244</v>
      </c>
      <c r="K610" s="132" t="s">
        <v>20</v>
      </c>
      <c r="L610" s="132" t="s">
        <v>182</v>
      </c>
      <c r="M610" s="132" t="s">
        <v>158</v>
      </c>
      <c r="N610" s="133">
        <v>41662</v>
      </c>
      <c r="O610" s="134">
        <v>1744</v>
      </c>
      <c r="P610" s="132" t="s">
        <v>151</v>
      </c>
      <c r="Q610" s="132" t="s">
        <v>182</v>
      </c>
      <c r="R610" s="132" t="s">
        <v>158</v>
      </c>
      <c r="S610" s="133">
        <v>41704</v>
      </c>
      <c r="T610" s="134">
        <v>382.6</v>
      </c>
      <c r="U610" s="132" t="s">
        <v>154</v>
      </c>
      <c r="V610" s="132" t="s">
        <v>181</v>
      </c>
      <c r="W610" s="132" t="s">
        <v>153</v>
      </c>
      <c r="X610" s="133">
        <v>41685</v>
      </c>
      <c r="Y610" s="134">
        <v>400</v>
      </c>
    </row>
    <row r="611" spans="1:25" x14ac:dyDescent="0.25">
      <c r="A611" s="79" t="s">
        <v>148</v>
      </c>
      <c r="B611" s="12" t="s">
        <v>219</v>
      </c>
      <c r="C611" s="12" t="s">
        <v>158</v>
      </c>
      <c r="D611" s="80">
        <v>41873</v>
      </c>
      <c r="E611" s="81">
        <v>1560</v>
      </c>
      <c r="F611" s="76" t="s">
        <v>150</v>
      </c>
      <c r="G611" s="77" t="s">
        <v>179</v>
      </c>
      <c r="H611" s="77" t="s">
        <v>153</v>
      </c>
      <c r="I611" s="86">
        <v>41766</v>
      </c>
      <c r="J611" s="78">
        <v>1003</v>
      </c>
      <c r="K611" s="132" t="s">
        <v>20</v>
      </c>
      <c r="L611" s="132" t="s">
        <v>182</v>
      </c>
      <c r="M611" s="132" t="s">
        <v>158</v>
      </c>
      <c r="N611" s="133">
        <v>41672</v>
      </c>
      <c r="O611" s="134">
        <v>907</v>
      </c>
      <c r="P611" s="132" t="s">
        <v>151</v>
      </c>
      <c r="Q611" s="132" t="s">
        <v>182</v>
      </c>
      <c r="R611" s="132" t="s">
        <v>158</v>
      </c>
      <c r="S611" s="133">
        <v>41705</v>
      </c>
      <c r="T611" s="134">
        <v>718.8</v>
      </c>
      <c r="U611" s="132" t="s">
        <v>154</v>
      </c>
      <c r="V611" s="132" t="s">
        <v>181</v>
      </c>
      <c r="W611" s="132" t="s">
        <v>153</v>
      </c>
      <c r="X611" s="133">
        <v>41686</v>
      </c>
      <c r="Y611" s="134">
        <v>394</v>
      </c>
    </row>
    <row r="612" spans="1:25" x14ac:dyDescent="0.25">
      <c r="A612" s="79" t="s">
        <v>148</v>
      </c>
      <c r="B612" s="12" t="s">
        <v>219</v>
      </c>
      <c r="C612" s="12" t="s">
        <v>158</v>
      </c>
      <c r="D612" s="80">
        <v>41874</v>
      </c>
      <c r="E612" s="81">
        <v>825</v>
      </c>
      <c r="F612" s="76" t="s">
        <v>150</v>
      </c>
      <c r="G612" s="77" t="s">
        <v>179</v>
      </c>
      <c r="H612" s="77" t="s">
        <v>153</v>
      </c>
      <c r="I612" s="86">
        <v>41767</v>
      </c>
      <c r="J612" s="78">
        <v>1279</v>
      </c>
      <c r="K612" s="132" t="s">
        <v>20</v>
      </c>
      <c r="L612" s="132" t="s">
        <v>182</v>
      </c>
      <c r="M612" s="132" t="s">
        <v>158</v>
      </c>
      <c r="N612" s="133">
        <v>41769</v>
      </c>
      <c r="O612" s="134">
        <v>976</v>
      </c>
      <c r="P612" s="132" t="s">
        <v>151</v>
      </c>
      <c r="Q612" s="132" t="s">
        <v>182</v>
      </c>
      <c r="R612" s="132" t="s">
        <v>158</v>
      </c>
      <c r="S612" s="133">
        <v>41710</v>
      </c>
      <c r="T612" s="134">
        <v>1058.2</v>
      </c>
      <c r="U612" s="132" t="s">
        <v>154</v>
      </c>
      <c r="V612" s="132" t="s">
        <v>181</v>
      </c>
      <c r="W612" s="132" t="s">
        <v>153</v>
      </c>
      <c r="X612" s="133">
        <v>41687</v>
      </c>
      <c r="Y612" s="134">
        <v>1086</v>
      </c>
    </row>
    <row r="613" spans="1:25" x14ac:dyDescent="0.25">
      <c r="A613" s="79" t="s">
        <v>148</v>
      </c>
      <c r="B613" s="12" t="s">
        <v>219</v>
      </c>
      <c r="C613" s="12" t="s">
        <v>158</v>
      </c>
      <c r="D613" s="80">
        <v>41875</v>
      </c>
      <c r="E613" s="81">
        <v>799</v>
      </c>
      <c r="F613" s="76" t="s">
        <v>150</v>
      </c>
      <c r="G613" s="77" t="s">
        <v>179</v>
      </c>
      <c r="H613" s="77" t="s">
        <v>153</v>
      </c>
      <c r="I613" s="86">
        <v>41768</v>
      </c>
      <c r="J613" s="78">
        <v>638</v>
      </c>
      <c r="K613" s="132" t="s">
        <v>20</v>
      </c>
      <c r="L613" s="132" t="s">
        <v>182</v>
      </c>
      <c r="M613" s="132" t="s">
        <v>158</v>
      </c>
      <c r="N613" s="133">
        <v>41787</v>
      </c>
      <c r="O613" s="134">
        <v>1895</v>
      </c>
      <c r="P613" s="132" t="s">
        <v>151</v>
      </c>
      <c r="Q613" s="132" t="s">
        <v>182</v>
      </c>
      <c r="R613" s="132" t="s">
        <v>158</v>
      </c>
      <c r="S613" s="133">
        <v>41726</v>
      </c>
      <c r="T613" s="134">
        <v>1307.5</v>
      </c>
      <c r="U613" s="132" t="s">
        <v>154</v>
      </c>
      <c r="V613" s="132" t="s">
        <v>181</v>
      </c>
      <c r="W613" s="132" t="s">
        <v>153</v>
      </c>
      <c r="X613" s="133">
        <v>41687</v>
      </c>
      <c r="Y613" s="134">
        <v>360</v>
      </c>
    </row>
    <row r="614" spans="1:25" x14ac:dyDescent="0.25">
      <c r="A614" s="79" t="s">
        <v>148</v>
      </c>
      <c r="B614" s="12" t="s">
        <v>219</v>
      </c>
      <c r="C614" s="12" t="s">
        <v>158</v>
      </c>
      <c r="D614" s="80">
        <v>41876</v>
      </c>
      <c r="E614" s="81">
        <v>725</v>
      </c>
      <c r="F614" s="76" t="s">
        <v>150</v>
      </c>
      <c r="G614" s="77" t="s">
        <v>179</v>
      </c>
      <c r="H614" s="77" t="s">
        <v>153</v>
      </c>
      <c r="I614" s="86">
        <v>41771</v>
      </c>
      <c r="J614" s="78">
        <v>1144</v>
      </c>
      <c r="K614" s="132" t="s">
        <v>20</v>
      </c>
      <c r="L614" s="132" t="s">
        <v>182</v>
      </c>
      <c r="M614" s="132" t="s">
        <v>158</v>
      </c>
      <c r="N614" s="133">
        <v>41802</v>
      </c>
      <c r="O614" s="134">
        <v>468</v>
      </c>
      <c r="P614" s="132" t="s">
        <v>151</v>
      </c>
      <c r="Q614" s="132" t="s">
        <v>182</v>
      </c>
      <c r="R614" s="132" t="s">
        <v>158</v>
      </c>
      <c r="S614" s="133">
        <v>41729</v>
      </c>
      <c r="T614" s="134">
        <v>561.9</v>
      </c>
      <c r="U614" s="132" t="s">
        <v>154</v>
      </c>
      <c r="V614" s="132" t="s">
        <v>181</v>
      </c>
      <c r="W614" s="132" t="s">
        <v>153</v>
      </c>
      <c r="X614" s="133">
        <v>41688</v>
      </c>
      <c r="Y614" s="134">
        <v>521</v>
      </c>
    </row>
    <row r="615" spans="1:25" x14ac:dyDescent="0.25">
      <c r="A615" s="79" t="s">
        <v>148</v>
      </c>
      <c r="B615" s="12" t="s">
        <v>219</v>
      </c>
      <c r="C615" s="12" t="s">
        <v>158</v>
      </c>
      <c r="D615" s="80">
        <v>41877</v>
      </c>
      <c r="E615" s="81">
        <v>1060</v>
      </c>
      <c r="F615" s="76" t="s">
        <v>150</v>
      </c>
      <c r="G615" s="77" t="s">
        <v>179</v>
      </c>
      <c r="H615" s="77" t="s">
        <v>153</v>
      </c>
      <c r="I615" s="86">
        <v>41772</v>
      </c>
      <c r="J615" s="78">
        <v>966</v>
      </c>
      <c r="K615" s="132" t="s">
        <v>20</v>
      </c>
      <c r="L615" s="132" t="s">
        <v>182</v>
      </c>
      <c r="M615" s="132" t="s">
        <v>158</v>
      </c>
      <c r="N615" s="133">
        <v>41869</v>
      </c>
      <c r="O615" s="134">
        <v>578</v>
      </c>
      <c r="P615" s="132" t="s">
        <v>151</v>
      </c>
      <c r="Q615" s="132" t="s">
        <v>182</v>
      </c>
      <c r="R615" s="132" t="s">
        <v>158</v>
      </c>
      <c r="S615" s="133">
        <v>41730</v>
      </c>
      <c r="T615" s="134">
        <v>533.4</v>
      </c>
      <c r="U615" s="132" t="s">
        <v>154</v>
      </c>
      <c r="V615" s="132" t="s">
        <v>181</v>
      </c>
      <c r="W615" s="132" t="s">
        <v>153</v>
      </c>
      <c r="X615" s="133">
        <v>41688</v>
      </c>
      <c r="Y615" s="134">
        <v>535</v>
      </c>
    </row>
    <row r="616" spans="1:25" x14ac:dyDescent="0.25">
      <c r="A616" s="79" t="s">
        <v>148</v>
      </c>
      <c r="B616" s="12" t="s">
        <v>219</v>
      </c>
      <c r="C616" s="12" t="s">
        <v>158</v>
      </c>
      <c r="D616" s="80">
        <v>41878</v>
      </c>
      <c r="E616" s="81">
        <v>500</v>
      </c>
      <c r="F616" s="76" t="s">
        <v>150</v>
      </c>
      <c r="G616" s="77" t="s">
        <v>179</v>
      </c>
      <c r="H616" s="77" t="s">
        <v>153</v>
      </c>
      <c r="I616" s="86">
        <v>41773</v>
      </c>
      <c r="J616" s="78">
        <v>826</v>
      </c>
      <c r="K616" s="132" t="s">
        <v>20</v>
      </c>
      <c r="L616" s="132" t="s">
        <v>182</v>
      </c>
      <c r="M616" s="132" t="s">
        <v>158</v>
      </c>
      <c r="N616" s="133">
        <v>41902</v>
      </c>
      <c r="O616" s="134">
        <v>1576</v>
      </c>
      <c r="P616" s="132" t="s">
        <v>151</v>
      </c>
      <c r="Q616" s="132" t="s">
        <v>182</v>
      </c>
      <c r="R616" s="132" t="s">
        <v>158</v>
      </c>
      <c r="S616" s="133">
        <v>41733</v>
      </c>
      <c r="T616" s="134">
        <v>1076.8</v>
      </c>
      <c r="U616" s="132" t="s">
        <v>154</v>
      </c>
      <c r="V616" s="132" t="s">
        <v>181</v>
      </c>
      <c r="W616" s="132" t="s">
        <v>153</v>
      </c>
      <c r="X616" s="133">
        <v>41689</v>
      </c>
      <c r="Y616" s="134">
        <v>725</v>
      </c>
    </row>
    <row r="617" spans="1:25" x14ac:dyDescent="0.25">
      <c r="A617" s="79" t="s">
        <v>148</v>
      </c>
      <c r="B617" s="12" t="s">
        <v>219</v>
      </c>
      <c r="C617" s="12" t="s">
        <v>158</v>
      </c>
      <c r="D617" s="80">
        <v>41879</v>
      </c>
      <c r="E617" s="81">
        <v>775</v>
      </c>
      <c r="F617" s="76" t="s">
        <v>150</v>
      </c>
      <c r="G617" s="77" t="s">
        <v>179</v>
      </c>
      <c r="H617" s="77" t="s">
        <v>153</v>
      </c>
      <c r="I617" s="86">
        <v>41774</v>
      </c>
      <c r="J617" s="78">
        <v>910</v>
      </c>
      <c r="K617" s="132" t="s">
        <v>20</v>
      </c>
      <c r="L617" s="132" t="s">
        <v>182</v>
      </c>
      <c r="M617" s="132" t="s">
        <v>158</v>
      </c>
      <c r="N617" s="133">
        <v>41917</v>
      </c>
      <c r="O617" s="134">
        <v>899</v>
      </c>
      <c r="P617" s="132" t="s">
        <v>151</v>
      </c>
      <c r="Q617" s="132" t="s">
        <v>182</v>
      </c>
      <c r="R617" s="132" t="s">
        <v>158</v>
      </c>
      <c r="S617" s="133">
        <v>41740</v>
      </c>
      <c r="T617" s="134">
        <v>543.20000000000005</v>
      </c>
      <c r="U617" s="132" t="s">
        <v>154</v>
      </c>
      <c r="V617" s="132" t="s">
        <v>181</v>
      </c>
      <c r="W617" s="132" t="s">
        <v>153</v>
      </c>
      <c r="X617" s="133">
        <v>41689</v>
      </c>
      <c r="Y617" s="134">
        <v>352</v>
      </c>
    </row>
    <row r="618" spans="1:25" x14ac:dyDescent="0.25">
      <c r="A618" s="79" t="s">
        <v>148</v>
      </c>
      <c r="B618" s="12" t="s">
        <v>219</v>
      </c>
      <c r="C618" s="12" t="s">
        <v>158</v>
      </c>
      <c r="D618" s="80">
        <v>41880</v>
      </c>
      <c r="E618" s="81">
        <v>780</v>
      </c>
      <c r="F618" s="76" t="s">
        <v>150</v>
      </c>
      <c r="G618" s="77" t="s">
        <v>179</v>
      </c>
      <c r="H618" s="77" t="s">
        <v>153</v>
      </c>
      <c r="I618" s="86">
        <v>41776</v>
      </c>
      <c r="J618" s="78">
        <v>780</v>
      </c>
      <c r="K618" s="132" t="s">
        <v>20</v>
      </c>
      <c r="L618" s="132" t="s">
        <v>182</v>
      </c>
      <c r="M618" s="132" t="s">
        <v>158</v>
      </c>
      <c r="N618" s="133">
        <v>41928</v>
      </c>
      <c r="O618" s="134">
        <v>1163</v>
      </c>
      <c r="P618" s="132" t="s">
        <v>151</v>
      </c>
      <c r="Q618" s="132" t="s">
        <v>182</v>
      </c>
      <c r="R618" s="132" t="s">
        <v>158</v>
      </c>
      <c r="S618" s="133">
        <v>41746</v>
      </c>
      <c r="T618" s="134">
        <v>1147.0999999999999</v>
      </c>
      <c r="U618" s="132" t="s">
        <v>154</v>
      </c>
      <c r="V618" s="132" t="s">
        <v>181</v>
      </c>
      <c r="W618" s="132" t="s">
        <v>153</v>
      </c>
      <c r="X618" s="133">
        <v>41690</v>
      </c>
      <c r="Y618" s="134">
        <v>486</v>
      </c>
    </row>
    <row r="619" spans="1:25" x14ac:dyDescent="0.25">
      <c r="A619" s="79" t="s">
        <v>148</v>
      </c>
      <c r="B619" s="12" t="s">
        <v>219</v>
      </c>
      <c r="C619" s="12" t="s">
        <v>158</v>
      </c>
      <c r="D619" s="80">
        <v>41881</v>
      </c>
      <c r="E619" s="81">
        <v>1229</v>
      </c>
      <c r="F619" s="76" t="s">
        <v>150</v>
      </c>
      <c r="G619" s="77" t="s">
        <v>179</v>
      </c>
      <c r="H619" s="77" t="s">
        <v>153</v>
      </c>
      <c r="I619" s="86">
        <v>41776</v>
      </c>
      <c r="J619" s="78">
        <v>840</v>
      </c>
      <c r="K619" s="132" t="s">
        <v>20</v>
      </c>
      <c r="L619" s="132" t="s">
        <v>182</v>
      </c>
      <c r="M619" s="132" t="s">
        <v>158</v>
      </c>
      <c r="N619" s="133">
        <v>41934</v>
      </c>
      <c r="O619" s="134">
        <v>801</v>
      </c>
      <c r="P619" s="132" t="s">
        <v>151</v>
      </c>
      <c r="Q619" s="132" t="s">
        <v>182</v>
      </c>
      <c r="R619" s="132" t="s">
        <v>158</v>
      </c>
      <c r="S619" s="133">
        <v>41747</v>
      </c>
      <c r="T619" s="134">
        <v>559.20000000000005</v>
      </c>
      <c r="U619" s="132" t="s">
        <v>154</v>
      </c>
      <c r="V619" s="132" t="s">
        <v>181</v>
      </c>
      <c r="W619" s="132" t="s">
        <v>153</v>
      </c>
      <c r="X619" s="133">
        <v>41690</v>
      </c>
      <c r="Y619" s="134">
        <v>541</v>
      </c>
    </row>
    <row r="620" spans="1:25" x14ac:dyDescent="0.25">
      <c r="A620" s="79" t="s">
        <v>148</v>
      </c>
      <c r="B620" s="12" t="s">
        <v>219</v>
      </c>
      <c r="C620" s="12" t="s">
        <v>158</v>
      </c>
      <c r="D620" s="80">
        <v>41882</v>
      </c>
      <c r="E620" s="81">
        <v>475</v>
      </c>
      <c r="F620" s="76" t="s">
        <v>150</v>
      </c>
      <c r="G620" s="77" t="s">
        <v>179</v>
      </c>
      <c r="H620" s="77" t="s">
        <v>153</v>
      </c>
      <c r="I620" s="86">
        <v>41777</v>
      </c>
      <c r="J620" s="78">
        <v>841</v>
      </c>
      <c r="K620" s="132" t="s">
        <v>20</v>
      </c>
      <c r="L620" s="132" t="s">
        <v>182</v>
      </c>
      <c r="M620" s="132" t="s">
        <v>158</v>
      </c>
      <c r="N620" s="133">
        <v>41938</v>
      </c>
      <c r="O620" s="134">
        <v>1002</v>
      </c>
      <c r="P620" s="132" t="s">
        <v>151</v>
      </c>
      <c r="Q620" s="132" t="s">
        <v>182</v>
      </c>
      <c r="R620" s="132" t="s">
        <v>158</v>
      </c>
      <c r="S620" s="133">
        <v>41750</v>
      </c>
      <c r="T620" s="134">
        <v>636.70000000000005</v>
      </c>
      <c r="U620" s="132" t="s">
        <v>154</v>
      </c>
      <c r="V620" s="132" t="s">
        <v>181</v>
      </c>
      <c r="W620" s="132" t="s">
        <v>153</v>
      </c>
      <c r="X620" s="133">
        <v>41691</v>
      </c>
      <c r="Y620" s="134">
        <v>700</v>
      </c>
    </row>
    <row r="621" spans="1:25" x14ac:dyDescent="0.25">
      <c r="A621" s="79" t="s">
        <v>148</v>
      </c>
      <c r="B621" s="12" t="s">
        <v>219</v>
      </c>
      <c r="C621" s="12" t="s">
        <v>158</v>
      </c>
      <c r="D621" s="80">
        <v>41883</v>
      </c>
      <c r="E621" s="81">
        <v>750</v>
      </c>
      <c r="F621" s="76" t="s">
        <v>150</v>
      </c>
      <c r="G621" s="77" t="s">
        <v>179</v>
      </c>
      <c r="H621" s="77" t="s">
        <v>153</v>
      </c>
      <c r="I621" s="86">
        <v>41778</v>
      </c>
      <c r="J621" s="78">
        <v>1061</v>
      </c>
      <c r="K621" s="132" t="s">
        <v>20</v>
      </c>
      <c r="L621" s="132" t="s">
        <v>182</v>
      </c>
      <c r="M621" s="132" t="s">
        <v>158</v>
      </c>
      <c r="N621" s="133">
        <v>41939</v>
      </c>
      <c r="O621" s="134">
        <v>487</v>
      </c>
      <c r="P621" s="132" t="s">
        <v>151</v>
      </c>
      <c r="Q621" s="132" t="s">
        <v>182</v>
      </c>
      <c r="R621" s="132" t="s">
        <v>158</v>
      </c>
      <c r="S621" s="133">
        <v>41759</v>
      </c>
      <c r="T621" s="134">
        <v>523.5</v>
      </c>
      <c r="U621" s="132" t="s">
        <v>154</v>
      </c>
      <c r="V621" s="132" t="s">
        <v>181</v>
      </c>
      <c r="W621" s="132" t="s">
        <v>153</v>
      </c>
      <c r="X621" s="133">
        <v>41692</v>
      </c>
      <c r="Y621" s="134">
        <v>431</v>
      </c>
    </row>
    <row r="622" spans="1:25" x14ac:dyDescent="0.25">
      <c r="A622" s="79" t="s">
        <v>148</v>
      </c>
      <c r="B622" s="12" t="s">
        <v>219</v>
      </c>
      <c r="C622" s="12" t="s">
        <v>158</v>
      </c>
      <c r="D622" s="80">
        <v>41884</v>
      </c>
      <c r="E622" s="81">
        <v>740</v>
      </c>
      <c r="F622" s="76" t="s">
        <v>150</v>
      </c>
      <c r="G622" s="77" t="s">
        <v>179</v>
      </c>
      <c r="H622" s="77" t="s">
        <v>153</v>
      </c>
      <c r="I622" s="86">
        <v>41779</v>
      </c>
      <c r="J622" s="78">
        <v>883</v>
      </c>
      <c r="K622" s="132" t="s">
        <v>20</v>
      </c>
      <c r="L622" s="132" t="s">
        <v>182</v>
      </c>
      <c r="M622" s="132" t="s">
        <v>158</v>
      </c>
      <c r="N622" s="133">
        <v>41946</v>
      </c>
      <c r="O622" s="134">
        <v>734</v>
      </c>
      <c r="P622" s="132" t="s">
        <v>151</v>
      </c>
      <c r="Q622" s="132" t="s">
        <v>205</v>
      </c>
      <c r="R622" s="132" t="s">
        <v>158</v>
      </c>
      <c r="S622" s="133">
        <v>41689</v>
      </c>
      <c r="T622" s="134">
        <v>616.5</v>
      </c>
      <c r="U622" s="132" t="s">
        <v>154</v>
      </c>
      <c r="V622" s="132" t="s">
        <v>181</v>
      </c>
      <c r="W622" s="132" t="s">
        <v>153</v>
      </c>
      <c r="X622" s="133">
        <v>41693</v>
      </c>
      <c r="Y622" s="134">
        <v>350</v>
      </c>
    </row>
    <row r="623" spans="1:25" x14ac:dyDescent="0.25">
      <c r="A623" s="79" t="s">
        <v>148</v>
      </c>
      <c r="B623" s="12" t="s">
        <v>219</v>
      </c>
      <c r="C623" s="12" t="s">
        <v>158</v>
      </c>
      <c r="D623" s="80">
        <v>41885</v>
      </c>
      <c r="E623" s="81">
        <v>780</v>
      </c>
      <c r="F623" s="76" t="s">
        <v>150</v>
      </c>
      <c r="G623" s="77" t="s">
        <v>179</v>
      </c>
      <c r="H623" s="77" t="s">
        <v>153</v>
      </c>
      <c r="I623" s="86">
        <v>41780</v>
      </c>
      <c r="J623" s="78">
        <v>1080</v>
      </c>
      <c r="K623" s="132" t="s">
        <v>20</v>
      </c>
      <c r="L623" s="132" t="s">
        <v>182</v>
      </c>
      <c r="M623" s="132" t="s">
        <v>158</v>
      </c>
      <c r="N623" s="133">
        <v>41958</v>
      </c>
      <c r="O623" s="134">
        <v>1162</v>
      </c>
      <c r="P623" s="132" t="s">
        <v>151</v>
      </c>
      <c r="Q623" s="132" t="s">
        <v>205</v>
      </c>
      <c r="R623" s="132" t="s">
        <v>158</v>
      </c>
      <c r="S623" s="133">
        <v>41690</v>
      </c>
      <c r="T623" s="134">
        <v>819.9</v>
      </c>
      <c r="U623" s="132" t="s">
        <v>154</v>
      </c>
      <c r="V623" s="132" t="s">
        <v>181</v>
      </c>
      <c r="W623" s="132" t="s">
        <v>153</v>
      </c>
      <c r="X623" s="133">
        <v>41694</v>
      </c>
      <c r="Y623" s="134">
        <v>1060</v>
      </c>
    </row>
    <row r="624" spans="1:25" x14ac:dyDescent="0.25">
      <c r="A624" s="79" t="s">
        <v>148</v>
      </c>
      <c r="B624" s="12" t="s">
        <v>219</v>
      </c>
      <c r="C624" s="12" t="s">
        <v>158</v>
      </c>
      <c r="D624" s="80">
        <v>41886</v>
      </c>
      <c r="E624" s="81">
        <v>810</v>
      </c>
      <c r="F624" s="76" t="s">
        <v>150</v>
      </c>
      <c r="G624" s="77" t="s">
        <v>179</v>
      </c>
      <c r="H624" s="77" t="s">
        <v>153</v>
      </c>
      <c r="I624" s="86">
        <v>41781</v>
      </c>
      <c r="J624" s="78">
        <v>940</v>
      </c>
      <c r="K624" s="132" t="s">
        <v>20</v>
      </c>
      <c r="L624" s="132" t="s">
        <v>182</v>
      </c>
      <c r="M624" s="132" t="s">
        <v>158</v>
      </c>
      <c r="N624" s="133">
        <v>41963</v>
      </c>
      <c r="O624" s="134">
        <v>1032</v>
      </c>
      <c r="P624" s="132" t="s">
        <v>151</v>
      </c>
      <c r="Q624" s="132" t="s">
        <v>205</v>
      </c>
      <c r="R624" s="132" t="s">
        <v>158</v>
      </c>
      <c r="S624" s="133">
        <v>41703</v>
      </c>
      <c r="T624" s="134">
        <v>797.5</v>
      </c>
      <c r="U624" s="132" t="s">
        <v>154</v>
      </c>
      <c r="V624" s="132" t="s">
        <v>181</v>
      </c>
      <c r="W624" s="132" t="s">
        <v>153</v>
      </c>
      <c r="X624" s="133">
        <v>41695</v>
      </c>
      <c r="Y624" s="134">
        <v>529</v>
      </c>
    </row>
    <row r="625" spans="1:25" x14ac:dyDescent="0.25">
      <c r="A625" s="79" t="s">
        <v>148</v>
      </c>
      <c r="B625" s="12" t="s">
        <v>219</v>
      </c>
      <c r="C625" s="12" t="s">
        <v>158</v>
      </c>
      <c r="D625" s="80">
        <v>41887</v>
      </c>
      <c r="E625" s="81">
        <v>850</v>
      </c>
      <c r="F625" s="76" t="s">
        <v>150</v>
      </c>
      <c r="G625" s="77" t="s">
        <v>179</v>
      </c>
      <c r="H625" s="77" t="s">
        <v>153</v>
      </c>
      <c r="I625" s="86">
        <v>41782</v>
      </c>
      <c r="J625" s="78">
        <v>291</v>
      </c>
      <c r="K625" s="132" t="s">
        <v>20</v>
      </c>
      <c r="L625" s="132" t="s">
        <v>182</v>
      </c>
      <c r="M625" s="132" t="s">
        <v>158</v>
      </c>
      <c r="N625" s="133">
        <v>41999</v>
      </c>
      <c r="O625" s="134">
        <v>1521</v>
      </c>
      <c r="P625" s="132" t="s">
        <v>151</v>
      </c>
      <c r="Q625" s="132" t="s">
        <v>205</v>
      </c>
      <c r="R625" s="132" t="s">
        <v>158</v>
      </c>
      <c r="S625" s="133">
        <v>41705</v>
      </c>
      <c r="T625" s="134">
        <v>752.3</v>
      </c>
      <c r="U625" s="132" t="s">
        <v>154</v>
      </c>
      <c r="V625" s="132" t="s">
        <v>181</v>
      </c>
      <c r="W625" s="132" t="s">
        <v>153</v>
      </c>
      <c r="X625" s="133">
        <v>41695</v>
      </c>
      <c r="Y625" s="134">
        <v>600</v>
      </c>
    </row>
    <row r="626" spans="1:25" x14ac:dyDescent="0.25">
      <c r="A626" s="79" t="s">
        <v>148</v>
      </c>
      <c r="B626" s="12" t="s">
        <v>219</v>
      </c>
      <c r="C626" s="12" t="s">
        <v>158</v>
      </c>
      <c r="D626" s="80">
        <v>41888</v>
      </c>
      <c r="E626" s="81">
        <v>710</v>
      </c>
      <c r="F626" s="76" t="s">
        <v>150</v>
      </c>
      <c r="G626" s="77" t="s">
        <v>179</v>
      </c>
      <c r="H626" s="77" t="s">
        <v>153</v>
      </c>
      <c r="I626" s="86">
        <v>41786</v>
      </c>
      <c r="J626" s="78">
        <v>988</v>
      </c>
      <c r="K626" s="132" t="s">
        <v>20</v>
      </c>
      <c r="L626" s="132" t="s">
        <v>198</v>
      </c>
      <c r="M626" s="132" t="s">
        <v>158</v>
      </c>
      <c r="N626" s="133">
        <v>41645</v>
      </c>
      <c r="O626" s="134">
        <v>1319</v>
      </c>
      <c r="P626" s="132" t="s">
        <v>151</v>
      </c>
      <c r="Q626" s="132" t="s">
        <v>205</v>
      </c>
      <c r="R626" s="132" t="s">
        <v>158</v>
      </c>
      <c r="S626" s="133">
        <v>41708</v>
      </c>
      <c r="T626" s="134">
        <v>572.9</v>
      </c>
      <c r="U626" s="132" t="s">
        <v>154</v>
      </c>
      <c r="V626" s="132" t="s">
        <v>181</v>
      </c>
      <c r="W626" s="132" t="s">
        <v>153</v>
      </c>
      <c r="X626" s="133">
        <v>41696</v>
      </c>
      <c r="Y626" s="134">
        <v>937</v>
      </c>
    </row>
    <row r="627" spans="1:25" x14ac:dyDescent="0.25">
      <c r="A627" s="79" t="s">
        <v>148</v>
      </c>
      <c r="B627" s="12" t="s">
        <v>219</v>
      </c>
      <c r="C627" s="12" t="s">
        <v>158</v>
      </c>
      <c r="D627" s="80">
        <v>41890</v>
      </c>
      <c r="E627" s="81">
        <v>1300</v>
      </c>
      <c r="F627" s="76" t="s">
        <v>150</v>
      </c>
      <c r="G627" s="77" t="s">
        <v>179</v>
      </c>
      <c r="H627" s="77" t="s">
        <v>153</v>
      </c>
      <c r="I627" s="86">
        <v>41788</v>
      </c>
      <c r="J627" s="78">
        <v>927</v>
      </c>
      <c r="K627" s="132" t="s">
        <v>20</v>
      </c>
      <c r="L627" s="132" t="s">
        <v>198</v>
      </c>
      <c r="M627" s="132" t="s">
        <v>158</v>
      </c>
      <c r="N627" s="133">
        <v>41661</v>
      </c>
      <c r="O627" s="134">
        <v>1340</v>
      </c>
      <c r="P627" s="132" t="s">
        <v>151</v>
      </c>
      <c r="Q627" s="132" t="s">
        <v>205</v>
      </c>
      <c r="R627" s="132" t="s">
        <v>158</v>
      </c>
      <c r="S627" s="133">
        <v>41709</v>
      </c>
      <c r="T627" s="134">
        <v>706.3</v>
      </c>
      <c r="U627" s="132" t="s">
        <v>154</v>
      </c>
      <c r="V627" s="132" t="s">
        <v>181</v>
      </c>
      <c r="W627" s="132" t="s">
        <v>153</v>
      </c>
      <c r="X627" s="133">
        <v>41697</v>
      </c>
      <c r="Y627" s="134">
        <v>573</v>
      </c>
    </row>
    <row r="628" spans="1:25" x14ac:dyDescent="0.25">
      <c r="A628" s="79" t="s">
        <v>148</v>
      </c>
      <c r="B628" s="12" t="s">
        <v>219</v>
      </c>
      <c r="C628" s="12" t="s">
        <v>158</v>
      </c>
      <c r="D628" s="80">
        <v>41892</v>
      </c>
      <c r="E628" s="81">
        <v>1300</v>
      </c>
      <c r="F628" s="76" t="s">
        <v>150</v>
      </c>
      <c r="G628" s="77" t="s">
        <v>179</v>
      </c>
      <c r="H628" s="77" t="s">
        <v>153</v>
      </c>
      <c r="I628" s="86">
        <v>41789</v>
      </c>
      <c r="J628" s="78">
        <v>758</v>
      </c>
      <c r="K628" s="132" t="s">
        <v>20</v>
      </c>
      <c r="L628" s="132" t="s">
        <v>198</v>
      </c>
      <c r="M628" s="132" t="s">
        <v>158</v>
      </c>
      <c r="N628" s="133">
        <v>41669</v>
      </c>
      <c r="O628" s="134">
        <v>689</v>
      </c>
      <c r="P628" s="132" t="s">
        <v>151</v>
      </c>
      <c r="Q628" s="132" t="s">
        <v>205</v>
      </c>
      <c r="R628" s="132" t="s">
        <v>158</v>
      </c>
      <c r="S628" s="133">
        <v>41710</v>
      </c>
      <c r="T628" s="134">
        <v>474.7</v>
      </c>
      <c r="U628" s="132" t="s">
        <v>154</v>
      </c>
      <c r="V628" s="132" t="s">
        <v>181</v>
      </c>
      <c r="W628" s="132" t="s">
        <v>153</v>
      </c>
      <c r="X628" s="133">
        <v>41697</v>
      </c>
      <c r="Y628" s="134">
        <v>460</v>
      </c>
    </row>
    <row r="629" spans="1:25" x14ac:dyDescent="0.25">
      <c r="A629" s="79" t="s">
        <v>148</v>
      </c>
      <c r="B629" s="12" t="s">
        <v>219</v>
      </c>
      <c r="C629" s="12" t="s">
        <v>158</v>
      </c>
      <c r="D629" s="80">
        <v>41892</v>
      </c>
      <c r="E629" s="81">
        <v>540</v>
      </c>
      <c r="F629" s="76" t="s">
        <v>150</v>
      </c>
      <c r="G629" s="77" t="s">
        <v>179</v>
      </c>
      <c r="H629" s="77" t="s">
        <v>153</v>
      </c>
      <c r="I629" s="86">
        <v>41793</v>
      </c>
      <c r="J629" s="78">
        <v>718</v>
      </c>
      <c r="K629" s="132" t="s">
        <v>20</v>
      </c>
      <c r="L629" s="132" t="s">
        <v>198</v>
      </c>
      <c r="M629" s="132" t="s">
        <v>158</v>
      </c>
      <c r="N629" s="133">
        <v>41670</v>
      </c>
      <c r="O629" s="134">
        <v>437</v>
      </c>
      <c r="P629" s="132" t="s">
        <v>151</v>
      </c>
      <c r="Q629" s="132" t="s">
        <v>205</v>
      </c>
      <c r="R629" s="132" t="s">
        <v>158</v>
      </c>
      <c r="S629" s="133">
        <v>41711</v>
      </c>
      <c r="T629" s="134">
        <v>679.9</v>
      </c>
      <c r="U629" s="132" t="s">
        <v>154</v>
      </c>
      <c r="V629" s="132" t="s">
        <v>181</v>
      </c>
      <c r="W629" s="132" t="s">
        <v>153</v>
      </c>
      <c r="X629" s="133">
        <v>41698</v>
      </c>
      <c r="Y629" s="134">
        <v>699</v>
      </c>
    </row>
    <row r="630" spans="1:25" x14ac:dyDescent="0.25">
      <c r="A630" s="79" t="s">
        <v>148</v>
      </c>
      <c r="B630" s="12" t="s">
        <v>219</v>
      </c>
      <c r="C630" s="12" t="s">
        <v>158</v>
      </c>
      <c r="D630" s="80">
        <v>41893</v>
      </c>
      <c r="E630" s="81">
        <v>750</v>
      </c>
      <c r="F630" s="76" t="s">
        <v>150</v>
      </c>
      <c r="G630" s="77" t="s">
        <v>179</v>
      </c>
      <c r="H630" s="77" t="s">
        <v>153</v>
      </c>
      <c r="I630" s="86">
        <v>41793</v>
      </c>
      <c r="J630" s="78">
        <v>988</v>
      </c>
      <c r="K630" s="132" t="s">
        <v>20</v>
      </c>
      <c r="L630" s="132" t="s">
        <v>198</v>
      </c>
      <c r="M630" s="132" t="s">
        <v>158</v>
      </c>
      <c r="N630" s="133">
        <v>41694</v>
      </c>
      <c r="O630" s="134">
        <v>1977</v>
      </c>
      <c r="P630" s="132" t="s">
        <v>151</v>
      </c>
      <c r="Q630" s="132" t="s">
        <v>205</v>
      </c>
      <c r="R630" s="132" t="s">
        <v>158</v>
      </c>
      <c r="S630" s="133">
        <v>41712</v>
      </c>
      <c r="T630" s="134">
        <v>616.20000000000005</v>
      </c>
      <c r="U630" s="132" t="s">
        <v>154</v>
      </c>
      <c r="V630" s="132" t="s">
        <v>181</v>
      </c>
      <c r="W630" s="132" t="s">
        <v>153</v>
      </c>
      <c r="X630" s="133">
        <v>41698</v>
      </c>
      <c r="Y630" s="134">
        <v>640</v>
      </c>
    </row>
    <row r="631" spans="1:25" x14ac:dyDescent="0.25">
      <c r="A631" s="79" t="s">
        <v>148</v>
      </c>
      <c r="B631" s="12" t="s">
        <v>219</v>
      </c>
      <c r="C631" s="12" t="s">
        <v>158</v>
      </c>
      <c r="D631" s="80">
        <v>41894</v>
      </c>
      <c r="E631" s="81">
        <v>1037</v>
      </c>
      <c r="F631" s="76" t="s">
        <v>150</v>
      </c>
      <c r="G631" s="77" t="s">
        <v>179</v>
      </c>
      <c r="H631" s="77" t="s">
        <v>153</v>
      </c>
      <c r="I631" s="86">
        <v>41794</v>
      </c>
      <c r="J631" s="78">
        <v>883</v>
      </c>
      <c r="K631" s="132" t="s">
        <v>20</v>
      </c>
      <c r="L631" s="132" t="s">
        <v>198</v>
      </c>
      <c r="M631" s="132" t="s">
        <v>158</v>
      </c>
      <c r="N631" s="133">
        <v>41707</v>
      </c>
      <c r="O631" s="134">
        <v>1433</v>
      </c>
      <c r="P631" s="132" t="s">
        <v>151</v>
      </c>
      <c r="Q631" s="132" t="s">
        <v>205</v>
      </c>
      <c r="R631" s="132" t="s">
        <v>158</v>
      </c>
      <c r="S631" s="133">
        <v>41723</v>
      </c>
      <c r="T631" s="134">
        <v>345.2</v>
      </c>
      <c r="U631" s="132" t="s">
        <v>154</v>
      </c>
      <c r="V631" s="132" t="s">
        <v>181</v>
      </c>
      <c r="W631" s="132" t="s">
        <v>153</v>
      </c>
      <c r="X631" s="133">
        <v>41705</v>
      </c>
      <c r="Y631" s="134">
        <v>620</v>
      </c>
    </row>
    <row r="632" spans="1:25" x14ac:dyDescent="0.25">
      <c r="A632" s="79" t="s">
        <v>148</v>
      </c>
      <c r="B632" s="12" t="s">
        <v>219</v>
      </c>
      <c r="C632" s="12" t="s">
        <v>158</v>
      </c>
      <c r="D632" s="80">
        <v>41895</v>
      </c>
      <c r="E632" s="81">
        <v>901</v>
      </c>
      <c r="F632" s="76" t="s">
        <v>150</v>
      </c>
      <c r="G632" s="77" t="s">
        <v>179</v>
      </c>
      <c r="H632" s="77" t="s">
        <v>153</v>
      </c>
      <c r="I632" s="86">
        <v>41795</v>
      </c>
      <c r="J632" s="78">
        <v>864</v>
      </c>
      <c r="K632" s="132" t="s">
        <v>20</v>
      </c>
      <c r="L632" s="132" t="s">
        <v>198</v>
      </c>
      <c r="M632" s="132" t="s">
        <v>158</v>
      </c>
      <c r="N632" s="133">
        <v>41721</v>
      </c>
      <c r="O632" s="134">
        <v>1513</v>
      </c>
      <c r="P632" s="132" t="s">
        <v>151</v>
      </c>
      <c r="Q632" s="132" t="s">
        <v>205</v>
      </c>
      <c r="R632" s="132" t="s">
        <v>158</v>
      </c>
      <c r="S632" s="133">
        <v>41729</v>
      </c>
      <c r="T632" s="134">
        <v>908.3</v>
      </c>
      <c r="U632" s="132" t="s">
        <v>154</v>
      </c>
      <c r="V632" s="132" t="s">
        <v>181</v>
      </c>
      <c r="W632" s="132" t="s">
        <v>153</v>
      </c>
      <c r="X632" s="133">
        <v>41708</v>
      </c>
      <c r="Y632" s="134">
        <v>860</v>
      </c>
    </row>
    <row r="633" spans="1:25" x14ac:dyDescent="0.25">
      <c r="A633" s="79" t="s">
        <v>148</v>
      </c>
      <c r="B633" s="12" t="s">
        <v>219</v>
      </c>
      <c r="C633" s="12" t="s">
        <v>158</v>
      </c>
      <c r="D633" s="80">
        <v>41896</v>
      </c>
      <c r="E633" s="81">
        <v>852</v>
      </c>
      <c r="F633" s="76" t="s">
        <v>150</v>
      </c>
      <c r="G633" s="77" t="s">
        <v>179</v>
      </c>
      <c r="H633" s="77" t="s">
        <v>153</v>
      </c>
      <c r="I633" s="86">
        <v>41802</v>
      </c>
      <c r="J633" s="78">
        <v>1360</v>
      </c>
      <c r="K633" s="132" t="s">
        <v>20</v>
      </c>
      <c r="L633" s="132" t="s">
        <v>198</v>
      </c>
      <c r="M633" s="132" t="s">
        <v>158</v>
      </c>
      <c r="N633" s="133">
        <v>41738</v>
      </c>
      <c r="O633" s="134">
        <v>1456</v>
      </c>
      <c r="P633" s="132" t="s">
        <v>151</v>
      </c>
      <c r="Q633" s="132" t="s">
        <v>205</v>
      </c>
      <c r="R633" s="132" t="s">
        <v>158</v>
      </c>
      <c r="S633" s="133">
        <v>41740</v>
      </c>
      <c r="T633" s="134">
        <v>868.7</v>
      </c>
      <c r="U633" s="132" t="s">
        <v>154</v>
      </c>
      <c r="V633" s="132" t="s">
        <v>181</v>
      </c>
      <c r="W633" s="132" t="s">
        <v>153</v>
      </c>
      <c r="X633" s="133">
        <v>41716</v>
      </c>
      <c r="Y633" s="134">
        <v>841</v>
      </c>
    </row>
    <row r="634" spans="1:25" x14ac:dyDescent="0.25">
      <c r="A634" s="79" t="s">
        <v>148</v>
      </c>
      <c r="B634" s="12" t="s">
        <v>219</v>
      </c>
      <c r="C634" s="12" t="s">
        <v>158</v>
      </c>
      <c r="D634" s="80">
        <v>41899</v>
      </c>
      <c r="E634" s="81">
        <v>1100</v>
      </c>
      <c r="F634" s="76" t="s">
        <v>150</v>
      </c>
      <c r="G634" s="77" t="s">
        <v>179</v>
      </c>
      <c r="H634" s="77" t="s">
        <v>153</v>
      </c>
      <c r="I634" s="86">
        <v>41806</v>
      </c>
      <c r="J634" s="78">
        <v>1203</v>
      </c>
      <c r="K634" s="132" t="s">
        <v>20</v>
      </c>
      <c r="L634" s="132" t="s">
        <v>198</v>
      </c>
      <c r="M634" s="132" t="s">
        <v>158</v>
      </c>
      <c r="N634" s="133">
        <v>41751</v>
      </c>
      <c r="O634" s="134">
        <v>1453</v>
      </c>
      <c r="P634" s="132" t="s">
        <v>151</v>
      </c>
      <c r="Q634" s="132" t="s">
        <v>205</v>
      </c>
      <c r="R634" s="132" t="s">
        <v>158</v>
      </c>
      <c r="S634" s="133">
        <v>41744</v>
      </c>
      <c r="T634" s="134">
        <v>534</v>
      </c>
      <c r="U634" s="132" t="s">
        <v>154</v>
      </c>
      <c r="V634" s="132" t="s">
        <v>181</v>
      </c>
      <c r="W634" s="132" t="s">
        <v>153</v>
      </c>
      <c r="X634" s="133">
        <v>41717</v>
      </c>
      <c r="Y634" s="134">
        <v>760</v>
      </c>
    </row>
    <row r="635" spans="1:25" x14ac:dyDescent="0.25">
      <c r="A635" s="79" t="s">
        <v>148</v>
      </c>
      <c r="B635" s="12" t="s">
        <v>219</v>
      </c>
      <c r="C635" s="12" t="s">
        <v>158</v>
      </c>
      <c r="D635" s="80">
        <v>41900</v>
      </c>
      <c r="E635" s="81">
        <v>800</v>
      </c>
      <c r="F635" s="76" t="s">
        <v>150</v>
      </c>
      <c r="G635" s="77" t="s">
        <v>179</v>
      </c>
      <c r="H635" s="77" t="s">
        <v>153</v>
      </c>
      <c r="I635" s="86">
        <v>41808</v>
      </c>
      <c r="J635" s="78">
        <v>981</v>
      </c>
      <c r="K635" s="132" t="s">
        <v>20</v>
      </c>
      <c r="L635" s="132" t="s">
        <v>198</v>
      </c>
      <c r="M635" s="132" t="s">
        <v>158</v>
      </c>
      <c r="N635" s="133">
        <v>41765</v>
      </c>
      <c r="O635" s="134">
        <v>1849</v>
      </c>
      <c r="P635" s="132" t="s">
        <v>151</v>
      </c>
      <c r="Q635" s="132" t="s">
        <v>205</v>
      </c>
      <c r="R635" s="132" t="s">
        <v>158</v>
      </c>
      <c r="S635" s="133">
        <v>41745</v>
      </c>
      <c r="T635" s="134">
        <v>548.4</v>
      </c>
      <c r="U635" s="132" t="s">
        <v>154</v>
      </c>
      <c r="V635" s="132" t="s">
        <v>181</v>
      </c>
      <c r="W635" s="132" t="s">
        <v>153</v>
      </c>
      <c r="X635" s="133">
        <v>41718</v>
      </c>
      <c r="Y635" s="134">
        <v>824</v>
      </c>
    </row>
    <row r="636" spans="1:25" x14ac:dyDescent="0.25">
      <c r="A636" s="79" t="s">
        <v>148</v>
      </c>
      <c r="B636" s="12" t="s">
        <v>219</v>
      </c>
      <c r="C636" s="12" t="s">
        <v>158</v>
      </c>
      <c r="D636" s="80">
        <v>41901</v>
      </c>
      <c r="E636" s="81">
        <v>825</v>
      </c>
      <c r="F636" s="76" t="s">
        <v>150</v>
      </c>
      <c r="G636" s="77" t="s">
        <v>179</v>
      </c>
      <c r="H636" s="77" t="s">
        <v>153</v>
      </c>
      <c r="I636" s="86">
        <v>41809</v>
      </c>
      <c r="J636" s="78">
        <v>945</v>
      </c>
      <c r="K636" s="132" t="s">
        <v>20</v>
      </c>
      <c r="L636" s="132" t="s">
        <v>198</v>
      </c>
      <c r="M636" s="132" t="s">
        <v>158</v>
      </c>
      <c r="N636" s="133">
        <v>41790</v>
      </c>
      <c r="O636" s="134">
        <v>1062</v>
      </c>
      <c r="P636" s="132" t="s">
        <v>151</v>
      </c>
      <c r="Q636" s="132" t="s">
        <v>210</v>
      </c>
      <c r="R636" s="132" t="s">
        <v>158</v>
      </c>
      <c r="S636" s="133">
        <v>41653</v>
      </c>
      <c r="T636" s="134">
        <v>497.6</v>
      </c>
      <c r="U636" s="132" t="s">
        <v>154</v>
      </c>
      <c r="V636" s="132" t="s">
        <v>181</v>
      </c>
      <c r="W636" s="132" t="s">
        <v>153</v>
      </c>
      <c r="X636" s="133">
        <v>41898</v>
      </c>
      <c r="Y636" s="134">
        <v>397</v>
      </c>
    </row>
    <row r="637" spans="1:25" x14ac:dyDescent="0.25">
      <c r="A637" s="79" t="s">
        <v>148</v>
      </c>
      <c r="B637" s="12" t="s">
        <v>219</v>
      </c>
      <c r="C637" s="12" t="s">
        <v>158</v>
      </c>
      <c r="D637" s="80">
        <v>41904</v>
      </c>
      <c r="E637" s="81">
        <v>1650</v>
      </c>
      <c r="F637" s="76" t="s">
        <v>150</v>
      </c>
      <c r="G637" s="77" t="s">
        <v>179</v>
      </c>
      <c r="H637" s="77" t="s">
        <v>153</v>
      </c>
      <c r="I637" s="86">
        <v>41811</v>
      </c>
      <c r="J637" s="78">
        <v>1004</v>
      </c>
      <c r="K637" s="132" t="s">
        <v>20</v>
      </c>
      <c r="L637" s="132" t="s">
        <v>198</v>
      </c>
      <c r="M637" s="132" t="s">
        <v>158</v>
      </c>
      <c r="N637" s="133">
        <v>41809</v>
      </c>
      <c r="O637" s="134">
        <v>1590</v>
      </c>
      <c r="P637" s="132" t="s">
        <v>151</v>
      </c>
      <c r="Q637" s="132" t="s">
        <v>210</v>
      </c>
      <c r="R637" s="132" t="s">
        <v>158</v>
      </c>
      <c r="S637" s="133">
        <v>41654</v>
      </c>
      <c r="T637" s="134">
        <v>564.70000000000005</v>
      </c>
      <c r="U637" s="132" t="s">
        <v>154</v>
      </c>
      <c r="V637" s="132" t="s">
        <v>181</v>
      </c>
      <c r="W637" s="132" t="s">
        <v>153</v>
      </c>
      <c r="X637" s="133">
        <v>41900</v>
      </c>
      <c r="Y637" s="134">
        <v>368</v>
      </c>
    </row>
    <row r="638" spans="1:25" x14ac:dyDescent="0.25">
      <c r="A638" s="79" t="s">
        <v>148</v>
      </c>
      <c r="B638" s="12" t="s">
        <v>219</v>
      </c>
      <c r="C638" s="12" t="s">
        <v>158</v>
      </c>
      <c r="D638" s="80">
        <v>41905</v>
      </c>
      <c r="E638" s="81">
        <v>801</v>
      </c>
      <c r="F638" s="76" t="s">
        <v>150</v>
      </c>
      <c r="G638" s="77" t="s">
        <v>179</v>
      </c>
      <c r="H638" s="77" t="s">
        <v>153</v>
      </c>
      <c r="I638" s="86">
        <v>41811</v>
      </c>
      <c r="J638" s="78">
        <v>918</v>
      </c>
      <c r="K638" s="132" t="s">
        <v>20</v>
      </c>
      <c r="L638" s="132" t="s">
        <v>198</v>
      </c>
      <c r="M638" s="132" t="s">
        <v>158</v>
      </c>
      <c r="N638" s="133">
        <v>41824</v>
      </c>
      <c r="O638" s="134">
        <v>1561</v>
      </c>
      <c r="P638" s="132" t="s">
        <v>151</v>
      </c>
      <c r="Q638" s="132" t="s">
        <v>210</v>
      </c>
      <c r="R638" s="132" t="s">
        <v>158</v>
      </c>
      <c r="S638" s="133">
        <v>41920</v>
      </c>
      <c r="T638" s="134">
        <v>1161.0999999999999</v>
      </c>
      <c r="U638" s="132" t="s">
        <v>154</v>
      </c>
      <c r="V638" s="132" t="s">
        <v>181</v>
      </c>
      <c r="W638" s="132" t="s">
        <v>153</v>
      </c>
      <c r="X638" s="133">
        <v>41910</v>
      </c>
      <c r="Y638" s="134">
        <v>506</v>
      </c>
    </row>
    <row r="639" spans="1:25" x14ac:dyDescent="0.25">
      <c r="A639" s="79" t="s">
        <v>148</v>
      </c>
      <c r="B639" s="12" t="s">
        <v>219</v>
      </c>
      <c r="C639" s="12" t="s">
        <v>158</v>
      </c>
      <c r="D639" s="80">
        <v>41906</v>
      </c>
      <c r="E639" s="81">
        <v>700</v>
      </c>
      <c r="F639" s="76" t="s">
        <v>150</v>
      </c>
      <c r="G639" s="77" t="s">
        <v>179</v>
      </c>
      <c r="H639" s="77" t="s">
        <v>153</v>
      </c>
      <c r="I639" s="86">
        <v>41813</v>
      </c>
      <c r="J639" s="78">
        <v>651</v>
      </c>
      <c r="K639" s="132" t="s">
        <v>20</v>
      </c>
      <c r="L639" s="132" t="s">
        <v>205</v>
      </c>
      <c r="M639" s="132" t="s">
        <v>158</v>
      </c>
      <c r="N639" s="133">
        <v>41641</v>
      </c>
      <c r="O639" s="134">
        <v>1530</v>
      </c>
      <c r="P639" s="132" t="s">
        <v>151</v>
      </c>
      <c r="Q639" s="132" t="s">
        <v>211</v>
      </c>
      <c r="R639" s="132" t="s">
        <v>158</v>
      </c>
      <c r="S639" s="133">
        <v>41801</v>
      </c>
      <c r="T639" s="134">
        <v>913.7</v>
      </c>
      <c r="U639" s="132" t="s">
        <v>154</v>
      </c>
      <c r="V639" s="132" t="s">
        <v>181</v>
      </c>
      <c r="W639" s="132" t="s">
        <v>153</v>
      </c>
      <c r="X639" s="133">
        <v>41927</v>
      </c>
      <c r="Y639" s="134">
        <v>885</v>
      </c>
    </row>
    <row r="640" spans="1:25" x14ac:dyDescent="0.25">
      <c r="A640" s="79" t="s">
        <v>148</v>
      </c>
      <c r="B640" s="12" t="s">
        <v>219</v>
      </c>
      <c r="C640" s="12" t="s">
        <v>158</v>
      </c>
      <c r="D640" s="80">
        <v>41907</v>
      </c>
      <c r="E640" s="81">
        <v>770</v>
      </c>
      <c r="F640" s="76" t="s">
        <v>150</v>
      </c>
      <c r="G640" s="77" t="s">
        <v>179</v>
      </c>
      <c r="H640" s="77" t="s">
        <v>153</v>
      </c>
      <c r="I640" s="86">
        <v>41813</v>
      </c>
      <c r="J640" s="78">
        <v>612</v>
      </c>
      <c r="K640" s="132" t="s">
        <v>20</v>
      </c>
      <c r="L640" s="132" t="s">
        <v>205</v>
      </c>
      <c r="M640" s="132" t="s">
        <v>158</v>
      </c>
      <c r="N640" s="133">
        <v>41645</v>
      </c>
      <c r="O640" s="134">
        <v>756</v>
      </c>
      <c r="P640" s="132" t="s">
        <v>151</v>
      </c>
      <c r="Q640" s="132" t="s">
        <v>211</v>
      </c>
      <c r="R640" s="132" t="s">
        <v>158</v>
      </c>
      <c r="S640" s="133">
        <v>41907</v>
      </c>
      <c r="T640" s="134">
        <v>590.6</v>
      </c>
      <c r="U640" s="132" t="s">
        <v>154</v>
      </c>
      <c r="V640" s="132" t="s">
        <v>181</v>
      </c>
      <c r="W640" s="132" t="s">
        <v>153</v>
      </c>
      <c r="X640" s="133">
        <v>41935</v>
      </c>
      <c r="Y640" s="134">
        <v>1107</v>
      </c>
    </row>
    <row r="641" spans="1:25" x14ac:dyDescent="0.25">
      <c r="A641" s="79" t="s">
        <v>148</v>
      </c>
      <c r="B641" s="12" t="s">
        <v>219</v>
      </c>
      <c r="C641" s="12" t="s">
        <v>158</v>
      </c>
      <c r="D641" s="80">
        <v>41908</v>
      </c>
      <c r="E641" s="81">
        <v>780</v>
      </c>
      <c r="F641" s="76" t="s">
        <v>150</v>
      </c>
      <c r="G641" s="77" t="s">
        <v>179</v>
      </c>
      <c r="H641" s="77" t="s">
        <v>153</v>
      </c>
      <c r="I641" s="86">
        <v>41831</v>
      </c>
      <c r="J641" s="78">
        <v>200</v>
      </c>
      <c r="K641" s="132" t="s">
        <v>20</v>
      </c>
      <c r="L641" s="132" t="s">
        <v>205</v>
      </c>
      <c r="M641" s="132" t="s">
        <v>158</v>
      </c>
      <c r="N641" s="133">
        <v>41650</v>
      </c>
      <c r="O641" s="134">
        <v>883</v>
      </c>
      <c r="P641" s="132" t="s">
        <v>151</v>
      </c>
      <c r="Q641" s="132" t="s">
        <v>211</v>
      </c>
      <c r="R641" s="132" t="s">
        <v>158</v>
      </c>
      <c r="S641" s="133">
        <v>41908</v>
      </c>
      <c r="T641" s="134">
        <v>409.7</v>
      </c>
      <c r="U641" s="132" t="s">
        <v>154</v>
      </c>
      <c r="V641" s="132" t="s">
        <v>181</v>
      </c>
      <c r="W641" s="132" t="s">
        <v>153</v>
      </c>
      <c r="X641" s="133">
        <v>41936</v>
      </c>
      <c r="Y641" s="134">
        <v>578</v>
      </c>
    </row>
    <row r="642" spans="1:25" x14ac:dyDescent="0.25">
      <c r="A642" s="79" t="s">
        <v>148</v>
      </c>
      <c r="B642" s="12" t="s">
        <v>219</v>
      </c>
      <c r="C642" s="12" t="s">
        <v>158</v>
      </c>
      <c r="D642" s="80">
        <v>41909</v>
      </c>
      <c r="E642" s="81">
        <v>800</v>
      </c>
      <c r="F642" s="76" t="s">
        <v>150</v>
      </c>
      <c r="G642" s="77" t="s">
        <v>179</v>
      </c>
      <c r="H642" s="77" t="s">
        <v>153</v>
      </c>
      <c r="I642" s="86">
        <v>41831</v>
      </c>
      <c r="J642" s="78">
        <v>956</v>
      </c>
      <c r="K642" s="132" t="s">
        <v>20</v>
      </c>
      <c r="L642" s="132" t="s">
        <v>205</v>
      </c>
      <c r="M642" s="132" t="s">
        <v>158</v>
      </c>
      <c r="N642" s="133">
        <v>41680</v>
      </c>
      <c r="O642" s="134">
        <v>1153</v>
      </c>
      <c r="P642" s="132" t="s">
        <v>151</v>
      </c>
      <c r="Q642" s="132" t="s">
        <v>211</v>
      </c>
      <c r="R642" s="132" t="s">
        <v>158</v>
      </c>
      <c r="S642" s="133">
        <v>41912</v>
      </c>
      <c r="T642" s="134">
        <v>744.9</v>
      </c>
      <c r="U642" s="132" t="s">
        <v>154</v>
      </c>
      <c r="V642" s="132" t="s">
        <v>181</v>
      </c>
      <c r="W642" s="132" t="s">
        <v>153</v>
      </c>
      <c r="X642" s="133">
        <v>41939</v>
      </c>
      <c r="Y642" s="134">
        <v>503</v>
      </c>
    </row>
    <row r="643" spans="1:25" x14ac:dyDescent="0.25">
      <c r="A643" s="79" t="s">
        <v>148</v>
      </c>
      <c r="B643" s="12" t="s">
        <v>219</v>
      </c>
      <c r="C643" s="12" t="s">
        <v>158</v>
      </c>
      <c r="D643" s="80">
        <v>41910</v>
      </c>
      <c r="E643" s="81">
        <v>1160</v>
      </c>
      <c r="F643" s="76" t="s">
        <v>150</v>
      </c>
      <c r="G643" s="77" t="s">
        <v>179</v>
      </c>
      <c r="H643" s="77" t="s">
        <v>153</v>
      </c>
      <c r="I643" s="86">
        <v>41832</v>
      </c>
      <c r="J643" s="78">
        <v>787</v>
      </c>
      <c r="K643" s="132" t="s">
        <v>20</v>
      </c>
      <c r="L643" s="132" t="s">
        <v>205</v>
      </c>
      <c r="M643" s="132" t="s">
        <v>158</v>
      </c>
      <c r="N643" s="133">
        <v>41684</v>
      </c>
      <c r="O643" s="134">
        <v>1530</v>
      </c>
      <c r="P643" s="132" t="s">
        <v>151</v>
      </c>
      <c r="Q643" s="132" t="s">
        <v>211</v>
      </c>
      <c r="R643" s="132" t="s">
        <v>158</v>
      </c>
      <c r="S643" s="133">
        <v>41913</v>
      </c>
      <c r="T643" s="134">
        <v>361.8</v>
      </c>
      <c r="U643" s="132" t="s">
        <v>154</v>
      </c>
      <c r="V643" s="132" t="s">
        <v>181</v>
      </c>
      <c r="W643" s="132" t="s">
        <v>153</v>
      </c>
      <c r="X643" s="133">
        <v>41940</v>
      </c>
      <c r="Y643" s="134">
        <v>526</v>
      </c>
    </row>
    <row r="644" spans="1:25" x14ac:dyDescent="0.25">
      <c r="A644" s="79" t="s">
        <v>148</v>
      </c>
      <c r="B644" s="12" t="s">
        <v>219</v>
      </c>
      <c r="C644" s="12" t="s">
        <v>158</v>
      </c>
      <c r="D644" s="80">
        <v>41911</v>
      </c>
      <c r="E644" s="81">
        <v>380</v>
      </c>
      <c r="F644" s="76" t="s">
        <v>150</v>
      </c>
      <c r="G644" s="77" t="s">
        <v>179</v>
      </c>
      <c r="H644" s="77" t="s">
        <v>153</v>
      </c>
      <c r="I644" s="86">
        <v>41834</v>
      </c>
      <c r="J644" s="78">
        <v>848</v>
      </c>
      <c r="K644" s="132" t="s">
        <v>20</v>
      </c>
      <c r="L644" s="132" t="s">
        <v>205</v>
      </c>
      <c r="M644" s="132" t="s">
        <v>158</v>
      </c>
      <c r="N644" s="133">
        <v>41686</v>
      </c>
      <c r="O644" s="134">
        <v>1108</v>
      </c>
      <c r="P644" s="132" t="s">
        <v>151</v>
      </c>
      <c r="Q644" s="132" t="s">
        <v>211</v>
      </c>
      <c r="R644" s="132" t="s">
        <v>158</v>
      </c>
      <c r="S644" s="133">
        <v>41914</v>
      </c>
      <c r="T644" s="134">
        <v>712.6</v>
      </c>
      <c r="U644" s="132" t="s">
        <v>154</v>
      </c>
      <c r="V644" s="132" t="s">
        <v>181</v>
      </c>
      <c r="W644" s="132" t="s">
        <v>153</v>
      </c>
      <c r="X644" s="133">
        <v>41941</v>
      </c>
      <c r="Y644" s="134">
        <v>244</v>
      </c>
    </row>
    <row r="645" spans="1:25" x14ac:dyDescent="0.25">
      <c r="A645" s="79" t="s">
        <v>148</v>
      </c>
      <c r="B645" s="12" t="s">
        <v>219</v>
      </c>
      <c r="C645" s="12" t="s">
        <v>158</v>
      </c>
      <c r="D645" s="80">
        <v>41912</v>
      </c>
      <c r="E645" s="81">
        <v>1200</v>
      </c>
      <c r="F645" s="76" t="s">
        <v>150</v>
      </c>
      <c r="G645" s="77" t="s">
        <v>179</v>
      </c>
      <c r="H645" s="77" t="s">
        <v>153</v>
      </c>
      <c r="I645" s="86">
        <v>41834</v>
      </c>
      <c r="J645" s="78">
        <v>873</v>
      </c>
      <c r="K645" s="132" t="s">
        <v>20</v>
      </c>
      <c r="L645" s="132" t="s">
        <v>205</v>
      </c>
      <c r="M645" s="132" t="s">
        <v>158</v>
      </c>
      <c r="N645" s="133">
        <v>41696</v>
      </c>
      <c r="O645" s="134">
        <v>1281</v>
      </c>
      <c r="P645" s="132" t="s">
        <v>151</v>
      </c>
      <c r="Q645" s="132" t="s">
        <v>211</v>
      </c>
      <c r="R645" s="132" t="s">
        <v>158</v>
      </c>
      <c r="S645" s="133">
        <v>41915</v>
      </c>
      <c r="T645" s="134">
        <v>791</v>
      </c>
      <c r="U645" s="132" t="s">
        <v>154</v>
      </c>
      <c r="V645" s="132" t="s">
        <v>181</v>
      </c>
      <c r="W645" s="132" t="s">
        <v>153</v>
      </c>
      <c r="X645" s="133">
        <v>41942</v>
      </c>
      <c r="Y645" s="134">
        <v>545</v>
      </c>
    </row>
    <row r="646" spans="1:25" x14ac:dyDescent="0.25">
      <c r="A646" s="79" t="s">
        <v>148</v>
      </c>
      <c r="B646" s="12" t="s">
        <v>219</v>
      </c>
      <c r="C646" s="12" t="s">
        <v>158</v>
      </c>
      <c r="D646" s="80">
        <v>41914</v>
      </c>
      <c r="E646" s="81">
        <v>1270</v>
      </c>
      <c r="F646" s="76" t="s">
        <v>150</v>
      </c>
      <c r="G646" s="77" t="s">
        <v>179</v>
      </c>
      <c r="H646" s="77" t="s">
        <v>153</v>
      </c>
      <c r="I646" s="86">
        <v>41835</v>
      </c>
      <c r="J646" s="78">
        <v>1128</v>
      </c>
      <c r="K646" s="132" t="s">
        <v>20</v>
      </c>
      <c r="L646" s="132" t="s">
        <v>205</v>
      </c>
      <c r="M646" s="132" t="s">
        <v>158</v>
      </c>
      <c r="N646" s="133">
        <v>41762</v>
      </c>
      <c r="O646" s="134">
        <v>1327</v>
      </c>
      <c r="P646" s="132" t="s">
        <v>151</v>
      </c>
      <c r="Q646" s="132" t="s">
        <v>211</v>
      </c>
      <c r="R646" s="132" t="s">
        <v>158</v>
      </c>
      <c r="S646" s="133">
        <v>41918</v>
      </c>
      <c r="T646" s="134">
        <v>822.5</v>
      </c>
      <c r="U646" s="132" t="s">
        <v>154</v>
      </c>
      <c r="V646" s="132" t="s">
        <v>181</v>
      </c>
      <c r="W646" s="132" t="s">
        <v>153</v>
      </c>
      <c r="X646" s="133">
        <v>41943</v>
      </c>
      <c r="Y646" s="134">
        <v>657</v>
      </c>
    </row>
    <row r="647" spans="1:25" x14ac:dyDescent="0.25">
      <c r="A647" s="79" t="s">
        <v>148</v>
      </c>
      <c r="B647" s="12" t="s">
        <v>219</v>
      </c>
      <c r="C647" s="12" t="s">
        <v>158</v>
      </c>
      <c r="D647" s="80">
        <v>41915</v>
      </c>
      <c r="E647" s="81">
        <v>1237</v>
      </c>
      <c r="F647" s="76" t="s">
        <v>150</v>
      </c>
      <c r="G647" s="77" t="s">
        <v>179</v>
      </c>
      <c r="H647" s="77" t="s">
        <v>153</v>
      </c>
      <c r="I647" s="86">
        <v>41836</v>
      </c>
      <c r="J647" s="78">
        <v>682</v>
      </c>
      <c r="K647" s="132" t="s">
        <v>20</v>
      </c>
      <c r="L647" s="132" t="s">
        <v>205</v>
      </c>
      <c r="M647" s="132" t="s">
        <v>158</v>
      </c>
      <c r="N647" s="133">
        <v>41764</v>
      </c>
      <c r="O647" s="134">
        <v>792</v>
      </c>
      <c r="P647" s="132" t="s">
        <v>151</v>
      </c>
      <c r="Q647" s="132" t="s">
        <v>211</v>
      </c>
      <c r="R647" s="132" t="s">
        <v>158</v>
      </c>
      <c r="S647" s="133">
        <v>41919</v>
      </c>
      <c r="T647" s="134">
        <v>728.7</v>
      </c>
      <c r="U647" s="132" t="s">
        <v>154</v>
      </c>
      <c r="V647" s="132" t="s">
        <v>181</v>
      </c>
      <c r="W647" s="132" t="s">
        <v>153</v>
      </c>
      <c r="X647" s="133">
        <v>41944</v>
      </c>
      <c r="Y647" s="134">
        <v>410</v>
      </c>
    </row>
    <row r="648" spans="1:25" x14ac:dyDescent="0.25">
      <c r="A648" s="79" t="s">
        <v>148</v>
      </c>
      <c r="B648" s="12" t="s">
        <v>219</v>
      </c>
      <c r="C648" s="12" t="s">
        <v>158</v>
      </c>
      <c r="D648" s="80">
        <v>41916</v>
      </c>
      <c r="E648" s="81">
        <v>778</v>
      </c>
      <c r="F648" s="76" t="s">
        <v>150</v>
      </c>
      <c r="G648" s="77" t="s">
        <v>179</v>
      </c>
      <c r="H648" s="77" t="s">
        <v>153</v>
      </c>
      <c r="I648" s="86">
        <v>41837</v>
      </c>
      <c r="J648" s="78">
        <v>999</v>
      </c>
      <c r="K648" s="132" t="s">
        <v>20</v>
      </c>
      <c r="L648" s="132" t="s">
        <v>205</v>
      </c>
      <c r="M648" s="132" t="s">
        <v>158</v>
      </c>
      <c r="N648" s="133">
        <v>41765</v>
      </c>
      <c r="O648" s="134">
        <v>422</v>
      </c>
      <c r="P648" s="132" t="s">
        <v>151</v>
      </c>
      <c r="Q648" s="132" t="s">
        <v>211</v>
      </c>
      <c r="R648" s="132" t="s">
        <v>158</v>
      </c>
      <c r="S648" s="133">
        <v>41920</v>
      </c>
      <c r="T648" s="134">
        <v>787.2</v>
      </c>
      <c r="U648" s="132" t="s">
        <v>154</v>
      </c>
      <c r="V648" s="132" t="s">
        <v>181</v>
      </c>
      <c r="W648" s="132" t="s">
        <v>153</v>
      </c>
      <c r="X648" s="133">
        <v>41945</v>
      </c>
      <c r="Y648" s="134">
        <v>365</v>
      </c>
    </row>
    <row r="649" spans="1:25" x14ac:dyDescent="0.25">
      <c r="A649" s="79" t="s">
        <v>148</v>
      </c>
      <c r="B649" s="12" t="s">
        <v>219</v>
      </c>
      <c r="C649" s="12" t="s">
        <v>158</v>
      </c>
      <c r="D649" s="80">
        <v>41917</v>
      </c>
      <c r="E649" s="81">
        <v>896</v>
      </c>
      <c r="F649" s="76" t="s">
        <v>150</v>
      </c>
      <c r="G649" s="77" t="s">
        <v>179</v>
      </c>
      <c r="H649" s="77" t="s">
        <v>153</v>
      </c>
      <c r="I649" s="86">
        <v>41844</v>
      </c>
      <c r="J649" s="78">
        <v>784</v>
      </c>
      <c r="K649" s="132" t="s">
        <v>20</v>
      </c>
      <c r="L649" s="132" t="s">
        <v>205</v>
      </c>
      <c r="M649" s="132" t="s">
        <v>158</v>
      </c>
      <c r="N649" s="133">
        <v>41766</v>
      </c>
      <c r="O649" s="134">
        <v>372</v>
      </c>
      <c r="P649" s="132" t="s">
        <v>151</v>
      </c>
      <c r="Q649" s="132" t="s">
        <v>211</v>
      </c>
      <c r="R649" s="132" t="s">
        <v>158</v>
      </c>
      <c r="S649" s="133">
        <v>41921</v>
      </c>
      <c r="T649" s="134">
        <v>723.4</v>
      </c>
      <c r="U649" s="132" t="s">
        <v>154</v>
      </c>
      <c r="V649" s="132" t="s">
        <v>181</v>
      </c>
      <c r="W649" s="132" t="s">
        <v>153</v>
      </c>
      <c r="X649" s="133">
        <v>41946</v>
      </c>
      <c r="Y649" s="134">
        <v>757</v>
      </c>
    </row>
    <row r="650" spans="1:25" x14ac:dyDescent="0.25">
      <c r="A650" s="79" t="s">
        <v>148</v>
      </c>
      <c r="B650" s="12" t="s">
        <v>219</v>
      </c>
      <c r="C650" s="12" t="s">
        <v>158</v>
      </c>
      <c r="D650" s="80">
        <v>41918</v>
      </c>
      <c r="E650" s="81">
        <v>273</v>
      </c>
      <c r="F650" s="76" t="s">
        <v>150</v>
      </c>
      <c r="G650" s="77" t="s">
        <v>179</v>
      </c>
      <c r="H650" s="77" t="s">
        <v>153</v>
      </c>
      <c r="I650" s="86">
        <v>41845</v>
      </c>
      <c r="J650" s="78">
        <v>724</v>
      </c>
      <c r="K650" s="132" t="s">
        <v>20</v>
      </c>
      <c r="L650" s="132" t="s">
        <v>205</v>
      </c>
      <c r="M650" s="132" t="s">
        <v>158</v>
      </c>
      <c r="N650" s="133">
        <v>41769</v>
      </c>
      <c r="O650" s="134">
        <v>869</v>
      </c>
      <c r="P650" s="132" t="s">
        <v>151</v>
      </c>
      <c r="Q650" s="132" t="s">
        <v>211</v>
      </c>
      <c r="R650" s="132" t="s">
        <v>158</v>
      </c>
      <c r="S650" s="133">
        <v>41922</v>
      </c>
      <c r="T650" s="134">
        <v>846.3</v>
      </c>
      <c r="U650" s="132" t="s">
        <v>154</v>
      </c>
      <c r="V650" s="132" t="s">
        <v>181</v>
      </c>
      <c r="W650" s="132" t="s">
        <v>153</v>
      </c>
      <c r="X650" s="133">
        <v>41947</v>
      </c>
      <c r="Y650" s="134">
        <v>953</v>
      </c>
    </row>
    <row r="651" spans="1:25" x14ac:dyDescent="0.25">
      <c r="A651" s="79" t="s">
        <v>148</v>
      </c>
      <c r="B651" s="12" t="s">
        <v>220</v>
      </c>
      <c r="C651" s="12" t="s">
        <v>158</v>
      </c>
      <c r="D651" s="80">
        <v>41817</v>
      </c>
      <c r="E651" s="81">
        <v>1500</v>
      </c>
      <c r="F651" s="76" t="s">
        <v>150</v>
      </c>
      <c r="G651" s="77" t="s">
        <v>179</v>
      </c>
      <c r="H651" s="77" t="s">
        <v>153</v>
      </c>
      <c r="I651" s="86">
        <v>41854</v>
      </c>
      <c r="J651" s="78">
        <v>1586</v>
      </c>
      <c r="K651" s="132" t="s">
        <v>20</v>
      </c>
      <c r="L651" s="132" t="s">
        <v>205</v>
      </c>
      <c r="M651" s="132" t="s">
        <v>158</v>
      </c>
      <c r="N651" s="133">
        <v>41771</v>
      </c>
      <c r="O651" s="134">
        <v>559</v>
      </c>
      <c r="P651" s="132" t="s">
        <v>151</v>
      </c>
      <c r="Q651" s="132" t="s">
        <v>211</v>
      </c>
      <c r="R651" s="132" t="s">
        <v>158</v>
      </c>
      <c r="S651" s="133">
        <v>41925</v>
      </c>
      <c r="T651" s="134">
        <v>796.8</v>
      </c>
      <c r="U651" s="132" t="s">
        <v>154</v>
      </c>
      <c r="V651" s="132" t="s">
        <v>181</v>
      </c>
      <c r="W651" s="132" t="s">
        <v>153</v>
      </c>
      <c r="X651" s="133">
        <v>41948</v>
      </c>
      <c r="Y651" s="134">
        <v>830</v>
      </c>
    </row>
    <row r="652" spans="1:25" x14ac:dyDescent="0.25">
      <c r="A652" s="79" t="s">
        <v>148</v>
      </c>
      <c r="B652" s="12" t="s">
        <v>220</v>
      </c>
      <c r="C652" s="12" t="s">
        <v>158</v>
      </c>
      <c r="D652" s="80">
        <v>41818</v>
      </c>
      <c r="E652" s="81">
        <v>925</v>
      </c>
      <c r="F652" s="76" t="s">
        <v>150</v>
      </c>
      <c r="G652" s="77" t="s">
        <v>179</v>
      </c>
      <c r="H652" s="77" t="s">
        <v>153</v>
      </c>
      <c r="I652" s="86">
        <v>41856</v>
      </c>
      <c r="J652" s="78">
        <v>883</v>
      </c>
      <c r="K652" s="132" t="s">
        <v>20</v>
      </c>
      <c r="L652" s="132" t="s">
        <v>205</v>
      </c>
      <c r="M652" s="132" t="s">
        <v>158</v>
      </c>
      <c r="N652" s="133">
        <v>41782</v>
      </c>
      <c r="O652" s="134">
        <v>1234</v>
      </c>
      <c r="P652" s="132" t="s">
        <v>151</v>
      </c>
      <c r="Q652" s="132" t="s">
        <v>211</v>
      </c>
      <c r="R652" s="132" t="s">
        <v>158</v>
      </c>
      <c r="S652" s="133">
        <v>41926</v>
      </c>
      <c r="T652" s="134">
        <v>845.6</v>
      </c>
      <c r="U652" s="132" t="s">
        <v>154</v>
      </c>
      <c r="V652" s="132" t="s">
        <v>181</v>
      </c>
      <c r="W652" s="132" t="s">
        <v>153</v>
      </c>
      <c r="X652" s="133">
        <v>41949</v>
      </c>
      <c r="Y652" s="134">
        <v>991</v>
      </c>
    </row>
    <row r="653" spans="1:25" x14ac:dyDescent="0.25">
      <c r="A653" s="79" t="s">
        <v>148</v>
      </c>
      <c r="B653" s="12" t="s">
        <v>220</v>
      </c>
      <c r="C653" s="12" t="s">
        <v>158</v>
      </c>
      <c r="D653" s="80">
        <v>41819</v>
      </c>
      <c r="E653" s="81">
        <v>850</v>
      </c>
      <c r="F653" s="76" t="s">
        <v>150</v>
      </c>
      <c r="G653" s="77" t="s">
        <v>179</v>
      </c>
      <c r="H653" s="77" t="s">
        <v>153</v>
      </c>
      <c r="I653" s="86">
        <v>41863</v>
      </c>
      <c r="J653" s="78">
        <v>920</v>
      </c>
      <c r="K653" s="132" t="s">
        <v>20</v>
      </c>
      <c r="L653" s="132" t="s">
        <v>210</v>
      </c>
      <c r="M653" s="132" t="s">
        <v>158</v>
      </c>
      <c r="N653" s="133">
        <v>41675</v>
      </c>
      <c r="O653" s="134">
        <v>1637</v>
      </c>
      <c r="P653" s="132" t="s">
        <v>151</v>
      </c>
      <c r="Q653" s="132" t="s">
        <v>211</v>
      </c>
      <c r="R653" s="132" t="s">
        <v>158</v>
      </c>
      <c r="S653" s="133">
        <v>41927</v>
      </c>
      <c r="T653" s="134">
        <v>473.6</v>
      </c>
      <c r="U653" s="132" t="s">
        <v>154</v>
      </c>
      <c r="V653" s="132" t="s">
        <v>181</v>
      </c>
      <c r="W653" s="132" t="s">
        <v>153</v>
      </c>
      <c r="X653" s="133">
        <v>41950</v>
      </c>
      <c r="Y653" s="134">
        <v>964</v>
      </c>
    </row>
    <row r="654" spans="1:25" x14ac:dyDescent="0.25">
      <c r="A654" s="79" t="s">
        <v>148</v>
      </c>
      <c r="B654" s="12" t="s">
        <v>220</v>
      </c>
      <c r="C654" s="12" t="s">
        <v>158</v>
      </c>
      <c r="D654" s="80">
        <v>41820</v>
      </c>
      <c r="E654" s="81">
        <v>750</v>
      </c>
      <c r="F654" s="76" t="s">
        <v>150</v>
      </c>
      <c r="G654" s="77" t="s">
        <v>179</v>
      </c>
      <c r="H654" s="77" t="s">
        <v>153</v>
      </c>
      <c r="I654" s="86">
        <v>41864</v>
      </c>
      <c r="J654" s="78">
        <v>1208</v>
      </c>
      <c r="K654" s="132" t="s">
        <v>20</v>
      </c>
      <c r="L654" s="132" t="s">
        <v>210</v>
      </c>
      <c r="M654" s="132" t="s">
        <v>158</v>
      </c>
      <c r="N654" s="133">
        <v>41691</v>
      </c>
      <c r="O654" s="134">
        <v>1537</v>
      </c>
      <c r="P654" s="132" t="s">
        <v>151</v>
      </c>
      <c r="Q654" s="132" t="s">
        <v>211</v>
      </c>
      <c r="R654" s="132" t="s">
        <v>158</v>
      </c>
      <c r="S654" s="133">
        <v>41928</v>
      </c>
      <c r="T654" s="134">
        <v>485.8</v>
      </c>
      <c r="U654" s="132" t="s">
        <v>154</v>
      </c>
      <c r="V654" s="132" t="s">
        <v>181</v>
      </c>
      <c r="W654" s="132" t="s">
        <v>153</v>
      </c>
      <c r="X654" s="133">
        <v>41982</v>
      </c>
      <c r="Y654" s="134">
        <v>780</v>
      </c>
    </row>
    <row r="655" spans="1:25" x14ac:dyDescent="0.25">
      <c r="A655" s="79" t="s">
        <v>148</v>
      </c>
      <c r="B655" s="12" t="s">
        <v>220</v>
      </c>
      <c r="C655" s="12" t="s">
        <v>158</v>
      </c>
      <c r="D655" s="80">
        <v>41821</v>
      </c>
      <c r="E655" s="81">
        <v>760</v>
      </c>
      <c r="F655" s="76" t="s">
        <v>150</v>
      </c>
      <c r="G655" s="77" t="s">
        <v>179</v>
      </c>
      <c r="H655" s="77" t="s">
        <v>153</v>
      </c>
      <c r="I655" s="86">
        <v>41866</v>
      </c>
      <c r="J655" s="78">
        <v>627</v>
      </c>
      <c r="K655" s="132" t="s">
        <v>20</v>
      </c>
      <c r="L655" s="132" t="s">
        <v>210</v>
      </c>
      <c r="M655" s="132" t="s">
        <v>158</v>
      </c>
      <c r="N655" s="133">
        <v>41713</v>
      </c>
      <c r="O655" s="134">
        <v>1100</v>
      </c>
      <c r="P655" s="132" t="s">
        <v>151</v>
      </c>
      <c r="Q655" s="132" t="s">
        <v>211</v>
      </c>
      <c r="R655" s="132" t="s">
        <v>158</v>
      </c>
      <c r="S655" s="133">
        <v>41929</v>
      </c>
      <c r="T655" s="134">
        <v>337.5</v>
      </c>
      <c r="U655" s="132" t="s">
        <v>154</v>
      </c>
      <c r="V655" s="132" t="s">
        <v>181</v>
      </c>
      <c r="W655" s="132" t="s">
        <v>153</v>
      </c>
      <c r="X655" s="133">
        <v>41983</v>
      </c>
      <c r="Y655" s="134">
        <v>1001</v>
      </c>
    </row>
    <row r="656" spans="1:25" x14ac:dyDescent="0.25">
      <c r="A656" s="79" t="s">
        <v>148</v>
      </c>
      <c r="B656" s="12" t="s">
        <v>220</v>
      </c>
      <c r="C656" s="12" t="s">
        <v>158</v>
      </c>
      <c r="D656" s="80">
        <v>41822</v>
      </c>
      <c r="E656" s="81">
        <v>800</v>
      </c>
      <c r="F656" s="76" t="s">
        <v>150</v>
      </c>
      <c r="G656" s="77" t="s">
        <v>179</v>
      </c>
      <c r="H656" s="77" t="s">
        <v>153</v>
      </c>
      <c r="I656" s="86">
        <v>41869</v>
      </c>
      <c r="J656" s="78">
        <v>1035</v>
      </c>
      <c r="K656" s="132" t="s">
        <v>20</v>
      </c>
      <c r="L656" s="132" t="s">
        <v>210</v>
      </c>
      <c r="M656" s="132" t="s">
        <v>158</v>
      </c>
      <c r="N656" s="133">
        <v>41721</v>
      </c>
      <c r="O656" s="134">
        <v>837</v>
      </c>
      <c r="P656" s="132" t="s">
        <v>151</v>
      </c>
      <c r="Q656" s="132" t="s">
        <v>211</v>
      </c>
      <c r="R656" s="132" t="s">
        <v>158</v>
      </c>
      <c r="S656" s="133">
        <v>41932</v>
      </c>
      <c r="T656" s="134">
        <v>813</v>
      </c>
      <c r="U656" s="132" t="s">
        <v>154</v>
      </c>
      <c r="V656" s="132" t="s">
        <v>181</v>
      </c>
      <c r="W656" s="132" t="s">
        <v>153</v>
      </c>
      <c r="X656" s="133">
        <v>41984</v>
      </c>
      <c r="Y656" s="134">
        <v>581</v>
      </c>
    </row>
    <row r="657" spans="1:25" x14ac:dyDescent="0.25">
      <c r="A657" s="79" t="s">
        <v>148</v>
      </c>
      <c r="B657" s="12" t="s">
        <v>220</v>
      </c>
      <c r="C657" s="12" t="s">
        <v>158</v>
      </c>
      <c r="D657" s="80">
        <v>41823</v>
      </c>
      <c r="E657" s="81">
        <v>800</v>
      </c>
      <c r="F657" s="76" t="s">
        <v>150</v>
      </c>
      <c r="G657" s="77" t="s">
        <v>179</v>
      </c>
      <c r="H657" s="77" t="s">
        <v>153</v>
      </c>
      <c r="I657" s="86">
        <v>41870</v>
      </c>
      <c r="J657" s="78">
        <v>849</v>
      </c>
      <c r="K657" s="132" t="s">
        <v>20</v>
      </c>
      <c r="L657" s="132" t="s">
        <v>210</v>
      </c>
      <c r="M657" s="132" t="s">
        <v>158</v>
      </c>
      <c r="N657" s="133">
        <v>41727</v>
      </c>
      <c r="O657" s="134">
        <v>831</v>
      </c>
      <c r="P657" s="132" t="s">
        <v>151</v>
      </c>
      <c r="Q657" s="132" t="s">
        <v>211</v>
      </c>
      <c r="R657" s="132" t="s">
        <v>158</v>
      </c>
      <c r="S657" s="133">
        <v>41933</v>
      </c>
      <c r="T657" s="134">
        <v>694.7</v>
      </c>
      <c r="U657" s="132" t="s">
        <v>154</v>
      </c>
      <c r="V657" s="132" t="s">
        <v>181</v>
      </c>
      <c r="W657" s="132" t="s">
        <v>153</v>
      </c>
      <c r="X657" s="133">
        <v>41985</v>
      </c>
      <c r="Y657" s="134">
        <v>1141</v>
      </c>
    </row>
    <row r="658" spans="1:25" x14ac:dyDescent="0.25">
      <c r="A658" s="79" t="s">
        <v>148</v>
      </c>
      <c r="B658" s="12" t="s">
        <v>220</v>
      </c>
      <c r="C658" s="12" t="s">
        <v>158</v>
      </c>
      <c r="D658" s="80">
        <v>41824</v>
      </c>
      <c r="E658" s="81">
        <v>1298</v>
      </c>
      <c r="F658" s="76" t="s">
        <v>150</v>
      </c>
      <c r="G658" s="77" t="s">
        <v>179</v>
      </c>
      <c r="H658" s="77" t="s">
        <v>153</v>
      </c>
      <c r="I658" s="86">
        <v>41871</v>
      </c>
      <c r="J658" s="78">
        <v>809</v>
      </c>
      <c r="K658" s="132" t="s">
        <v>20</v>
      </c>
      <c r="L658" s="132" t="s">
        <v>210</v>
      </c>
      <c r="M658" s="132" t="s">
        <v>158</v>
      </c>
      <c r="N658" s="133">
        <v>41747</v>
      </c>
      <c r="O658" s="134">
        <v>2004</v>
      </c>
      <c r="P658" s="132" t="s">
        <v>151</v>
      </c>
      <c r="Q658" s="132" t="s">
        <v>211</v>
      </c>
      <c r="R658" s="132" t="s">
        <v>158</v>
      </c>
      <c r="S658" s="133">
        <v>41934</v>
      </c>
      <c r="T658" s="134">
        <v>788.9</v>
      </c>
      <c r="U658" s="132" t="s">
        <v>154</v>
      </c>
      <c r="V658" s="132" t="s">
        <v>181</v>
      </c>
      <c r="W658" s="132" t="s">
        <v>153</v>
      </c>
      <c r="X658" s="133">
        <v>41986</v>
      </c>
      <c r="Y658" s="134">
        <v>614</v>
      </c>
    </row>
    <row r="659" spans="1:25" x14ac:dyDescent="0.25">
      <c r="A659" s="79" t="s">
        <v>148</v>
      </c>
      <c r="B659" s="12" t="s">
        <v>220</v>
      </c>
      <c r="C659" s="12" t="s">
        <v>158</v>
      </c>
      <c r="D659" s="80">
        <v>41825</v>
      </c>
      <c r="E659" s="81">
        <v>1020</v>
      </c>
      <c r="F659" s="76" t="s">
        <v>150</v>
      </c>
      <c r="G659" s="77" t="s">
        <v>179</v>
      </c>
      <c r="H659" s="77" t="s">
        <v>153</v>
      </c>
      <c r="I659" s="86">
        <v>41872</v>
      </c>
      <c r="J659" s="78">
        <v>587</v>
      </c>
      <c r="K659" s="132" t="s">
        <v>20</v>
      </c>
      <c r="L659" s="132" t="s">
        <v>210</v>
      </c>
      <c r="M659" s="132" t="s">
        <v>158</v>
      </c>
      <c r="N659" s="133">
        <v>41795</v>
      </c>
      <c r="O659" s="134">
        <v>1241</v>
      </c>
      <c r="P659" s="132" t="s">
        <v>151</v>
      </c>
      <c r="Q659" s="132" t="s">
        <v>211</v>
      </c>
      <c r="R659" s="132" t="s">
        <v>158</v>
      </c>
      <c r="S659" s="133">
        <v>41935</v>
      </c>
      <c r="T659" s="134">
        <v>435.9</v>
      </c>
      <c r="U659" s="132" t="s">
        <v>154</v>
      </c>
      <c r="V659" s="132" t="s">
        <v>181</v>
      </c>
      <c r="W659" s="132" t="s">
        <v>153</v>
      </c>
      <c r="X659" s="133">
        <v>41987</v>
      </c>
      <c r="Y659" s="134">
        <v>574</v>
      </c>
    </row>
    <row r="660" spans="1:25" x14ac:dyDescent="0.25">
      <c r="A660" s="79" t="s">
        <v>148</v>
      </c>
      <c r="B660" s="12" t="s">
        <v>220</v>
      </c>
      <c r="C660" s="12" t="s">
        <v>158</v>
      </c>
      <c r="D660" s="80">
        <v>41827</v>
      </c>
      <c r="E660" s="81">
        <v>929</v>
      </c>
      <c r="F660" s="76" t="s">
        <v>150</v>
      </c>
      <c r="G660" s="77" t="s">
        <v>179</v>
      </c>
      <c r="H660" s="77" t="s">
        <v>153</v>
      </c>
      <c r="I660" s="86">
        <v>41876</v>
      </c>
      <c r="J660" s="78">
        <v>877</v>
      </c>
      <c r="K660" s="132" t="s">
        <v>20</v>
      </c>
      <c r="L660" s="132" t="s">
        <v>210</v>
      </c>
      <c r="M660" s="132" t="s">
        <v>158</v>
      </c>
      <c r="N660" s="133">
        <v>41798</v>
      </c>
      <c r="O660" s="134">
        <v>356</v>
      </c>
      <c r="P660" s="132" t="s">
        <v>151</v>
      </c>
      <c r="Q660" s="132" t="s">
        <v>211</v>
      </c>
      <c r="R660" s="132" t="s">
        <v>158</v>
      </c>
      <c r="S660" s="133">
        <v>41936</v>
      </c>
      <c r="T660" s="134">
        <v>665.9</v>
      </c>
      <c r="U660" s="132" t="s">
        <v>154</v>
      </c>
      <c r="V660" s="132" t="s">
        <v>181</v>
      </c>
      <c r="W660" s="132" t="s">
        <v>153</v>
      </c>
      <c r="X660" s="133">
        <v>41997</v>
      </c>
      <c r="Y660" s="134">
        <v>804</v>
      </c>
    </row>
    <row r="661" spans="1:25" x14ac:dyDescent="0.25">
      <c r="A661" s="79" t="s">
        <v>148</v>
      </c>
      <c r="B661" s="12" t="s">
        <v>220</v>
      </c>
      <c r="C661" s="12" t="s">
        <v>158</v>
      </c>
      <c r="D661" s="80">
        <v>41827</v>
      </c>
      <c r="E661" s="81">
        <v>900</v>
      </c>
      <c r="F661" s="76" t="s">
        <v>150</v>
      </c>
      <c r="G661" s="77" t="s">
        <v>179</v>
      </c>
      <c r="H661" s="77" t="s">
        <v>153</v>
      </c>
      <c r="I661" s="86">
        <v>41878</v>
      </c>
      <c r="J661" s="78">
        <v>1251</v>
      </c>
      <c r="K661" s="132" t="s">
        <v>20</v>
      </c>
      <c r="L661" s="132" t="s">
        <v>210</v>
      </c>
      <c r="M661" s="132" t="s">
        <v>158</v>
      </c>
      <c r="N661" s="133">
        <v>41856</v>
      </c>
      <c r="O661" s="134">
        <v>1444</v>
      </c>
      <c r="P661" s="132" t="s">
        <v>151</v>
      </c>
      <c r="Q661" s="132" t="s">
        <v>211</v>
      </c>
      <c r="R661" s="132" t="s">
        <v>158</v>
      </c>
      <c r="S661" s="133">
        <v>41939</v>
      </c>
      <c r="T661" s="134">
        <v>866.8</v>
      </c>
      <c r="U661" s="132" t="s">
        <v>154</v>
      </c>
      <c r="V661" s="132" t="s">
        <v>181</v>
      </c>
      <c r="W661" s="132" t="s">
        <v>153</v>
      </c>
      <c r="X661" s="133">
        <v>41998</v>
      </c>
      <c r="Y661" s="134">
        <v>491</v>
      </c>
    </row>
    <row r="662" spans="1:25" x14ac:dyDescent="0.25">
      <c r="A662" s="79" t="s">
        <v>148</v>
      </c>
      <c r="B662" s="12" t="s">
        <v>220</v>
      </c>
      <c r="C662" s="12" t="s">
        <v>158</v>
      </c>
      <c r="D662" s="80">
        <v>41828</v>
      </c>
      <c r="E662" s="81">
        <v>760</v>
      </c>
      <c r="F662" s="76" t="s">
        <v>150</v>
      </c>
      <c r="G662" s="77" t="s">
        <v>179</v>
      </c>
      <c r="H662" s="77" t="s">
        <v>153</v>
      </c>
      <c r="I662" s="86">
        <v>41879</v>
      </c>
      <c r="J662" s="78">
        <v>858</v>
      </c>
      <c r="K662" s="132" t="s">
        <v>20</v>
      </c>
      <c r="L662" s="132" t="s">
        <v>210</v>
      </c>
      <c r="M662" s="132" t="s">
        <v>158</v>
      </c>
      <c r="N662" s="133">
        <v>41864</v>
      </c>
      <c r="O662" s="134">
        <v>565</v>
      </c>
      <c r="P662" s="132" t="s">
        <v>151</v>
      </c>
      <c r="Q662" s="132" t="s">
        <v>211</v>
      </c>
      <c r="R662" s="132" t="s">
        <v>158</v>
      </c>
      <c r="S662" s="133">
        <v>41940</v>
      </c>
      <c r="T662" s="134">
        <v>594.29999999999995</v>
      </c>
      <c r="U662" s="132" t="s">
        <v>154</v>
      </c>
      <c r="V662" s="132" t="s">
        <v>181</v>
      </c>
      <c r="W662" s="132" t="s">
        <v>153</v>
      </c>
      <c r="X662" s="133">
        <v>41998</v>
      </c>
      <c r="Y662" s="134">
        <v>860</v>
      </c>
    </row>
    <row r="663" spans="1:25" x14ac:dyDescent="0.25">
      <c r="A663" s="79" t="s">
        <v>148</v>
      </c>
      <c r="B663" s="12" t="s">
        <v>220</v>
      </c>
      <c r="C663" s="12" t="s">
        <v>158</v>
      </c>
      <c r="D663" s="80">
        <v>41829</v>
      </c>
      <c r="E663" s="81">
        <v>830</v>
      </c>
      <c r="F663" s="76" t="s">
        <v>150</v>
      </c>
      <c r="G663" s="77" t="s">
        <v>179</v>
      </c>
      <c r="H663" s="77" t="s">
        <v>153</v>
      </c>
      <c r="I663" s="86">
        <v>41880</v>
      </c>
      <c r="J663" s="78">
        <v>882</v>
      </c>
      <c r="K663" s="132" t="s">
        <v>20</v>
      </c>
      <c r="L663" s="132" t="s">
        <v>210</v>
      </c>
      <c r="M663" s="132" t="s">
        <v>158</v>
      </c>
      <c r="N663" s="133">
        <v>41884</v>
      </c>
      <c r="O663" s="134">
        <v>1264</v>
      </c>
      <c r="P663" s="132" t="s">
        <v>151</v>
      </c>
      <c r="Q663" s="132" t="s">
        <v>211</v>
      </c>
      <c r="R663" s="132" t="s">
        <v>158</v>
      </c>
      <c r="S663" s="133">
        <v>41941</v>
      </c>
      <c r="T663" s="134">
        <v>727.7</v>
      </c>
      <c r="U663" s="132" t="s">
        <v>154</v>
      </c>
      <c r="V663" s="132" t="s">
        <v>181</v>
      </c>
      <c r="W663" s="132" t="s">
        <v>153</v>
      </c>
      <c r="X663" s="133">
        <v>41999</v>
      </c>
      <c r="Y663" s="134">
        <v>735</v>
      </c>
    </row>
    <row r="664" spans="1:25" x14ac:dyDescent="0.25">
      <c r="A664" s="79" t="s">
        <v>148</v>
      </c>
      <c r="B664" s="12" t="s">
        <v>220</v>
      </c>
      <c r="C664" s="12" t="s">
        <v>158</v>
      </c>
      <c r="D664" s="80">
        <v>41830</v>
      </c>
      <c r="E664" s="81">
        <v>1000</v>
      </c>
      <c r="F664" s="76" t="s">
        <v>150</v>
      </c>
      <c r="G664" s="77" t="s">
        <v>179</v>
      </c>
      <c r="H664" s="77" t="s">
        <v>153</v>
      </c>
      <c r="I664" s="86">
        <v>41885</v>
      </c>
      <c r="J664" s="78">
        <v>1053</v>
      </c>
      <c r="K664" s="132" t="s">
        <v>20</v>
      </c>
      <c r="L664" s="132" t="s">
        <v>210</v>
      </c>
      <c r="M664" s="132" t="s">
        <v>158</v>
      </c>
      <c r="N664" s="133">
        <v>41887</v>
      </c>
      <c r="O664" s="134">
        <v>338</v>
      </c>
      <c r="P664" s="132" t="s">
        <v>151</v>
      </c>
      <c r="Q664" s="132" t="s">
        <v>211</v>
      </c>
      <c r="R664" s="132" t="s">
        <v>158</v>
      </c>
      <c r="S664" s="133">
        <v>41942</v>
      </c>
      <c r="T664" s="134">
        <v>628.6</v>
      </c>
      <c r="U664" s="132" t="s">
        <v>154</v>
      </c>
      <c r="V664" s="132" t="s">
        <v>181</v>
      </c>
      <c r="W664" s="132" t="s">
        <v>153</v>
      </c>
      <c r="X664" s="133">
        <v>42001</v>
      </c>
      <c r="Y664" s="134">
        <v>400</v>
      </c>
    </row>
    <row r="665" spans="1:25" x14ac:dyDescent="0.25">
      <c r="A665" s="79" t="s">
        <v>148</v>
      </c>
      <c r="B665" s="12" t="s">
        <v>220</v>
      </c>
      <c r="C665" s="12" t="s">
        <v>158</v>
      </c>
      <c r="D665" s="80">
        <v>41831</v>
      </c>
      <c r="E665" s="81">
        <v>625</v>
      </c>
      <c r="F665" s="76" t="s">
        <v>150</v>
      </c>
      <c r="G665" s="77" t="s">
        <v>179</v>
      </c>
      <c r="H665" s="77" t="s">
        <v>153</v>
      </c>
      <c r="I665" s="86">
        <v>41886</v>
      </c>
      <c r="J665" s="78">
        <v>741</v>
      </c>
      <c r="K665" s="132" t="s">
        <v>20</v>
      </c>
      <c r="L665" s="132" t="s">
        <v>210</v>
      </c>
      <c r="M665" s="132" t="s">
        <v>158</v>
      </c>
      <c r="N665" s="133">
        <v>41895</v>
      </c>
      <c r="O665" s="134">
        <v>621</v>
      </c>
      <c r="P665" s="132" t="s">
        <v>151</v>
      </c>
      <c r="Q665" s="132" t="s">
        <v>211</v>
      </c>
      <c r="R665" s="132" t="s">
        <v>158</v>
      </c>
      <c r="S665" s="133">
        <v>41943</v>
      </c>
      <c r="T665" s="134">
        <v>773.7</v>
      </c>
      <c r="U665" s="132" t="s">
        <v>154</v>
      </c>
      <c r="V665" s="132" t="s">
        <v>181</v>
      </c>
      <c r="W665" s="132" t="s">
        <v>153</v>
      </c>
      <c r="X665" s="133">
        <v>42002</v>
      </c>
      <c r="Y665" s="134">
        <v>1001</v>
      </c>
    </row>
    <row r="666" spans="1:25" x14ac:dyDescent="0.25">
      <c r="A666" s="79" t="s">
        <v>148</v>
      </c>
      <c r="B666" s="12" t="s">
        <v>220</v>
      </c>
      <c r="C666" s="12" t="s">
        <v>158</v>
      </c>
      <c r="D666" s="80">
        <v>41832</v>
      </c>
      <c r="E666" s="81">
        <v>1234</v>
      </c>
      <c r="F666" s="76" t="s">
        <v>150</v>
      </c>
      <c r="G666" s="77" t="s">
        <v>179</v>
      </c>
      <c r="H666" s="77" t="s">
        <v>153</v>
      </c>
      <c r="I666" s="86">
        <v>41887</v>
      </c>
      <c r="J666" s="78">
        <v>869</v>
      </c>
      <c r="K666" s="132" t="s">
        <v>20</v>
      </c>
      <c r="L666" s="132" t="s">
        <v>210</v>
      </c>
      <c r="M666" s="132" t="s">
        <v>158</v>
      </c>
      <c r="N666" s="133">
        <v>41912</v>
      </c>
      <c r="O666" s="134">
        <v>1331</v>
      </c>
      <c r="P666" s="132" t="s">
        <v>151</v>
      </c>
      <c r="Q666" s="132" t="s">
        <v>211</v>
      </c>
      <c r="R666" s="132" t="s">
        <v>158</v>
      </c>
      <c r="S666" s="133">
        <v>41948</v>
      </c>
      <c r="T666" s="134">
        <v>423.8</v>
      </c>
      <c r="U666" s="132" t="s">
        <v>154</v>
      </c>
      <c r="V666" s="132" t="s">
        <v>162</v>
      </c>
      <c r="W666" s="132" t="s">
        <v>153</v>
      </c>
      <c r="X666" s="133">
        <v>41646</v>
      </c>
      <c r="Y666" s="134">
        <v>620</v>
      </c>
    </row>
    <row r="667" spans="1:25" x14ac:dyDescent="0.25">
      <c r="A667" s="79" t="s">
        <v>148</v>
      </c>
      <c r="B667" s="12" t="s">
        <v>220</v>
      </c>
      <c r="C667" s="12" t="s">
        <v>158</v>
      </c>
      <c r="D667" s="80">
        <v>41833</v>
      </c>
      <c r="E667" s="81">
        <v>943</v>
      </c>
      <c r="F667" s="76" t="s">
        <v>150</v>
      </c>
      <c r="G667" s="77" t="s">
        <v>179</v>
      </c>
      <c r="H667" s="77" t="s">
        <v>153</v>
      </c>
      <c r="I667" s="86">
        <v>41891</v>
      </c>
      <c r="J667" s="78">
        <v>874</v>
      </c>
      <c r="K667" s="132" t="s">
        <v>20</v>
      </c>
      <c r="L667" s="132" t="s">
        <v>210</v>
      </c>
      <c r="M667" s="132" t="s">
        <v>158</v>
      </c>
      <c r="N667" s="133">
        <v>41933</v>
      </c>
      <c r="O667" s="134">
        <v>1134</v>
      </c>
      <c r="P667" s="132" t="s">
        <v>151</v>
      </c>
      <c r="Q667" s="132" t="s">
        <v>211</v>
      </c>
      <c r="R667" s="132" t="s">
        <v>158</v>
      </c>
      <c r="S667" s="133">
        <v>41949</v>
      </c>
      <c r="T667" s="134">
        <v>557.20000000000005</v>
      </c>
      <c r="U667" s="132" t="s">
        <v>154</v>
      </c>
      <c r="V667" s="132" t="s">
        <v>162</v>
      </c>
      <c r="W667" s="132" t="s">
        <v>153</v>
      </c>
      <c r="X667" s="133">
        <v>41647</v>
      </c>
      <c r="Y667" s="134">
        <v>1037</v>
      </c>
    </row>
    <row r="668" spans="1:25" x14ac:dyDescent="0.25">
      <c r="A668" s="79" t="s">
        <v>148</v>
      </c>
      <c r="B668" s="12" t="s">
        <v>220</v>
      </c>
      <c r="C668" s="12" t="s">
        <v>158</v>
      </c>
      <c r="D668" s="80">
        <v>41834</v>
      </c>
      <c r="E668" s="81">
        <v>440</v>
      </c>
      <c r="F668" s="76" t="s">
        <v>150</v>
      </c>
      <c r="G668" s="77" t="s">
        <v>179</v>
      </c>
      <c r="H668" s="77" t="s">
        <v>153</v>
      </c>
      <c r="I668" s="86">
        <v>41891</v>
      </c>
      <c r="J668" s="78">
        <v>1029</v>
      </c>
      <c r="K668" s="132" t="s">
        <v>20</v>
      </c>
      <c r="L668" s="132" t="s">
        <v>210</v>
      </c>
      <c r="M668" s="132" t="s">
        <v>158</v>
      </c>
      <c r="N668" s="133">
        <v>41950</v>
      </c>
      <c r="O668" s="134">
        <v>1251</v>
      </c>
      <c r="P668" s="132" t="s">
        <v>151</v>
      </c>
      <c r="Q668" s="132" t="s">
        <v>211</v>
      </c>
      <c r="R668" s="132" t="s">
        <v>158</v>
      </c>
      <c r="S668" s="133">
        <v>41950</v>
      </c>
      <c r="T668" s="134">
        <v>617.70000000000005</v>
      </c>
      <c r="U668" s="132" t="s">
        <v>154</v>
      </c>
      <c r="V668" s="132" t="s">
        <v>162</v>
      </c>
      <c r="W668" s="132" t="s">
        <v>153</v>
      </c>
      <c r="X668" s="133">
        <v>41648</v>
      </c>
      <c r="Y668" s="134">
        <v>830</v>
      </c>
    </row>
    <row r="669" spans="1:25" x14ac:dyDescent="0.25">
      <c r="A669" s="79" t="s">
        <v>148</v>
      </c>
      <c r="B669" s="12" t="s">
        <v>220</v>
      </c>
      <c r="C669" s="12" t="s">
        <v>158</v>
      </c>
      <c r="D669" s="80">
        <v>41835</v>
      </c>
      <c r="E669" s="81">
        <v>780</v>
      </c>
      <c r="F669" s="76" t="s">
        <v>150</v>
      </c>
      <c r="G669" s="77" t="s">
        <v>179</v>
      </c>
      <c r="H669" s="77" t="s">
        <v>153</v>
      </c>
      <c r="I669" s="86">
        <v>41892</v>
      </c>
      <c r="J669" s="78">
        <v>1368</v>
      </c>
      <c r="K669" s="132" t="s">
        <v>20</v>
      </c>
      <c r="L669" s="132" t="s">
        <v>210</v>
      </c>
      <c r="M669" s="132" t="s">
        <v>158</v>
      </c>
      <c r="N669" s="133">
        <v>41964</v>
      </c>
      <c r="O669" s="134">
        <v>1710</v>
      </c>
      <c r="P669" s="132" t="s">
        <v>151</v>
      </c>
      <c r="Q669" s="132" t="s">
        <v>211</v>
      </c>
      <c r="R669" s="132" t="s">
        <v>158</v>
      </c>
      <c r="S669" s="133">
        <v>41953</v>
      </c>
      <c r="T669" s="134">
        <v>754</v>
      </c>
      <c r="U669" s="132" t="s">
        <v>154</v>
      </c>
      <c r="V669" s="132" t="s">
        <v>162</v>
      </c>
      <c r="W669" s="132" t="s">
        <v>153</v>
      </c>
      <c r="X669" s="133">
        <v>41661</v>
      </c>
      <c r="Y669" s="134">
        <v>500</v>
      </c>
    </row>
    <row r="670" spans="1:25" x14ac:dyDescent="0.25">
      <c r="A670" s="79" t="s">
        <v>148</v>
      </c>
      <c r="B670" s="12" t="s">
        <v>220</v>
      </c>
      <c r="C670" s="12" t="s">
        <v>158</v>
      </c>
      <c r="D670" s="80">
        <v>41836</v>
      </c>
      <c r="E670" s="81">
        <v>790</v>
      </c>
      <c r="F670" s="76" t="s">
        <v>150</v>
      </c>
      <c r="G670" s="77" t="s">
        <v>179</v>
      </c>
      <c r="H670" s="77" t="s">
        <v>153</v>
      </c>
      <c r="I670" s="86">
        <v>41894</v>
      </c>
      <c r="J670" s="78">
        <v>923</v>
      </c>
      <c r="K670" s="132" t="s">
        <v>20</v>
      </c>
      <c r="L670" s="132" t="s">
        <v>210</v>
      </c>
      <c r="M670" s="132" t="s">
        <v>158</v>
      </c>
      <c r="N670" s="133">
        <v>41968</v>
      </c>
      <c r="O670" s="134">
        <v>399</v>
      </c>
      <c r="P670" s="132" t="s">
        <v>151</v>
      </c>
      <c r="Q670" s="132" t="s">
        <v>211</v>
      </c>
      <c r="R670" s="132" t="s">
        <v>158</v>
      </c>
      <c r="S670" s="133">
        <v>41954</v>
      </c>
      <c r="T670" s="134">
        <v>598.70000000000005</v>
      </c>
      <c r="U670" s="132" t="s">
        <v>154</v>
      </c>
      <c r="V670" s="132" t="s">
        <v>162</v>
      </c>
      <c r="W670" s="132" t="s">
        <v>153</v>
      </c>
      <c r="X670" s="133">
        <v>41662</v>
      </c>
      <c r="Y670" s="134">
        <v>455</v>
      </c>
    </row>
    <row r="671" spans="1:25" x14ac:dyDescent="0.25">
      <c r="A671" s="79" t="s">
        <v>148</v>
      </c>
      <c r="B671" s="12" t="s">
        <v>220</v>
      </c>
      <c r="C671" s="12" t="s">
        <v>158</v>
      </c>
      <c r="D671" s="80">
        <v>41837</v>
      </c>
      <c r="E671" s="81">
        <v>820</v>
      </c>
      <c r="F671" s="76" t="s">
        <v>150</v>
      </c>
      <c r="G671" s="77" t="s">
        <v>179</v>
      </c>
      <c r="H671" s="77" t="s">
        <v>153</v>
      </c>
      <c r="I671" s="86">
        <v>41894</v>
      </c>
      <c r="J671" s="78">
        <v>1098</v>
      </c>
      <c r="K671" s="132" t="s">
        <v>20</v>
      </c>
      <c r="L671" s="132" t="s">
        <v>210</v>
      </c>
      <c r="M671" s="132" t="s">
        <v>158</v>
      </c>
      <c r="N671" s="133">
        <v>41978</v>
      </c>
      <c r="O671" s="134">
        <v>1175</v>
      </c>
      <c r="P671" s="132" t="s">
        <v>151</v>
      </c>
      <c r="Q671" s="132" t="s">
        <v>211</v>
      </c>
      <c r="R671" s="132" t="s">
        <v>158</v>
      </c>
      <c r="S671" s="133">
        <v>41955</v>
      </c>
      <c r="T671" s="134">
        <v>524.6</v>
      </c>
      <c r="U671" s="132" t="s">
        <v>154</v>
      </c>
      <c r="V671" s="132" t="s">
        <v>162</v>
      </c>
      <c r="W671" s="132" t="s">
        <v>153</v>
      </c>
      <c r="X671" s="133">
        <v>41665</v>
      </c>
      <c r="Y671" s="134">
        <v>648</v>
      </c>
    </row>
    <row r="672" spans="1:25" x14ac:dyDescent="0.25">
      <c r="A672" s="79" t="s">
        <v>148</v>
      </c>
      <c r="B672" s="12" t="s">
        <v>220</v>
      </c>
      <c r="C672" s="12" t="s">
        <v>158</v>
      </c>
      <c r="D672" s="80">
        <v>41838</v>
      </c>
      <c r="E672" s="81">
        <v>826</v>
      </c>
      <c r="F672" s="76" t="s">
        <v>150</v>
      </c>
      <c r="G672" s="77" t="s">
        <v>179</v>
      </c>
      <c r="H672" s="77" t="s">
        <v>153</v>
      </c>
      <c r="I672" s="86">
        <v>41898</v>
      </c>
      <c r="J672" s="78">
        <v>910</v>
      </c>
      <c r="K672" s="132" t="s">
        <v>20</v>
      </c>
      <c r="L672" s="132" t="s">
        <v>210</v>
      </c>
      <c r="M672" s="132" t="s">
        <v>158</v>
      </c>
      <c r="N672" s="133">
        <v>41991</v>
      </c>
      <c r="O672" s="134">
        <v>1442</v>
      </c>
      <c r="P672" s="132" t="s">
        <v>151</v>
      </c>
      <c r="Q672" s="132" t="s">
        <v>211</v>
      </c>
      <c r="R672" s="132" t="s">
        <v>158</v>
      </c>
      <c r="S672" s="133">
        <v>41956</v>
      </c>
      <c r="T672" s="134">
        <v>587.9</v>
      </c>
      <c r="U672" s="132" t="s">
        <v>154</v>
      </c>
      <c r="V672" s="132" t="s">
        <v>162</v>
      </c>
      <c r="W672" s="132" t="s">
        <v>153</v>
      </c>
      <c r="X672" s="133">
        <v>41666</v>
      </c>
      <c r="Y672" s="134">
        <v>880</v>
      </c>
    </row>
    <row r="673" spans="1:25" x14ac:dyDescent="0.25">
      <c r="A673" s="79" t="s">
        <v>148</v>
      </c>
      <c r="B673" s="12" t="s">
        <v>220</v>
      </c>
      <c r="C673" s="12" t="s">
        <v>158</v>
      </c>
      <c r="D673" s="80">
        <v>41839</v>
      </c>
      <c r="E673" s="81">
        <v>960</v>
      </c>
      <c r="F673" s="76" t="s">
        <v>150</v>
      </c>
      <c r="G673" s="77" t="s">
        <v>179</v>
      </c>
      <c r="H673" s="77" t="s">
        <v>153</v>
      </c>
      <c r="I673" s="86">
        <v>41898</v>
      </c>
      <c r="J673" s="78">
        <v>1206</v>
      </c>
      <c r="K673" s="132" t="s">
        <v>20</v>
      </c>
      <c r="L673" s="132" t="s">
        <v>211</v>
      </c>
      <c r="M673" s="132" t="s">
        <v>158</v>
      </c>
      <c r="N673" s="133">
        <v>41771</v>
      </c>
      <c r="O673" s="134">
        <v>707</v>
      </c>
      <c r="P673" s="132" t="s">
        <v>151</v>
      </c>
      <c r="Q673" s="132" t="s">
        <v>211</v>
      </c>
      <c r="R673" s="132" t="s">
        <v>158</v>
      </c>
      <c r="S673" s="133">
        <v>41957</v>
      </c>
      <c r="T673" s="134">
        <v>565.5</v>
      </c>
      <c r="U673" s="132" t="s">
        <v>154</v>
      </c>
      <c r="V673" s="132" t="s">
        <v>162</v>
      </c>
      <c r="W673" s="132" t="s">
        <v>153</v>
      </c>
      <c r="X673" s="133">
        <v>41667</v>
      </c>
      <c r="Y673" s="134">
        <v>900</v>
      </c>
    </row>
    <row r="674" spans="1:25" x14ac:dyDescent="0.25">
      <c r="A674" s="79" t="s">
        <v>148</v>
      </c>
      <c r="B674" s="12" t="s">
        <v>220</v>
      </c>
      <c r="C674" s="12" t="s">
        <v>158</v>
      </c>
      <c r="D674" s="80">
        <v>41840</v>
      </c>
      <c r="E674" s="81">
        <v>750</v>
      </c>
      <c r="F674" s="76" t="s">
        <v>150</v>
      </c>
      <c r="G674" s="77" t="s">
        <v>179</v>
      </c>
      <c r="H674" s="77" t="s">
        <v>153</v>
      </c>
      <c r="I674" s="86">
        <v>41900</v>
      </c>
      <c r="J674" s="78">
        <v>1278</v>
      </c>
      <c r="K674" s="132" t="s">
        <v>20</v>
      </c>
      <c r="L674" s="132" t="s">
        <v>211</v>
      </c>
      <c r="M674" s="132" t="s">
        <v>158</v>
      </c>
      <c r="N674" s="133">
        <v>41846</v>
      </c>
      <c r="O674" s="134">
        <v>731</v>
      </c>
      <c r="P674" s="132" t="s">
        <v>151</v>
      </c>
      <c r="Q674" s="132" t="s">
        <v>211</v>
      </c>
      <c r="R674" s="132" t="s">
        <v>158</v>
      </c>
      <c r="S674" s="133">
        <v>41974</v>
      </c>
      <c r="T674" s="134">
        <v>417.8</v>
      </c>
      <c r="U674" s="132" t="s">
        <v>154</v>
      </c>
      <c r="V674" s="132" t="s">
        <v>162</v>
      </c>
      <c r="W674" s="132" t="s">
        <v>153</v>
      </c>
      <c r="X674" s="133">
        <v>41668</v>
      </c>
      <c r="Y674" s="134">
        <v>600</v>
      </c>
    </row>
    <row r="675" spans="1:25" x14ac:dyDescent="0.25">
      <c r="A675" s="79" t="s">
        <v>148</v>
      </c>
      <c r="B675" s="12" t="s">
        <v>220</v>
      </c>
      <c r="C675" s="12" t="s">
        <v>158</v>
      </c>
      <c r="D675" s="80">
        <v>41841</v>
      </c>
      <c r="E675" s="81">
        <v>700</v>
      </c>
      <c r="F675" s="76" t="s">
        <v>150</v>
      </c>
      <c r="G675" s="77" t="s">
        <v>179</v>
      </c>
      <c r="H675" s="77" t="s">
        <v>153</v>
      </c>
      <c r="I675" s="86">
        <v>41900</v>
      </c>
      <c r="J675" s="78">
        <v>1062</v>
      </c>
      <c r="K675" s="132" t="s">
        <v>20</v>
      </c>
      <c r="L675" s="132" t="s">
        <v>211</v>
      </c>
      <c r="M675" s="132" t="s">
        <v>158</v>
      </c>
      <c r="N675" s="133">
        <v>41881</v>
      </c>
      <c r="O675" s="134">
        <v>1612</v>
      </c>
      <c r="P675" s="132" t="s">
        <v>151</v>
      </c>
      <c r="Q675" s="132" t="s">
        <v>213</v>
      </c>
      <c r="R675" s="132" t="s">
        <v>158</v>
      </c>
      <c r="S675" s="133">
        <v>41645</v>
      </c>
      <c r="T675" s="134">
        <v>414.9</v>
      </c>
      <c r="U675" s="132" t="s">
        <v>154</v>
      </c>
      <c r="V675" s="132" t="s">
        <v>162</v>
      </c>
      <c r="W675" s="132" t="s">
        <v>153</v>
      </c>
      <c r="X675" s="133">
        <v>41669</v>
      </c>
      <c r="Y675" s="134">
        <v>755</v>
      </c>
    </row>
    <row r="676" spans="1:25" x14ac:dyDescent="0.25">
      <c r="A676" s="79" t="s">
        <v>148</v>
      </c>
      <c r="B676" s="12" t="s">
        <v>220</v>
      </c>
      <c r="C676" s="12" t="s">
        <v>158</v>
      </c>
      <c r="D676" s="80">
        <v>41841</v>
      </c>
      <c r="E676" s="81">
        <v>800</v>
      </c>
      <c r="F676" s="76" t="s">
        <v>150</v>
      </c>
      <c r="G676" s="77" t="s">
        <v>179</v>
      </c>
      <c r="H676" s="77" t="s">
        <v>153</v>
      </c>
      <c r="I676" s="86">
        <v>41901</v>
      </c>
      <c r="J676" s="78">
        <v>1241</v>
      </c>
      <c r="K676" s="132" t="s">
        <v>20</v>
      </c>
      <c r="L676" s="132" t="s">
        <v>211</v>
      </c>
      <c r="M676" s="132" t="s">
        <v>158</v>
      </c>
      <c r="N676" s="133">
        <v>41899</v>
      </c>
      <c r="O676" s="134">
        <v>1616</v>
      </c>
      <c r="P676" s="132" t="s">
        <v>151</v>
      </c>
      <c r="Q676" s="132" t="s">
        <v>213</v>
      </c>
      <c r="R676" s="132" t="s">
        <v>158</v>
      </c>
      <c r="S676" s="133">
        <v>41656</v>
      </c>
      <c r="T676" s="134">
        <v>984.4</v>
      </c>
      <c r="U676" s="132" t="s">
        <v>154</v>
      </c>
      <c r="V676" s="132" t="s">
        <v>162</v>
      </c>
      <c r="W676" s="132" t="s">
        <v>153</v>
      </c>
      <c r="X676" s="133">
        <v>41757</v>
      </c>
      <c r="Y676" s="134">
        <v>925</v>
      </c>
    </row>
    <row r="677" spans="1:25" x14ac:dyDescent="0.25">
      <c r="A677" s="79" t="s">
        <v>148</v>
      </c>
      <c r="B677" s="12" t="s">
        <v>220</v>
      </c>
      <c r="C677" s="12" t="s">
        <v>158</v>
      </c>
      <c r="D677" s="80">
        <v>41843</v>
      </c>
      <c r="E677" s="81">
        <v>700</v>
      </c>
      <c r="F677" s="76" t="s">
        <v>150</v>
      </c>
      <c r="G677" s="77" t="s">
        <v>179</v>
      </c>
      <c r="H677" s="77" t="s">
        <v>153</v>
      </c>
      <c r="I677" s="86">
        <v>41902</v>
      </c>
      <c r="J677" s="78">
        <v>1161</v>
      </c>
      <c r="K677" s="132" t="s">
        <v>20</v>
      </c>
      <c r="L677" s="132" t="s">
        <v>211</v>
      </c>
      <c r="M677" s="132" t="s">
        <v>158</v>
      </c>
      <c r="N677" s="133">
        <v>41905</v>
      </c>
      <c r="O677" s="134">
        <v>920</v>
      </c>
      <c r="P677" s="132" t="s">
        <v>151</v>
      </c>
      <c r="Q677" s="132" t="s">
        <v>213</v>
      </c>
      <c r="R677" s="132" t="s">
        <v>158</v>
      </c>
      <c r="S677" s="133">
        <v>41659</v>
      </c>
      <c r="T677" s="134">
        <v>352.1</v>
      </c>
      <c r="U677" s="132" t="s">
        <v>154</v>
      </c>
      <c r="V677" s="132" t="s">
        <v>162</v>
      </c>
      <c r="W677" s="132" t="s">
        <v>153</v>
      </c>
      <c r="X677" s="133">
        <v>41759</v>
      </c>
      <c r="Y677" s="134">
        <v>530</v>
      </c>
    </row>
    <row r="678" spans="1:25" x14ac:dyDescent="0.25">
      <c r="A678" s="79" t="s">
        <v>148</v>
      </c>
      <c r="B678" s="12" t="s">
        <v>220</v>
      </c>
      <c r="C678" s="12" t="s">
        <v>158</v>
      </c>
      <c r="D678" s="80">
        <v>41844</v>
      </c>
      <c r="E678" s="81">
        <v>1000</v>
      </c>
      <c r="F678" s="76" t="s">
        <v>150</v>
      </c>
      <c r="G678" s="77" t="s">
        <v>179</v>
      </c>
      <c r="H678" s="77" t="s">
        <v>153</v>
      </c>
      <c r="I678" s="86">
        <v>41904</v>
      </c>
      <c r="J678" s="78">
        <v>1140</v>
      </c>
      <c r="K678" s="132" t="s">
        <v>20</v>
      </c>
      <c r="L678" s="132" t="s">
        <v>211</v>
      </c>
      <c r="M678" s="132" t="s">
        <v>158</v>
      </c>
      <c r="N678" s="133">
        <v>41964</v>
      </c>
      <c r="O678" s="134">
        <v>1098</v>
      </c>
      <c r="P678" s="132" t="s">
        <v>151</v>
      </c>
      <c r="Q678" s="132" t="s">
        <v>213</v>
      </c>
      <c r="R678" s="132" t="s">
        <v>158</v>
      </c>
      <c r="S678" s="133">
        <v>41663</v>
      </c>
      <c r="T678" s="134">
        <v>617.79999999999995</v>
      </c>
      <c r="U678" s="132" t="s">
        <v>154</v>
      </c>
      <c r="V678" s="132" t="s">
        <v>162</v>
      </c>
      <c r="W678" s="132" t="s">
        <v>153</v>
      </c>
      <c r="X678" s="133">
        <v>41761</v>
      </c>
      <c r="Y678" s="134">
        <v>400</v>
      </c>
    </row>
    <row r="679" spans="1:25" x14ac:dyDescent="0.25">
      <c r="A679" s="79" t="s">
        <v>148</v>
      </c>
      <c r="B679" s="12" t="s">
        <v>220</v>
      </c>
      <c r="C679" s="12" t="s">
        <v>158</v>
      </c>
      <c r="D679" s="80">
        <v>41845</v>
      </c>
      <c r="E679" s="81">
        <v>1010</v>
      </c>
      <c r="F679" s="76" t="s">
        <v>150</v>
      </c>
      <c r="G679" s="77" t="s">
        <v>179</v>
      </c>
      <c r="H679" s="77" t="s">
        <v>153</v>
      </c>
      <c r="I679" s="86">
        <v>41905</v>
      </c>
      <c r="J679" s="78">
        <v>1266</v>
      </c>
      <c r="K679" s="132" t="s">
        <v>20</v>
      </c>
      <c r="L679" s="132" t="s">
        <v>213</v>
      </c>
      <c r="M679" s="132" t="s">
        <v>158</v>
      </c>
      <c r="N679" s="133">
        <v>41681</v>
      </c>
      <c r="O679" s="134">
        <v>1388</v>
      </c>
      <c r="P679" s="132" t="s">
        <v>151</v>
      </c>
      <c r="Q679" s="132" t="s">
        <v>213</v>
      </c>
      <c r="R679" s="132" t="s">
        <v>158</v>
      </c>
      <c r="S679" s="133">
        <v>41786</v>
      </c>
      <c r="T679" s="134">
        <v>460.3</v>
      </c>
      <c r="U679" s="132" t="s">
        <v>154</v>
      </c>
      <c r="V679" s="132" t="s">
        <v>162</v>
      </c>
      <c r="W679" s="132" t="s">
        <v>153</v>
      </c>
      <c r="X679" s="133">
        <v>41765</v>
      </c>
      <c r="Y679" s="134">
        <v>500</v>
      </c>
    </row>
    <row r="680" spans="1:25" x14ac:dyDescent="0.25">
      <c r="A680" s="79" t="s">
        <v>148</v>
      </c>
      <c r="B680" s="12" t="s">
        <v>220</v>
      </c>
      <c r="C680" s="12" t="s">
        <v>158</v>
      </c>
      <c r="D680" s="80">
        <v>41845</v>
      </c>
      <c r="E680" s="81">
        <v>960</v>
      </c>
      <c r="F680" s="76" t="s">
        <v>150</v>
      </c>
      <c r="G680" s="77" t="s">
        <v>179</v>
      </c>
      <c r="H680" s="77" t="s">
        <v>153</v>
      </c>
      <c r="I680" s="86">
        <v>41907</v>
      </c>
      <c r="J680" s="78">
        <v>909</v>
      </c>
      <c r="K680" s="132" t="s">
        <v>20</v>
      </c>
      <c r="L680" s="132" t="s">
        <v>213</v>
      </c>
      <c r="M680" s="132" t="s">
        <v>158</v>
      </c>
      <c r="N680" s="133">
        <v>41685</v>
      </c>
      <c r="O680" s="134">
        <v>812</v>
      </c>
      <c r="P680" s="132" t="s">
        <v>151</v>
      </c>
      <c r="Q680" s="132" t="s">
        <v>213</v>
      </c>
      <c r="R680" s="132" t="s">
        <v>158</v>
      </c>
      <c r="S680" s="133">
        <v>41787</v>
      </c>
      <c r="T680" s="134">
        <v>640.70000000000005</v>
      </c>
      <c r="U680" s="132" t="s">
        <v>154</v>
      </c>
      <c r="V680" s="132" t="s">
        <v>162</v>
      </c>
      <c r="W680" s="132" t="s">
        <v>153</v>
      </c>
      <c r="X680" s="133">
        <v>41766</v>
      </c>
      <c r="Y680" s="134">
        <v>751</v>
      </c>
    </row>
    <row r="681" spans="1:25" x14ac:dyDescent="0.25">
      <c r="A681" s="79" t="s">
        <v>148</v>
      </c>
      <c r="B681" s="12" t="s">
        <v>220</v>
      </c>
      <c r="C681" s="12" t="s">
        <v>158</v>
      </c>
      <c r="D681" s="80">
        <v>41847</v>
      </c>
      <c r="E681" s="81">
        <v>830</v>
      </c>
      <c r="F681" s="76" t="s">
        <v>150</v>
      </c>
      <c r="G681" s="77" t="s">
        <v>179</v>
      </c>
      <c r="H681" s="77" t="s">
        <v>153</v>
      </c>
      <c r="I681" s="86">
        <v>41912</v>
      </c>
      <c r="J681" s="78">
        <v>964</v>
      </c>
      <c r="K681" s="132" t="s">
        <v>20</v>
      </c>
      <c r="L681" s="132" t="s">
        <v>213</v>
      </c>
      <c r="M681" s="132" t="s">
        <v>158</v>
      </c>
      <c r="N681" s="133">
        <v>41730</v>
      </c>
      <c r="O681" s="134">
        <v>1595</v>
      </c>
      <c r="P681" s="132" t="s">
        <v>151</v>
      </c>
      <c r="Q681" s="132" t="s">
        <v>213</v>
      </c>
      <c r="R681" s="132" t="s">
        <v>158</v>
      </c>
      <c r="S681" s="133">
        <v>41788</v>
      </c>
      <c r="T681" s="134">
        <v>455.3</v>
      </c>
      <c r="U681" s="132" t="s">
        <v>154</v>
      </c>
      <c r="V681" s="132" t="s">
        <v>162</v>
      </c>
      <c r="W681" s="132" t="s">
        <v>153</v>
      </c>
      <c r="X681" s="133">
        <v>41767</v>
      </c>
      <c r="Y681" s="134">
        <v>900</v>
      </c>
    </row>
    <row r="682" spans="1:25" x14ac:dyDescent="0.25">
      <c r="A682" s="79" t="s">
        <v>148</v>
      </c>
      <c r="B682" s="12" t="s">
        <v>220</v>
      </c>
      <c r="C682" s="12" t="s">
        <v>158</v>
      </c>
      <c r="D682" s="80">
        <v>41848</v>
      </c>
      <c r="E682" s="81">
        <v>770</v>
      </c>
      <c r="F682" s="76" t="s">
        <v>150</v>
      </c>
      <c r="G682" s="77" t="s">
        <v>179</v>
      </c>
      <c r="H682" s="77" t="s">
        <v>153</v>
      </c>
      <c r="I682" s="86">
        <v>41913</v>
      </c>
      <c r="J682" s="78">
        <v>809</v>
      </c>
      <c r="K682" s="132" t="s">
        <v>20</v>
      </c>
      <c r="L682" s="132" t="s">
        <v>213</v>
      </c>
      <c r="M682" s="132" t="s">
        <v>158</v>
      </c>
      <c r="N682" s="133">
        <v>41746</v>
      </c>
      <c r="O682" s="134">
        <v>1637</v>
      </c>
      <c r="P682" s="132" t="s">
        <v>151</v>
      </c>
      <c r="Q682" s="132" t="s">
        <v>213</v>
      </c>
      <c r="R682" s="132" t="s">
        <v>158</v>
      </c>
      <c r="S682" s="133">
        <v>41789</v>
      </c>
      <c r="T682" s="134">
        <v>779.8</v>
      </c>
      <c r="U682" s="132" t="s">
        <v>154</v>
      </c>
      <c r="V682" s="132" t="s">
        <v>162</v>
      </c>
      <c r="W682" s="132" t="s">
        <v>153</v>
      </c>
      <c r="X682" s="133">
        <v>41768</v>
      </c>
      <c r="Y682" s="134">
        <v>1025</v>
      </c>
    </row>
    <row r="683" spans="1:25" x14ac:dyDescent="0.25">
      <c r="A683" s="79" t="s">
        <v>148</v>
      </c>
      <c r="B683" s="12" t="s">
        <v>220</v>
      </c>
      <c r="C683" s="12" t="s">
        <v>158</v>
      </c>
      <c r="D683" s="80">
        <v>41849</v>
      </c>
      <c r="E683" s="81">
        <v>780</v>
      </c>
      <c r="F683" s="76" t="s">
        <v>150</v>
      </c>
      <c r="G683" s="77" t="s">
        <v>179</v>
      </c>
      <c r="H683" s="77" t="s">
        <v>153</v>
      </c>
      <c r="I683" s="86">
        <v>41914</v>
      </c>
      <c r="J683" s="78">
        <v>379</v>
      </c>
      <c r="K683" s="132" t="s">
        <v>20</v>
      </c>
      <c r="L683" s="132" t="s">
        <v>213</v>
      </c>
      <c r="M683" s="132" t="s">
        <v>158</v>
      </c>
      <c r="N683" s="133">
        <v>41795</v>
      </c>
      <c r="O683" s="134">
        <v>481</v>
      </c>
      <c r="P683" s="132" t="s">
        <v>151</v>
      </c>
      <c r="Q683" s="132" t="s">
        <v>213</v>
      </c>
      <c r="R683" s="132" t="s">
        <v>158</v>
      </c>
      <c r="S683" s="133">
        <v>41792</v>
      </c>
      <c r="T683" s="134">
        <v>610.20000000000005</v>
      </c>
      <c r="U683" s="132" t="s">
        <v>154</v>
      </c>
      <c r="V683" s="132" t="s">
        <v>162</v>
      </c>
      <c r="W683" s="132" t="s">
        <v>153</v>
      </c>
      <c r="X683" s="133">
        <v>41770</v>
      </c>
      <c r="Y683" s="134">
        <v>723</v>
      </c>
    </row>
    <row r="684" spans="1:25" x14ac:dyDescent="0.25">
      <c r="A684" s="79" t="s">
        <v>148</v>
      </c>
      <c r="B684" s="12" t="s">
        <v>220</v>
      </c>
      <c r="C684" s="12" t="s">
        <v>158</v>
      </c>
      <c r="D684" s="80">
        <v>41850</v>
      </c>
      <c r="E684" s="81">
        <v>880</v>
      </c>
      <c r="F684" s="76" t="s">
        <v>150</v>
      </c>
      <c r="G684" s="77" t="s">
        <v>179</v>
      </c>
      <c r="H684" s="77" t="s">
        <v>153</v>
      </c>
      <c r="I684" s="86">
        <v>41971</v>
      </c>
      <c r="J684" s="78">
        <v>721</v>
      </c>
      <c r="K684" s="132" t="s">
        <v>20</v>
      </c>
      <c r="L684" s="132" t="s">
        <v>213</v>
      </c>
      <c r="M684" s="132" t="s">
        <v>158</v>
      </c>
      <c r="N684" s="133">
        <v>41878</v>
      </c>
      <c r="O684" s="134">
        <v>736</v>
      </c>
      <c r="P684" s="132" t="s">
        <v>151</v>
      </c>
      <c r="Q684" s="132" t="s">
        <v>213</v>
      </c>
      <c r="R684" s="132" t="s">
        <v>158</v>
      </c>
      <c r="S684" s="133">
        <v>41820</v>
      </c>
      <c r="T684" s="134">
        <v>518.70000000000005</v>
      </c>
      <c r="U684" s="132" t="s">
        <v>154</v>
      </c>
      <c r="V684" s="132" t="s">
        <v>162</v>
      </c>
      <c r="W684" s="132" t="s">
        <v>153</v>
      </c>
      <c r="X684" s="133">
        <v>41771</v>
      </c>
      <c r="Y684" s="134">
        <v>1101</v>
      </c>
    </row>
    <row r="685" spans="1:25" x14ac:dyDescent="0.25">
      <c r="A685" s="79" t="s">
        <v>148</v>
      </c>
      <c r="B685" s="12" t="s">
        <v>220</v>
      </c>
      <c r="C685" s="12" t="s">
        <v>158</v>
      </c>
      <c r="D685" s="80">
        <v>41852</v>
      </c>
      <c r="E685" s="81">
        <v>1400</v>
      </c>
      <c r="F685" s="76" t="s">
        <v>150</v>
      </c>
      <c r="G685" s="77" t="s">
        <v>179</v>
      </c>
      <c r="H685" s="77" t="s">
        <v>153</v>
      </c>
      <c r="I685" s="86">
        <v>41974</v>
      </c>
      <c r="J685" s="78">
        <v>581</v>
      </c>
      <c r="K685" s="132" t="s">
        <v>20</v>
      </c>
      <c r="L685" s="132" t="s">
        <v>213</v>
      </c>
      <c r="M685" s="132" t="s">
        <v>158</v>
      </c>
      <c r="N685" s="133">
        <v>41899</v>
      </c>
      <c r="O685" s="134">
        <v>1283</v>
      </c>
      <c r="P685" s="132" t="s">
        <v>151</v>
      </c>
      <c r="Q685" s="132" t="s">
        <v>213</v>
      </c>
      <c r="R685" s="132" t="s">
        <v>158</v>
      </c>
      <c r="S685" s="133">
        <v>41821</v>
      </c>
      <c r="T685" s="134">
        <v>423.5</v>
      </c>
      <c r="U685" s="132" t="s">
        <v>154</v>
      </c>
      <c r="V685" s="132" t="s">
        <v>162</v>
      </c>
      <c r="W685" s="132" t="s">
        <v>153</v>
      </c>
      <c r="X685" s="133">
        <v>41772</v>
      </c>
      <c r="Y685" s="134">
        <v>800</v>
      </c>
    </row>
    <row r="686" spans="1:25" x14ac:dyDescent="0.25">
      <c r="A686" s="79" t="s">
        <v>148</v>
      </c>
      <c r="B686" s="12" t="s">
        <v>220</v>
      </c>
      <c r="C686" s="12" t="s">
        <v>158</v>
      </c>
      <c r="D686" s="80">
        <v>41853</v>
      </c>
      <c r="E686" s="81">
        <v>922</v>
      </c>
      <c r="F686" s="76" t="s">
        <v>150</v>
      </c>
      <c r="G686" s="77" t="s">
        <v>179</v>
      </c>
      <c r="H686" s="77" t="s">
        <v>153</v>
      </c>
      <c r="I686" s="86">
        <v>41976</v>
      </c>
      <c r="J686" s="78">
        <v>362</v>
      </c>
      <c r="K686" s="132" t="s">
        <v>20</v>
      </c>
      <c r="L686" s="132" t="s">
        <v>213</v>
      </c>
      <c r="M686" s="132" t="s">
        <v>158</v>
      </c>
      <c r="N686" s="133">
        <v>41917</v>
      </c>
      <c r="O686" s="134">
        <v>795</v>
      </c>
      <c r="P686" s="132" t="s">
        <v>151</v>
      </c>
      <c r="Q686" s="132" t="s">
        <v>213</v>
      </c>
      <c r="R686" s="132" t="s">
        <v>158</v>
      </c>
      <c r="S686" s="133">
        <v>41822</v>
      </c>
      <c r="T686" s="134">
        <v>427</v>
      </c>
      <c r="U686" s="132" t="s">
        <v>154</v>
      </c>
      <c r="V686" s="132" t="s">
        <v>162</v>
      </c>
      <c r="W686" s="132" t="s">
        <v>153</v>
      </c>
      <c r="X686" s="133">
        <v>41773</v>
      </c>
      <c r="Y686" s="134">
        <v>850</v>
      </c>
    </row>
    <row r="687" spans="1:25" x14ac:dyDescent="0.25">
      <c r="A687" s="79" t="s">
        <v>148</v>
      </c>
      <c r="B687" s="12" t="s">
        <v>220</v>
      </c>
      <c r="C687" s="12" t="s">
        <v>158</v>
      </c>
      <c r="D687" s="80">
        <v>41854</v>
      </c>
      <c r="E687" s="81">
        <v>587</v>
      </c>
      <c r="F687" s="76" t="s">
        <v>150</v>
      </c>
      <c r="G687" s="77" t="s">
        <v>179</v>
      </c>
      <c r="H687" s="77" t="s">
        <v>153</v>
      </c>
      <c r="I687" s="86">
        <v>41978</v>
      </c>
      <c r="J687" s="78">
        <v>1077</v>
      </c>
      <c r="K687" s="132" t="s">
        <v>20</v>
      </c>
      <c r="L687" s="132" t="s">
        <v>213</v>
      </c>
      <c r="M687" s="132" t="s">
        <v>158</v>
      </c>
      <c r="N687" s="133">
        <v>41919</v>
      </c>
      <c r="O687" s="134">
        <v>602</v>
      </c>
      <c r="P687" s="132" t="s">
        <v>151</v>
      </c>
      <c r="Q687" s="132" t="s">
        <v>213</v>
      </c>
      <c r="R687" s="132" t="s">
        <v>158</v>
      </c>
      <c r="S687" s="133">
        <v>41823</v>
      </c>
      <c r="T687" s="134">
        <v>433.4</v>
      </c>
      <c r="U687" s="132" t="s">
        <v>154</v>
      </c>
      <c r="V687" s="132" t="s">
        <v>162</v>
      </c>
      <c r="W687" s="132" t="s">
        <v>153</v>
      </c>
      <c r="X687" s="133">
        <v>41774</v>
      </c>
      <c r="Y687" s="134">
        <v>761</v>
      </c>
    </row>
    <row r="688" spans="1:25" x14ac:dyDescent="0.25">
      <c r="A688" s="79" t="s">
        <v>148</v>
      </c>
      <c r="B688" s="12" t="s">
        <v>220</v>
      </c>
      <c r="C688" s="12" t="s">
        <v>158</v>
      </c>
      <c r="D688" s="80">
        <v>41855</v>
      </c>
      <c r="E688" s="81">
        <v>860</v>
      </c>
      <c r="F688" s="76" t="s">
        <v>150</v>
      </c>
      <c r="G688" s="77" t="s">
        <v>179</v>
      </c>
      <c r="H688" s="77" t="s">
        <v>153</v>
      </c>
      <c r="I688" s="86">
        <v>41981</v>
      </c>
      <c r="J688" s="78">
        <v>1104</v>
      </c>
      <c r="K688" s="132" t="s">
        <v>20</v>
      </c>
      <c r="L688" s="132" t="s">
        <v>216</v>
      </c>
      <c r="M688" s="132" t="s">
        <v>158</v>
      </c>
      <c r="N688" s="133">
        <v>41717</v>
      </c>
      <c r="O688" s="134">
        <v>810</v>
      </c>
      <c r="P688" s="132" t="s">
        <v>151</v>
      </c>
      <c r="Q688" s="132" t="s">
        <v>213</v>
      </c>
      <c r="R688" s="132" t="s">
        <v>158</v>
      </c>
      <c r="S688" s="133">
        <v>41849</v>
      </c>
      <c r="T688" s="134">
        <v>483.3</v>
      </c>
      <c r="U688" s="132" t="s">
        <v>154</v>
      </c>
      <c r="V688" s="132" t="s">
        <v>162</v>
      </c>
      <c r="W688" s="132" t="s">
        <v>153</v>
      </c>
      <c r="X688" s="133">
        <v>41775</v>
      </c>
      <c r="Y688" s="134">
        <v>763</v>
      </c>
    </row>
    <row r="689" spans="1:25" x14ac:dyDescent="0.25">
      <c r="A689" s="79" t="s">
        <v>148</v>
      </c>
      <c r="B689" s="12" t="s">
        <v>220</v>
      </c>
      <c r="C689" s="12" t="s">
        <v>158</v>
      </c>
      <c r="D689" s="80">
        <v>41856</v>
      </c>
      <c r="E689" s="81">
        <v>910</v>
      </c>
      <c r="F689" s="76" t="s">
        <v>150</v>
      </c>
      <c r="G689" s="77" t="s">
        <v>179</v>
      </c>
      <c r="H689" s="77" t="s">
        <v>153</v>
      </c>
      <c r="I689" s="86">
        <v>41982</v>
      </c>
      <c r="J689" s="78">
        <v>635</v>
      </c>
      <c r="K689" s="132" t="s">
        <v>20</v>
      </c>
      <c r="L689" s="132" t="s">
        <v>216</v>
      </c>
      <c r="M689" s="132" t="s">
        <v>158</v>
      </c>
      <c r="N689" s="133">
        <v>41802</v>
      </c>
      <c r="O689" s="134">
        <v>1459</v>
      </c>
      <c r="P689" s="132" t="s">
        <v>151</v>
      </c>
      <c r="Q689" s="132" t="s">
        <v>213</v>
      </c>
      <c r="R689" s="132" t="s">
        <v>158</v>
      </c>
      <c r="S689" s="133">
        <v>41901</v>
      </c>
      <c r="T689" s="134">
        <v>840.3</v>
      </c>
      <c r="U689" s="132" t="s">
        <v>154</v>
      </c>
      <c r="V689" s="132" t="s">
        <v>162</v>
      </c>
      <c r="W689" s="132" t="s">
        <v>153</v>
      </c>
      <c r="X689" s="133">
        <v>41778</v>
      </c>
      <c r="Y689" s="134">
        <v>610</v>
      </c>
    </row>
    <row r="690" spans="1:25" x14ac:dyDescent="0.25">
      <c r="A690" s="79" t="s">
        <v>148</v>
      </c>
      <c r="B690" s="12" t="s">
        <v>220</v>
      </c>
      <c r="C690" s="12" t="s">
        <v>158</v>
      </c>
      <c r="D690" s="80">
        <v>41857</v>
      </c>
      <c r="E690" s="81">
        <v>900</v>
      </c>
      <c r="F690" s="76" t="s">
        <v>150</v>
      </c>
      <c r="G690" s="77" t="s">
        <v>179</v>
      </c>
      <c r="H690" s="77" t="s">
        <v>153</v>
      </c>
      <c r="I690" s="86">
        <v>41984</v>
      </c>
      <c r="J690" s="78">
        <v>747</v>
      </c>
      <c r="K690" s="132" t="s">
        <v>20</v>
      </c>
      <c r="L690" s="132" t="s">
        <v>216</v>
      </c>
      <c r="M690" s="132" t="s">
        <v>158</v>
      </c>
      <c r="N690" s="133">
        <v>41845</v>
      </c>
      <c r="O690" s="134">
        <v>1168</v>
      </c>
      <c r="P690" s="132" t="s">
        <v>151</v>
      </c>
      <c r="Q690" s="132" t="s">
        <v>216</v>
      </c>
      <c r="R690" s="132" t="s">
        <v>158</v>
      </c>
      <c r="S690" s="133">
        <v>41674</v>
      </c>
      <c r="T690" s="134">
        <v>980</v>
      </c>
      <c r="U690" s="132" t="s">
        <v>154</v>
      </c>
      <c r="V690" s="132" t="s">
        <v>162</v>
      </c>
      <c r="W690" s="132" t="s">
        <v>153</v>
      </c>
      <c r="X690" s="133">
        <v>41779</v>
      </c>
      <c r="Y690" s="134">
        <v>855</v>
      </c>
    </row>
    <row r="691" spans="1:25" x14ac:dyDescent="0.25">
      <c r="A691" s="79" t="s">
        <v>148</v>
      </c>
      <c r="B691" s="12" t="s">
        <v>220</v>
      </c>
      <c r="C691" s="12" t="s">
        <v>158</v>
      </c>
      <c r="D691" s="80">
        <v>41858</v>
      </c>
      <c r="E691" s="81">
        <v>960</v>
      </c>
      <c r="F691" s="76" t="s">
        <v>150</v>
      </c>
      <c r="G691" s="77" t="s">
        <v>179</v>
      </c>
      <c r="H691" s="77" t="s">
        <v>153</v>
      </c>
      <c r="I691" s="86">
        <v>41985</v>
      </c>
      <c r="J691" s="78">
        <v>699</v>
      </c>
      <c r="K691" s="132" t="s">
        <v>20</v>
      </c>
      <c r="L691" s="132" t="s">
        <v>216</v>
      </c>
      <c r="M691" s="132" t="s">
        <v>158</v>
      </c>
      <c r="N691" s="133">
        <v>41874</v>
      </c>
      <c r="O691" s="134">
        <v>1197</v>
      </c>
      <c r="P691" s="132" t="s">
        <v>151</v>
      </c>
      <c r="Q691" s="132" t="s">
        <v>216</v>
      </c>
      <c r="R691" s="132" t="s">
        <v>158</v>
      </c>
      <c r="S691" s="133">
        <v>41675</v>
      </c>
      <c r="T691" s="134">
        <v>277.7</v>
      </c>
      <c r="U691" s="132" t="s">
        <v>154</v>
      </c>
      <c r="V691" s="132" t="s">
        <v>162</v>
      </c>
      <c r="W691" s="132" t="s">
        <v>153</v>
      </c>
      <c r="X691" s="133">
        <v>41780</v>
      </c>
      <c r="Y691" s="134">
        <v>750</v>
      </c>
    </row>
    <row r="692" spans="1:25" x14ac:dyDescent="0.25">
      <c r="A692" s="79" t="s">
        <v>148</v>
      </c>
      <c r="B692" s="12" t="s">
        <v>220</v>
      </c>
      <c r="C692" s="12" t="s">
        <v>158</v>
      </c>
      <c r="D692" s="80">
        <v>41859</v>
      </c>
      <c r="E692" s="81">
        <v>941</v>
      </c>
      <c r="F692" s="76" t="s">
        <v>150</v>
      </c>
      <c r="G692" s="77" t="s">
        <v>179</v>
      </c>
      <c r="H692" s="77" t="s">
        <v>153</v>
      </c>
      <c r="I692" s="86">
        <v>41986</v>
      </c>
      <c r="J692" s="78">
        <v>830</v>
      </c>
      <c r="K692" s="132" t="s">
        <v>20</v>
      </c>
      <c r="L692" s="132" t="s">
        <v>216</v>
      </c>
      <c r="M692" s="132" t="s">
        <v>158</v>
      </c>
      <c r="N692" s="133">
        <v>41879</v>
      </c>
      <c r="O692" s="134">
        <v>625</v>
      </c>
      <c r="P692" s="132" t="s">
        <v>151</v>
      </c>
      <c r="Q692" s="132" t="s">
        <v>216</v>
      </c>
      <c r="R692" s="132" t="s">
        <v>158</v>
      </c>
      <c r="S692" s="133">
        <v>41676</v>
      </c>
      <c r="T692" s="134">
        <v>328.8</v>
      </c>
      <c r="U692" s="132" t="s">
        <v>154</v>
      </c>
      <c r="V692" s="132" t="s">
        <v>162</v>
      </c>
      <c r="W692" s="132" t="s">
        <v>153</v>
      </c>
      <c r="X692" s="133">
        <v>41781</v>
      </c>
      <c r="Y692" s="134">
        <v>1191</v>
      </c>
    </row>
    <row r="693" spans="1:25" x14ac:dyDescent="0.25">
      <c r="A693" s="79" t="s">
        <v>148</v>
      </c>
      <c r="B693" s="12" t="s">
        <v>220</v>
      </c>
      <c r="C693" s="12" t="s">
        <v>158</v>
      </c>
      <c r="D693" s="80">
        <v>41860</v>
      </c>
      <c r="E693" s="81">
        <v>625</v>
      </c>
      <c r="F693" s="76" t="s">
        <v>150</v>
      </c>
      <c r="G693" s="77" t="s">
        <v>179</v>
      </c>
      <c r="H693" s="77" t="s">
        <v>153</v>
      </c>
      <c r="I693" s="86">
        <v>41987</v>
      </c>
      <c r="J693" s="78">
        <v>515</v>
      </c>
      <c r="K693" s="132" t="s">
        <v>20</v>
      </c>
      <c r="L693" s="132" t="s">
        <v>216</v>
      </c>
      <c r="M693" s="132" t="s">
        <v>158</v>
      </c>
      <c r="N693" s="133">
        <v>41971</v>
      </c>
      <c r="O693" s="134">
        <v>1392</v>
      </c>
      <c r="P693" s="132" t="s">
        <v>151</v>
      </c>
      <c r="Q693" s="132" t="s">
        <v>216</v>
      </c>
      <c r="R693" s="132" t="s">
        <v>158</v>
      </c>
      <c r="S693" s="133">
        <v>41708</v>
      </c>
      <c r="T693" s="134">
        <v>1210</v>
      </c>
      <c r="U693" s="132" t="s">
        <v>154</v>
      </c>
      <c r="V693" s="132" t="s">
        <v>162</v>
      </c>
      <c r="W693" s="132" t="s">
        <v>153</v>
      </c>
      <c r="X693" s="133">
        <v>41782</v>
      </c>
      <c r="Y693" s="134">
        <v>1150</v>
      </c>
    </row>
    <row r="694" spans="1:25" x14ac:dyDescent="0.25">
      <c r="A694" s="79" t="s">
        <v>148</v>
      </c>
      <c r="B694" s="12" t="s">
        <v>220</v>
      </c>
      <c r="C694" s="12" t="s">
        <v>158</v>
      </c>
      <c r="D694" s="80">
        <v>41861</v>
      </c>
      <c r="E694" s="81">
        <v>700</v>
      </c>
      <c r="F694" s="76" t="s">
        <v>150</v>
      </c>
      <c r="G694" s="77" t="s">
        <v>179</v>
      </c>
      <c r="H694" s="77" t="s">
        <v>153</v>
      </c>
      <c r="I694" s="86">
        <v>41988</v>
      </c>
      <c r="J694" s="78">
        <v>411</v>
      </c>
      <c r="K694" s="132" t="s">
        <v>20</v>
      </c>
      <c r="L694" s="132" t="s">
        <v>217</v>
      </c>
      <c r="M694" s="132" t="s">
        <v>158</v>
      </c>
      <c r="N694" s="133">
        <v>41642</v>
      </c>
      <c r="O694" s="134">
        <v>1207</v>
      </c>
      <c r="P694" s="132" t="s">
        <v>151</v>
      </c>
      <c r="Q694" s="132" t="s">
        <v>216</v>
      </c>
      <c r="R694" s="132" t="s">
        <v>158</v>
      </c>
      <c r="S694" s="133">
        <v>41736</v>
      </c>
      <c r="T694" s="134">
        <v>290.5</v>
      </c>
      <c r="U694" s="132" t="s">
        <v>154</v>
      </c>
      <c r="V694" s="132" t="s">
        <v>162</v>
      </c>
      <c r="W694" s="132" t="s">
        <v>153</v>
      </c>
      <c r="X694" s="133">
        <v>41783</v>
      </c>
      <c r="Y694" s="134">
        <v>646</v>
      </c>
    </row>
    <row r="695" spans="1:25" x14ac:dyDescent="0.25">
      <c r="A695" s="79" t="s">
        <v>148</v>
      </c>
      <c r="B695" s="12" t="s">
        <v>220</v>
      </c>
      <c r="C695" s="12" t="s">
        <v>158</v>
      </c>
      <c r="D695" s="80">
        <v>41862</v>
      </c>
      <c r="E695" s="81">
        <v>344</v>
      </c>
      <c r="F695" s="76" t="s">
        <v>150</v>
      </c>
      <c r="G695" s="77" t="s">
        <v>179</v>
      </c>
      <c r="H695" s="77" t="s">
        <v>153</v>
      </c>
      <c r="I695" s="86">
        <v>41990</v>
      </c>
      <c r="J695" s="78">
        <v>1155</v>
      </c>
      <c r="K695" s="132" t="s">
        <v>20</v>
      </c>
      <c r="L695" s="132" t="s">
        <v>217</v>
      </c>
      <c r="M695" s="132" t="s">
        <v>158</v>
      </c>
      <c r="N695" s="133">
        <v>41668</v>
      </c>
      <c r="O695" s="134">
        <v>1781</v>
      </c>
      <c r="P695" s="132" t="s">
        <v>151</v>
      </c>
      <c r="Q695" s="132" t="s">
        <v>216</v>
      </c>
      <c r="R695" s="132" t="s">
        <v>158</v>
      </c>
      <c r="S695" s="133">
        <v>41751</v>
      </c>
      <c r="T695" s="134">
        <v>648.29999999999995</v>
      </c>
      <c r="U695" s="132" t="s">
        <v>154</v>
      </c>
      <c r="V695" s="132" t="s">
        <v>162</v>
      </c>
      <c r="W695" s="132" t="s">
        <v>153</v>
      </c>
      <c r="X695" s="133">
        <v>41783</v>
      </c>
      <c r="Y695" s="134">
        <v>737</v>
      </c>
    </row>
    <row r="696" spans="1:25" x14ac:dyDescent="0.25">
      <c r="A696" s="79" t="s">
        <v>148</v>
      </c>
      <c r="B696" s="12" t="s">
        <v>220</v>
      </c>
      <c r="C696" s="12" t="s">
        <v>158</v>
      </c>
      <c r="D696" s="80">
        <v>41863</v>
      </c>
      <c r="E696" s="81">
        <v>1130</v>
      </c>
      <c r="F696" s="76" t="s">
        <v>150</v>
      </c>
      <c r="G696" s="77" t="s">
        <v>179</v>
      </c>
      <c r="H696" s="77" t="s">
        <v>153</v>
      </c>
      <c r="I696" s="86">
        <v>41991</v>
      </c>
      <c r="J696" s="78">
        <v>544</v>
      </c>
      <c r="K696" s="132" t="s">
        <v>20</v>
      </c>
      <c r="L696" s="132" t="s">
        <v>217</v>
      </c>
      <c r="M696" s="132" t="s">
        <v>158</v>
      </c>
      <c r="N696" s="133">
        <v>41676</v>
      </c>
      <c r="O696" s="134">
        <v>1245</v>
      </c>
      <c r="P696" s="132" t="s">
        <v>151</v>
      </c>
      <c r="Q696" s="132" t="s">
        <v>216</v>
      </c>
      <c r="R696" s="132" t="s">
        <v>158</v>
      </c>
      <c r="S696" s="133">
        <v>41752</v>
      </c>
      <c r="T696" s="134">
        <v>608.4</v>
      </c>
      <c r="U696" s="132" t="s">
        <v>154</v>
      </c>
      <c r="V696" s="132" t="s">
        <v>162</v>
      </c>
      <c r="W696" s="132" t="s">
        <v>153</v>
      </c>
      <c r="X696" s="133">
        <v>41784</v>
      </c>
      <c r="Y696" s="134">
        <v>775</v>
      </c>
    </row>
    <row r="697" spans="1:25" x14ac:dyDescent="0.25">
      <c r="A697" s="79" t="s">
        <v>148</v>
      </c>
      <c r="B697" s="12" t="s">
        <v>220</v>
      </c>
      <c r="C697" s="12" t="s">
        <v>158</v>
      </c>
      <c r="D697" s="80">
        <v>41864</v>
      </c>
      <c r="E697" s="81">
        <v>1130</v>
      </c>
      <c r="F697" s="76" t="s">
        <v>150</v>
      </c>
      <c r="G697" s="77" t="s">
        <v>179</v>
      </c>
      <c r="H697" s="77" t="s">
        <v>153</v>
      </c>
      <c r="I697" s="86">
        <v>41995</v>
      </c>
      <c r="J697" s="78">
        <v>856</v>
      </c>
      <c r="K697" s="132" t="s">
        <v>20</v>
      </c>
      <c r="L697" s="132" t="s">
        <v>217</v>
      </c>
      <c r="M697" s="132" t="s">
        <v>158</v>
      </c>
      <c r="N697" s="133">
        <v>41693</v>
      </c>
      <c r="O697" s="134">
        <v>902</v>
      </c>
      <c r="P697" s="132" t="s">
        <v>151</v>
      </c>
      <c r="Q697" s="132" t="s">
        <v>216</v>
      </c>
      <c r="R697" s="132" t="s">
        <v>158</v>
      </c>
      <c r="S697" s="133">
        <v>41753</v>
      </c>
      <c r="T697" s="134">
        <v>668.7</v>
      </c>
      <c r="U697" s="132" t="s">
        <v>154</v>
      </c>
      <c r="V697" s="132" t="s">
        <v>162</v>
      </c>
      <c r="W697" s="132" t="s">
        <v>153</v>
      </c>
      <c r="X697" s="133">
        <v>41784</v>
      </c>
      <c r="Y697" s="134">
        <v>692</v>
      </c>
    </row>
    <row r="698" spans="1:25" x14ac:dyDescent="0.25">
      <c r="A698" s="79" t="s">
        <v>148</v>
      </c>
      <c r="B698" s="12" t="s">
        <v>220</v>
      </c>
      <c r="C698" s="12" t="s">
        <v>158</v>
      </c>
      <c r="D698" s="80">
        <v>41992</v>
      </c>
      <c r="E698" s="81">
        <v>660</v>
      </c>
      <c r="F698" s="76" t="s">
        <v>150</v>
      </c>
      <c r="G698" s="77" t="s">
        <v>179</v>
      </c>
      <c r="H698" s="77" t="s">
        <v>153</v>
      </c>
      <c r="I698" s="86">
        <v>41996</v>
      </c>
      <c r="J698" s="78">
        <v>595</v>
      </c>
      <c r="K698" s="132" t="s">
        <v>20</v>
      </c>
      <c r="L698" s="132" t="s">
        <v>217</v>
      </c>
      <c r="M698" s="132" t="s">
        <v>158</v>
      </c>
      <c r="N698" s="133">
        <v>41699</v>
      </c>
      <c r="O698" s="134">
        <v>590</v>
      </c>
      <c r="P698" s="132" t="s">
        <v>151</v>
      </c>
      <c r="Q698" s="132" t="s">
        <v>216</v>
      </c>
      <c r="R698" s="132" t="s">
        <v>158</v>
      </c>
      <c r="S698" s="133">
        <v>41754</v>
      </c>
      <c r="T698" s="134">
        <v>381.3</v>
      </c>
      <c r="U698" s="132" t="s">
        <v>154</v>
      </c>
      <c r="V698" s="132" t="s">
        <v>162</v>
      </c>
      <c r="W698" s="132" t="s">
        <v>153</v>
      </c>
      <c r="X698" s="133">
        <v>41786</v>
      </c>
      <c r="Y698" s="134">
        <v>1001</v>
      </c>
    </row>
    <row r="699" spans="1:25" x14ac:dyDescent="0.25">
      <c r="A699" s="79" t="s">
        <v>148</v>
      </c>
      <c r="B699" s="12" t="s">
        <v>220</v>
      </c>
      <c r="C699" s="12" t="s">
        <v>158</v>
      </c>
      <c r="D699" s="80">
        <v>41993</v>
      </c>
      <c r="E699" s="81">
        <v>800</v>
      </c>
      <c r="F699" s="76" t="s">
        <v>150</v>
      </c>
      <c r="G699" s="77" t="s">
        <v>179</v>
      </c>
      <c r="H699" s="77" t="s">
        <v>153</v>
      </c>
      <c r="I699" s="86">
        <v>41998</v>
      </c>
      <c r="J699" s="78">
        <v>1091</v>
      </c>
      <c r="K699" s="132" t="s">
        <v>20</v>
      </c>
      <c r="L699" s="132" t="s">
        <v>217</v>
      </c>
      <c r="M699" s="132" t="s">
        <v>158</v>
      </c>
      <c r="N699" s="133">
        <v>41754</v>
      </c>
      <c r="O699" s="134">
        <v>1057</v>
      </c>
      <c r="P699" s="132" t="s">
        <v>151</v>
      </c>
      <c r="Q699" s="132" t="s">
        <v>216</v>
      </c>
      <c r="R699" s="132" t="s">
        <v>158</v>
      </c>
      <c r="S699" s="133">
        <v>41757</v>
      </c>
      <c r="T699" s="134">
        <v>631.20000000000005</v>
      </c>
      <c r="U699" s="132" t="s">
        <v>154</v>
      </c>
      <c r="V699" s="132" t="s">
        <v>162</v>
      </c>
      <c r="W699" s="132" t="s">
        <v>153</v>
      </c>
      <c r="X699" s="133">
        <v>41787</v>
      </c>
      <c r="Y699" s="134">
        <v>711</v>
      </c>
    </row>
    <row r="700" spans="1:25" x14ac:dyDescent="0.25">
      <c r="A700" s="79" t="s">
        <v>148</v>
      </c>
      <c r="B700" s="12" t="s">
        <v>220</v>
      </c>
      <c r="C700" s="12" t="s">
        <v>158</v>
      </c>
      <c r="D700" s="80">
        <v>41994</v>
      </c>
      <c r="E700" s="81">
        <v>750</v>
      </c>
      <c r="F700" s="76" t="s">
        <v>150</v>
      </c>
      <c r="G700" s="77" t="s">
        <v>179</v>
      </c>
      <c r="H700" s="77" t="s">
        <v>153</v>
      </c>
      <c r="I700" s="86">
        <v>42001</v>
      </c>
      <c r="J700" s="78">
        <v>904</v>
      </c>
      <c r="K700" s="132" t="s">
        <v>20</v>
      </c>
      <c r="L700" s="132" t="s">
        <v>217</v>
      </c>
      <c r="M700" s="132" t="s">
        <v>158</v>
      </c>
      <c r="N700" s="133">
        <v>41756</v>
      </c>
      <c r="O700" s="134">
        <v>787</v>
      </c>
      <c r="P700" s="132" t="s">
        <v>151</v>
      </c>
      <c r="Q700" s="132" t="s">
        <v>216</v>
      </c>
      <c r="R700" s="132" t="s">
        <v>158</v>
      </c>
      <c r="S700" s="133">
        <v>41884</v>
      </c>
      <c r="T700" s="134">
        <v>606.20000000000005</v>
      </c>
      <c r="U700" s="132" t="s">
        <v>154</v>
      </c>
      <c r="V700" s="132" t="s">
        <v>162</v>
      </c>
      <c r="W700" s="132" t="s">
        <v>153</v>
      </c>
      <c r="X700" s="133">
        <v>41788</v>
      </c>
      <c r="Y700" s="134">
        <v>800</v>
      </c>
    </row>
    <row r="701" spans="1:25" x14ac:dyDescent="0.25">
      <c r="A701" s="79" t="s">
        <v>148</v>
      </c>
      <c r="B701" s="12" t="s">
        <v>220</v>
      </c>
      <c r="C701" s="12" t="s">
        <v>158</v>
      </c>
      <c r="D701" s="80">
        <v>41995</v>
      </c>
      <c r="E701" s="81">
        <v>600</v>
      </c>
      <c r="F701" s="76" t="s">
        <v>150</v>
      </c>
      <c r="G701" s="77" t="s">
        <v>180</v>
      </c>
      <c r="H701" s="77" t="s">
        <v>153</v>
      </c>
      <c r="I701" s="86">
        <v>41635</v>
      </c>
      <c r="J701" s="78">
        <v>1225</v>
      </c>
      <c r="K701" s="132" t="s">
        <v>20</v>
      </c>
      <c r="L701" s="132" t="s">
        <v>217</v>
      </c>
      <c r="M701" s="132" t="s">
        <v>158</v>
      </c>
      <c r="N701" s="133">
        <v>41757</v>
      </c>
      <c r="O701" s="134">
        <v>344</v>
      </c>
      <c r="P701" s="132" t="s">
        <v>151</v>
      </c>
      <c r="Q701" s="132" t="s">
        <v>216</v>
      </c>
      <c r="R701" s="132" t="s">
        <v>158</v>
      </c>
      <c r="S701" s="133">
        <v>41885</v>
      </c>
      <c r="T701" s="134">
        <v>403.3</v>
      </c>
      <c r="U701" s="132" t="s">
        <v>154</v>
      </c>
      <c r="V701" s="132" t="s">
        <v>162</v>
      </c>
      <c r="W701" s="132" t="s">
        <v>153</v>
      </c>
      <c r="X701" s="133">
        <v>41789</v>
      </c>
      <c r="Y701" s="134">
        <v>730</v>
      </c>
    </row>
    <row r="702" spans="1:25" x14ac:dyDescent="0.25">
      <c r="A702" s="79" t="s">
        <v>148</v>
      </c>
      <c r="B702" s="12" t="s">
        <v>220</v>
      </c>
      <c r="C702" s="12" t="s">
        <v>158</v>
      </c>
      <c r="D702" s="80">
        <v>41996</v>
      </c>
      <c r="E702" s="81">
        <v>915</v>
      </c>
      <c r="F702" s="76" t="s">
        <v>150</v>
      </c>
      <c r="G702" s="77" t="s">
        <v>180</v>
      </c>
      <c r="H702" s="77" t="s">
        <v>153</v>
      </c>
      <c r="I702" s="86">
        <v>41639</v>
      </c>
      <c r="J702" s="78">
        <v>1050</v>
      </c>
      <c r="K702" s="132" t="s">
        <v>20</v>
      </c>
      <c r="L702" s="132" t="s">
        <v>217</v>
      </c>
      <c r="M702" s="132" t="s">
        <v>158</v>
      </c>
      <c r="N702" s="133">
        <v>41779</v>
      </c>
      <c r="O702" s="134">
        <v>485</v>
      </c>
      <c r="P702" s="132" t="s">
        <v>151</v>
      </c>
      <c r="Q702" s="132" t="s">
        <v>216</v>
      </c>
      <c r="R702" s="132" t="s">
        <v>158</v>
      </c>
      <c r="S702" s="133">
        <v>41897</v>
      </c>
      <c r="T702" s="134">
        <v>1106.8</v>
      </c>
      <c r="U702" s="132" t="s">
        <v>154</v>
      </c>
      <c r="V702" s="132" t="s">
        <v>162</v>
      </c>
      <c r="W702" s="132" t="s">
        <v>153</v>
      </c>
      <c r="X702" s="133">
        <v>41791</v>
      </c>
      <c r="Y702" s="134">
        <v>583</v>
      </c>
    </row>
    <row r="703" spans="1:25" x14ac:dyDescent="0.25">
      <c r="A703" s="79" t="s">
        <v>148</v>
      </c>
      <c r="B703" s="12" t="s">
        <v>220</v>
      </c>
      <c r="C703" s="12" t="s">
        <v>158</v>
      </c>
      <c r="D703" s="80">
        <v>41997</v>
      </c>
      <c r="E703" s="81">
        <v>679</v>
      </c>
      <c r="F703" s="76" t="s">
        <v>150</v>
      </c>
      <c r="G703" s="77" t="s">
        <v>180</v>
      </c>
      <c r="H703" s="77" t="s">
        <v>153</v>
      </c>
      <c r="I703" s="86">
        <v>41643</v>
      </c>
      <c r="J703" s="78">
        <v>634</v>
      </c>
      <c r="K703" s="132" t="s">
        <v>20</v>
      </c>
      <c r="L703" s="132" t="s">
        <v>217</v>
      </c>
      <c r="M703" s="132" t="s">
        <v>158</v>
      </c>
      <c r="N703" s="133">
        <v>41782</v>
      </c>
      <c r="O703" s="134">
        <v>1061</v>
      </c>
      <c r="P703" s="132" t="s">
        <v>151</v>
      </c>
      <c r="Q703" s="132" t="s">
        <v>216</v>
      </c>
      <c r="R703" s="132" t="s">
        <v>158</v>
      </c>
      <c r="S703" s="133">
        <v>41898</v>
      </c>
      <c r="T703" s="134">
        <v>585.70000000000005</v>
      </c>
      <c r="U703" s="132" t="s">
        <v>154</v>
      </c>
      <c r="V703" s="132" t="s">
        <v>162</v>
      </c>
      <c r="W703" s="132" t="s">
        <v>153</v>
      </c>
      <c r="X703" s="133">
        <v>41792</v>
      </c>
      <c r="Y703" s="134">
        <v>900</v>
      </c>
    </row>
    <row r="704" spans="1:25" x14ac:dyDescent="0.25">
      <c r="A704" s="79" t="s">
        <v>148</v>
      </c>
      <c r="B704" s="12" t="s">
        <v>220</v>
      </c>
      <c r="C704" s="12" t="s">
        <v>158</v>
      </c>
      <c r="D704" s="80">
        <v>41998</v>
      </c>
      <c r="E704" s="81">
        <v>750</v>
      </c>
      <c r="F704" s="76" t="s">
        <v>150</v>
      </c>
      <c r="G704" s="77" t="s">
        <v>180</v>
      </c>
      <c r="H704" s="77" t="s">
        <v>153</v>
      </c>
      <c r="I704" s="86">
        <v>41643</v>
      </c>
      <c r="J704" s="78">
        <v>1567</v>
      </c>
      <c r="K704" s="132" t="s">
        <v>20</v>
      </c>
      <c r="L704" s="132" t="s">
        <v>217</v>
      </c>
      <c r="M704" s="132" t="s">
        <v>158</v>
      </c>
      <c r="N704" s="133">
        <v>41881</v>
      </c>
      <c r="O704" s="134">
        <v>589</v>
      </c>
      <c r="P704" s="132" t="s">
        <v>151</v>
      </c>
      <c r="Q704" s="132" t="s">
        <v>216</v>
      </c>
      <c r="R704" s="132" t="s">
        <v>158</v>
      </c>
      <c r="S704" s="133">
        <v>41904</v>
      </c>
      <c r="T704" s="134">
        <v>876.3</v>
      </c>
      <c r="U704" s="132" t="s">
        <v>154</v>
      </c>
      <c r="V704" s="132" t="s">
        <v>162</v>
      </c>
      <c r="W704" s="132" t="s">
        <v>153</v>
      </c>
      <c r="X704" s="133">
        <v>41793</v>
      </c>
      <c r="Y704" s="134">
        <v>708</v>
      </c>
    </row>
    <row r="705" spans="1:25" x14ac:dyDescent="0.25">
      <c r="A705" s="79" t="s">
        <v>148</v>
      </c>
      <c r="B705" s="12" t="s">
        <v>220</v>
      </c>
      <c r="C705" s="12" t="s">
        <v>158</v>
      </c>
      <c r="D705" s="80">
        <v>41999</v>
      </c>
      <c r="E705" s="81">
        <v>825</v>
      </c>
      <c r="F705" s="76" t="s">
        <v>150</v>
      </c>
      <c r="G705" s="77" t="s">
        <v>180</v>
      </c>
      <c r="H705" s="77" t="s">
        <v>153</v>
      </c>
      <c r="I705" s="86">
        <v>41644</v>
      </c>
      <c r="J705" s="78">
        <v>1015</v>
      </c>
      <c r="K705" s="132" t="s">
        <v>20</v>
      </c>
      <c r="L705" s="132" t="s">
        <v>217</v>
      </c>
      <c r="M705" s="132" t="s">
        <v>158</v>
      </c>
      <c r="N705" s="133">
        <v>41894</v>
      </c>
      <c r="O705" s="134">
        <v>1242</v>
      </c>
      <c r="P705" s="132" t="s">
        <v>151</v>
      </c>
      <c r="Q705" s="132" t="s">
        <v>216</v>
      </c>
      <c r="R705" s="132" t="s">
        <v>158</v>
      </c>
      <c r="S705" s="133">
        <v>41905</v>
      </c>
      <c r="T705" s="134">
        <v>611.70000000000005</v>
      </c>
      <c r="U705" s="132" t="s">
        <v>154</v>
      </c>
      <c r="V705" s="132" t="s">
        <v>162</v>
      </c>
      <c r="W705" s="132" t="s">
        <v>153</v>
      </c>
      <c r="X705" s="133">
        <v>41794</v>
      </c>
      <c r="Y705" s="134">
        <v>841</v>
      </c>
    </row>
    <row r="706" spans="1:25" x14ac:dyDescent="0.25">
      <c r="A706" s="79" t="s">
        <v>148</v>
      </c>
      <c r="B706" s="12" t="s">
        <v>220</v>
      </c>
      <c r="C706" s="12" t="s">
        <v>158</v>
      </c>
      <c r="D706" s="80">
        <v>42000</v>
      </c>
      <c r="E706" s="81">
        <v>783</v>
      </c>
      <c r="F706" s="76" t="s">
        <v>150</v>
      </c>
      <c r="G706" s="77" t="s">
        <v>180</v>
      </c>
      <c r="H706" s="77" t="s">
        <v>153</v>
      </c>
      <c r="I706" s="86">
        <v>41645</v>
      </c>
      <c r="J706" s="78">
        <v>1182</v>
      </c>
      <c r="K706" s="132" t="s">
        <v>20</v>
      </c>
      <c r="L706" s="132" t="s">
        <v>217</v>
      </c>
      <c r="M706" s="132" t="s">
        <v>158</v>
      </c>
      <c r="N706" s="133">
        <v>41901</v>
      </c>
      <c r="O706" s="134">
        <v>1343</v>
      </c>
      <c r="P706" s="132" t="s">
        <v>151</v>
      </c>
      <c r="Q706" s="132" t="s">
        <v>216</v>
      </c>
      <c r="R706" s="132" t="s">
        <v>158</v>
      </c>
      <c r="S706" s="133">
        <v>41906</v>
      </c>
      <c r="T706" s="134">
        <v>627.20000000000005</v>
      </c>
      <c r="U706" s="132" t="s">
        <v>154</v>
      </c>
      <c r="V706" s="132" t="s">
        <v>162</v>
      </c>
      <c r="W706" s="132" t="s">
        <v>153</v>
      </c>
      <c r="X706" s="133">
        <v>41795</v>
      </c>
      <c r="Y706" s="134">
        <v>1031</v>
      </c>
    </row>
    <row r="707" spans="1:25" x14ac:dyDescent="0.25">
      <c r="A707" s="79" t="s">
        <v>148</v>
      </c>
      <c r="B707" s="12" t="s">
        <v>220</v>
      </c>
      <c r="C707" s="12" t="s">
        <v>158</v>
      </c>
      <c r="D707" s="80">
        <v>42001</v>
      </c>
      <c r="E707" s="81">
        <v>608</v>
      </c>
      <c r="F707" s="76" t="s">
        <v>150</v>
      </c>
      <c r="G707" s="77" t="s">
        <v>180</v>
      </c>
      <c r="H707" s="77" t="s">
        <v>153</v>
      </c>
      <c r="I707" s="86">
        <v>41646</v>
      </c>
      <c r="J707" s="78">
        <v>1092</v>
      </c>
      <c r="K707" s="132" t="s">
        <v>20</v>
      </c>
      <c r="L707" s="132" t="s">
        <v>217</v>
      </c>
      <c r="M707" s="132" t="s">
        <v>158</v>
      </c>
      <c r="N707" s="133">
        <v>41925</v>
      </c>
      <c r="O707" s="134">
        <v>1025</v>
      </c>
      <c r="P707" s="132" t="s">
        <v>151</v>
      </c>
      <c r="Q707" s="132" t="s">
        <v>216</v>
      </c>
      <c r="R707" s="132" t="s">
        <v>158</v>
      </c>
      <c r="S707" s="133">
        <v>41907</v>
      </c>
      <c r="T707" s="134">
        <v>566.70000000000005</v>
      </c>
      <c r="U707" s="132" t="s">
        <v>154</v>
      </c>
      <c r="V707" s="132" t="s">
        <v>162</v>
      </c>
      <c r="W707" s="132" t="s">
        <v>153</v>
      </c>
      <c r="X707" s="133">
        <v>41891</v>
      </c>
      <c r="Y707" s="134">
        <v>420</v>
      </c>
    </row>
    <row r="708" spans="1:25" x14ac:dyDescent="0.25">
      <c r="A708" s="79" t="s">
        <v>148</v>
      </c>
      <c r="B708" s="12" t="s">
        <v>220</v>
      </c>
      <c r="C708" s="12" t="s">
        <v>158</v>
      </c>
      <c r="D708" s="80">
        <v>42002</v>
      </c>
      <c r="E708" s="81">
        <v>760</v>
      </c>
      <c r="F708" s="76" t="s">
        <v>150</v>
      </c>
      <c r="G708" s="77" t="s">
        <v>180</v>
      </c>
      <c r="H708" s="77" t="s">
        <v>153</v>
      </c>
      <c r="I708" s="86">
        <v>41647</v>
      </c>
      <c r="J708" s="78">
        <v>1069</v>
      </c>
      <c r="K708" s="132" t="s">
        <v>20</v>
      </c>
      <c r="L708" s="132" t="s">
        <v>217</v>
      </c>
      <c r="M708" s="132" t="s">
        <v>158</v>
      </c>
      <c r="N708" s="133">
        <v>41928</v>
      </c>
      <c r="O708" s="134">
        <v>300</v>
      </c>
      <c r="P708" s="132" t="s">
        <v>151</v>
      </c>
      <c r="Q708" s="132" t="s">
        <v>216</v>
      </c>
      <c r="R708" s="132" t="s">
        <v>158</v>
      </c>
      <c r="S708" s="133">
        <v>41908</v>
      </c>
      <c r="T708" s="134">
        <v>646.70000000000005</v>
      </c>
      <c r="U708" s="132" t="s">
        <v>154</v>
      </c>
      <c r="V708" s="132" t="s">
        <v>162</v>
      </c>
      <c r="W708" s="132" t="s">
        <v>153</v>
      </c>
      <c r="X708" s="133">
        <v>41900</v>
      </c>
      <c r="Y708" s="134">
        <v>830</v>
      </c>
    </row>
    <row r="709" spans="1:25" x14ac:dyDescent="0.25">
      <c r="A709" s="79" t="s">
        <v>148</v>
      </c>
      <c r="B709" s="12" t="s">
        <v>220</v>
      </c>
      <c r="C709" s="12" t="s">
        <v>158</v>
      </c>
      <c r="D709" s="80">
        <v>42003</v>
      </c>
      <c r="E709" s="81">
        <v>750</v>
      </c>
      <c r="F709" s="76" t="s">
        <v>150</v>
      </c>
      <c r="G709" s="77" t="s">
        <v>180</v>
      </c>
      <c r="H709" s="77" t="s">
        <v>153</v>
      </c>
      <c r="I709" s="86">
        <v>41652</v>
      </c>
      <c r="J709" s="78">
        <v>713</v>
      </c>
      <c r="K709" s="132" t="s">
        <v>20</v>
      </c>
      <c r="L709" s="132" t="s">
        <v>217</v>
      </c>
      <c r="M709" s="132" t="s">
        <v>158</v>
      </c>
      <c r="N709" s="133">
        <v>41929</v>
      </c>
      <c r="O709" s="134">
        <v>183</v>
      </c>
      <c r="P709" s="132" t="s">
        <v>151</v>
      </c>
      <c r="Q709" s="132" t="s">
        <v>216</v>
      </c>
      <c r="R709" s="132" t="s">
        <v>158</v>
      </c>
      <c r="S709" s="133">
        <v>41995</v>
      </c>
      <c r="T709" s="134">
        <v>623.79999999999995</v>
      </c>
      <c r="U709" s="132" t="s">
        <v>154</v>
      </c>
      <c r="V709" s="132" t="s">
        <v>162</v>
      </c>
      <c r="W709" s="132" t="s">
        <v>153</v>
      </c>
      <c r="X709" s="133">
        <v>41901</v>
      </c>
      <c r="Y709" s="134">
        <v>550</v>
      </c>
    </row>
    <row r="710" spans="1:25" x14ac:dyDescent="0.25">
      <c r="A710" s="79" t="s">
        <v>148</v>
      </c>
      <c r="B710" s="12" t="s">
        <v>222</v>
      </c>
      <c r="C710" s="12" t="s">
        <v>158</v>
      </c>
      <c r="D710" s="80">
        <v>41632</v>
      </c>
      <c r="E710" s="81">
        <v>730</v>
      </c>
      <c r="F710" s="76" t="s">
        <v>150</v>
      </c>
      <c r="G710" s="77" t="s">
        <v>180</v>
      </c>
      <c r="H710" s="77" t="s">
        <v>153</v>
      </c>
      <c r="I710" s="86">
        <v>41653</v>
      </c>
      <c r="J710" s="78">
        <v>508</v>
      </c>
      <c r="K710" s="132" t="s">
        <v>20</v>
      </c>
      <c r="L710" s="132" t="s">
        <v>217</v>
      </c>
      <c r="M710" s="132" t="s">
        <v>158</v>
      </c>
      <c r="N710" s="133">
        <v>41939</v>
      </c>
      <c r="O710" s="134">
        <v>883</v>
      </c>
      <c r="P710" s="132" t="s">
        <v>151</v>
      </c>
      <c r="Q710" s="132" t="s">
        <v>216</v>
      </c>
      <c r="R710" s="132" t="s">
        <v>158</v>
      </c>
      <c r="S710" s="133">
        <v>41996</v>
      </c>
      <c r="T710" s="134">
        <v>578.20000000000005</v>
      </c>
      <c r="U710" s="132" t="s">
        <v>154</v>
      </c>
      <c r="V710" s="132" t="s">
        <v>162</v>
      </c>
      <c r="W710" s="132" t="s">
        <v>153</v>
      </c>
      <c r="X710" s="133">
        <v>41903</v>
      </c>
      <c r="Y710" s="134">
        <v>488</v>
      </c>
    </row>
    <row r="711" spans="1:25" x14ac:dyDescent="0.25">
      <c r="A711" s="79" t="s">
        <v>148</v>
      </c>
      <c r="B711" s="12" t="s">
        <v>222</v>
      </c>
      <c r="C711" s="12" t="s">
        <v>158</v>
      </c>
      <c r="D711" s="80">
        <v>41633</v>
      </c>
      <c r="E711" s="81">
        <v>1000</v>
      </c>
      <c r="F711" s="76" t="s">
        <v>150</v>
      </c>
      <c r="G711" s="77" t="s">
        <v>180</v>
      </c>
      <c r="H711" s="77" t="s">
        <v>153</v>
      </c>
      <c r="I711" s="86">
        <v>41669</v>
      </c>
      <c r="J711" s="78">
        <v>836</v>
      </c>
      <c r="K711" s="132" t="s">
        <v>20</v>
      </c>
      <c r="L711" s="132" t="s">
        <v>217</v>
      </c>
      <c r="M711" s="132" t="s">
        <v>158</v>
      </c>
      <c r="N711" s="133">
        <v>41948</v>
      </c>
      <c r="O711" s="134">
        <v>1312</v>
      </c>
      <c r="P711" s="132" t="s">
        <v>151</v>
      </c>
      <c r="Q711" s="132" t="s">
        <v>216</v>
      </c>
      <c r="R711" s="132" t="s">
        <v>158</v>
      </c>
      <c r="S711" s="133">
        <v>41997</v>
      </c>
      <c r="T711" s="134">
        <v>422.7</v>
      </c>
      <c r="U711" s="132" t="s">
        <v>154</v>
      </c>
      <c r="V711" s="132" t="s">
        <v>162</v>
      </c>
      <c r="W711" s="132" t="s">
        <v>153</v>
      </c>
      <c r="X711" s="133">
        <v>41904</v>
      </c>
      <c r="Y711" s="134">
        <v>1120</v>
      </c>
    </row>
    <row r="712" spans="1:25" x14ac:dyDescent="0.25">
      <c r="A712" s="79" t="s">
        <v>148</v>
      </c>
      <c r="B712" s="12" t="s">
        <v>222</v>
      </c>
      <c r="C712" s="12" t="s">
        <v>158</v>
      </c>
      <c r="D712" s="80">
        <v>41634</v>
      </c>
      <c r="E712" s="81">
        <v>560</v>
      </c>
      <c r="F712" s="76" t="s">
        <v>150</v>
      </c>
      <c r="G712" s="77" t="s">
        <v>180</v>
      </c>
      <c r="H712" s="77" t="s">
        <v>153</v>
      </c>
      <c r="I712" s="86">
        <v>41670</v>
      </c>
      <c r="J712" s="78">
        <v>817</v>
      </c>
      <c r="K712" s="132" t="s">
        <v>20</v>
      </c>
      <c r="L712" s="132" t="s">
        <v>217</v>
      </c>
      <c r="M712" s="132" t="s">
        <v>158</v>
      </c>
      <c r="N712" s="133">
        <v>41958</v>
      </c>
      <c r="O712" s="134">
        <v>1092</v>
      </c>
      <c r="P712" s="132" t="s">
        <v>151</v>
      </c>
      <c r="Q712" s="132" t="s">
        <v>216</v>
      </c>
      <c r="R712" s="132" t="s">
        <v>158</v>
      </c>
      <c r="S712" s="133">
        <v>41999</v>
      </c>
      <c r="T712" s="134">
        <v>789.4</v>
      </c>
      <c r="U712" s="132" t="s">
        <v>154</v>
      </c>
      <c r="V712" s="132" t="s">
        <v>162</v>
      </c>
      <c r="W712" s="132" t="s">
        <v>153</v>
      </c>
      <c r="X712" s="133">
        <v>41905</v>
      </c>
      <c r="Y712" s="134">
        <v>608</v>
      </c>
    </row>
    <row r="713" spans="1:25" x14ac:dyDescent="0.25">
      <c r="A713" s="79" t="s">
        <v>148</v>
      </c>
      <c r="B713" s="12" t="s">
        <v>222</v>
      </c>
      <c r="C713" s="12" t="s">
        <v>158</v>
      </c>
      <c r="D713" s="80">
        <v>41635</v>
      </c>
      <c r="E713" s="81">
        <v>725</v>
      </c>
      <c r="F713" s="76" t="s">
        <v>150</v>
      </c>
      <c r="G713" s="77" t="s">
        <v>180</v>
      </c>
      <c r="H713" s="77" t="s">
        <v>153</v>
      </c>
      <c r="I713" s="86">
        <v>41674</v>
      </c>
      <c r="J713" s="78">
        <v>691</v>
      </c>
      <c r="K713" s="132" t="s">
        <v>20</v>
      </c>
      <c r="L713" s="132" t="s">
        <v>217</v>
      </c>
      <c r="M713" s="132" t="s">
        <v>158</v>
      </c>
      <c r="N713" s="133">
        <v>41990</v>
      </c>
      <c r="O713" s="134">
        <v>536</v>
      </c>
      <c r="P713" s="132" t="s">
        <v>151</v>
      </c>
      <c r="Q713" s="132" t="s">
        <v>216</v>
      </c>
      <c r="R713" s="132" t="s">
        <v>158</v>
      </c>
      <c r="S713" s="133">
        <v>42002</v>
      </c>
      <c r="T713" s="134">
        <v>1022.5</v>
      </c>
      <c r="U713" s="132" t="s">
        <v>154</v>
      </c>
      <c r="V713" s="132" t="s">
        <v>162</v>
      </c>
      <c r="W713" s="132" t="s">
        <v>153</v>
      </c>
      <c r="X713" s="133">
        <v>41906</v>
      </c>
      <c r="Y713" s="134">
        <v>837</v>
      </c>
    </row>
    <row r="714" spans="1:25" x14ac:dyDescent="0.25">
      <c r="A714" s="79" t="s">
        <v>148</v>
      </c>
      <c r="B714" s="12" t="s">
        <v>222</v>
      </c>
      <c r="C714" s="12" t="s">
        <v>158</v>
      </c>
      <c r="D714" s="80">
        <v>41636</v>
      </c>
      <c r="E714" s="81">
        <v>1165</v>
      </c>
      <c r="F714" s="76" t="s">
        <v>150</v>
      </c>
      <c r="G714" s="77" t="s">
        <v>180</v>
      </c>
      <c r="H714" s="77" t="s">
        <v>153</v>
      </c>
      <c r="I714" s="86">
        <v>41675</v>
      </c>
      <c r="J714" s="78">
        <v>1020</v>
      </c>
      <c r="K714" s="132" t="s">
        <v>20</v>
      </c>
      <c r="L714" s="132" t="s">
        <v>217</v>
      </c>
      <c r="M714" s="132" t="s">
        <v>158</v>
      </c>
      <c r="N714" s="133">
        <v>42000</v>
      </c>
      <c r="O714" s="134">
        <v>1331</v>
      </c>
      <c r="P714" s="132" t="s">
        <v>151</v>
      </c>
      <c r="Q714" s="132" t="s">
        <v>217</v>
      </c>
      <c r="R714" s="132" t="s">
        <v>158</v>
      </c>
      <c r="S714" s="133">
        <v>41696</v>
      </c>
      <c r="T714" s="134">
        <v>710.1</v>
      </c>
      <c r="U714" s="132" t="s">
        <v>154</v>
      </c>
      <c r="V714" s="132" t="s">
        <v>162</v>
      </c>
      <c r="W714" s="132" t="s">
        <v>153</v>
      </c>
      <c r="X714" s="133">
        <v>41907</v>
      </c>
      <c r="Y714" s="134">
        <v>846</v>
      </c>
    </row>
    <row r="715" spans="1:25" x14ac:dyDescent="0.25">
      <c r="A715" s="79" t="s">
        <v>148</v>
      </c>
      <c r="B715" s="12" t="s">
        <v>222</v>
      </c>
      <c r="C715" s="12" t="s">
        <v>158</v>
      </c>
      <c r="D715" s="80">
        <v>41637</v>
      </c>
      <c r="E715" s="81">
        <v>896</v>
      </c>
      <c r="F715" s="76" t="s">
        <v>150</v>
      </c>
      <c r="G715" s="77" t="s">
        <v>180</v>
      </c>
      <c r="H715" s="77" t="s">
        <v>153</v>
      </c>
      <c r="I715" s="86">
        <v>41677</v>
      </c>
      <c r="J715" s="78">
        <v>1022</v>
      </c>
      <c r="K715" s="132" t="s">
        <v>20</v>
      </c>
      <c r="L715" s="132" t="s">
        <v>218</v>
      </c>
      <c r="M715" s="132" t="s">
        <v>158</v>
      </c>
      <c r="N715" s="133">
        <v>41671</v>
      </c>
      <c r="O715" s="134">
        <v>1024</v>
      </c>
      <c r="P715" s="132" t="s">
        <v>151</v>
      </c>
      <c r="Q715" s="132" t="s">
        <v>217</v>
      </c>
      <c r="R715" s="132" t="s">
        <v>158</v>
      </c>
      <c r="S715" s="133">
        <v>41711</v>
      </c>
      <c r="T715" s="134">
        <v>1317</v>
      </c>
      <c r="U715" s="132" t="s">
        <v>154</v>
      </c>
      <c r="V715" s="132" t="s">
        <v>162</v>
      </c>
      <c r="W715" s="132" t="s">
        <v>153</v>
      </c>
      <c r="X715" s="133">
        <v>41908</v>
      </c>
      <c r="Y715" s="134">
        <v>650</v>
      </c>
    </row>
    <row r="716" spans="1:25" x14ac:dyDescent="0.25">
      <c r="A716" s="79" t="s">
        <v>148</v>
      </c>
      <c r="B716" s="12" t="s">
        <v>222</v>
      </c>
      <c r="C716" s="12" t="s">
        <v>158</v>
      </c>
      <c r="D716" s="80">
        <v>41639</v>
      </c>
      <c r="E716" s="81">
        <v>1000</v>
      </c>
      <c r="F716" s="76" t="s">
        <v>150</v>
      </c>
      <c r="G716" s="77" t="s">
        <v>180</v>
      </c>
      <c r="H716" s="77" t="s">
        <v>153</v>
      </c>
      <c r="I716" s="86">
        <v>41680</v>
      </c>
      <c r="J716" s="78">
        <v>569</v>
      </c>
      <c r="K716" s="132" t="s">
        <v>20</v>
      </c>
      <c r="L716" s="132" t="s">
        <v>218</v>
      </c>
      <c r="M716" s="132" t="s">
        <v>158</v>
      </c>
      <c r="N716" s="133">
        <v>41673</v>
      </c>
      <c r="O716" s="134">
        <v>681</v>
      </c>
      <c r="P716" s="132" t="s">
        <v>151</v>
      </c>
      <c r="Q716" s="132" t="s">
        <v>219</v>
      </c>
      <c r="R716" s="132" t="s">
        <v>158</v>
      </c>
      <c r="S716" s="133">
        <v>41646</v>
      </c>
      <c r="T716" s="134">
        <v>71.3</v>
      </c>
      <c r="U716" s="132" t="s">
        <v>154</v>
      </c>
      <c r="V716" s="132" t="s">
        <v>162</v>
      </c>
      <c r="W716" s="132" t="s">
        <v>153</v>
      </c>
      <c r="X716" s="133">
        <v>41911</v>
      </c>
      <c r="Y716" s="134">
        <v>794</v>
      </c>
    </row>
    <row r="717" spans="1:25" x14ac:dyDescent="0.25">
      <c r="A717" s="79" t="s">
        <v>148</v>
      </c>
      <c r="B717" s="12" t="s">
        <v>222</v>
      </c>
      <c r="C717" s="12" t="s">
        <v>158</v>
      </c>
      <c r="D717" s="80">
        <v>41643</v>
      </c>
      <c r="E717" s="81">
        <v>1000</v>
      </c>
      <c r="F717" s="76" t="s">
        <v>150</v>
      </c>
      <c r="G717" s="77" t="s">
        <v>180</v>
      </c>
      <c r="H717" s="77" t="s">
        <v>153</v>
      </c>
      <c r="I717" s="86">
        <v>41681</v>
      </c>
      <c r="J717" s="78">
        <v>758</v>
      </c>
      <c r="K717" s="132" t="s">
        <v>20</v>
      </c>
      <c r="L717" s="132" t="s">
        <v>218</v>
      </c>
      <c r="M717" s="132" t="s">
        <v>158</v>
      </c>
      <c r="N717" s="133">
        <v>41674</v>
      </c>
      <c r="O717" s="134">
        <v>1049</v>
      </c>
      <c r="P717" s="132" t="s">
        <v>151</v>
      </c>
      <c r="Q717" s="132" t="s">
        <v>219</v>
      </c>
      <c r="R717" s="132" t="s">
        <v>158</v>
      </c>
      <c r="S717" s="133">
        <v>41647</v>
      </c>
      <c r="T717" s="134">
        <v>721.8</v>
      </c>
      <c r="U717" s="132" t="s">
        <v>154</v>
      </c>
      <c r="V717" s="132" t="s">
        <v>162</v>
      </c>
      <c r="W717" s="132" t="s">
        <v>153</v>
      </c>
      <c r="X717" s="133">
        <v>41912</v>
      </c>
      <c r="Y717" s="134">
        <v>615</v>
      </c>
    </row>
    <row r="718" spans="1:25" x14ac:dyDescent="0.25">
      <c r="A718" s="79" t="s">
        <v>148</v>
      </c>
      <c r="B718" s="12" t="s">
        <v>222</v>
      </c>
      <c r="C718" s="12" t="s">
        <v>158</v>
      </c>
      <c r="D718" s="80">
        <v>41644</v>
      </c>
      <c r="E718" s="81">
        <v>1700</v>
      </c>
      <c r="F718" s="76" t="s">
        <v>150</v>
      </c>
      <c r="G718" s="77" t="s">
        <v>180</v>
      </c>
      <c r="H718" s="77" t="s">
        <v>153</v>
      </c>
      <c r="I718" s="86">
        <v>41682</v>
      </c>
      <c r="J718" s="78">
        <v>472</v>
      </c>
      <c r="K718" s="132" t="s">
        <v>20</v>
      </c>
      <c r="L718" s="132" t="s">
        <v>218</v>
      </c>
      <c r="M718" s="132" t="s">
        <v>158</v>
      </c>
      <c r="N718" s="133">
        <v>41680</v>
      </c>
      <c r="O718" s="134">
        <v>790</v>
      </c>
      <c r="P718" s="132" t="s">
        <v>151</v>
      </c>
      <c r="Q718" s="132" t="s">
        <v>219</v>
      </c>
      <c r="R718" s="132" t="s">
        <v>158</v>
      </c>
      <c r="S718" s="133">
        <v>41648</v>
      </c>
      <c r="T718" s="134">
        <v>549.29999999999995</v>
      </c>
      <c r="U718" s="132" t="s">
        <v>154</v>
      </c>
      <c r="V718" s="132" t="s">
        <v>162</v>
      </c>
      <c r="W718" s="132" t="s">
        <v>153</v>
      </c>
      <c r="X718" s="133">
        <v>41913</v>
      </c>
      <c r="Y718" s="134">
        <v>763</v>
      </c>
    </row>
    <row r="719" spans="1:25" x14ac:dyDescent="0.25">
      <c r="A719" s="79" t="s">
        <v>148</v>
      </c>
      <c r="B719" s="12" t="s">
        <v>222</v>
      </c>
      <c r="C719" s="12" t="s">
        <v>158</v>
      </c>
      <c r="D719" s="80">
        <v>41645</v>
      </c>
      <c r="E719" s="81">
        <v>680</v>
      </c>
      <c r="F719" s="76" t="s">
        <v>150</v>
      </c>
      <c r="G719" s="77" t="s">
        <v>180</v>
      </c>
      <c r="H719" s="77" t="s">
        <v>153</v>
      </c>
      <c r="I719" s="86">
        <v>41682</v>
      </c>
      <c r="J719" s="78">
        <v>884</v>
      </c>
      <c r="K719" s="132" t="s">
        <v>20</v>
      </c>
      <c r="L719" s="132" t="s">
        <v>218</v>
      </c>
      <c r="M719" s="132" t="s">
        <v>158</v>
      </c>
      <c r="N719" s="133">
        <v>41703</v>
      </c>
      <c r="O719" s="134">
        <v>1757</v>
      </c>
      <c r="P719" s="132" t="s">
        <v>151</v>
      </c>
      <c r="Q719" s="132" t="s">
        <v>219</v>
      </c>
      <c r="R719" s="132" t="s">
        <v>158</v>
      </c>
      <c r="S719" s="133">
        <v>41649</v>
      </c>
      <c r="T719" s="134">
        <v>545.70000000000005</v>
      </c>
      <c r="U719" s="132" t="s">
        <v>154</v>
      </c>
      <c r="V719" s="132" t="s">
        <v>162</v>
      </c>
      <c r="W719" s="132" t="s">
        <v>153</v>
      </c>
      <c r="X719" s="133">
        <v>41914</v>
      </c>
      <c r="Y719" s="134">
        <v>831</v>
      </c>
    </row>
    <row r="720" spans="1:25" x14ac:dyDescent="0.25">
      <c r="A720" s="79" t="s">
        <v>148</v>
      </c>
      <c r="B720" s="12" t="s">
        <v>222</v>
      </c>
      <c r="C720" s="12" t="s">
        <v>158</v>
      </c>
      <c r="D720" s="80">
        <v>41646</v>
      </c>
      <c r="E720" s="81">
        <v>850</v>
      </c>
      <c r="F720" s="76" t="s">
        <v>150</v>
      </c>
      <c r="G720" s="77" t="s">
        <v>180</v>
      </c>
      <c r="H720" s="77" t="s">
        <v>153</v>
      </c>
      <c r="I720" s="86">
        <v>41689</v>
      </c>
      <c r="J720" s="78">
        <v>360</v>
      </c>
      <c r="K720" s="132" t="s">
        <v>20</v>
      </c>
      <c r="L720" s="132" t="s">
        <v>218</v>
      </c>
      <c r="M720" s="132" t="s">
        <v>158</v>
      </c>
      <c r="N720" s="133">
        <v>41727</v>
      </c>
      <c r="O720" s="134">
        <v>1350</v>
      </c>
      <c r="P720" s="132" t="s">
        <v>151</v>
      </c>
      <c r="Q720" s="132" t="s">
        <v>219</v>
      </c>
      <c r="R720" s="132" t="s">
        <v>158</v>
      </c>
      <c r="S720" s="133">
        <v>41656</v>
      </c>
      <c r="T720" s="134">
        <v>228.8</v>
      </c>
      <c r="U720" s="132" t="s">
        <v>154</v>
      </c>
      <c r="V720" s="132" t="s">
        <v>162</v>
      </c>
      <c r="W720" s="132" t="s">
        <v>153</v>
      </c>
      <c r="X720" s="133">
        <v>41915</v>
      </c>
      <c r="Y720" s="134">
        <v>768</v>
      </c>
    </row>
    <row r="721" spans="1:25" x14ac:dyDescent="0.25">
      <c r="A721" s="79" t="s">
        <v>148</v>
      </c>
      <c r="B721" s="12" t="s">
        <v>222</v>
      </c>
      <c r="C721" s="12" t="s">
        <v>158</v>
      </c>
      <c r="D721" s="80">
        <v>41647</v>
      </c>
      <c r="E721" s="81">
        <v>600</v>
      </c>
      <c r="F721" s="76" t="s">
        <v>150</v>
      </c>
      <c r="G721" s="77" t="s">
        <v>180</v>
      </c>
      <c r="H721" s="77" t="s">
        <v>153</v>
      </c>
      <c r="I721" s="86">
        <v>41690</v>
      </c>
      <c r="J721" s="78">
        <v>343</v>
      </c>
      <c r="K721" s="132" t="s">
        <v>20</v>
      </c>
      <c r="L721" s="132" t="s">
        <v>218</v>
      </c>
      <c r="M721" s="132" t="s">
        <v>158</v>
      </c>
      <c r="N721" s="133">
        <v>41737</v>
      </c>
      <c r="O721" s="134">
        <v>1251</v>
      </c>
      <c r="P721" s="132" t="s">
        <v>151</v>
      </c>
      <c r="Q721" s="132" t="s">
        <v>219</v>
      </c>
      <c r="R721" s="132" t="s">
        <v>158</v>
      </c>
      <c r="S721" s="133">
        <v>41660</v>
      </c>
      <c r="T721" s="134">
        <v>621</v>
      </c>
      <c r="U721" s="132" t="s">
        <v>154</v>
      </c>
      <c r="V721" s="132" t="s">
        <v>162</v>
      </c>
      <c r="W721" s="132" t="s">
        <v>153</v>
      </c>
      <c r="X721" s="133">
        <v>41917</v>
      </c>
      <c r="Y721" s="134">
        <v>331</v>
      </c>
    </row>
    <row r="722" spans="1:25" x14ac:dyDescent="0.25">
      <c r="A722" s="79" t="s">
        <v>148</v>
      </c>
      <c r="B722" s="12" t="s">
        <v>222</v>
      </c>
      <c r="C722" s="12" t="s">
        <v>158</v>
      </c>
      <c r="D722" s="80">
        <v>41648</v>
      </c>
      <c r="E722" s="81">
        <v>975</v>
      </c>
      <c r="F722" s="76" t="s">
        <v>150</v>
      </c>
      <c r="G722" s="77" t="s">
        <v>180</v>
      </c>
      <c r="H722" s="77" t="s">
        <v>153</v>
      </c>
      <c r="I722" s="86">
        <v>41692</v>
      </c>
      <c r="J722" s="78">
        <v>1060</v>
      </c>
      <c r="K722" s="132" t="s">
        <v>20</v>
      </c>
      <c r="L722" s="132" t="s">
        <v>218</v>
      </c>
      <c r="M722" s="132" t="s">
        <v>158</v>
      </c>
      <c r="N722" s="133">
        <v>41749</v>
      </c>
      <c r="O722" s="134">
        <v>895</v>
      </c>
      <c r="P722" s="132" t="s">
        <v>151</v>
      </c>
      <c r="Q722" s="132" t="s">
        <v>219</v>
      </c>
      <c r="R722" s="132" t="s">
        <v>158</v>
      </c>
      <c r="S722" s="133">
        <v>41661</v>
      </c>
      <c r="T722" s="134">
        <v>346.1</v>
      </c>
      <c r="U722" s="132" t="s">
        <v>154</v>
      </c>
      <c r="V722" s="132" t="s">
        <v>162</v>
      </c>
      <c r="W722" s="132" t="s">
        <v>153</v>
      </c>
      <c r="X722" s="133">
        <v>41917</v>
      </c>
      <c r="Y722" s="134">
        <v>205</v>
      </c>
    </row>
    <row r="723" spans="1:25" x14ac:dyDescent="0.25">
      <c r="A723" s="79" t="s">
        <v>148</v>
      </c>
      <c r="B723" s="12" t="s">
        <v>222</v>
      </c>
      <c r="C723" s="12" t="s">
        <v>158</v>
      </c>
      <c r="D723" s="80">
        <v>41649</v>
      </c>
      <c r="E723" s="81">
        <v>750</v>
      </c>
      <c r="F723" s="76" t="s">
        <v>150</v>
      </c>
      <c r="G723" s="77" t="s">
        <v>180</v>
      </c>
      <c r="H723" s="77" t="s">
        <v>153</v>
      </c>
      <c r="I723" s="86">
        <v>41693</v>
      </c>
      <c r="J723" s="78">
        <v>583</v>
      </c>
      <c r="K723" s="132" t="s">
        <v>20</v>
      </c>
      <c r="L723" s="132" t="s">
        <v>218</v>
      </c>
      <c r="M723" s="132" t="s">
        <v>158</v>
      </c>
      <c r="N723" s="133">
        <v>41763</v>
      </c>
      <c r="O723" s="134">
        <v>1353</v>
      </c>
      <c r="P723" s="132" t="s">
        <v>151</v>
      </c>
      <c r="Q723" s="132" t="s">
        <v>219</v>
      </c>
      <c r="R723" s="132" t="s">
        <v>158</v>
      </c>
      <c r="S723" s="133">
        <v>41662</v>
      </c>
      <c r="T723" s="134">
        <v>657.1</v>
      </c>
      <c r="U723" s="132" t="s">
        <v>154</v>
      </c>
      <c r="V723" s="132" t="s">
        <v>162</v>
      </c>
      <c r="W723" s="132" t="s">
        <v>153</v>
      </c>
      <c r="X723" s="133">
        <v>41918</v>
      </c>
      <c r="Y723" s="134">
        <v>801</v>
      </c>
    </row>
    <row r="724" spans="1:25" x14ac:dyDescent="0.25">
      <c r="A724" s="79" t="s">
        <v>148</v>
      </c>
      <c r="B724" s="12" t="s">
        <v>222</v>
      </c>
      <c r="C724" s="12" t="s">
        <v>158</v>
      </c>
      <c r="D724" s="80">
        <v>41650</v>
      </c>
      <c r="E724" s="81">
        <v>992</v>
      </c>
      <c r="F724" s="76" t="s">
        <v>150</v>
      </c>
      <c r="G724" s="77" t="s">
        <v>180</v>
      </c>
      <c r="H724" s="77" t="s">
        <v>153</v>
      </c>
      <c r="I724" s="86">
        <v>41695</v>
      </c>
      <c r="J724" s="78">
        <v>670</v>
      </c>
      <c r="K724" s="132" t="s">
        <v>20</v>
      </c>
      <c r="L724" s="132" t="s">
        <v>218</v>
      </c>
      <c r="M724" s="132" t="s">
        <v>158</v>
      </c>
      <c r="N724" s="133">
        <v>41769</v>
      </c>
      <c r="O724" s="134">
        <v>556</v>
      </c>
      <c r="P724" s="132" t="s">
        <v>151</v>
      </c>
      <c r="Q724" s="132" t="s">
        <v>219</v>
      </c>
      <c r="R724" s="132" t="s">
        <v>158</v>
      </c>
      <c r="S724" s="133">
        <v>41704</v>
      </c>
      <c r="T724" s="134">
        <v>942.6</v>
      </c>
      <c r="U724" s="132" t="s">
        <v>154</v>
      </c>
      <c r="V724" s="132" t="s">
        <v>162</v>
      </c>
      <c r="W724" s="132" t="s">
        <v>153</v>
      </c>
      <c r="X724" s="133">
        <v>41919</v>
      </c>
      <c r="Y724" s="134">
        <v>811</v>
      </c>
    </row>
    <row r="725" spans="1:25" x14ac:dyDescent="0.25">
      <c r="A725" s="79" t="s">
        <v>148</v>
      </c>
      <c r="B725" s="12" t="s">
        <v>222</v>
      </c>
      <c r="C725" s="12" t="s">
        <v>158</v>
      </c>
      <c r="D725" s="80">
        <v>41775</v>
      </c>
      <c r="E725" s="81">
        <v>1381</v>
      </c>
      <c r="F725" s="76" t="s">
        <v>150</v>
      </c>
      <c r="G725" s="77" t="s">
        <v>180</v>
      </c>
      <c r="H725" s="77" t="s">
        <v>153</v>
      </c>
      <c r="I725" s="86">
        <v>41698</v>
      </c>
      <c r="J725" s="78">
        <v>1371</v>
      </c>
      <c r="K725" s="132" t="s">
        <v>20</v>
      </c>
      <c r="L725" s="132" t="s">
        <v>218</v>
      </c>
      <c r="M725" s="132" t="s">
        <v>158</v>
      </c>
      <c r="N725" s="133">
        <v>41794</v>
      </c>
      <c r="O725" s="134">
        <v>1009</v>
      </c>
      <c r="P725" s="132" t="s">
        <v>151</v>
      </c>
      <c r="Q725" s="132" t="s">
        <v>219</v>
      </c>
      <c r="R725" s="132" t="s">
        <v>158</v>
      </c>
      <c r="S725" s="133">
        <v>41710</v>
      </c>
      <c r="T725" s="134">
        <v>867.5</v>
      </c>
      <c r="U725" s="132" t="s">
        <v>154</v>
      </c>
      <c r="V725" s="132" t="s">
        <v>162</v>
      </c>
      <c r="W725" s="132" t="s">
        <v>153</v>
      </c>
      <c r="X725" s="133">
        <v>41920</v>
      </c>
      <c r="Y725" s="134">
        <v>628</v>
      </c>
    </row>
    <row r="726" spans="1:25" x14ac:dyDescent="0.25">
      <c r="A726" s="79" t="s">
        <v>148</v>
      </c>
      <c r="B726" s="12" t="s">
        <v>222</v>
      </c>
      <c r="C726" s="12" t="s">
        <v>158</v>
      </c>
      <c r="D726" s="80">
        <v>41776</v>
      </c>
      <c r="E726" s="81">
        <v>1190</v>
      </c>
      <c r="F726" s="76" t="s">
        <v>150</v>
      </c>
      <c r="G726" s="77" t="s">
        <v>180</v>
      </c>
      <c r="H726" s="77" t="s">
        <v>153</v>
      </c>
      <c r="I726" s="86">
        <v>41701</v>
      </c>
      <c r="J726" s="78">
        <v>292</v>
      </c>
      <c r="K726" s="132" t="s">
        <v>20</v>
      </c>
      <c r="L726" s="132" t="s">
        <v>218</v>
      </c>
      <c r="M726" s="132" t="s">
        <v>158</v>
      </c>
      <c r="N726" s="133">
        <v>41802</v>
      </c>
      <c r="O726" s="134">
        <v>1326</v>
      </c>
      <c r="P726" s="132" t="s">
        <v>151</v>
      </c>
      <c r="Q726" s="132" t="s">
        <v>219</v>
      </c>
      <c r="R726" s="132" t="s">
        <v>158</v>
      </c>
      <c r="S726" s="133">
        <v>41738</v>
      </c>
      <c r="T726" s="134">
        <v>983.2</v>
      </c>
      <c r="U726" s="132" t="s">
        <v>154</v>
      </c>
      <c r="V726" s="132" t="s">
        <v>162</v>
      </c>
      <c r="W726" s="132" t="s">
        <v>153</v>
      </c>
      <c r="X726" s="133">
        <v>41921</v>
      </c>
      <c r="Y726" s="134">
        <v>840</v>
      </c>
    </row>
    <row r="727" spans="1:25" x14ac:dyDescent="0.25">
      <c r="A727" s="79" t="s">
        <v>148</v>
      </c>
      <c r="B727" s="12" t="s">
        <v>222</v>
      </c>
      <c r="C727" s="12" t="s">
        <v>158</v>
      </c>
      <c r="D727" s="80">
        <v>41777</v>
      </c>
      <c r="E727" s="81">
        <v>880</v>
      </c>
      <c r="F727" s="76" t="s">
        <v>150</v>
      </c>
      <c r="G727" s="77" t="s">
        <v>180</v>
      </c>
      <c r="H727" s="77" t="s">
        <v>153</v>
      </c>
      <c r="I727" s="86">
        <v>41702</v>
      </c>
      <c r="J727" s="78">
        <v>920</v>
      </c>
      <c r="K727" s="132" t="s">
        <v>20</v>
      </c>
      <c r="L727" s="132" t="s">
        <v>218</v>
      </c>
      <c r="M727" s="132" t="s">
        <v>158</v>
      </c>
      <c r="N727" s="133">
        <v>41827</v>
      </c>
      <c r="O727" s="134">
        <v>1703</v>
      </c>
      <c r="P727" s="132" t="s">
        <v>151</v>
      </c>
      <c r="Q727" s="132" t="s">
        <v>219</v>
      </c>
      <c r="R727" s="132" t="s">
        <v>158</v>
      </c>
      <c r="S727" s="133">
        <v>41810</v>
      </c>
      <c r="T727" s="134">
        <v>397.2</v>
      </c>
      <c r="U727" s="132" t="s">
        <v>154</v>
      </c>
      <c r="V727" s="132" t="s">
        <v>162</v>
      </c>
      <c r="W727" s="132" t="s">
        <v>153</v>
      </c>
      <c r="X727" s="133">
        <v>41922</v>
      </c>
      <c r="Y727" s="134">
        <v>1174</v>
      </c>
    </row>
    <row r="728" spans="1:25" x14ac:dyDescent="0.25">
      <c r="A728" s="79" t="s">
        <v>148</v>
      </c>
      <c r="B728" s="12" t="s">
        <v>222</v>
      </c>
      <c r="C728" s="12" t="s">
        <v>158</v>
      </c>
      <c r="D728" s="80">
        <v>41778</v>
      </c>
      <c r="E728" s="81">
        <v>250</v>
      </c>
      <c r="F728" s="76" t="s">
        <v>150</v>
      </c>
      <c r="G728" s="77" t="s">
        <v>180</v>
      </c>
      <c r="H728" s="77" t="s">
        <v>153</v>
      </c>
      <c r="I728" s="86">
        <v>41705</v>
      </c>
      <c r="J728" s="78">
        <v>1056</v>
      </c>
      <c r="K728" s="132" t="s">
        <v>20</v>
      </c>
      <c r="L728" s="132" t="s">
        <v>218</v>
      </c>
      <c r="M728" s="132" t="s">
        <v>158</v>
      </c>
      <c r="N728" s="133">
        <v>41964</v>
      </c>
      <c r="O728" s="134">
        <v>1561</v>
      </c>
      <c r="P728" s="132" t="s">
        <v>151</v>
      </c>
      <c r="Q728" s="132" t="s">
        <v>219</v>
      </c>
      <c r="R728" s="132" t="s">
        <v>158</v>
      </c>
      <c r="S728" s="133">
        <v>41813</v>
      </c>
      <c r="T728" s="134">
        <v>641.9</v>
      </c>
      <c r="U728" s="132" t="s">
        <v>154</v>
      </c>
      <c r="V728" s="132" t="s">
        <v>162</v>
      </c>
      <c r="W728" s="132" t="s">
        <v>153</v>
      </c>
      <c r="X728" s="133">
        <v>41924</v>
      </c>
      <c r="Y728" s="134">
        <v>801</v>
      </c>
    </row>
    <row r="729" spans="1:25" x14ac:dyDescent="0.25">
      <c r="A729" s="79" t="s">
        <v>148</v>
      </c>
      <c r="B729" s="12" t="s">
        <v>222</v>
      </c>
      <c r="C729" s="12" t="s">
        <v>158</v>
      </c>
      <c r="D729" s="80">
        <v>41779</v>
      </c>
      <c r="E729" s="81">
        <v>950</v>
      </c>
      <c r="F729" s="76" t="s">
        <v>150</v>
      </c>
      <c r="G729" s="77" t="s">
        <v>180</v>
      </c>
      <c r="H729" s="77" t="s">
        <v>153</v>
      </c>
      <c r="I729" s="86">
        <v>41708</v>
      </c>
      <c r="J729" s="78">
        <v>1083</v>
      </c>
      <c r="K729" s="132" t="s">
        <v>20</v>
      </c>
      <c r="L729" s="132" t="s">
        <v>218</v>
      </c>
      <c r="M729" s="132" t="s">
        <v>158</v>
      </c>
      <c r="N729" s="133">
        <v>41975</v>
      </c>
      <c r="O729" s="134">
        <v>1421</v>
      </c>
      <c r="P729" s="132" t="s">
        <v>151</v>
      </c>
      <c r="Q729" s="132" t="s">
        <v>219</v>
      </c>
      <c r="R729" s="132" t="s">
        <v>158</v>
      </c>
      <c r="S729" s="133">
        <v>41814</v>
      </c>
      <c r="T729" s="134">
        <v>653.6</v>
      </c>
      <c r="U729" s="132" t="s">
        <v>154</v>
      </c>
      <c r="V729" s="132" t="s">
        <v>162</v>
      </c>
      <c r="W729" s="132" t="s">
        <v>153</v>
      </c>
      <c r="X729" s="133">
        <v>41925</v>
      </c>
      <c r="Y729" s="134">
        <v>1020</v>
      </c>
    </row>
    <row r="730" spans="1:25" x14ac:dyDescent="0.25">
      <c r="A730" s="79" t="s">
        <v>148</v>
      </c>
      <c r="B730" s="12" t="s">
        <v>222</v>
      </c>
      <c r="C730" s="12" t="s">
        <v>158</v>
      </c>
      <c r="D730" s="80">
        <v>41780</v>
      </c>
      <c r="E730" s="81">
        <v>700</v>
      </c>
      <c r="F730" s="76" t="s">
        <v>150</v>
      </c>
      <c r="G730" s="77" t="s">
        <v>180</v>
      </c>
      <c r="H730" s="77" t="s">
        <v>153</v>
      </c>
      <c r="I730" s="86">
        <v>41709</v>
      </c>
      <c r="J730" s="78">
        <v>579</v>
      </c>
      <c r="K730" s="132" t="s">
        <v>20</v>
      </c>
      <c r="L730" s="132" t="s">
        <v>218</v>
      </c>
      <c r="M730" s="132" t="s">
        <v>158</v>
      </c>
      <c r="N730" s="133">
        <v>41982</v>
      </c>
      <c r="O730" s="134">
        <v>871</v>
      </c>
      <c r="P730" s="132" t="s">
        <v>151</v>
      </c>
      <c r="Q730" s="132" t="s">
        <v>219</v>
      </c>
      <c r="R730" s="132" t="s">
        <v>158</v>
      </c>
      <c r="S730" s="133">
        <v>41939</v>
      </c>
      <c r="T730" s="134">
        <v>1293.3</v>
      </c>
      <c r="U730" s="132" t="s">
        <v>154</v>
      </c>
      <c r="V730" s="132" t="s">
        <v>162</v>
      </c>
      <c r="W730" s="132" t="s">
        <v>153</v>
      </c>
      <c r="X730" s="133">
        <v>41926</v>
      </c>
      <c r="Y730" s="134">
        <v>1026</v>
      </c>
    </row>
    <row r="731" spans="1:25" x14ac:dyDescent="0.25">
      <c r="A731" s="79" t="s">
        <v>148</v>
      </c>
      <c r="B731" s="12" t="s">
        <v>222</v>
      </c>
      <c r="C731" s="12" t="s">
        <v>158</v>
      </c>
      <c r="D731" s="80">
        <v>41781</v>
      </c>
      <c r="E731" s="81">
        <v>760</v>
      </c>
      <c r="F731" s="76" t="s">
        <v>150</v>
      </c>
      <c r="G731" s="77" t="s">
        <v>180</v>
      </c>
      <c r="H731" s="77" t="s">
        <v>153</v>
      </c>
      <c r="I731" s="86">
        <v>41711</v>
      </c>
      <c r="J731" s="78">
        <v>983</v>
      </c>
      <c r="K731" s="132" t="s">
        <v>20</v>
      </c>
      <c r="L731" s="132" t="s">
        <v>219</v>
      </c>
      <c r="M731" s="132" t="s">
        <v>158</v>
      </c>
      <c r="N731" s="133">
        <v>41642</v>
      </c>
      <c r="O731" s="134">
        <v>710</v>
      </c>
      <c r="P731" s="132" t="s">
        <v>151</v>
      </c>
      <c r="Q731" s="132" t="s">
        <v>219</v>
      </c>
      <c r="R731" s="132" t="s">
        <v>158</v>
      </c>
      <c r="S731" s="133">
        <v>41940</v>
      </c>
      <c r="T731" s="134">
        <v>376.1</v>
      </c>
      <c r="U731" s="132" t="s">
        <v>154</v>
      </c>
      <c r="V731" s="132" t="s">
        <v>162</v>
      </c>
      <c r="W731" s="132" t="s">
        <v>153</v>
      </c>
      <c r="X731" s="133">
        <v>41927</v>
      </c>
      <c r="Y731" s="134">
        <v>924</v>
      </c>
    </row>
    <row r="732" spans="1:25" x14ac:dyDescent="0.25">
      <c r="A732" s="79" t="s">
        <v>148</v>
      </c>
      <c r="B732" s="12" t="s">
        <v>222</v>
      </c>
      <c r="C732" s="12" t="s">
        <v>158</v>
      </c>
      <c r="D732" s="80">
        <v>41782</v>
      </c>
      <c r="E732" s="81">
        <v>720</v>
      </c>
      <c r="F732" s="76" t="s">
        <v>150</v>
      </c>
      <c r="G732" s="77" t="s">
        <v>180</v>
      </c>
      <c r="H732" s="77" t="s">
        <v>153</v>
      </c>
      <c r="I732" s="86">
        <v>41713</v>
      </c>
      <c r="J732" s="78">
        <v>1341</v>
      </c>
      <c r="K732" s="132" t="s">
        <v>20</v>
      </c>
      <c r="L732" s="132" t="s">
        <v>219</v>
      </c>
      <c r="M732" s="132" t="s">
        <v>158</v>
      </c>
      <c r="N732" s="133">
        <v>41645</v>
      </c>
      <c r="O732" s="134">
        <v>282</v>
      </c>
      <c r="P732" s="132" t="s">
        <v>151</v>
      </c>
      <c r="Q732" s="132" t="s">
        <v>219</v>
      </c>
      <c r="R732" s="132" t="s">
        <v>158</v>
      </c>
      <c r="S732" s="133">
        <v>41942</v>
      </c>
      <c r="T732" s="134">
        <v>386</v>
      </c>
      <c r="U732" s="132" t="s">
        <v>154</v>
      </c>
      <c r="V732" s="132" t="s">
        <v>162</v>
      </c>
      <c r="W732" s="132" t="s">
        <v>153</v>
      </c>
      <c r="X732" s="133">
        <v>41928</v>
      </c>
      <c r="Y732" s="134">
        <v>834</v>
      </c>
    </row>
    <row r="733" spans="1:25" x14ac:dyDescent="0.25">
      <c r="A733" s="79" t="s">
        <v>148</v>
      </c>
      <c r="B733" s="12" t="s">
        <v>222</v>
      </c>
      <c r="C733" s="12" t="s">
        <v>158</v>
      </c>
      <c r="D733" s="80">
        <v>41783</v>
      </c>
      <c r="E733" s="81">
        <v>1178</v>
      </c>
      <c r="F733" s="76" t="s">
        <v>150</v>
      </c>
      <c r="G733" s="77" t="s">
        <v>180</v>
      </c>
      <c r="H733" s="77" t="s">
        <v>153</v>
      </c>
      <c r="I733" s="86">
        <v>41714</v>
      </c>
      <c r="J733" s="78">
        <v>845</v>
      </c>
      <c r="K733" s="132" t="s">
        <v>20</v>
      </c>
      <c r="L733" s="132" t="s">
        <v>219</v>
      </c>
      <c r="M733" s="132" t="s">
        <v>158</v>
      </c>
      <c r="N733" s="133">
        <v>41778</v>
      </c>
      <c r="O733" s="134">
        <v>1399</v>
      </c>
      <c r="P733" s="132" t="s">
        <v>151</v>
      </c>
      <c r="Q733" s="132" t="s">
        <v>219</v>
      </c>
      <c r="R733" s="132" t="s">
        <v>158</v>
      </c>
      <c r="S733" s="133">
        <v>41957</v>
      </c>
      <c r="T733" s="134">
        <v>798.5</v>
      </c>
      <c r="U733" s="132" t="s">
        <v>154</v>
      </c>
      <c r="V733" s="132" t="s">
        <v>162</v>
      </c>
      <c r="W733" s="132" t="s">
        <v>153</v>
      </c>
      <c r="X733" s="133">
        <v>41929</v>
      </c>
      <c r="Y733" s="134">
        <v>1130</v>
      </c>
    </row>
    <row r="734" spans="1:25" x14ac:dyDescent="0.25">
      <c r="A734" s="79" t="s">
        <v>148</v>
      </c>
      <c r="B734" s="12" t="s">
        <v>222</v>
      </c>
      <c r="C734" s="12" t="s">
        <v>158</v>
      </c>
      <c r="D734" s="80">
        <v>41784</v>
      </c>
      <c r="E734" s="81">
        <v>904</v>
      </c>
      <c r="F734" s="76" t="s">
        <v>150</v>
      </c>
      <c r="G734" s="77" t="s">
        <v>180</v>
      </c>
      <c r="H734" s="77" t="s">
        <v>153</v>
      </c>
      <c r="I734" s="86">
        <v>41715</v>
      </c>
      <c r="J734" s="78">
        <v>1011</v>
      </c>
      <c r="K734" s="132" t="s">
        <v>20</v>
      </c>
      <c r="L734" s="132" t="s">
        <v>219</v>
      </c>
      <c r="M734" s="132" t="s">
        <v>158</v>
      </c>
      <c r="N734" s="133">
        <v>41845</v>
      </c>
      <c r="O734" s="134">
        <v>1307</v>
      </c>
      <c r="P734" s="132" t="s">
        <v>151</v>
      </c>
      <c r="Q734" s="132" t="s">
        <v>219</v>
      </c>
      <c r="R734" s="132" t="s">
        <v>158</v>
      </c>
      <c r="S734" s="133">
        <v>41969</v>
      </c>
      <c r="T734" s="134">
        <v>301.39999999999998</v>
      </c>
      <c r="U734" s="132" t="s">
        <v>154</v>
      </c>
      <c r="V734" s="132" t="s">
        <v>162</v>
      </c>
      <c r="W734" s="132" t="s">
        <v>153</v>
      </c>
      <c r="X734" s="133">
        <v>41932</v>
      </c>
      <c r="Y734" s="134">
        <v>448</v>
      </c>
    </row>
    <row r="735" spans="1:25" x14ac:dyDescent="0.25">
      <c r="A735" s="79" t="s">
        <v>148</v>
      </c>
      <c r="B735" s="12" t="s">
        <v>222</v>
      </c>
      <c r="C735" s="12" t="s">
        <v>158</v>
      </c>
      <c r="D735" s="80">
        <v>41785</v>
      </c>
      <c r="E735" s="81">
        <v>931</v>
      </c>
      <c r="F735" s="76" t="s">
        <v>150</v>
      </c>
      <c r="G735" s="77" t="s">
        <v>180</v>
      </c>
      <c r="H735" s="77" t="s">
        <v>153</v>
      </c>
      <c r="I735" s="86">
        <v>41716</v>
      </c>
      <c r="J735" s="78">
        <v>805</v>
      </c>
      <c r="K735" s="132" t="s">
        <v>20</v>
      </c>
      <c r="L735" s="132" t="s">
        <v>219</v>
      </c>
      <c r="M735" s="132" t="s">
        <v>158</v>
      </c>
      <c r="N735" s="133">
        <v>41864</v>
      </c>
      <c r="O735" s="134">
        <v>1176</v>
      </c>
      <c r="P735" s="132" t="s">
        <v>151</v>
      </c>
      <c r="Q735" s="132" t="s">
        <v>219</v>
      </c>
      <c r="R735" s="132" t="s">
        <v>158</v>
      </c>
      <c r="S735" s="133">
        <v>41971</v>
      </c>
      <c r="T735" s="134">
        <v>505.1</v>
      </c>
      <c r="U735" s="132" t="s">
        <v>154</v>
      </c>
      <c r="V735" s="132" t="s">
        <v>162</v>
      </c>
      <c r="W735" s="132" t="s">
        <v>153</v>
      </c>
      <c r="X735" s="133">
        <v>41933</v>
      </c>
      <c r="Y735" s="134">
        <v>591</v>
      </c>
    </row>
    <row r="736" spans="1:25" x14ac:dyDescent="0.25">
      <c r="A736" s="79" t="s">
        <v>148</v>
      </c>
      <c r="B736" s="12" t="s">
        <v>222</v>
      </c>
      <c r="C736" s="12" t="s">
        <v>158</v>
      </c>
      <c r="D736" s="80">
        <v>41786</v>
      </c>
      <c r="E736" s="81">
        <v>520</v>
      </c>
      <c r="F736" s="76" t="s">
        <v>150</v>
      </c>
      <c r="G736" s="77" t="s">
        <v>180</v>
      </c>
      <c r="H736" s="77" t="s">
        <v>153</v>
      </c>
      <c r="I736" s="86">
        <v>41717</v>
      </c>
      <c r="J736" s="78">
        <v>634</v>
      </c>
      <c r="K736" s="132" t="s">
        <v>20</v>
      </c>
      <c r="L736" s="132" t="s">
        <v>219</v>
      </c>
      <c r="M736" s="132" t="s">
        <v>158</v>
      </c>
      <c r="N736" s="133">
        <v>41932</v>
      </c>
      <c r="O736" s="134">
        <v>1243</v>
      </c>
      <c r="P736" s="132" t="s">
        <v>151</v>
      </c>
      <c r="Q736" s="132" t="s">
        <v>219</v>
      </c>
      <c r="R736" s="132" t="s">
        <v>158</v>
      </c>
      <c r="S736" s="133">
        <v>41974</v>
      </c>
      <c r="T736" s="134">
        <v>701.5</v>
      </c>
      <c r="U736" s="132" t="s">
        <v>154</v>
      </c>
      <c r="V736" s="132" t="s">
        <v>162</v>
      </c>
      <c r="W736" s="132" t="s">
        <v>153</v>
      </c>
      <c r="X736" s="133">
        <v>41934</v>
      </c>
      <c r="Y736" s="134">
        <v>796</v>
      </c>
    </row>
    <row r="737" spans="1:25" x14ac:dyDescent="0.25">
      <c r="A737" s="79" t="s">
        <v>148</v>
      </c>
      <c r="B737" s="12" t="s">
        <v>222</v>
      </c>
      <c r="C737" s="12" t="s">
        <v>158</v>
      </c>
      <c r="D737" s="80">
        <v>41787</v>
      </c>
      <c r="E737" s="81">
        <v>760</v>
      </c>
      <c r="F737" s="76" t="s">
        <v>150</v>
      </c>
      <c r="G737" s="77" t="s">
        <v>180</v>
      </c>
      <c r="H737" s="77" t="s">
        <v>153</v>
      </c>
      <c r="I737" s="86">
        <v>41719</v>
      </c>
      <c r="J737" s="78">
        <v>487</v>
      </c>
      <c r="K737" s="132" t="s">
        <v>20</v>
      </c>
      <c r="L737" s="132" t="s">
        <v>220</v>
      </c>
      <c r="M737" s="132" t="s">
        <v>158</v>
      </c>
      <c r="N737" s="133">
        <v>41679</v>
      </c>
      <c r="O737" s="134">
        <v>1596</v>
      </c>
      <c r="P737" s="132" t="s">
        <v>151</v>
      </c>
      <c r="Q737" s="132" t="s">
        <v>219</v>
      </c>
      <c r="R737" s="132" t="s">
        <v>158</v>
      </c>
      <c r="S737" s="133">
        <v>41975</v>
      </c>
      <c r="T737" s="134">
        <v>617.6</v>
      </c>
      <c r="U737" s="132" t="s">
        <v>154</v>
      </c>
      <c r="V737" s="132" t="s">
        <v>162</v>
      </c>
      <c r="W737" s="132" t="s">
        <v>153</v>
      </c>
      <c r="X737" s="133">
        <v>41935</v>
      </c>
      <c r="Y737" s="134">
        <v>1124</v>
      </c>
    </row>
    <row r="738" spans="1:25" x14ac:dyDescent="0.25">
      <c r="A738" s="92" t="s">
        <v>148</v>
      </c>
      <c r="B738" s="12" t="s">
        <v>222</v>
      </c>
      <c r="C738" s="12" t="s">
        <v>158</v>
      </c>
      <c r="D738" s="80">
        <v>41788</v>
      </c>
      <c r="E738" s="81">
        <v>710</v>
      </c>
      <c r="F738" s="76" t="s">
        <v>150</v>
      </c>
      <c r="G738" s="77" t="s">
        <v>180</v>
      </c>
      <c r="H738" s="77" t="s">
        <v>153</v>
      </c>
      <c r="I738" s="86">
        <v>41723</v>
      </c>
      <c r="J738" s="78">
        <v>760</v>
      </c>
      <c r="K738" s="132" t="s">
        <v>20</v>
      </c>
      <c r="L738" s="132" t="s">
        <v>220</v>
      </c>
      <c r="M738" s="132" t="s">
        <v>158</v>
      </c>
      <c r="N738" s="133">
        <v>41693</v>
      </c>
      <c r="O738" s="134">
        <v>1656</v>
      </c>
      <c r="P738" s="132" t="s">
        <v>151</v>
      </c>
      <c r="Q738" s="132" t="s">
        <v>219</v>
      </c>
      <c r="R738" s="132" t="s">
        <v>158</v>
      </c>
      <c r="S738" s="133">
        <v>41976</v>
      </c>
      <c r="T738" s="134">
        <v>621.4</v>
      </c>
      <c r="U738" s="132" t="s">
        <v>154</v>
      </c>
      <c r="V738" s="132" t="s">
        <v>183</v>
      </c>
      <c r="W738" s="132" t="s">
        <v>153</v>
      </c>
      <c r="X738" s="133">
        <v>41279</v>
      </c>
      <c r="Y738" s="134">
        <v>418</v>
      </c>
    </row>
    <row r="739" spans="1:25" x14ac:dyDescent="0.25">
      <c r="A739" s="92" t="s">
        <v>148</v>
      </c>
      <c r="B739" s="12" t="s">
        <v>222</v>
      </c>
      <c r="C739" s="12" t="s">
        <v>158</v>
      </c>
      <c r="D739" s="80">
        <v>41789</v>
      </c>
      <c r="E739" s="81">
        <v>725</v>
      </c>
      <c r="F739" s="76" t="s">
        <v>150</v>
      </c>
      <c r="G739" s="77" t="s">
        <v>180</v>
      </c>
      <c r="H739" s="77" t="s">
        <v>153</v>
      </c>
      <c r="I739" s="86">
        <v>41724</v>
      </c>
      <c r="J739" s="78">
        <v>555</v>
      </c>
      <c r="K739" s="132" t="s">
        <v>20</v>
      </c>
      <c r="L739" s="132" t="s">
        <v>220</v>
      </c>
      <c r="M739" s="132" t="s">
        <v>158</v>
      </c>
      <c r="N739" s="133">
        <v>41706</v>
      </c>
      <c r="O739" s="134">
        <v>612</v>
      </c>
      <c r="P739" s="132" t="s">
        <v>151</v>
      </c>
      <c r="Q739" s="132" t="s">
        <v>219</v>
      </c>
      <c r="R739" s="132" t="s">
        <v>158</v>
      </c>
      <c r="S739" s="133">
        <v>41977</v>
      </c>
      <c r="T739" s="134">
        <v>613.5</v>
      </c>
      <c r="U739" s="132" t="s">
        <v>154</v>
      </c>
      <c r="V739" s="132" t="s">
        <v>183</v>
      </c>
      <c r="W739" s="132" t="s">
        <v>153</v>
      </c>
      <c r="X739" s="133">
        <v>41638</v>
      </c>
      <c r="Y739" s="134">
        <v>497</v>
      </c>
    </row>
    <row r="740" spans="1:25" x14ac:dyDescent="0.25">
      <c r="A740" s="92" t="s">
        <v>148</v>
      </c>
      <c r="B740" s="12" t="s">
        <v>222</v>
      </c>
      <c r="C740" s="12" t="s">
        <v>158</v>
      </c>
      <c r="D740" s="80">
        <v>41790</v>
      </c>
      <c r="E740" s="81">
        <v>1185</v>
      </c>
      <c r="F740" s="76" t="s">
        <v>150</v>
      </c>
      <c r="G740" s="77" t="s">
        <v>180</v>
      </c>
      <c r="H740" s="77" t="s">
        <v>153</v>
      </c>
      <c r="I740" s="86">
        <v>41725</v>
      </c>
      <c r="J740" s="78">
        <v>1183</v>
      </c>
      <c r="K740" s="132" t="s">
        <v>20</v>
      </c>
      <c r="L740" s="132" t="s">
        <v>220</v>
      </c>
      <c r="M740" s="132" t="s">
        <v>158</v>
      </c>
      <c r="N740" s="133">
        <v>41713</v>
      </c>
      <c r="O740" s="134">
        <v>933</v>
      </c>
      <c r="P740" s="132" t="s">
        <v>151</v>
      </c>
      <c r="Q740" s="132" t="s">
        <v>219</v>
      </c>
      <c r="R740" s="132" t="s">
        <v>158</v>
      </c>
      <c r="S740" s="133">
        <v>41978</v>
      </c>
      <c r="T740" s="134">
        <v>503.9</v>
      </c>
      <c r="U740" s="132" t="s">
        <v>154</v>
      </c>
      <c r="V740" s="132" t="s">
        <v>183</v>
      </c>
      <c r="W740" s="132" t="s">
        <v>153</v>
      </c>
      <c r="X740" s="133">
        <v>41639</v>
      </c>
      <c r="Y740" s="134">
        <v>1024</v>
      </c>
    </row>
    <row r="741" spans="1:25" x14ac:dyDescent="0.25">
      <c r="A741" s="92" t="s">
        <v>148</v>
      </c>
      <c r="B741" s="12" t="s">
        <v>222</v>
      </c>
      <c r="C741" s="12" t="s">
        <v>158</v>
      </c>
      <c r="D741" s="80">
        <v>41791</v>
      </c>
      <c r="E741" s="81">
        <v>914</v>
      </c>
      <c r="F741" s="76" t="s">
        <v>150</v>
      </c>
      <c r="G741" s="77" t="s">
        <v>180</v>
      </c>
      <c r="H741" s="77" t="s">
        <v>153</v>
      </c>
      <c r="I741" s="86">
        <v>41726</v>
      </c>
      <c r="J741" s="78">
        <v>1126</v>
      </c>
      <c r="K741" s="132" t="s">
        <v>20</v>
      </c>
      <c r="L741" s="132" t="s">
        <v>220</v>
      </c>
      <c r="M741" s="132" t="s">
        <v>158</v>
      </c>
      <c r="N741" s="133">
        <v>41715</v>
      </c>
      <c r="O741" s="134">
        <v>604</v>
      </c>
      <c r="P741" s="132" t="s">
        <v>151</v>
      </c>
      <c r="Q741" s="132" t="s">
        <v>219</v>
      </c>
      <c r="R741" s="132" t="s">
        <v>158</v>
      </c>
      <c r="S741" s="133">
        <v>41981</v>
      </c>
      <c r="T741" s="134">
        <v>778.5</v>
      </c>
      <c r="U741" s="132" t="s">
        <v>154</v>
      </c>
      <c r="V741" s="132" t="s">
        <v>183</v>
      </c>
      <c r="W741" s="132" t="s">
        <v>153</v>
      </c>
      <c r="X741" s="133">
        <v>41640</v>
      </c>
      <c r="Y741" s="134">
        <v>485</v>
      </c>
    </row>
    <row r="742" spans="1:25" x14ac:dyDescent="0.25">
      <c r="A742" s="92" t="s">
        <v>148</v>
      </c>
      <c r="B742" s="12" t="s">
        <v>222</v>
      </c>
      <c r="C742" s="12" t="s">
        <v>158</v>
      </c>
      <c r="D742" s="80">
        <v>41792</v>
      </c>
      <c r="E742" s="81">
        <v>475</v>
      </c>
      <c r="F742" s="76" t="s">
        <v>150</v>
      </c>
      <c r="G742" s="77" t="s">
        <v>180</v>
      </c>
      <c r="H742" s="77" t="s">
        <v>153</v>
      </c>
      <c r="I742" s="86">
        <v>41726</v>
      </c>
      <c r="J742" s="78">
        <v>542</v>
      </c>
      <c r="K742" s="132" t="s">
        <v>20</v>
      </c>
      <c r="L742" s="132" t="s">
        <v>220</v>
      </c>
      <c r="M742" s="132" t="s">
        <v>158</v>
      </c>
      <c r="N742" s="133">
        <v>41732</v>
      </c>
      <c r="O742" s="134">
        <v>812</v>
      </c>
      <c r="P742" s="132" t="s">
        <v>151</v>
      </c>
      <c r="Q742" s="132" t="s">
        <v>219</v>
      </c>
      <c r="R742" s="132" t="s">
        <v>158</v>
      </c>
      <c r="S742" s="133">
        <v>41982</v>
      </c>
      <c r="T742" s="134">
        <v>619.79999999999995</v>
      </c>
      <c r="U742" s="132" t="s">
        <v>154</v>
      </c>
      <c r="V742" s="132" t="s">
        <v>183</v>
      </c>
      <c r="W742" s="132" t="s">
        <v>153</v>
      </c>
      <c r="X742" s="133">
        <v>41641</v>
      </c>
      <c r="Y742" s="134">
        <v>690</v>
      </c>
    </row>
    <row r="743" spans="1:25" x14ac:dyDescent="0.25">
      <c r="A743" s="92" t="s">
        <v>148</v>
      </c>
      <c r="B743" s="12" t="s">
        <v>222</v>
      </c>
      <c r="C743" s="12" t="s">
        <v>158</v>
      </c>
      <c r="D743" s="80">
        <v>41793</v>
      </c>
      <c r="E743" s="81">
        <v>790</v>
      </c>
      <c r="F743" s="76" t="s">
        <v>150</v>
      </c>
      <c r="G743" s="77" t="s">
        <v>180</v>
      </c>
      <c r="H743" s="77" t="s">
        <v>153</v>
      </c>
      <c r="I743" s="86">
        <v>41759</v>
      </c>
      <c r="J743" s="78">
        <v>1148</v>
      </c>
      <c r="K743" s="132" t="s">
        <v>20</v>
      </c>
      <c r="L743" s="132" t="s">
        <v>220</v>
      </c>
      <c r="M743" s="132" t="s">
        <v>158</v>
      </c>
      <c r="N743" s="133">
        <v>41734</v>
      </c>
      <c r="O743" s="134">
        <v>973</v>
      </c>
      <c r="P743" s="132" t="s">
        <v>151</v>
      </c>
      <c r="Q743" s="132" t="s">
        <v>219</v>
      </c>
      <c r="R743" s="132" t="s">
        <v>158</v>
      </c>
      <c r="S743" s="133">
        <v>41985</v>
      </c>
      <c r="T743" s="134">
        <v>949.6</v>
      </c>
      <c r="U743" s="132" t="s">
        <v>154</v>
      </c>
      <c r="V743" s="132" t="s">
        <v>183</v>
      </c>
      <c r="W743" s="132" t="s">
        <v>153</v>
      </c>
      <c r="X743" s="133">
        <v>41641</v>
      </c>
      <c r="Y743" s="134">
        <v>330</v>
      </c>
    </row>
    <row r="744" spans="1:25" x14ac:dyDescent="0.25">
      <c r="A744" s="92" t="s">
        <v>148</v>
      </c>
      <c r="B744" s="12" t="s">
        <v>222</v>
      </c>
      <c r="C744" s="12" t="s">
        <v>158</v>
      </c>
      <c r="D744" s="80">
        <v>41794</v>
      </c>
      <c r="E744" s="81">
        <v>1100</v>
      </c>
      <c r="F744" s="76" t="s">
        <v>150</v>
      </c>
      <c r="G744" s="77" t="s">
        <v>180</v>
      </c>
      <c r="H744" s="77" t="s">
        <v>153</v>
      </c>
      <c r="I744" s="86">
        <v>41760</v>
      </c>
      <c r="J744" s="78">
        <v>485</v>
      </c>
      <c r="K744" s="132" t="s">
        <v>20</v>
      </c>
      <c r="L744" s="132" t="s">
        <v>220</v>
      </c>
      <c r="M744" s="132" t="s">
        <v>158</v>
      </c>
      <c r="N744" s="133">
        <v>41750</v>
      </c>
      <c r="O744" s="134">
        <v>359</v>
      </c>
      <c r="P744" s="132" t="s">
        <v>151</v>
      </c>
      <c r="Q744" s="132" t="s">
        <v>219</v>
      </c>
      <c r="R744" s="132" t="s">
        <v>158</v>
      </c>
      <c r="S744" s="133">
        <v>41996</v>
      </c>
      <c r="T744" s="134">
        <v>939.3</v>
      </c>
      <c r="U744" s="132" t="s">
        <v>154</v>
      </c>
      <c r="V744" s="132" t="s">
        <v>183</v>
      </c>
      <c r="W744" s="132" t="s">
        <v>153</v>
      </c>
      <c r="X744" s="133">
        <v>41645</v>
      </c>
      <c r="Y744" s="134">
        <v>717</v>
      </c>
    </row>
    <row r="745" spans="1:25" x14ac:dyDescent="0.25">
      <c r="A745" s="92" t="s">
        <v>148</v>
      </c>
      <c r="B745" s="12" t="s">
        <v>222</v>
      </c>
      <c r="C745" s="12" t="s">
        <v>158</v>
      </c>
      <c r="D745" s="80">
        <v>41795</v>
      </c>
      <c r="E745" s="81">
        <v>750</v>
      </c>
      <c r="F745" s="76" t="s">
        <v>150</v>
      </c>
      <c r="G745" s="77" t="s">
        <v>180</v>
      </c>
      <c r="H745" s="77" t="s">
        <v>153</v>
      </c>
      <c r="I745" s="86">
        <v>41764</v>
      </c>
      <c r="J745" s="78">
        <v>905</v>
      </c>
      <c r="K745" s="132" t="s">
        <v>20</v>
      </c>
      <c r="L745" s="132" t="s">
        <v>220</v>
      </c>
      <c r="M745" s="132" t="s">
        <v>158</v>
      </c>
      <c r="N745" s="133">
        <v>41775</v>
      </c>
      <c r="O745" s="134">
        <v>1322</v>
      </c>
      <c r="P745" s="132" t="s">
        <v>151</v>
      </c>
      <c r="Q745" s="132" t="s">
        <v>220</v>
      </c>
      <c r="R745" s="132" t="s">
        <v>158</v>
      </c>
      <c r="S745" s="133">
        <v>41788</v>
      </c>
      <c r="T745" s="134">
        <v>1348.3</v>
      </c>
      <c r="U745" s="132" t="s">
        <v>154</v>
      </c>
      <c r="V745" s="132" t="s">
        <v>183</v>
      </c>
      <c r="W745" s="132" t="s">
        <v>153</v>
      </c>
      <c r="X745" s="133">
        <v>41645</v>
      </c>
      <c r="Y745" s="134">
        <v>260</v>
      </c>
    </row>
    <row r="746" spans="1:25" x14ac:dyDescent="0.25">
      <c r="A746" s="92" t="s">
        <v>148</v>
      </c>
      <c r="B746" s="12" t="s">
        <v>222</v>
      </c>
      <c r="C746" s="12" t="s">
        <v>158</v>
      </c>
      <c r="D746" s="80">
        <v>41796</v>
      </c>
      <c r="E746" s="81">
        <v>1062</v>
      </c>
      <c r="F746" s="76" t="s">
        <v>150</v>
      </c>
      <c r="G746" s="77" t="s">
        <v>180</v>
      </c>
      <c r="H746" s="77" t="s">
        <v>153</v>
      </c>
      <c r="I746" s="86">
        <v>41774</v>
      </c>
      <c r="J746" s="78">
        <v>720</v>
      </c>
      <c r="K746" s="132" t="s">
        <v>20</v>
      </c>
      <c r="L746" s="132" t="s">
        <v>220</v>
      </c>
      <c r="M746" s="132" t="s">
        <v>158</v>
      </c>
      <c r="N746" s="133">
        <v>41867</v>
      </c>
      <c r="O746" s="134">
        <v>1945</v>
      </c>
      <c r="P746" s="132" t="s">
        <v>151</v>
      </c>
      <c r="Q746" s="132" t="s">
        <v>220</v>
      </c>
      <c r="R746" s="132" t="s">
        <v>158</v>
      </c>
      <c r="S746" s="133">
        <v>41789</v>
      </c>
      <c r="T746" s="134">
        <v>665.7</v>
      </c>
      <c r="U746" s="132" t="s">
        <v>154</v>
      </c>
      <c r="V746" s="132" t="s">
        <v>183</v>
      </c>
      <c r="W746" s="132" t="s">
        <v>153</v>
      </c>
      <c r="X746" s="133">
        <v>41646</v>
      </c>
      <c r="Y746" s="134">
        <v>900</v>
      </c>
    </row>
    <row r="747" spans="1:25" x14ac:dyDescent="0.25">
      <c r="A747" s="92" t="s">
        <v>148</v>
      </c>
      <c r="B747" s="12" t="s">
        <v>222</v>
      </c>
      <c r="C747" s="12" t="s">
        <v>158</v>
      </c>
      <c r="D747" s="80">
        <v>41797</v>
      </c>
      <c r="E747" s="81">
        <v>570</v>
      </c>
      <c r="F747" s="76" t="s">
        <v>150</v>
      </c>
      <c r="G747" s="77" t="s">
        <v>180</v>
      </c>
      <c r="H747" s="77" t="s">
        <v>153</v>
      </c>
      <c r="I747" s="86">
        <v>41775</v>
      </c>
      <c r="J747" s="78">
        <v>931</v>
      </c>
      <c r="K747" s="132" t="s">
        <v>20</v>
      </c>
      <c r="L747" s="132" t="s">
        <v>220</v>
      </c>
      <c r="M747" s="132" t="s">
        <v>158</v>
      </c>
      <c r="N747" s="133">
        <v>41895</v>
      </c>
      <c r="O747" s="134">
        <v>1367</v>
      </c>
      <c r="P747" s="132" t="s">
        <v>151</v>
      </c>
      <c r="Q747" s="132" t="s">
        <v>220</v>
      </c>
      <c r="R747" s="132" t="s">
        <v>158</v>
      </c>
      <c r="S747" s="133">
        <v>41792</v>
      </c>
      <c r="T747" s="134">
        <v>721.6</v>
      </c>
      <c r="U747" s="132" t="s">
        <v>154</v>
      </c>
      <c r="V747" s="132" t="s">
        <v>183</v>
      </c>
      <c r="W747" s="132" t="s">
        <v>153</v>
      </c>
      <c r="X747" s="133">
        <v>41647</v>
      </c>
      <c r="Y747" s="134">
        <v>801</v>
      </c>
    </row>
    <row r="748" spans="1:25" x14ac:dyDescent="0.25">
      <c r="A748" s="92" t="s">
        <v>148</v>
      </c>
      <c r="B748" s="12" t="s">
        <v>222</v>
      </c>
      <c r="C748" s="12" t="s">
        <v>158</v>
      </c>
      <c r="D748" s="80">
        <v>41798</v>
      </c>
      <c r="E748" s="81">
        <v>947</v>
      </c>
      <c r="F748" s="76" t="s">
        <v>150</v>
      </c>
      <c r="G748" s="77" t="s">
        <v>180</v>
      </c>
      <c r="H748" s="77" t="s">
        <v>153</v>
      </c>
      <c r="I748" s="86">
        <v>41779</v>
      </c>
      <c r="J748" s="78">
        <v>942</v>
      </c>
      <c r="K748" s="132" t="s">
        <v>20</v>
      </c>
      <c r="L748" s="132" t="s">
        <v>220</v>
      </c>
      <c r="M748" s="132" t="s">
        <v>158</v>
      </c>
      <c r="N748" s="133">
        <v>41916</v>
      </c>
      <c r="O748" s="134">
        <v>997</v>
      </c>
      <c r="P748" s="132" t="s">
        <v>151</v>
      </c>
      <c r="Q748" s="132" t="s">
        <v>220</v>
      </c>
      <c r="R748" s="132" t="s">
        <v>158</v>
      </c>
      <c r="S748" s="133">
        <v>41794</v>
      </c>
      <c r="T748" s="134">
        <v>1160.5999999999999</v>
      </c>
      <c r="U748" s="132" t="s">
        <v>154</v>
      </c>
      <c r="V748" s="132" t="s">
        <v>183</v>
      </c>
      <c r="W748" s="132" t="s">
        <v>153</v>
      </c>
      <c r="X748" s="133">
        <v>41649</v>
      </c>
      <c r="Y748" s="134">
        <v>780</v>
      </c>
    </row>
    <row r="749" spans="1:25" x14ac:dyDescent="0.25">
      <c r="A749" s="92" t="s">
        <v>148</v>
      </c>
      <c r="B749" s="12" t="s">
        <v>222</v>
      </c>
      <c r="C749" s="12" t="s">
        <v>158</v>
      </c>
      <c r="D749" s="80">
        <v>41798</v>
      </c>
      <c r="E749" s="81">
        <v>830</v>
      </c>
      <c r="F749" s="76" t="s">
        <v>150</v>
      </c>
      <c r="G749" s="77" t="s">
        <v>180</v>
      </c>
      <c r="H749" s="77" t="s">
        <v>153</v>
      </c>
      <c r="I749" s="86">
        <v>41780</v>
      </c>
      <c r="J749" s="78">
        <v>1077</v>
      </c>
      <c r="K749" s="132" t="s">
        <v>20</v>
      </c>
      <c r="L749" s="132" t="s">
        <v>220</v>
      </c>
      <c r="M749" s="132" t="s">
        <v>158</v>
      </c>
      <c r="N749" s="133">
        <v>41962</v>
      </c>
      <c r="O749" s="134">
        <v>1702</v>
      </c>
      <c r="P749" s="132" t="s">
        <v>151</v>
      </c>
      <c r="Q749" s="132" t="s">
        <v>220</v>
      </c>
      <c r="R749" s="132" t="s">
        <v>158</v>
      </c>
      <c r="S749" s="133">
        <v>41795</v>
      </c>
      <c r="T749" s="134">
        <v>618.4</v>
      </c>
      <c r="U749" s="132" t="s">
        <v>154</v>
      </c>
      <c r="V749" s="132" t="s">
        <v>183</v>
      </c>
      <c r="W749" s="132" t="s">
        <v>153</v>
      </c>
      <c r="X749" s="133">
        <v>41653</v>
      </c>
      <c r="Y749" s="134">
        <v>580</v>
      </c>
    </row>
    <row r="750" spans="1:25" x14ac:dyDescent="0.25">
      <c r="A750" s="92" t="s">
        <v>148</v>
      </c>
      <c r="B750" s="12" t="s">
        <v>222</v>
      </c>
      <c r="C750" s="12" t="s">
        <v>158</v>
      </c>
      <c r="D750" s="80">
        <v>41799</v>
      </c>
      <c r="E750" s="81">
        <v>840</v>
      </c>
      <c r="F750" s="76" t="s">
        <v>150</v>
      </c>
      <c r="G750" s="77" t="s">
        <v>180</v>
      </c>
      <c r="H750" s="77" t="s">
        <v>153</v>
      </c>
      <c r="I750" s="86">
        <v>41782</v>
      </c>
      <c r="J750" s="78">
        <v>708</v>
      </c>
      <c r="K750" s="132" t="s">
        <v>20</v>
      </c>
      <c r="L750" s="132" t="s">
        <v>220</v>
      </c>
      <c r="M750" s="132" t="s">
        <v>158</v>
      </c>
      <c r="N750" s="133">
        <v>41976</v>
      </c>
      <c r="O750" s="134">
        <v>833</v>
      </c>
      <c r="P750" s="132" t="s">
        <v>151</v>
      </c>
      <c r="Q750" s="132" t="s">
        <v>220</v>
      </c>
      <c r="R750" s="132" t="s">
        <v>158</v>
      </c>
      <c r="S750" s="133">
        <v>41796</v>
      </c>
      <c r="T750" s="134">
        <v>497.3</v>
      </c>
      <c r="U750" s="132" t="s">
        <v>154</v>
      </c>
      <c r="V750" s="132" t="s">
        <v>183</v>
      </c>
      <c r="W750" s="132" t="s">
        <v>153</v>
      </c>
      <c r="X750" s="133">
        <v>41654</v>
      </c>
      <c r="Y750" s="134">
        <v>357</v>
      </c>
    </row>
    <row r="751" spans="1:25" x14ac:dyDescent="0.25">
      <c r="A751" s="92" t="s">
        <v>148</v>
      </c>
      <c r="B751" s="12" t="s">
        <v>222</v>
      </c>
      <c r="C751" s="12" t="s">
        <v>158</v>
      </c>
      <c r="D751" s="80">
        <v>41800</v>
      </c>
      <c r="E751" s="81">
        <v>810</v>
      </c>
      <c r="F751" s="76" t="s">
        <v>150</v>
      </c>
      <c r="G751" s="77" t="s">
        <v>180</v>
      </c>
      <c r="H751" s="77" t="s">
        <v>153</v>
      </c>
      <c r="I751" s="86">
        <v>41787</v>
      </c>
      <c r="J751" s="78">
        <v>832</v>
      </c>
      <c r="K751" s="132" t="s">
        <v>20</v>
      </c>
      <c r="L751" s="132" t="s">
        <v>220</v>
      </c>
      <c r="M751" s="132" t="s">
        <v>158</v>
      </c>
      <c r="N751" s="133">
        <v>41980</v>
      </c>
      <c r="O751" s="134">
        <v>1104</v>
      </c>
      <c r="P751" s="132" t="s">
        <v>151</v>
      </c>
      <c r="Q751" s="132" t="s">
        <v>220</v>
      </c>
      <c r="R751" s="132" t="s">
        <v>158</v>
      </c>
      <c r="S751" s="133">
        <v>41873</v>
      </c>
      <c r="T751" s="134">
        <v>824.6</v>
      </c>
      <c r="U751" s="132" t="s">
        <v>154</v>
      </c>
      <c r="V751" s="132" t="s">
        <v>183</v>
      </c>
      <c r="W751" s="132" t="s">
        <v>153</v>
      </c>
      <c r="X751" s="133">
        <v>41654</v>
      </c>
      <c r="Y751" s="134">
        <v>400</v>
      </c>
    </row>
    <row r="752" spans="1:25" x14ac:dyDescent="0.25">
      <c r="A752" s="92" t="s">
        <v>148</v>
      </c>
      <c r="B752" s="12" t="s">
        <v>222</v>
      </c>
      <c r="C752" s="12" t="s">
        <v>158</v>
      </c>
      <c r="D752" s="80">
        <v>41801</v>
      </c>
      <c r="E752" s="81">
        <v>790</v>
      </c>
      <c r="F752" s="76" t="s">
        <v>150</v>
      </c>
      <c r="G752" s="77" t="s">
        <v>180</v>
      </c>
      <c r="H752" s="77" t="s">
        <v>153</v>
      </c>
      <c r="I752" s="86">
        <v>41789</v>
      </c>
      <c r="J752" s="78">
        <v>967</v>
      </c>
      <c r="K752" s="132" t="s">
        <v>20</v>
      </c>
      <c r="L752" s="132" t="s">
        <v>220</v>
      </c>
      <c r="M752" s="132" t="s">
        <v>158</v>
      </c>
      <c r="N752" s="133">
        <v>41990</v>
      </c>
      <c r="O752" s="134">
        <v>1203</v>
      </c>
      <c r="P752" s="132" t="s">
        <v>151</v>
      </c>
      <c r="Q752" s="132" t="s">
        <v>220</v>
      </c>
      <c r="R752" s="132" t="s">
        <v>158</v>
      </c>
      <c r="S752" s="133">
        <v>41891</v>
      </c>
      <c r="T752" s="134">
        <v>1282.2</v>
      </c>
      <c r="U752" s="132" t="s">
        <v>154</v>
      </c>
      <c r="V752" s="132" t="s">
        <v>183</v>
      </c>
      <c r="W752" s="132" t="s">
        <v>153</v>
      </c>
      <c r="X752" s="133">
        <v>41655</v>
      </c>
      <c r="Y752" s="134">
        <v>850</v>
      </c>
    </row>
    <row r="753" spans="1:25" x14ac:dyDescent="0.25">
      <c r="A753" s="92" t="s">
        <v>148</v>
      </c>
      <c r="B753" s="12" t="s">
        <v>222</v>
      </c>
      <c r="C753" s="12" t="s">
        <v>158</v>
      </c>
      <c r="D753" s="80">
        <v>41802</v>
      </c>
      <c r="E753" s="81">
        <v>1002</v>
      </c>
      <c r="F753" s="76" t="s">
        <v>150</v>
      </c>
      <c r="G753" s="77" t="s">
        <v>180</v>
      </c>
      <c r="H753" s="77" t="s">
        <v>153</v>
      </c>
      <c r="I753" s="86">
        <v>41792</v>
      </c>
      <c r="J753" s="78">
        <v>616</v>
      </c>
      <c r="K753" s="132" t="s">
        <v>20</v>
      </c>
      <c r="L753" s="132" t="s">
        <v>221</v>
      </c>
      <c r="M753" s="132" t="s">
        <v>158</v>
      </c>
      <c r="N753" s="133">
        <v>41635</v>
      </c>
      <c r="O753" s="134">
        <v>1595</v>
      </c>
      <c r="P753" s="132" t="s">
        <v>151</v>
      </c>
      <c r="Q753" s="132" t="s">
        <v>220</v>
      </c>
      <c r="R753" s="132" t="s">
        <v>158</v>
      </c>
      <c r="S753" s="133">
        <v>41892</v>
      </c>
      <c r="T753" s="134">
        <v>423.3</v>
      </c>
      <c r="U753" s="132" t="s">
        <v>154</v>
      </c>
      <c r="V753" s="132" t="s">
        <v>183</v>
      </c>
      <c r="W753" s="132" t="s">
        <v>153</v>
      </c>
      <c r="X753" s="133">
        <v>41656</v>
      </c>
      <c r="Y753" s="134">
        <v>345</v>
      </c>
    </row>
    <row r="754" spans="1:25" x14ac:dyDescent="0.25">
      <c r="A754" s="92" t="s">
        <v>148</v>
      </c>
      <c r="B754" s="12" t="s">
        <v>222</v>
      </c>
      <c r="C754" s="12" t="s">
        <v>158</v>
      </c>
      <c r="D754" s="80">
        <v>41803</v>
      </c>
      <c r="E754" s="81">
        <v>787</v>
      </c>
      <c r="F754" s="76" t="s">
        <v>150</v>
      </c>
      <c r="G754" s="77" t="s">
        <v>180</v>
      </c>
      <c r="H754" s="77" t="s">
        <v>153</v>
      </c>
      <c r="I754" s="86">
        <v>41793</v>
      </c>
      <c r="J754" s="78">
        <v>899</v>
      </c>
      <c r="K754" s="132" t="s">
        <v>20</v>
      </c>
      <c r="L754" s="132" t="s">
        <v>221</v>
      </c>
      <c r="M754" s="132" t="s">
        <v>158</v>
      </c>
      <c r="N754" s="133">
        <v>41645</v>
      </c>
      <c r="O754" s="134">
        <v>1664</v>
      </c>
      <c r="P754" s="132" t="s">
        <v>151</v>
      </c>
      <c r="Q754" s="132" t="s">
        <v>220</v>
      </c>
      <c r="R754" s="132" t="s">
        <v>158</v>
      </c>
      <c r="S754" s="133">
        <v>41898</v>
      </c>
      <c r="T754" s="134">
        <v>588.9</v>
      </c>
      <c r="U754" s="132" t="s">
        <v>154</v>
      </c>
      <c r="V754" s="132" t="s">
        <v>183</v>
      </c>
      <c r="W754" s="132" t="s">
        <v>153</v>
      </c>
      <c r="X754" s="133">
        <v>41656</v>
      </c>
      <c r="Y754" s="134">
        <v>515</v>
      </c>
    </row>
    <row r="755" spans="1:25" x14ac:dyDescent="0.25">
      <c r="A755" s="92" t="s">
        <v>148</v>
      </c>
      <c r="B755" s="12" t="s">
        <v>222</v>
      </c>
      <c r="C755" s="12" t="s">
        <v>158</v>
      </c>
      <c r="D755" s="80">
        <v>41804</v>
      </c>
      <c r="E755" s="81">
        <v>700</v>
      </c>
      <c r="F755" s="76" t="s">
        <v>150</v>
      </c>
      <c r="G755" s="77" t="s">
        <v>180</v>
      </c>
      <c r="H755" s="77" t="s">
        <v>153</v>
      </c>
      <c r="I755" s="86">
        <v>41795</v>
      </c>
      <c r="J755" s="78">
        <v>1119</v>
      </c>
      <c r="K755" s="132" t="s">
        <v>20</v>
      </c>
      <c r="L755" s="132" t="s">
        <v>221</v>
      </c>
      <c r="M755" s="132" t="s">
        <v>158</v>
      </c>
      <c r="N755" s="133">
        <v>41651</v>
      </c>
      <c r="O755" s="134">
        <v>661</v>
      </c>
      <c r="P755" s="132" t="s">
        <v>151</v>
      </c>
      <c r="Q755" s="132" t="s">
        <v>220</v>
      </c>
      <c r="R755" s="132" t="s">
        <v>158</v>
      </c>
      <c r="S755" s="133">
        <v>41899</v>
      </c>
      <c r="T755" s="134">
        <v>601.70000000000005</v>
      </c>
      <c r="U755" s="132" t="s">
        <v>154</v>
      </c>
      <c r="V755" s="132" t="s">
        <v>183</v>
      </c>
      <c r="W755" s="132" t="s">
        <v>153</v>
      </c>
      <c r="X755" s="133">
        <v>41657</v>
      </c>
      <c r="Y755" s="134">
        <v>379</v>
      </c>
    </row>
    <row r="756" spans="1:25" x14ac:dyDescent="0.25">
      <c r="A756" s="92" t="s">
        <v>148</v>
      </c>
      <c r="B756" s="12" t="s">
        <v>222</v>
      </c>
      <c r="C756" s="12" t="s">
        <v>158</v>
      </c>
      <c r="D756" s="80">
        <v>41805</v>
      </c>
      <c r="E756" s="81">
        <v>775</v>
      </c>
      <c r="F756" s="76" t="s">
        <v>150</v>
      </c>
      <c r="G756" s="77" t="s">
        <v>180</v>
      </c>
      <c r="H756" s="77" t="s">
        <v>153</v>
      </c>
      <c r="I756" s="86">
        <v>41796</v>
      </c>
      <c r="J756" s="78">
        <v>722</v>
      </c>
      <c r="K756" s="132" t="s">
        <v>20</v>
      </c>
      <c r="L756" s="132" t="s">
        <v>221</v>
      </c>
      <c r="M756" s="132" t="s">
        <v>158</v>
      </c>
      <c r="N756" s="133">
        <v>41663</v>
      </c>
      <c r="O756" s="134">
        <v>1298</v>
      </c>
      <c r="P756" s="132" t="s">
        <v>151</v>
      </c>
      <c r="Q756" s="132" t="s">
        <v>220</v>
      </c>
      <c r="R756" s="132" t="s">
        <v>158</v>
      </c>
      <c r="S756" s="133">
        <v>41900</v>
      </c>
      <c r="T756" s="134">
        <v>647</v>
      </c>
      <c r="U756" s="132" t="s">
        <v>154</v>
      </c>
      <c r="V756" s="132" t="s">
        <v>183</v>
      </c>
      <c r="W756" s="132" t="s">
        <v>153</v>
      </c>
      <c r="X756" s="133">
        <v>41658</v>
      </c>
      <c r="Y756" s="134">
        <v>929</v>
      </c>
    </row>
    <row r="757" spans="1:25" x14ac:dyDescent="0.25">
      <c r="A757" s="92" t="s">
        <v>148</v>
      </c>
      <c r="B757" s="12" t="s">
        <v>222</v>
      </c>
      <c r="C757" s="12" t="s">
        <v>158</v>
      </c>
      <c r="D757" s="80">
        <v>41806</v>
      </c>
      <c r="E757" s="81">
        <v>780</v>
      </c>
      <c r="F757" s="76" t="s">
        <v>150</v>
      </c>
      <c r="G757" s="77" t="s">
        <v>180</v>
      </c>
      <c r="H757" s="77" t="s">
        <v>153</v>
      </c>
      <c r="I757" s="86">
        <v>41800</v>
      </c>
      <c r="J757" s="78">
        <v>1336</v>
      </c>
      <c r="K757" s="132" t="s">
        <v>20</v>
      </c>
      <c r="L757" s="132" t="s">
        <v>221</v>
      </c>
      <c r="M757" s="132" t="s">
        <v>158</v>
      </c>
      <c r="N757" s="133">
        <v>41678</v>
      </c>
      <c r="O757" s="134">
        <v>1804</v>
      </c>
      <c r="P757" s="132" t="s">
        <v>151</v>
      </c>
      <c r="Q757" s="132" t="s">
        <v>221</v>
      </c>
      <c r="R757" s="132" t="s">
        <v>158</v>
      </c>
      <c r="S757" s="133">
        <v>41667</v>
      </c>
      <c r="T757" s="134">
        <v>923.3</v>
      </c>
      <c r="U757" s="132" t="s">
        <v>154</v>
      </c>
      <c r="V757" s="132" t="s">
        <v>183</v>
      </c>
      <c r="W757" s="132" t="s">
        <v>153</v>
      </c>
      <c r="X757" s="133">
        <v>41658</v>
      </c>
      <c r="Y757" s="134">
        <v>372</v>
      </c>
    </row>
    <row r="758" spans="1:25" x14ac:dyDescent="0.25">
      <c r="A758" s="92" t="s">
        <v>148</v>
      </c>
      <c r="B758" s="12" t="s">
        <v>222</v>
      </c>
      <c r="C758" s="12" t="s">
        <v>158</v>
      </c>
      <c r="D758" s="80">
        <v>41808</v>
      </c>
      <c r="E758" s="81">
        <v>970</v>
      </c>
      <c r="F758" s="76" t="s">
        <v>150</v>
      </c>
      <c r="G758" s="77" t="s">
        <v>180</v>
      </c>
      <c r="H758" s="77" t="s">
        <v>153</v>
      </c>
      <c r="I758" s="86">
        <v>41801</v>
      </c>
      <c r="J758" s="78">
        <v>840</v>
      </c>
      <c r="K758" s="132" t="s">
        <v>20</v>
      </c>
      <c r="L758" s="132" t="s">
        <v>221</v>
      </c>
      <c r="M758" s="132" t="s">
        <v>158</v>
      </c>
      <c r="N758" s="133">
        <v>41692</v>
      </c>
      <c r="O758" s="134">
        <v>1261</v>
      </c>
      <c r="P758" s="132" t="s">
        <v>151</v>
      </c>
      <c r="Q758" s="132" t="s">
        <v>222</v>
      </c>
      <c r="R758" s="132" t="s">
        <v>158</v>
      </c>
      <c r="S758" s="133">
        <v>41705</v>
      </c>
      <c r="T758" s="134">
        <v>519.6</v>
      </c>
      <c r="U758" s="132" t="s">
        <v>154</v>
      </c>
      <c r="V758" s="132" t="s">
        <v>183</v>
      </c>
      <c r="W758" s="132" t="s">
        <v>153</v>
      </c>
      <c r="X758" s="133">
        <v>41659</v>
      </c>
      <c r="Y758" s="134">
        <v>711</v>
      </c>
    </row>
    <row r="759" spans="1:25" x14ac:dyDescent="0.25">
      <c r="A759" s="92" t="s">
        <v>148</v>
      </c>
      <c r="B759" s="12" t="s">
        <v>222</v>
      </c>
      <c r="C759" s="12" t="s">
        <v>158</v>
      </c>
      <c r="D759" s="80">
        <v>41810</v>
      </c>
      <c r="E759" s="81">
        <v>1550</v>
      </c>
      <c r="F759" s="76" t="s">
        <v>150</v>
      </c>
      <c r="G759" s="77" t="s">
        <v>180</v>
      </c>
      <c r="H759" s="77" t="s">
        <v>153</v>
      </c>
      <c r="I759" s="86">
        <v>41803</v>
      </c>
      <c r="J759" s="78">
        <v>1017</v>
      </c>
      <c r="K759" s="132" t="s">
        <v>20</v>
      </c>
      <c r="L759" s="132" t="s">
        <v>221</v>
      </c>
      <c r="M759" s="132" t="s">
        <v>158</v>
      </c>
      <c r="N759" s="133">
        <v>41705</v>
      </c>
      <c r="O759" s="134">
        <v>1505</v>
      </c>
      <c r="P759" s="132" t="s">
        <v>151</v>
      </c>
      <c r="Q759" s="132" t="s">
        <v>222</v>
      </c>
      <c r="R759" s="132" t="s">
        <v>158</v>
      </c>
      <c r="S759" s="133">
        <v>41746</v>
      </c>
      <c r="T759" s="134">
        <v>430.4</v>
      </c>
      <c r="U759" s="132" t="s">
        <v>154</v>
      </c>
      <c r="V759" s="132" t="s">
        <v>183</v>
      </c>
      <c r="W759" s="132" t="s">
        <v>153</v>
      </c>
      <c r="X759" s="133">
        <v>41660</v>
      </c>
      <c r="Y759" s="134">
        <v>734</v>
      </c>
    </row>
    <row r="760" spans="1:25" x14ac:dyDescent="0.25">
      <c r="A760" s="92" t="s">
        <v>148</v>
      </c>
      <c r="B760" s="12" t="s">
        <v>222</v>
      </c>
      <c r="C760" s="12" t="s">
        <v>158</v>
      </c>
      <c r="D760" s="80">
        <v>41811</v>
      </c>
      <c r="E760" s="81">
        <v>700</v>
      </c>
      <c r="F760" s="76" t="s">
        <v>150</v>
      </c>
      <c r="G760" s="77" t="s">
        <v>180</v>
      </c>
      <c r="H760" s="77" t="s">
        <v>153</v>
      </c>
      <c r="I760" s="86">
        <v>41806</v>
      </c>
      <c r="J760" s="78">
        <v>1000</v>
      </c>
      <c r="K760" s="132" t="s">
        <v>20</v>
      </c>
      <c r="L760" s="132" t="s">
        <v>221</v>
      </c>
      <c r="M760" s="132" t="s">
        <v>158</v>
      </c>
      <c r="N760" s="133">
        <v>41719</v>
      </c>
      <c r="O760" s="134">
        <v>1305</v>
      </c>
      <c r="P760" s="132" t="s">
        <v>151</v>
      </c>
      <c r="Q760" s="132" t="s">
        <v>222</v>
      </c>
      <c r="R760" s="132" t="s">
        <v>158</v>
      </c>
      <c r="S760" s="133">
        <v>41873</v>
      </c>
      <c r="T760" s="134">
        <v>897.1</v>
      </c>
      <c r="U760" s="132" t="s">
        <v>154</v>
      </c>
      <c r="V760" s="132" t="s">
        <v>183</v>
      </c>
      <c r="W760" s="132" t="s">
        <v>153</v>
      </c>
      <c r="X760" s="133">
        <v>41662</v>
      </c>
      <c r="Y760" s="134">
        <v>179</v>
      </c>
    </row>
    <row r="761" spans="1:25" x14ac:dyDescent="0.25">
      <c r="A761" s="92" t="s">
        <v>148</v>
      </c>
      <c r="B761" s="12" t="s">
        <v>222</v>
      </c>
      <c r="C761" s="12" t="s">
        <v>158</v>
      </c>
      <c r="D761" s="80">
        <v>41812</v>
      </c>
      <c r="E761" s="81">
        <v>660</v>
      </c>
      <c r="F761" s="76" t="s">
        <v>150</v>
      </c>
      <c r="G761" s="77" t="s">
        <v>180</v>
      </c>
      <c r="H761" s="77" t="s">
        <v>153</v>
      </c>
      <c r="I761" s="86">
        <v>41814</v>
      </c>
      <c r="J761" s="78">
        <v>1172</v>
      </c>
      <c r="K761" s="132" t="s">
        <v>20</v>
      </c>
      <c r="L761" s="132" t="s">
        <v>221</v>
      </c>
      <c r="M761" s="132" t="s">
        <v>158</v>
      </c>
      <c r="N761" s="133">
        <v>41733</v>
      </c>
      <c r="O761" s="134">
        <v>1739</v>
      </c>
      <c r="P761" s="132" t="s">
        <v>151</v>
      </c>
      <c r="Q761" s="132" t="s">
        <v>222</v>
      </c>
      <c r="R761" s="132" t="s">
        <v>158</v>
      </c>
      <c r="S761" s="133">
        <v>41876</v>
      </c>
      <c r="T761" s="134">
        <v>513.70000000000005</v>
      </c>
      <c r="U761" s="132" t="s">
        <v>154</v>
      </c>
      <c r="V761" s="132" t="s">
        <v>183</v>
      </c>
      <c r="W761" s="132" t="s">
        <v>153</v>
      </c>
      <c r="X761" s="133">
        <v>41662</v>
      </c>
      <c r="Y761" s="134">
        <v>440</v>
      </c>
    </row>
    <row r="762" spans="1:25" x14ac:dyDescent="0.25">
      <c r="A762" s="92" t="s">
        <v>148</v>
      </c>
      <c r="B762" s="12" t="s">
        <v>222</v>
      </c>
      <c r="C762" s="12" t="s">
        <v>158</v>
      </c>
      <c r="D762" s="80">
        <v>41813</v>
      </c>
      <c r="E762" s="81">
        <v>675</v>
      </c>
      <c r="F762" s="76" t="s">
        <v>150</v>
      </c>
      <c r="G762" s="77" t="s">
        <v>180</v>
      </c>
      <c r="H762" s="77" t="s">
        <v>153</v>
      </c>
      <c r="I762" s="86">
        <v>41814</v>
      </c>
      <c r="J762" s="78">
        <v>1159</v>
      </c>
      <c r="K762" s="132" t="s">
        <v>20</v>
      </c>
      <c r="L762" s="132" t="s">
        <v>221</v>
      </c>
      <c r="M762" s="132" t="s">
        <v>158</v>
      </c>
      <c r="N762" s="133">
        <v>41754</v>
      </c>
      <c r="O762" s="134">
        <v>1736</v>
      </c>
      <c r="P762" s="132" t="s">
        <v>151</v>
      </c>
      <c r="Q762" s="132" t="s">
        <v>222</v>
      </c>
      <c r="R762" s="132" t="s">
        <v>158</v>
      </c>
      <c r="S762" s="133">
        <v>41877</v>
      </c>
      <c r="T762" s="134">
        <v>371.2</v>
      </c>
      <c r="U762" s="132" t="s">
        <v>154</v>
      </c>
      <c r="V762" s="132" t="s">
        <v>183</v>
      </c>
      <c r="W762" s="132" t="s">
        <v>153</v>
      </c>
      <c r="X762" s="133">
        <v>41663</v>
      </c>
      <c r="Y762" s="134">
        <v>961</v>
      </c>
    </row>
    <row r="763" spans="1:25" x14ac:dyDescent="0.25">
      <c r="A763" s="92" t="s">
        <v>148</v>
      </c>
      <c r="B763" s="12" t="s">
        <v>222</v>
      </c>
      <c r="C763" s="12" t="s">
        <v>158</v>
      </c>
      <c r="D763" s="80">
        <v>41814</v>
      </c>
      <c r="E763" s="81">
        <v>600</v>
      </c>
      <c r="F763" s="76" t="s">
        <v>150</v>
      </c>
      <c r="G763" s="77" t="s">
        <v>180</v>
      </c>
      <c r="H763" s="77" t="s">
        <v>153</v>
      </c>
      <c r="I763" s="86">
        <v>41815</v>
      </c>
      <c r="J763" s="78">
        <v>1309</v>
      </c>
      <c r="K763" s="132" t="s">
        <v>20</v>
      </c>
      <c r="L763" s="132" t="s">
        <v>221</v>
      </c>
      <c r="M763" s="132" t="s">
        <v>158</v>
      </c>
      <c r="N763" s="133">
        <v>41772</v>
      </c>
      <c r="O763" s="134">
        <v>1871</v>
      </c>
      <c r="P763" s="132" t="s">
        <v>151</v>
      </c>
      <c r="Q763" s="132" t="s">
        <v>222</v>
      </c>
      <c r="R763" s="132" t="s">
        <v>158</v>
      </c>
      <c r="S763" s="133">
        <v>41878</v>
      </c>
      <c r="T763" s="134">
        <v>407.4</v>
      </c>
      <c r="U763" s="132" t="s">
        <v>154</v>
      </c>
      <c r="V763" s="132" t="s">
        <v>183</v>
      </c>
      <c r="W763" s="132" t="s">
        <v>153</v>
      </c>
      <c r="X763" s="133">
        <v>41665</v>
      </c>
      <c r="Y763" s="134">
        <v>560</v>
      </c>
    </row>
    <row r="764" spans="1:25" x14ac:dyDescent="0.25">
      <c r="A764" s="92" t="s">
        <v>148</v>
      </c>
      <c r="B764" s="12" t="s">
        <v>222</v>
      </c>
      <c r="C764" s="12" t="s">
        <v>158</v>
      </c>
      <c r="D764" s="80">
        <v>41815</v>
      </c>
      <c r="E764" s="81">
        <v>800</v>
      </c>
      <c r="F764" s="76" t="s">
        <v>150</v>
      </c>
      <c r="G764" s="77" t="s">
        <v>180</v>
      </c>
      <c r="H764" s="77" t="s">
        <v>153</v>
      </c>
      <c r="I764" s="86">
        <v>41816</v>
      </c>
      <c r="J764" s="78">
        <v>698</v>
      </c>
      <c r="K764" s="132" t="s">
        <v>20</v>
      </c>
      <c r="L764" s="132" t="s">
        <v>221</v>
      </c>
      <c r="M764" s="132" t="s">
        <v>158</v>
      </c>
      <c r="N764" s="133">
        <v>41787</v>
      </c>
      <c r="O764" s="134">
        <v>1243</v>
      </c>
      <c r="P764" s="132" t="s">
        <v>151</v>
      </c>
      <c r="Q764" s="132" t="s">
        <v>222</v>
      </c>
      <c r="R764" s="132" t="s">
        <v>158</v>
      </c>
      <c r="S764" s="133">
        <v>41879</v>
      </c>
      <c r="T764" s="134">
        <v>370.1</v>
      </c>
      <c r="U764" s="132" t="s">
        <v>154</v>
      </c>
      <c r="V764" s="132" t="s">
        <v>183</v>
      </c>
      <c r="W764" s="132" t="s">
        <v>153</v>
      </c>
      <c r="X764" s="133">
        <v>41665</v>
      </c>
      <c r="Y764" s="134">
        <v>373</v>
      </c>
    </row>
    <row r="765" spans="1:25" x14ac:dyDescent="0.25">
      <c r="A765" s="92" t="s">
        <v>148</v>
      </c>
      <c r="B765" s="12" t="s">
        <v>222</v>
      </c>
      <c r="C765" s="12" t="s">
        <v>158</v>
      </c>
      <c r="D765" s="80">
        <v>41816</v>
      </c>
      <c r="E765" s="81">
        <v>800</v>
      </c>
      <c r="F765" s="76" t="s">
        <v>150</v>
      </c>
      <c r="G765" s="77" t="s">
        <v>180</v>
      </c>
      <c r="H765" s="77" t="s">
        <v>153</v>
      </c>
      <c r="I765" s="86">
        <v>41817</v>
      </c>
      <c r="J765" s="78">
        <v>577</v>
      </c>
      <c r="K765" s="132" t="s">
        <v>20</v>
      </c>
      <c r="L765" s="132" t="s">
        <v>221</v>
      </c>
      <c r="M765" s="132" t="s">
        <v>158</v>
      </c>
      <c r="N765" s="133">
        <v>41805</v>
      </c>
      <c r="O765" s="134">
        <v>1789</v>
      </c>
      <c r="P765" s="132" t="s">
        <v>151</v>
      </c>
      <c r="Q765" s="132" t="s">
        <v>222</v>
      </c>
      <c r="R765" s="132" t="s">
        <v>158</v>
      </c>
      <c r="S765" s="133">
        <v>41880</v>
      </c>
      <c r="T765" s="134">
        <v>439.7</v>
      </c>
      <c r="U765" s="132" t="s">
        <v>154</v>
      </c>
      <c r="V765" s="132" t="s">
        <v>183</v>
      </c>
      <c r="W765" s="132" t="s">
        <v>153</v>
      </c>
      <c r="X765" s="133">
        <v>41666</v>
      </c>
      <c r="Y765" s="134">
        <v>1081</v>
      </c>
    </row>
    <row r="766" spans="1:25" x14ac:dyDescent="0.25">
      <c r="A766" s="92" t="s">
        <v>148</v>
      </c>
      <c r="B766" s="12" t="s">
        <v>222</v>
      </c>
      <c r="C766" s="12" t="s">
        <v>158</v>
      </c>
      <c r="D766" s="80">
        <v>41817</v>
      </c>
      <c r="E766" s="81">
        <v>760</v>
      </c>
      <c r="F766" s="76" t="s">
        <v>150</v>
      </c>
      <c r="G766" s="77" t="s">
        <v>180</v>
      </c>
      <c r="H766" s="77" t="s">
        <v>153</v>
      </c>
      <c r="I766" s="86">
        <v>41821</v>
      </c>
      <c r="J766" s="78">
        <v>856</v>
      </c>
      <c r="K766" s="132" t="s">
        <v>20</v>
      </c>
      <c r="L766" s="132" t="s">
        <v>221</v>
      </c>
      <c r="M766" s="132" t="s">
        <v>158</v>
      </c>
      <c r="N766" s="133">
        <v>41847</v>
      </c>
      <c r="O766" s="134">
        <v>1598</v>
      </c>
      <c r="P766" s="132" t="s">
        <v>151</v>
      </c>
      <c r="Q766" s="132" t="s">
        <v>222</v>
      </c>
      <c r="R766" s="132" t="s">
        <v>158</v>
      </c>
      <c r="S766" s="133">
        <v>41913</v>
      </c>
      <c r="T766" s="134">
        <v>1285.2</v>
      </c>
      <c r="U766" s="132" t="s">
        <v>154</v>
      </c>
      <c r="V766" s="132" t="s">
        <v>183</v>
      </c>
      <c r="W766" s="132" t="s">
        <v>153</v>
      </c>
      <c r="X766" s="133">
        <v>41667</v>
      </c>
      <c r="Y766" s="134">
        <v>404</v>
      </c>
    </row>
    <row r="767" spans="1:25" x14ac:dyDescent="0.25">
      <c r="A767" s="92" t="s">
        <v>148</v>
      </c>
      <c r="B767" s="12" t="s">
        <v>222</v>
      </c>
      <c r="C767" s="12" t="s">
        <v>158</v>
      </c>
      <c r="D767" s="80">
        <v>41818</v>
      </c>
      <c r="E767" s="81">
        <v>1227</v>
      </c>
      <c r="F767" s="76" t="s">
        <v>150</v>
      </c>
      <c r="G767" s="77" t="s">
        <v>180</v>
      </c>
      <c r="H767" s="77" t="s">
        <v>153</v>
      </c>
      <c r="I767" s="86">
        <v>41823</v>
      </c>
      <c r="J767" s="78">
        <v>556</v>
      </c>
      <c r="K767" s="132" t="s">
        <v>20</v>
      </c>
      <c r="L767" s="132" t="s">
        <v>221</v>
      </c>
      <c r="M767" s="132" t="s">
        <v>158</v>
      </c>
      <c r="N767" s="133">
        <v>41865</v>
      </c>
      <c r="O767" s="134">
        <v>1604</v>
      </c>
      <c r="P767" s="132" t="s">
        <v>151</v>
      </c>
      <c r="Q767" s="132" t="s">
        <v>222</v>
      </c>
      <c r="R767" s="132" t="s">
        <v>158</v>
      </c>
      <c r="S767" s="133">
        <v>41915</v>
      </c>
      <c r="T767" s="134">
        <v>680.5</v>
      </c>
      <c r="U767" s="132" t="s">
        <v>154</v>
      </c>
      <c r="V767" s="132" t="s">
        <v>183</v>
      </c>
      <c r="W767" s="132" t="s">
        <v>153</v>
      </c>
      <c r="X767" s="133">
        <v>41667</v>
      </c>
      <c r="Y767" s="134">
        <v>505</v>
      </c>
    </row>
    <row r="768" spans="1:25" x14ac:dyDescent="0.25">
      <c r="A768" s="92" t="s">
        <v>148</v>
      </c>
      <c r="B768" s="12" t="s">
        <v>222</v>
      </c>
      <c r="C768" s="12" t="s">
        <v>158</v>
      </c>
      <c r="D768" s="80">
        <v>41819</v>
      </c>
      <c r="E768" s="81">
        <v>966</v>
      </c>
      <c r="F768" s="76" t="s">
        <v>150</v>
      </c>
      <c r="G768" s="77" t="s">
        <v>180</v>
      </c>
      <c r="H768" s="77" t="s">
        <v>153</v>
      </c>
      <c r="I768" s="86">
        <v>41828</v>
      </c>
      <c r="J768" s="78">
        <v>1067</v>
      </c>
      <c r="K768" s="132" t="s">
        <v>20</v>
      </c>
      <c r="L768" s="132" t="s">
        <v>222</v>
      </c>
      <c r="M768" s="132" t="s">
        <v>158</v>
      </c>
      <c r="N768" s="133">
        <v>41674</v>
      </c>
      <c r="O768" s="134">
        <v>699</v>
      </c>
      <c r="P768" s="132" t="s">
        <v>151</v>
      </c>
      <c r="Q768" s="132" t="s">
        <v>222</v>
      </c>
      <c r="R768" s="132" t="s">
        <v>158</v>
      </c>
      <c r="S768" s="133">
        <v>41918</v>
      </c>
      <c r="T768" s="134">
        <v>477.7</v>
      </c>
      <c r="U768" s="132" t="s">
        <v>154</v>
      </c>
      <c r="V768" s="132" t="s">
        <v>183</v>
      </c>
      <c r="W768" s="132" t="s">
        <v>153</v>
      </c>
      <c r="X768" s="133">
        <v>41668</v>
      </c>
      <c r="Y768" s="134">
        <v>645</v>
      </c>
    </row>
    <row r="769" spans="1:25" x14ac:dyDescent="0.25">
      <c r="A769" s="92" t="s">
        <v>148</v>
      </c>
      <c r="B769" s="12" t="s">
        <v>222</v>
      </c>
      <c r="C769" s="12" t="s">
        <v>158</v>
      </c>
      <c r="D769" s="80">
        <v>41820</v>
      </c>
      <c r="E769" s="81">
        <v>700</v>
      </c>
      <c r="F769" s="76" t="s">
        <v>150</v>
      </c>
      <c r="G769" s="77" t="s">
        <v>180</v>
      </c>
      <c r="H769" s="77" t="s">
        <v>153</v>
      </c>
      <c r="I769" s="86">
        <v>41858</v>
      </c>
      <c r="J769" s="78">
        <v>1077</v>
      </c>
      <c r="K769" s="132" t="s">
        <v>20</v>
      </c>
      <c r="L769" s="132" t="s">
        <v>222</v>
      </c>
      <c r="M769" s="132" t="s">
        <v>158</v>
      </c>
      <c r="N769" s="133">
        <v>41699</v>
      </c>
      <c r="O769" s="134">
        <v>462</v>
      </c>
      <c r="P769" s="132" t="s">
        <v>151</v>
      </c>
      <c r="Q769" s="132" t="s">
        <v>222</v>
      </c>
      <c r="R769" s="132" t="s">
        <v>158</v>
      </c>
      <c r="S769" s="133">
        <v>41919</v>
      </c>
      <c r="T769" s="134">
        <v>599.1</v>
      </c>
      <c r="U769" s="132" t="s">
        <v>154</v>
      </c>
      <c r="V769" s="132" t="s">
        <v>183</v>
      </c>
      <c r="W769" s="132" t="s">
        <v>153</v>
      </c>
      <c r="X769" s="133">
        <v>41668</v>
      </c>
      <c r="Y769" s="134">
        <v>350</v>
      </c>
    </row>
    <row r="770" spans="1:25" x14ac:dyDescent="0.25">
      <c r="A770" s="92" t="s">
        <v>148</v>
      </c>
      <c r="B770" s="12" t="s">
        <v>222</v>
      </c>
      <c r="C770" s="12" t="s">
        <v>158</v>
      </c>
      <c r="D770" s="80">
        <v>41821</v>
      </c>
      <c r="E770" s="81">
        <v>825</v>
      </c>
      <c r="F770" s="76" t="s">
        <v>150</v>
      </c>
      <c r="G770" s="77" t="s">
        <v>180</v>
      </c>
      <c r="H770" s="77" t="s">
        <v>153</v>
      </c>
      <c r="I770" s="86">
        <v>41860</v>
      </c>
      <c r="J770" s="78">
        <v>1261</v>
      </c>
      <c r="K770" s="132" t="s">
        <v>20</v>
      </c>
      <c r="L770" s="132" t="s">
        <v>222</v>
      </c>
      <c r="M770" s="132" t="s">
        <v>158</v>
      </c>
      <c r="N770" s="133">
        <v>41872</v>
      </c>
      <c r="O770" s="134">
        <v>1354</v>
      </c>
      <c r="P770" s="132" t="s">
        <v>151</v>
      </c>
      <c r="Q770" s="132" t="s">
        <v>222</v>
      </c>
      <c r="R770" s="132" t="s">
        <v>158</v>
      </c>
      <c r="S770" s="133">
        <v>41920</v>
      </c>
      <c r="T770" s="134">
        <v>576.29999999999995</v>
      </c>
      <c r="U770" s="132" t="s">
        <v>154</v>
      </c>
      <c r="V770" s="132" t="s">
        <v>183</v>
      </c>
      <c r="W770" s="132" t="s">
        <v>153</v>
      </c>
      <c r="X770" s="133">
        <v>41669</v>
      </c>
      <c r="Y770" s="134">
        <v>639</v>
      </c>
    </row>
    <row r="771" spans="1:25" x14ac:dyDescent="0.25">
      <c r="A771" s="92" t="s">
        <v>148</v>
      </c>
      <c r="B771" s="12" t="s">
        <v>222</v>
      </c>
      <c r="C771" s="12" t="s">
        <v>158</v>
      </c>
      <c r="D771" s="80">
        <v>41822</v>
      </c>
      <c r="E771" s="81">
        <v>780</v>
      </c>
      <c r="F771" s="76" t="s">
        <v>150</v>
      </c>
      <c r="G771" s="77" t="s">
        <v>180</v>
      </c>
      <c r="H771" s="77" t="s">
        <v>153</v>
      </c>
      <c r="I771" s="86">
        <v>41862</v>
      </c>
      <c r="J771" s="78">
        <v>1260</v>
      </c>
      <c r="K771" s="132" t="s">
        <v>20</v>
      </c>
      <c r="L771" s="132" t="s">
        <v>223</v>
      </c>
      <c r="M771" s="132" t="s">
        <v>158</v>
      </c>
      <c r="N771" s="133">
        <v>41643</v>
      </c>
      <c r="O771" s="134">
        <v>1362</v>
      </c>
      <c r="P771" s="132" t="s">
        <v>151</v>
      </c>
      <c r="Q771" s="132" t="s">
        <v>222</v>
      </c>
      <c r="R771" s="132" t="s">
        <v>158</v>
      </c>
      <c r="S771" s="133">
        <v>41946</v>
      </c>
      <c r="T771" s="134">
        <v>861.2</v>
      </c>
      <c r="U771" s="132" t="s">
        <v>154</v>
      </c>
      <c r="V771" s="132" t="s">
        <v>183</v>
      </c>
      <c r="W771" s="132" t="s">
        <v>153</v>
      </c>
      <c r="X771" s="133">
        <v>41670</v>
      </c>
      <c r="Y771" s="134">
        <v>670</v>
      </c>
    </row>
    <row r="772" spans="1:25" x14ac:dyDescent="0.25">
      <c r="A772" s="92" t="s">
        <v>148</v>
      </c>
      <c r="B772" s="12" t="s">
        <v>222</v>
      </c>
      <c r="C772" s="12" t="s">
        <v>158</v>
      </c>
      <c r="D772" s="80">
        <v>41823</v>
      </c>
      <c r="E772" s="81">
        <v>800</v>
      </c>
      <c r="F772" s="76" t="s">
        <v>150</v>
      </c>
      <c r="G772" s="77" t="s">
        <v>180</v>
      </c>
      <c r="H772" s="77" t="s">
        <v>153</v>
      </c>
      <c r="I772" s="86">
        <v>41863</v>
      </c>
      <c r="J772" s="78">
        <v>649</v>
      </c>
      <c r="K772" s="132" t="s">
        <v>20</v>
      </c>
      <c r="L772" s="132" t="s">
        <v>223</v>
      </c>
      <c r="M772" s="132" t="s">
        <v>158</v>
      </c>
      <c r="N772" s="133">
        <v>41655</v>
      </c>
      <c r="O772" s="134">
        <v>941</v>
      </c>
      <c r="P772" s="132" t="s">
        <v>151</v>
      </c>
      <c r="Q772" s="132" t="s">
        <v>222</v>
      </c>
      <c r="R772" s="132" t="s">
        <v>158</v>
      </c>
      <c r="S772" s="133">
        <v>41947</v>
      </c>
      <c r="T772" s="134">
        <v>698.7</v>
      </c>
      <c r="U772" s="132" t="s">
        <v>154</v>
      </c>
      <c r="V772" s="132" t="s">
        <v>183</v>
      </c>
      <c r="W772" s="132" t="s">
        <v>153</v>
      </c>
      <c r="X772" s="133">
        <v>41671</v>
      </c>
      <c r="Y772" s="134">
        <v>570</v>
      </c>
    </row>
    <row r="773" spans="1:25" x14ac:dyDescent="0.25">
      <c r="A773" s="92" t="s">
        <v>148</v>
      </c>
      <c r="B773" s="12" t="s">
        <v>222</v>
      </c>
      <c r="C773" s="12" t="s">
        <v>158</v>
      </c>
      <c r="D773" s="80">
        <v>41824</v>
      </c>
      <c r="E773" s="81">
        <v>830</v>
      </c>
      <c r="F773" s="76" t="s">
        <v>150</v>
      </c>
      <c r="G773" s="77" t="s">
        <v>180</v>
      </c>
      <c r="H773" s="77" t="s">
        <v>153</v>
      </c>
      <c r="I773" s="86">
        <v>41863</v>
      </c>
      <c r="J773" s="78">
        <v>517</v>
      </c>
      <c r="K773" s="132" t="s">
        <v>20</v>
      </c>
      <c r="L773" s="132" t="s">
        <v>223</v>
      </c>
      <c r="M773" s="132" t="s">
        <v>158</v>
      </c>
      <c r="N773" s="133">
        <v>41657</v>
      </c>
      <c r="O773" s="134">
        <v>1083</v>
      </c>
      <c r="P773" s="132" t="s">
        <v>151</v>
      </c>
      <c r="Q773" s="132" t="s">
        <v>222</v>
      </c>
      <c r="R773" s="132" t="s">
        <v>158</v>
      </c>
      <c r="S773" s="133">
        <v>41948</v>
      </c>
      <c r="T773" s="134">
        <v>789.5</v>
      </c>
      <c r="U773" s="132" t="s">
        <v>154</v>
      </c>
      <c r="V773" s="132" t="s">
        <v>183</v>
      </c>
      <c r="W773" s="132" t="s">
        <v>153</v>
      </c>
      <c r="X773" s="133">
        <v>41673</v>
      </c>
      <c r="Y773" s="134">
        <v>930</v>
      </c>
    </row>
    <row r="774" spans="1:25" x14ac:dyDescent="0.25">
      <c r="A774" s="92" t="s">
        <v>148</v>
      </c>
      <c r="B774" s="12" t="s">
        <v>222</v>
      </c>
      <c r="C774" s="12" t="s">
        <v>158</v>
      </c>
      <c r="D774" s="80">
        <v>41825</v>
      </c>
      <c r="E774" s="81">
        <v>710</v>
      </c>
      <c r="F774" s="76" t="s">
        <v>150</v>
      </c>
      <c r="G774" s="77" t="s">
        <v>180</v>
      </c>
      <c r="H774" s="77" t="s">
        <v>153</v>
      </c>
      <c r="I774" s="86">
        <v>41864</v>
      </c>
      <c r="J774" s="78">
        <v>899</v>
      </c>
      <c r="K774" s="132" t="s">
        <v>20</v>
      </c>
      <c r="L774" s="132" t="s">
        <v>223</v>
      </c>
      <c r="M774" s="132" t="s">
        <v>158</v>
      </c>
      <c r="N774" s="133">
        <v>41659</v>
      </c>
      <c r="O774" s="134">
        <v>842</v>
      </c>
      <c r="P774" s="132" t="s">
        <v>151</v>
      </c>
      <c r="Q774" s="132" t="s">
        <v>222</v>
      </c>
      <c r="R774" s="132" t="s">
        <v>158</v>
      </c>
      <c r="S774" s="133">
        <v>41950</v>
      </c>
      <c r="T774" s="134">
        <v>963.6</v>
      </c>
      <c r="U774" s="132" t="s">
        <v>154</v>
      </c>
      <c r="V774" s="132" t="s">
        <v>183</v>
      </c>
      <c r="W774" s="132" t="s">
        <v>153</v>
      </c>
      <c r="X774" s="133">
        <v>41674</v>
      </c>
      <c r="Y774" s="134">
        <v>710</v>
      </c>
    </row>
    <row r="775" spans="1:25" x14ac:dyDescent="0.25">
      <c r="A775" s="92" t="s">
        <v>148</v>
      </c>
      <c r="B775" s="12" t="s">
        <v>222</v>
      </c>
      <c r="C775" s="12" t="s">
        <v>158</v>
      </c>
      <c r="D775" s="80">
        <v>41827</v>
      </c>
      <c r="E775" s="81">
        <v>975</v>
      </c>
      <c r="F775" s="76" t="s">
        <v>150</v>
      </c>
      <c r="G775" s="77" t="s">
        <v>180</v>
      </c>
      <c r="H775" s="77" t="s">
        <v>153</v>
      </c>
      <c r="I775" s="86">
        <v>41876</v>
      </c>
      <c r="J775" s="78">
        <v>598</v>
      </c>
      <c r="K775" s="132" t="s">
        <v>20</v>
      </c>
      <c r="L775" s="132" t="s">
        <v>223</v>
      </c>
      <c r="M775" s="132" t="s">
        <v>158</v>
      </c>
      <c r="N775" s="133">
        <v>41661</v>
      </c>
      <c r="O775" s="134">
        <v>892</v>
      </c>
      <c r="P775" s="132" t="s">
        <v>151</v>
      </c>
      <c r="Q775" s="132" t="s">
        <v>223</v>
      </c>
      <c r="R775" s="132" t="s">
        <v>158</v>
      </c>
      <c r="S775" s="133">
        <v>41694</v>
      </c>
      <c r="T775" s="134">
        <v>1076.0999999999999</v>
      </c>
      <c r="U775" s="132" t="s">
        <v>154</v>
      </c>
      <c r="V775" s="132" t="s">
        <v>183</v>
      </c>
      <c r="W775" s="132" t="s">
        <v>153</v>
      </c>
      <c r="X775" s="133">
        <v>41675</v>
      </c>
      <c r="Y775" s="134">
        <v>1099</v>
      </c>
    </row>
    <row r="776" spans="1:25" x14ac:dyDescent="0.25">
      <c r="A776" s="92" t="s">
        <v>148</v>
      </c>
      <c r="B776" s="12" t="s">
        <v>222</v>
      </c>
      <c r="C776" s="12" t="s">
        <v>158</v>
      </c>
      <c r="D776" s="80">
        <v>41828</v>
      </c>
      <c r="E776" s="81">
        <v>1200</v>
      </c>
      <c r="F776" s="76" t="s">
        <v>150</v>
      </c>
      <c r="G776" s="77" t="s">
        <v>180</v>
      </c>
      <c r="H776" s="77" t="s">
        <v>153</v>
      </c>
      <c r="I776" s="86">
        <v>41939</v>
      </c>
      <c r="J776" s="78">
        <v>977</v>
      </c>
      <c r="K776" s="132" t="s">
        <v>20</v>
      </c>
      <c r="L776" s="132" t="s">
        <v>223</v>
      </c>
      <c r="M776" s="132" t="s">
        <v>158</v>
      </c>
      <c r="N776" s="133">
        <v>41663</v>
      </c>
      <c r="O776" s="134">
        <v>699</v>
      </c>
      <c r="P776" s="132" t="s">
        <v>151</v>
      </c>
      <c r="Q776" s="132" t="s">
        <v>223</v>
      </c>
      <c r="R776" s="132" t="s">
        <v>158</v>
      </c>
      <c r="S776" s="133">
        <v>41695</v>
      </c>
      <c r="T776" s="134">
        <v>1004.8</v>
      </c>
      <c r="U776" s="132" t="s">
        <v>154</v>
      </c>
      <c r="V776" s="132" t="s">
        <v>183</v>
      </c>
      <c r="W776" s="132" t="s">
        <v>153</v>
      </c>
      <c r="X776" s="133">
        <v>41675</v>
      </c>
      <c r="Y776" s="134">
        <v>495</v>
      </c>
    </row>
    <row r="777" spans="1:25" x14ac:dyDescent="0.25">
      <c r="A777" s="92" t="s">
        <v>148</v>
      </c>
      <c r="B777" s="12" t="s">
        <v>222</v>
      </c>
      <c r="C777" s="12" t="s">
        <v>158</v>
      </c>
      <c r="D777" s="80">
        <v>41829</v>
      </c>
      <c r="E777" s="81">
        <v>520</v>
      </c>
      <c r="F777" s="76" t="s">
        <v>150</v>
      </c>
      <c r="G777" s="77" t="s">
        <v>180</v>
      </c>
      <c r="H777" s="77" t="s">
        <v>153</v>
      </c>
      <c r="I777" s="86">
        <v>41940</v>
      </c>
      <c r="J777" s="78">
        <v>834</v>
      </c>
      <c r="K777" s="132" t="s">
        <v>20</v>
      </c>
      <c r="L777" s="132" t="s">
        <v>223</v>
      </c>
      <c r="M777" s="132" t="s">
        <v>158</v>
      </c>
      <c r="N777" s="133">
        <v>41669</v>
      </c>
      <c r="O777" s="134">
        <v>1425</v>
      </c>
      <c r="P777" s="132" t="s">
        <v>151</v>
      </c>
      <c r="Q777" s="132" t="s">
        <v>223</v>
      </c>
      <c r="R777" s="132" t="s">
        <v>158</v>
      </c>
      <c r="S777" s="133">
        <v>41697</v>
      </c>
      <c r="T777" s="134">
        <v>916.3</v>
      </c>
      <c r="U777" s="132" t="s">
        <v>154</v>
      </c>
      <c r="V777" s="132" t="s">
        <v>183</v>
      </c>
      <c r="W777" s="132" t="s">
        <v>153</v>
      </c>
      <c r="X777" s="133">
        <v>41676</v>
      </c>
      <c r="Y777" s="134">
        <v>374</v>
      </c>
    </row>
    <row r="778" spans="1:25" x14ac:dyDescent="0.25">
      <c r="A778" s="92" t="s">
        <v>148</v>
      </c>
      <c r="B778" s="12" t="s">
        <v>222</v>
      </c>
      <c r="C778" s="12" t="s">
        <v>158</v>
      </c>
      <c r="D778" s="80">
        <v>41830</v>
      </c>
      <c r="E778" s="81">
        <v>825</v>
      </c>
      <c r="F778" s="76" t="s">
        <v>150</v>
      </c>
      <c r="G778" s="77" t="s">
        <v>180</v>
      </c>
      <c r="H778" s="77" t="s">
        <v>153</v>
      </c>
      <c r="I778" s="86">
        <v>41941</v>
      </c>
      <c r="J778" s="78">
        <v>970</v>
      </c>
      <c r="K778" s="132" t="s">
        <v>20</v>
      </c>
      <c r="L778" s="132" t="s">
        <v>223</v>
      </c>
      <c r="M778" s="132" t="s">
        <v>158</v>
      </c>
      <c r="N778" s="133">
        <v>41670</v>
      </c>
      <c r="O778" s="134">
        <v>413</v>
      </c>
      <c r="P778" s="132" t="s">
        <v>151</v>
      </c>
      <c r="Q778" s="132" t="s">
        <v>223</v>
      </c>
      <c r="R778" s="132" t="s">
        <v>158</v>
      </c>
      <c r="S778" s="133">
        <v>41698</v>
      </c>
      <c r="T778" s="134">
        <v>1219.7</v>
      </c>
      <c r="U778" s="132" t="s">
        <v>154</v>
      </c>
      <c r="V778" s="132" t="s">
        <v>183</v>
      </c>
      <c r="W778" s="132" t="s">
        <v>153</v>
      </c>
      <c r="X778" s="133">
        <v>41676</v>
      </c>
      <c r="Y778" s="134">
        <v>500</v>
      </c>
    </row>
    <row r="779" spans="1:25" x14ac:dyDescent="0.25">
      <c r="A779" s="92" t="s">
        <v>148</v>
      </c>
      <c r="B779" s="12" t="s">
        <v>222</v>
      </c>
      <c r="C779" s="12" t="s">
        <v>158</v>
      </c>
      <c r="D779" s="80">
        <v>41831</v>
      </c>
      <c r="E779" s="81">
        <v>810</v>
      </c>
      <c r="F779" s="76" t="s">
        <v>150</v>
      </c>
      <c r="G779" s="77" t="s">
        <v>180</v>
      </c>
      <c r="H779" s="77" t="s">
        <v>153</v>
      </c>
      <c r="I779" s="86">
        <v>41942</v>
      </c>
      <c r="J779" s="78">
        <v>675</v>
      </c>
      <c r="K779" s="132" t="s">
        <v>20</v>
      </c>
      <c r="L779" s="132" t="s">
        <v>223</v>
      </c>
      <c r="M779" s="132" t="s">
        <v>158</v>
      </c>
      <c r="N779" s="133">
        <v>41672</v>
      </c>
      <c r="O779" s="134">
        <v>878</v>
      </c>
      <c r="P779" s="132" t="s">
        <v>151</v>
      </c>
      <c r="Q779" s="132" t="s">
        <v>223</v>
      </c>
      <c r="R779" s="132" t="s">
        <v>158</v>
      </c>
      <c r="S779" s="133">
        <v>41701</v>
      </c>
      <c r="T779" s="134">
        <v>877.5</v>
      </c>
      <c r="U779" s="132" t="s">
        <v>154</v>
      </c>
      <c r="V779" s="132" t="s">
        <v>183</v>
      </c>
      <c r="W779" s="132" t="s">
        <v>153</v>
      </c>
      <c r="X779" s="133">
        <v>41677</v>
      </c>
      <c r="Y779" s="134">
        <v>880</v>
      </c>
    </row>
    <row r="780" spans="1:25" x14ac:dyDescent="0.25">
      <c r="A780" s="92" t="s">
        <v>148</v>
      </c>
      <c r="B780" s="12" t="s">
        <v>222</v>
      </c>
      <c r="C780" s="12" t="s">
        <v>158</v>
      </c>
      <c r="D780" s="80">
        <v>41832</v>
      </c>
      <c r="E780" s="81">
        <v>763</v>
      </c>
      <c r="F780" s="76" t="s">
        <v>150</v>
      </c>
      <c r="G780" s="77" t="s">
        <v>180</v>
      </c>
      <c r="H780" s="77" t="s">
        <v>153</v>
      </c>
      <c r="I780" s="86">
        <v>41943</v>
      </c>
      <c r="J780" s="78">
        <v>533</v>
      </c>
      <c r="K780" s="132" t="s">
        <v>20</v>
      </c>
      <c r="L780" s="132" t="s">
        <v>223</v>
      </c>
      <c r="M780" s="132" t="s">
        <v>158</v>
      </c>
      <c r="N780" s="133">
        <v>41675</v>
      </c>
      <c r="O780" s="134">
        <v>1124</v>
      </c>
      <c r="P780" s="132" t="s">
        <v>151</v>
      </c>
      <c r="Q780" s="132" t="s">
        <v>223</v>
      </c>
      <c r="R780" s="132" t="s">
        <v>158</v>
      </c>
      <c r="S780" s="133">
        <v>41718</v>
      </c>
      <c r="T780" s="134">
        <v>954.5</v>
      </c>
      <c r="U780" s="132" t="s">
        <v>154</v>
      </c>
      <c r="V780" s="132" t="s">
        <v>183</v>
      </c>
      <c r="W780" s="132" t="s">
        <v>153</v>
      </c>
      <c r="X780" s="133">
        <v>41680</v>
      </c>
      <c r="Y780" s="134">
        <v>1100</v>
      </c>
    </row>
    <row r="781" spans="1:25" x14ac:dyDescent="0.25">
      <c r="A781" s="92" t="s">
        <v>148</v>
      </c>
      <c r="B781" s="12" t="s">
        <v>222</v>
      </c>
      <c r="C781" s="12" t="s">
        <v>158</v>
      </c>
      <c r="D781" s="80">
        <v>41833</v>
      </c>
      <c r="E781" s="81">
        <v>532</v>
      </c>
      <c r="F781" s="76" t="s">
        <v>150</v>
      </c>
      <c r="G781" s="77" t="s">
        <v>180</v>
      </c>
      <c r="H781" s="77" t="s">
        <v>153</v>
      </c>
      <c r="I781" s="86">
        <v>41946</v>
      </c>
      <c r="J781" s="78">
        <v>687</v>
      </c>
      <c r="K781" s="132" t="s">
        <v>20</v>
      </c>
      <c r="L781" s="132" t="s">
        <v>223</v>
      </c>
      <c r="M781" s="132" t="s">
        <v>158</v>
      </c>
      <c r="N781" s="133">
        <v>41677</v>
      </c>
      <c r="O781" s="134">
        <v>1160</v>
      </c>
      <c r="P781" s="132" t="s">
        <v>151</v>
      </c>
      <c r="Q781" s="132" t="s">
        <v>223</v>
      </c>
      <c r="R781" s="132" t="s">
        <v>158</v>
      </c>
      <c r="S781" s="133">
        <v>41731</v>
      </c>
      <c r="T781" s="134">
        <v>968.7</v>
      </c>
      <c r="U781" s="132" t="s">
        <v>154</v>
      </c>
      <c r="V781" s="132" t="s">
        <v>183</v>
      </c>
      <c r="W781" s="132" t="s">
        <v>153</v>
      </c>
      <c r="X781" s="133">
        <v>41681</v>
      </c>
      <c r="Y781" s="134">
        <v>680</v>
      </c>
    </row>
    <row r="782" spans="1:25" x14ac:dyDescent="0.25">
      <c r="A782" s="92" t="s">
        <v>148</v>
      </c>
      <c r="B782" s="12" t="s">
        <v>222</v>
      </c>
      <c r="C782" s="12" t="s">
        <v>158</v>
      </c>
      <c r="D782" s="80">
        <v>41835</v>
      </c>
      <c r="E782" s="81">
        <v>1150</v>
      </c>
      <c r="F782" s="76" t="s">
        <v>150</v>
      </c>
      <c r="G782" s="77" t="s">
        <v>180</v>
      </c>
      <c r="H782" s="77" t="s">
        <v>153</v>
      </c>
      <c r="I782" s="86">
        <v>41947</v>
      </c>
      <c r="J782" s="78">
        <v>559</v>
      </c>
      <c r="K782" s="132" t="s">
        <v>20</v>
      </c>
      <c r="L782" s="132" t="s">
        <v>223</v>
      </c>
      <c r="M782" s="132" t="s">
        <v>158</v>
      </c>
      <c r="N782" s="133">
        <v>41679</v>
      </c>
      <c r="O782" s="134">
        <v>795</v>
      </c>
      <c r="P782" s="132" t="s">
        <v>151</v>
      </c>
      <c r="Q782" s="132" t="s">
        <v>223</v>
      </c>
      <c r="R782" s="132" t="s">
        <v>158</v>
      </c>
      <c r="S782" s="133">
        <v>41736</v>
      </c>
      <c r="T782" s="134">
        <v>592.70000000000005</v>
      </c>
      <c r="U782" s="132" t="s">
        <v>154</v>
      </c>
      <c r="V782" s="132" t="s">
        <v>183</v>
      </c>
      <c r="W782" s="132" t="s">
        <v>153</v>
      </c>
      <c r="X782" s="133">
        <v>41682</v>
      </c>
      <c r="Y782" s="134">
        <v>1070</v>
      </c>
    </row>
    <row r="783" spans="1:25" x14ac:dyDescent="0.25">
      <c r="A783" s="92" t="s">
        <v>148</v>
      </c>
      <c r="B783" s="12" t="s">
        <v>222</v>
      </c>
      <c r="C783" s="12" t="s">
        <v>158</v>
      </c>
      <c r="D783" s="80">
        <v>41836</v>
      </c>
      <c r="E783" s="81">
        <v>825</v>
      </c>
      <c r="F783" s="76" t="s">
        <v>150</v>
      </c>
      <c r="G783" s="77" t="s">
        <v>180</v>
      </c>
      <c r="H783" s="77" t="s">
        <v>153</v>
      </c>
      <c r="I783" s="86">
        <v>41948</v>
      </c>
      <c r="J783" s="78">
        <v>357</v>
      </c>
      <c r="K783" s="132" t="s">
        <v>20</v>
      </c>
      <c r="L783" s="132" t="s">
        <v>223</v>
      </c>
      <c r="M783" s="132" t="s">
        <v>158</v>
      </c>
      <c r="N783" s="133">
        <v>41685</v>
      </c>
      <c r="O783" s="134">
        <v>1498</v>
      </c>
      <c r="P783" s="132" t="s">
        <v>151</v>
      </c>
      <c r="Q783" s="132" t="s">
        <v>223</v>
      </c>
      <c r="R783" s="132" t="s">
        <v>158</v>
      </c>
      <c r="S783" s="133">
        <v>41744</v>
      </c>
      <c r="T783" s="134">
        <v>913.7</v>
      </c>
      <c r="U783" s="132" t="s">
        <v>154</v>
      </c>
      <c r="V783" s="132" t="s">
        <v>183</v>
      </c>
      <c r="W783" s="132" t="s">
        <v>153</v>
      </c>
      <c r="X783" s="133">
        <v>41683</v>
      </c>
      <c r="Y783" s="134">
        <v>826</v>
      </c>
    </row>
    <row r="784" spans="1:25" x14ac:dyDescent="0.25">
      <c r="A784" s="92" t="s">
        <v>148</v>
      </c>
      <c r="B784" s="12" t="s">
        <v>222</v>
      </c>
      <c r="C784" s="12" t="s">
        <v>158</v>
      </c>
      <c r="D784" s="80">
        <v>41837</v>
      </c>
      <c r="E784" s="81">
        <v>774</v>
      </c>
      <c r="F784" s="76" t="s">
        <v>150</v>
      </c>
      <c r="G784" s="77" t="s">
        <v>180</v>
      </c>
      <c r="H784" s="77" t="s">
        <v>153</v>
      </c>
      <c r="I784" s="86">
        <v>41988</v>
      </c>
      <c r="J784" s="78">
        <v>1317</v>
      </c>
      <c r="K784" s="132" t="s">
        <v>20</v>
      </c>
      <c r="L784" s="132" t="s">
        <v>223</v>
      </c>
      <c r="M784" s="132" t="s">
        <v>158</v>
      </c>
      <c r="N784" s="133">
        <v>41688</v>
      </c>
      <c r="O784" s="134">
        <v>713</v>
      </c>
      <c r="P784" s="132" t="s">
        <v>151</v>
      </c>
      <c r="Q784" s="132" t="s">
        <v>223</v>
      </c>
      <c r="R784" s="132" t="s">
        <v>158</v>
      </c>
      <c r="S784" s="133">
        <v>41746</v>
      </c>
      <c r="T784" s="134">
        <v>1007.8</v>
      </c>
      <c r="U784" s="132" t="s">
        <v>154</v>
      </c>
      <c r="V784" s="132" t="s">
        <v>183</v>
      </c>
      <c r="W784" s="132" t="s">
        <v>153</v>
      </c>
      <c r="X784" s="133">
        <v>41684</v>
      </c>
      <c r="Y784" s="134">
        <v>1200</v>
      </c>
    </row>
    <row r="785" spans="1:25" x14ac:dyDescent="0.25">
      <c r="A785" s="92" t="s">
        <v>148</v>
      </c>
      <c r="B785" s="12" t="s">
        <v>222</v>
      </c>
      <c r="C785" s="12" t="s">
        <v>158</v>
      </c>
      <c r="D785" s="80">
        <v>41838</v>
      </c>
      <c r="E785" s="81">
        <v>750</v>
      </c>
      <c r="F785" s="76" t="s">
        <v>150</v>
      </c>
      <c r="G785" s="77" t="s">
        <v>180</v>
      </c>
      <c r="H785" s="77" t="s">
        <v>153</v>
      </c>
      <c r="I785" s="86">
        <v>41989</v>
      </c>
      <c r="J785" s="78">
        <v>1040</v>
      </c>
      <c r="K785" s="132" t="s">
        <v>20</v>
      </c>
      <c r="L785" s="132" t="s">
        <v>223</v>
      </c>
      <c r="M785" s="132" t="s">
        <v>158</v>
      </c>
      <c r="N785" s="133">
        <v>41690</v>
      </c>
      <c r="O785" s="134">
        <v>1118</v>
      </c>
      <c r="P785" s="132" t="s">
        <v>151</v>
      </c>
      <c r="Q785" s="132" t="s">
        <v>223</v>
      </c>
      <c r="R785" s="132" t="s">
        <v>158</v>
      </c>
      <c r="S785" s="133">
        <v>41747</v>
      </c>
      <c r="T785" s="134">
        <v>550.20000000000005</v>
      </c>
      <c r="U785" s="132" t="s">
        <v>154</v>
      </c>
      <c r="V785" s="132" t="s">
        <v>183</v>
      </c>
      <c r="W785" s="132" t="s">
        <v>153</v>
      </c>
      <c r="X785" s="133">
        <v>41688</v>
      </c>
      <c r="Y785" s="134">
        <v>1004</v>
      </c>
    </row>
    <row r="786" spans="1:25" x14ac:dyDescent="0.25">
      <c r="A786" s="92" t="s">
        <v>148</v>
      </c>
      <c r="B786" s="12" t="s">
        <v>222</v>
      </c>
      <c r="C786" s="12" t="s">
        <v>158</v>
      </c>
      <c r="D786" s="80">
        <v>41839</v>
      </c>
      <c r="E786" s="81">
        <v>775</v>
      </c>
      <c r="F786" s="76" t="s">
        <v>150</v>
      </c>
      <c r="G786" s="77" t="s">
        <v>180</v>
      </c>
      <c r="H786" s="77" t="s">
        <v>153</v>
      </c>
      <c r="I786" s="86">
        <v>41991</v>
      </c>
      <c r="J786" s="78">
        <v>1073</v>
      </c>
      <c r="K786" s="132" t="s">
        <v>20</v>
      </c>
      <c r="L786" s="132" t="s">
        <v>223</v>
      </c>
      <c r="M786" s="132" t="s">
        <v>158</v>
      </c>
      <c r="N786" s="133">
        <v>41692</v>
      </c>
      <c r="O786" s="134">
        <v>909</v>
      </c>
      <c r="P786" s="132" t="s">
        <v>151</v>
      </c>
      <c r="Q786" s="132" t="s">
        <v>223</v>
      </c>
      <c r="R786" s="132" t="s">
        <v>158</v>
      </c>
      <c r="S786" s="133">
        <v>41750</v>
      </c>
      <c r="T786" s="134">
        <v>575.20000000000005</v>
      </c>
      <c r="U786" s="132" t="s">
        <v>154</v>
      </c>
      <c r="V786" s="132" t="s">
        <v>183</v>
      </c>
      <c r="W786" s="132" t="s">
        <v>153</v>
      </c>
      <c r="X786" s="133">
        <v>41689</v>
      </c>
      <c r="Y786" s="134">
        <v>1152</v>
      </c>
    </row>
    <row r="787" spans="1:25" x14ac:dyDescent="0.25">
      <c r="A787" s="92" t="s">
        <v>148</v>
      </c>
      <c r="B787" s="12" t="s">
        <v>222</v>
      </c>
      <c r="C787" s="12" t="s">
        <v>158</v>
      </c>
      <c r="D787" s="80">
        <v>41840</v>
      </c>
      <c r="E787" s="81">
        <v>781</v>
      </c>
      <c r="F787" s="76" t="s">
        <v>150</v>
      </c>
      <c r="G787" s="77" t="s">
        <v>180</v>
      </c>
      <c r="H787" s="77" t="s">
        <v>153</v>
      </c>
      <c r="I787" s="86">
        <v>41991</v>
      </c>
      <c r="J787" s="78">
        <v>1082</v>
      </c>
      <c r="K787" s="132" t="s">
        <v>20</v>
      </c>
      <c r="L787" s="132" t="s">
        <v>223</v>
      </c>
      <c r="M787" s="132" t="s">
        <v>158</v>
      </c>
      <c r="N787" s="133">
        <v>41776</v>
      </c>
      <c r="O787" s="134">
        <v>1000</v>
      </c>
      <c r="P787" s="132" t="s">
        <v>151</v>
      </c>
      <c r="Q787" s="132" t="s">
        <v>223</v>
      </c>
      <c r="R787" s="132" t="s">
        <v>158</v>
      </c>
      <c r="S787" s="133">
        <v>41751</v>
      </c>
      <c r="T787" s="134">
        <v>610</v>
      </c>
      <c r="U787" s="132" t="s">
        <v>154</v>
      </c>
      <c r="V787" s="132" t="s">
        <v>183</v>
      </c>
      <c r="W787" s="132" t="s">
        <v>153</v>
      </c>
      <c r="X787" s="133">
        <v>41697</v>
      </c>
      <c r="Y787" s="134">
        <v>600</v>
      </c>
    </row>
    <row r="788" spans="1:25" x14ac:dyDescent="0.25">
      <c r="A788" s="92" t="s">
        <v>148</v>
      </c>
      <c r="B788" s="12" t="s">
        <v>222</v>
      </c>
      <c r="C788" s="12" t="s">
        <v>158</v>
      </c>
      <c r="D788" s="80">
        <v>41845</v>
      </c>
      <c r="E788" s="81">
        <v>1040</v>
      </c>
      <c r="F788" s="76" t="s">
        <v>150</v>
      </c>
      <c r="G788" s="77" t="s">
        <v>180</v>
      </c>
      <c r="H788" s="77" t="s">
        <v>153</v>
      </c>
      <c r="I788" s="86">
        <v>41992</v>
      </c>
      <c r="J788" s="78">
        <v>639</v>
      </c>
      <c r="K788" s="132" t="s">
        <v>20</v>
      </c>
      <c r="L788" s="132" t="s">
        <v>223</v>
      </c>
      <c r="M788" s="132" t="s">
        <v>158</v>
      </c>
      <c r="N788" s="133">
        <v>41782</v>
      </c>
      <c r="O788" s="134">
        <v>801</v>
      </c>
      <c r="P788" s="132" t="s">
        <v>151</v>
      </c>
      <c r="Q788" s="132" t="s">
        <v>223</v>
      </c>
      <c r="R788" s="132" t="s">
        <v>158</v>
      </c>
      <c r="S788" s="133">
        <v>41796</v>
      </c>
      <c r="T788" s="134">
        <v>941.2</v>
      </c>
      <c r="U788" s="132" t="s">
        <v>154</v>
      </c>
      <c r="V788" s="132" t="s">
        <v>183</v>
      </c>
      <c r="W788" s="132" t="s">
        <v>153</v>
      </c>
      <c r="X788" s="133">
        <v>41784</v>
      </c>
      <c r="Y788" s="134">
        <v>547</v>
      </c>
    </row>
    <row r="789" spans="1:25" x14ac:dyDescent="0.25">
      <c r="A789" s="92" t="s">
        <v>148</v>
      </c>
      <c r="B789" s="12" t="s">
        <v>222</v>
      </c>
      <c r="C789" s="12" t="s">
        <v>158</v>
      </c>
      <c r="D789" s="80">
        <v>41846</v>
      </c>
      <c r="E789" s="81">
        <v>1008</v>
      </c>
      <c r="F789" s="76" t="s">
        <v>150</v>
      </c>
      <c r="G789" s="77" t="s">
        <v>180</v>
      </c>
      <c r="H789" s="77" t="s">
        <v>153</v>
      </c>
      <c r="I789" s="86">
        <v>41995</v>
      </c>
      <c r="J789" s="78">
        <v>494</v>
      </c>
      <c r="K789" s="132" t="s">
        <v>20</v>
      </c>
      <c r="L789" s="132" t="s">
        <v>223</v>
      </c>
      <c r="M789" s="132" t="s">
        <v>158</v>
      </c>
      <c r="N789" s="133">
        <v>41785</v>
      </c>
      <c r="O789" s="134">
        <v>1125</v>
      </c>
      <c r="P789" s="132" t="s">
        <v>151</v>
      </c>
      <c r="Q789" s="132" t="s">
        <v>223</v>
      </c>
      <c r="R789" s="132" t="s">
        <v>158</v>
      </c>
      <c r="S789" s="133">
        <v>41829</v>
      </c>
      <c r="T789" s="134">
        <v>819.3</v>
      </c>
      <c r="U789" s="132" t="s">
        <v>154</v>
      </c>
      <c r="V789" s="132" t="s">
        <v>183</v>
      </c>
      <c r="W789" s="132" t="s">
        <v>153</v>
      </c>
      <c r="X789" s="133">
        <v>41786</v>
      </c>
      <c r="Y789" s="134">
        <v>783</v>
      </c>
    </row>
    <row r="790" spans="1:25" x14ac:dyDescent="0.25">
      <c r="A790" s="92" t="s">
        <v>148</v>
      </c>
      <c r="B790" s="12" t="s">
        <v>222</v>
      </c>
      <c r="C790" s="12" t="s">
        <v>158</v>
      </c>
      <c r="D790" s="80">
        <v>41847</v>
      </c>
      <c r="E790" s="81">
        <v>1100</v>
      </c>
      <c r="F790" s="76" t="s">
        <v>150</v>
      </c>
      <c r="G790" s="77" t="s">
        <v>180</v>
      </c>
      <c r="H790" s="77" t="s">
        <v>153</v>
      </c>
      <c r="I790" s="86">
        <v>41997</v>
      </c>
      <c r="J790" s="78">
        <v>1049</v>
      </c>
      <c r="K790" s="132" t="s">
        <v>20</v>
      </c>
      <c r="L790" s="132" t="s">
        <v>223</v>
      </c>
      <c r="M790" s="132" t="s">
        <v>158</v>
      </c>
      <c r="N790" s="133">
        <v>41790</v>
      </c>
      <c r="O790" s="134">
        <v>885</v>
      </c>
      <c r="P790" s="132" t="s">
        <v>151</v>
      </c>
      <c r="Q790" s="132" t="s">
        <v>223</v>
      </c>
      <c r="R790" s="132" t="s">
        <v>158</v>
      </c>
      <c r="S790" s="133">
        <v>41835</v>
      </c>
      <c r="T790" s="134">
        <v>1445.9</v>
      </c>
      <c r="U790" s="132" t="s">
        <v>154</v>
      </c>
      <c r="V790" s="132" t="s">
        <v>183</v>
      </c>
      <c r="W790" s="132" t="s">
        <v>153</v>
      </c>
      <c r="X790" s="133">
        <v>41787</v>
      </c>
      <c r="Y790" s="134">
        <v>791</v>
      </c>
    </row>
    <row r="791" spans="1:25" x14ac:dyDescent="0.25">
      <c r="A791" s="92" t="s">
        <v>148</v>
      </c>
      <c r="B791" s="12" t="s">
        <v>222</v>
      </c>
      <c r="C791" s="12" t="s">
        <v>158</v>
      </c>
      <c r="D791" s="80">
        <v>41848</v>
      </c>
      <c r="E791" s="81">
        <v>510</v>
      </c>
      <c r="F791" s="76" t="s">
        <v>150</v>
      </c>
      <c r="G791" s="77" t="s">
        <v>180</v>
      </c>
      <c r="H791" s="77" t="s">
        <v>153</v>
      </c>
      <c r="I791" s="86">
        <v>41999</v>
      </c>
      <c r="J791" s="78">
        <v>1157</v>
      </c>
      <c r="K791" s="132" t="s">
        <v>20</v>
      </c>
      <c r="L791" s="132" t="s">
        <v>223</v>
      </c>
      <c r="M791" s="132" t="s">
        <v>158</v>
      </c>
      <c r="N791" s="133">
        <v>41792</v>
      </c>
      <c r="O791" s="134">
        <v>925</v>
      </c>
      <c r="P791" s="132" t="s">
        <v>151</v>
      </c>
      <c r="Q791" s="132" t="s">
        <v>223</v>
      </c>
      <c r="R791" s="132" t="s">
        <v>158</v>
      </c>
      <c r="S791" s="133">
        <v>41836</v>
      </c>
      <c r="T791" s="134">
        <v>654.9</v>
      </c>
      <c r="U791" s="132" t="s">
        <v>154</v>
      </c>
      <c r="V791" s="132" t="s">
        <v>183</v>
      </c>
      <c r="W791" s="132" t="s">
        <v>153</v>
      </c>
      <c r="X791" s="133">
        <v>41788</v>
      </c>
      <c r="Y791" s="134">
        <v>800</v>
      </c>
    </row>
    <row r="792" spans="1:25" x14ac:dyDescent="0.25">
      <c r="A792" s="92" t="s">
        <v>148</v>
      </c>
      <c r="B792" s="12" t="s">
        <v>222</v>
      </c>
      <c r="C792" s="12" t="s">
        <v>158</v>
      </c>
      <c r="D792" s="80">
        <v>41849</v>
      </c>
      <c r="E792" s="81">
        <v>919</v>
      </c>
      <c r="F792" s="76" t="s">
        <v>150</v>
      </c>
      <c r="G792" s="77" t="s">
        <v>159</v>
      </c>
      <c r="H792" s="77" t="s">
        <v>153</v>
      </c>
      <c r="I792" s="86">
        <v>41636</v>
      </c>
      <c r="J792" s="78">
        <v>781</v>
      </c>
      <c r="K792" s="132" t="s">
        <v>20</v>
      </c>
      <c r="L792" s="132" t="s">
        <v>223</v>
      </c>
      <c r="M792" s="132" t="s">
        <v>158</v>
      </c>
      <c r="N792" s="133">
        <v>41828</v>
      </c>
      <c r="O792" s="134">
        <v>1852</v>
      </c>
      <c r="P792" s="132" t="s">
        <v>151</v>
      </c>
      <c r="Q792" s="132" t="s">
        <v>223</v>
      </c>
      <c r="R792" s="132" t="s">
        <v>158</v>
      </c>
      <c r="S792" s="133">
        <v>41837</v>
      </c>
      <c r="T792" s="134">
        <v>566.9</v>
      </c>
      <c r="U792" s="132" t="s">
        <v>154</v>
      </c>
      <c r="V792" s="132" t="s">
        <v>183</v>
      </c>
      <c r="W792" s="132" t="s">
        <v>153</v>
      </c>
      <c r="X792" s="133">
        <v>41789</v>
      </c>
      <c r="Y792" s="134">
        <v>831</v>
      </c>
    </row>
    <row r="793" spans="1:25" x14ac:dyDescent="0.25">
      <c r="A793" s="92" t="s">
        <v>148</v>
      </c>
      <c r="B793" s="12" t="s">
        <v>222</v>
      </c>
      <c r="C793" s="12" t="s">
        <v>158</v>
      </c>
      <c r="D793" s="80">
        <v>41978</v>
      </c>
      <c r="E793" s="81">
        <v>550</v>
      </c>
      <c r="F793" s="76" t="s">
        <v>150</v>
      </c>
      <c r="G793" s="77" t="s">
        <v>159</v>
      </c>
      <c r="H793" s="77" t="s">
        <v>153</v>
      </c>
      <c r="I793" s="86">
        <v>41636</v>
      </c>
      <c r="J793" s="78">
        <v>1494</v>
      </c>
      <c r="K793" s="132" t="s">
        <v>20</v>
      </c>
      <c r="L793" s="132" t="s">
        <v>223</v>
      </c>
      <c r="M793" s="132" t="s">
        <v>158</v>
      </c>
      <c r="N793" s="133">
        <v>41870</v>
      </c>
      <c r="O793" s="134">
        <v>602</v>
      </c>
      <c r="P793" s="132" t="s">
        <v>151</v>
      </c>
      <c r="Q793" s="132" t="s">
        <v>223</v>
      </c>
      <c r="R793" s="132" t="s">
        <v>158</v>
      </c>
      <c r="S793" s="133">
        <v>41838</v>
      </c>
      <c r="T793" s="134">
        <v>579.29999999999995</v>
      </c>
      <c r="U793" s="132" t="s">
        <v>154</v>
      </c>
      <c r="V793" s="132" t="s">
        <v>183</v>
      </c>
      <c r="W793" s="132" t="s">
        <v>153</v>
      </c>
      <c r="X793" s="133">
        <v>41790</v>
      </c>
      <c r="Y793" s="134">
        <v>681</v>
      </c>
    </row>
    <row r="794" spans="1:25" x14ac:dyDescent="0.25">
      <c r="A794" s="92" t="s">
        <v>148</v>
      </c>
      <c r="B794" s="12" t="s">
        <v>223</v>
      </c>
      <c r="C794" s="12" t="s">
        <v>158</v>
      </c>
      <c r="D794" s="80">
        <v>41760</v>
      </c>
      <c r="E794" s="81">
        <v>1160</v>
      </c>
      <c r="F794" s="76" t="s">
        <v>150</v>
      </c>
      <c r="G794" s="77" t="s">
        <v>159</v>
      </c>
      <c r="H794" s="77" t="s">
        <v>153</v>
      </c>
      <c r="I794" s="86">
        <v>41637</v>
      </c>
      <c r="J794" s="78">
        <v>914</v>
      </c>
      <c r="K794" s="132" t="s">
        <v>20</v>
      </c>
      <c r="L794" s="132" t="s">
        <v>223</v>
      </c>
      <c r="M794" s="132" t="s">
        <v>158</v>
      </c>
      <c r="N794" s="133">
        <v>41873</v>
      </c>
      <c r="O794" s="134">
        <v>1206</v>
      </c>
      <c r="P794" s="132" t="s">
        <v>151</v>
      </c>
      <c r="Q794" s="132" t="s">
        <v>223</v>
      </c>
      <c r="R794" s="132" t="s">
        <v>158</v>
      </c>
      <c r="S794" s="133">
        <v>41841</v>
      </c>
      <c r="T794" s="134">
        <v>744.6</v>
      </c>
      <c r="U794" s="132" t="s">
        <v>154</v>
      </c>
      <c r="V794" s="132" t="s">
        <v>183</v>
      </c>
      <c r="W794" s="132" t="s">
        <v>153</v>
      </c>
      <c r="X794" s="133">
        <v>41791</v>
      </c>
      <c r="Y794" s="134">
        <v>663</v>
      </c>
    </row>
    <row r="795" spans="1:25" x14ac:dyDescent="0.25">
      <c r="A795" s="92" t="s">
        <v>148</v>
      </c>
      <c r="B795" s="12" t="s">
        <v>223</v>
      </c>
      <c r="C795" s="12" t="s">
        <v>158</v>
      </c>
      <c r="D795" s="80">
        <v>41761</v>
      </c>
      <c r="E795" s="81">
        <v>770</v>
      </c>
      <c r="F795" s="76" t="s">
        <v>150</v>
      </c>
      <c r="G795" s="77" t="s">
        <v>159</v>
      </c>
      <c r="H795" s="77" t="s">
        <v>153</v>
      </c>
      <c r="I795" s="86">
        <v>41638</v>
      </c>
      <c r="J795" s="78">
        <v>803</v>
      </c>
      <c r="K795" s="132" t="s">
        <v>20</v>
      </c>
      <c r="L795" s="132" t="s">
        <v>223</v>
      </c>
      <c r="M795" s="132" t="s">
        <v>158</v>
      </c>
      <c r="N795" s="133">
        <v>41875</v>
      </c>
      <c r="O795" s="134">
        <v>1061</v>
      </c>
      <c r="P795" s="132" t="s">
        <v>151</v>
      </c>
      <c r="Q795" s="132" t="s">
        <v>223</v>
      </c>
      <c r="R795" s="132" t="s">
        <v>158</v>
      </c>
      <c r="S795" s="133">
        <v>41879</v>
      </c>
      <c r="T795" s="134">
        <v>1443.6</v>
      </c>
      <c r="U795" s="132" t="s">
        <v>154</v>
      </c>
      <c r="V795" s="132" t="s">
        <v>183</v>
      </c>
      <c r="W795" s="132" t="s">
        <v>153</v>
      </c>
      <c r="X795" s="133">
        <v>41791</v>
      </c>
      <c r="Y795" s="134">
        <v>219</v>
      </c>
    </row>
    <row r="796" spans="1:25" x14ac:dyDescent="0.25">
      <c r="A796" s="92" t="s">
        <v>148</v>
      </c>
      <c r="B796" s="12" t="s">
        <v>223</v>
      </c>
      <c r="C796" s="12" t="s">
        <v>158</v>
      </c>
      <c r="D796" s="80">
        <v>41762</v>
      </c>
      <c r="E796" s="81">
        <v>1286</v>
      </c>
      <c r="F796" s="76" t="s">
        <v>150</v>
      </c>
      <c r="G796" s="77" t="s">
        <v>159</v>
      </c>
      <c r="H796" s="77" t="s">
        <v>153</v>
      </c>
      <c r="I796" s="86">
        <v>41639</v>
      </c>
      <c r="J796" s="78">
        <v>924</v>
      </c>
      <c r="K796" s="132" t="s">
        <v>20</v>
      </c>
      <c r="L796" s="132" t="s">
        <v>223</v>
      </c>
      <c r="M796" s="132" t="s">
        <v>158</v>
      </c>
      <c r="N796" s="133">
        <v>41964</v>
      </c>
      <c r="O796" s="134">
        <v>810</v>
      </c>
      <c r="P796" s="132" t="s">
        <v>151</v>
      </c>
      <c r="Q796" s="132" t="s">
        <v>223</v>
      </c>
      <c r="R796" s="132" t="s">
        <v>158</v>
      </c>
      <c r="S796" s="133">
        <v>41880</v>
      </c>
      <c r="T796" s="134">
        <v>701.9</v>
      </c>
      <c r="U796" s="132" t="s">
        <v>154</v>
      </c>
      <c r="V796" s="132" t="s">
        <v>183</v>
      </c>
      <c r="W796" s="132" t="s">
        <v>153</v>
      </c>
      <c r="X796" s="133">
        <v>41791</v>
      </c>
      <c r="Y796" s="134">
        <v>371</v>
      </c>
    </row>
    <row r="797" spans="1:25" x14ac:dyDescent="0.25">
      <c r="A797" s="92" t="s">
        <v>148</v>
      </c>
      <c r="B797" s="12" t="s">
        <v>223</v>
      </c>
      <c r="C797" s="12" t="s">
        <v>158</v>
      </c>
      <c r="D797" s="80">
        <v>41763</v>
      </c>
      <c r="E797" s="81">
        <v>983</v>
      </c>
      <c r="F797" s="76" t="s">
        <v>150</v>
      </c>
      <c r="G797" s="77" t="s">
        <v>159</v>
      </c>
      <c r="H797" s="77" t="s">
        <v>153</v>
      </c>
      <c r="I797" s="86">
        <v>41641</v>
      </c>
      <c r="J797" s="78">
        <v>689</v>
      </c>
      <c r="K797" s="132" t="s">
        <v>20</v>
      </c>
      <c r="L797" s="132" t="s">
        <v>224</v>
      </c>
      <c r="M797" s="132" t="s">
        <v>158</v>
      </c>
      <c r="N797" s="133">
        <v>41666</v>
      </c>
      <c r="O797" s="134">
        <v>2079</v>
      </c>
      <c r="P797" s="132" t="s">
        <v>151</v>
      </c>
      <c r="Q797" s="132" t="s">
        <v>223</v>
      </c>
      <c r="R797" s="132" t="s">
        <v>158</v>
      </c>
      <c r="S797" s="133">
        <v>41884</v>
      </c>
      <c r="T797" s="134">
        <v>674.7</v>
      </c>
      <c r="U797" s="132" t="s">
        <v>154</v>
      </c>
      <c r="V797" s="132" t="s">
        <v>183</v>
      </c>
      <c r="W797" s="132" t="s">
        <v>153</v>
      </c>
      <c r="X797" s="133">
        <v>41792</v>
      </c>
      <c r="Y797" s="134">
        <v>1161</v>
      </c>
    </row>
    <row r="798" spans="1:25" x14ac:dyDescent="0.25">
      <c r="A798" s="92" t="s">
        <v>148</v>
      </c>
      <c r="B798" s="12" t="s">
        <v>223</v>
      </c>
      <c r="C798" s="12" t="s">
        <v>158</v>
      </c>
      <c r="D798" s="80">
        <v>41765</v>
      </c>
      <c r="E798" s="81">
        <v>950</v>
      </c>
      <c r="F798" s="76" t="s">
        <v>150</v>
      </c>
      <c r="G798" s="77" t="s">
        <v>159</v>
      </c>
      <c r="H798" s="77" t="s">
        <v>153</v>
      </c>
      <c r="I798" s="86">
        <v>41666</v>
      </c>
      <c r="J798" s="78">
        <v>1191</v>
      </c>
      <c r="K798" s="132" t="s">
        <v>20</v>
      </c>
      <c r="L798" s="132" t="s">
        <v>224</v>
      </c>
      <c r="M798" s="132" t="s">
        <v>158</v>
      </c>
      <c r="N798" s="133">
        <v>41744</v>
      </c>
      <c r="O798" s="134">
        <v>1332</v>
      </c>
      <c r="P798" s="132" t="s">
        <v>151</v>
      </c>
      <c r="Q798" s="132" t="s">
        <v>223</v>
      </c>
      <c r="R798" s="132" t="s">
        <v>158</v>
      </c>
      <c r="S798" s="133">
        <v>41887</v>
      </c>
      <c r="T798" s="134">
        <v>1265.9000000000001</v>
      </c>
      <c r="U798" s="132" t="s">
        <v>154</v>
      </c>
      <c r="V798" s="132" t="s">
        <v>183</v>
      </c>
      <c r="W798" s="132" t="s">
        <v>153</v>
      </c>
      <c r="X798" s="133">
        <v>41793</v>
      </c>
      <c r="Y798" s="134">
        <v>1060</v>
      </c>
    </row>
    <row r="799" spans="1:25" x14ac:dyDescent="0.25">
      <c r="A799" s="92" t="s">
        <v>148</v>
      </c>
      <c r="B799" s="12" t="s">
        <v>223</v>
      </c>
      <c r="C799" s="12" t="s">
        <v>158</v>
      </c>
      <c r="D799" s="80">
        <v>41766</v>
      </c>
      <c r="E799" s="81">
        <v>750</v>
      </c>
      <c r="F799" s="76" t="s">
        <v>150</v>
      </c>
      <c r="G799" s="77" t="s">
        <v>159</v>
      </c>
      <c r="H799" s="77" t="s">
        <v>153</v>
      </c>
      <c r="I799" s="86">
        <v>41689</v>
      </c>
      <c r="J799" s="78">
        <v>1070</v>
      </c>
      <c r="K799" s="132" t="s">
        <v>20</v>
      </c>
      <c r="L799" s="132" t="s">
        <v>224</v>
      </c>
      <c r="M799" s="132" t="s">
        <v>158</v>
      </c>
      <c r="N799" s="133">
        <v>41815</v>
      </c>
      <c r="O799" s="134">
        <v>1206</v>
      </c>
      <c r="P799" s="132" t="s">
        <v>151</v>
      </c>
      <c r="Q799" s="132" t="s">
        <v>223</v>
      </c>
      <c r="R799" s="132" t="s">
        <v>158</v>
      </c>
      <c r="S799" s="133">
        <v>41890</v>
      </c>
      <c r="T799" s="134">
        <v>840.8</v>
      </c>
      <c r="U799" s="132" t="s">
        <v>154</v>
      </c>
      <c r="V799" s="132" t="s">
        <v>183</v>
      </c>
      <c r="W799" s="132" t="s">
        <v>153</v>
      </c>
      <c r="X799" s="133">
        <v>41794</v>
      </c>
      <c r="Y799" s="134">
        <v>1011</v>
      </c>
    </row>
    <row r="800" spans="1:25" x14ac:dyDescent="0.25">
      <c r="A800" s="92" t="s">
        <v>148</v>
      </c>
      <c r="B800" s="12" t="s">
        <v>223</v>
      </c>
      <c r="C800" s="12" t="s">
        <v>158</v>
      </c>
      <c r="D800" s="80">
        <v>41767</v>
      </c>
      <c r="E800" s="81">
        <v>725</v>
      </c>
      <c r="F800" s="76" t="s">
        <v>150</v>
      </c>
      <c r="G800" s="77" t="s">
        <v>159</v>
      </c>
      <c r="H800" s="77" t="s">
        <v>153</v>
      </c>
      <c r="I800" s="86">
        <v>41689</v>
      </c>
      <c r="J800" s="78">
        <v>1110</v>
      </c>
      <c r="K800" s="132" t="s">
        <v>20</v>
      </c>
      <c r="L800" s="132" t="s">
        <v>224</v>
      </c>
      <c r="M800" s="132" t="s">
        <v>158</v>
      </c>
      <c r="N800" s="133">
        <v>41828</v>
      </c>
      <c r="O800" s="134">
        <v>650</v>
      </c>
      <c r="P800" s="132" t="s">
        <v>151</v>
      </c>
      <c r="Q800" s="132" t="s">
        <v>223</v>
      </c>
      <c r="R800" s="132" t="s">
        <v>158</v>
      </c>
      <c r="S800" s="133">
        <v>41891</v>
      </c>
      <c r="T800" s="134">
        <v>610.6</v>
      </c>
      <c r="U800" s="132" t="s">
        <v>154</v>
      </c>
      <c r="V800" s="132" t="s">
        <v>183</v>
      </c>
      <c r="W800" s="132" t="s">
        <v>153</v>
      </c>
      <c r="X800" s="133">
        <v>41795</v>
      </c>
      <c r="Y800" s="134">
        <v>861</v>
      </c>
    </row>
    <row r="801" spans="1:25" x14ac:dyDescent="0.25">
      <c r="A801" s="92" t="s">
        <v>148</v>
      </c>
      <c r="B801" s="12" t="s">
        <v>223</v>
      </c>
      <c r="C801" s="12" t="s">
        <v>158</v>
      </c>
      <c r="D801" s="80">
        <v>41768</v>
      </c>
      <c r="E801" s="81">
        <v>740</v>
      </c>
      <c r="F801" s="76" t="s">
        <v>150</v>
      </c>
      <c r="G801" s="77" t="s">
        <v>159</v>
      </c>
      <c r="H801" s="77" t="s">
        <v>153</v>
      </c>
      <c r="I801" s="86">
        <v>41705</v>
      </c>
      <c r="J801" s="78">
        <v>274</v>
      </c>
      <c r="K801" s="132" t="s">
        <v>20</v>
      </c>
      <c r="L801" s="132" t="s">
        <v>224</v>
      </c>
      <c r="M801" s="132" t="s">
        <v>158</v>
      </c>
      <c r="N801" s="133">
        <v>41871</v>
      </c>
      <c r="O801" s="134">
        <v>1635</v>
      </c>
      <c r="P801" s="132" t="s">
        <v>151</v>
      </c>
      <c r="Q801" s="132" t="s">
        <v>223</v>
      </c>
      <c r="R801" s="132" t="s">
        <v>158</v>
      </c>
      <c r="S801" s="133">
        <v>41929</v>
      </c>
      <c r="T801" s="134">
        <v>705.7</v>
      </c>
      <c r="U801" s="132" t="s">
        <v>154</v>
      </c>
      <c r="V801" s="132" t="s">
        <v>183</v>
      </c>
      <c r="W801" s="132" t="s">
        <v>153</v>
      </c>
      <c r="X801" s="133">
        <v>41796</v>
      </c>
      <c r="Y801" s="134">
        <v>670</v>
      </c>
    </row>
    <row r="802" spans="1:25" x14ac:dyDescent="0.25">
      <c r="A802" s="92" t="s">
        <v>148</v>
      </c>
      <c r="B802" s="12" t="s">
        <v>223</v>
      </c>
      <c r="C802" s="12" t="s">
        <v>158</v>
      </c>
      <c r="D802" s="80">
        <v>41770</v>
      </c>
      <c r="E802" s="81">
        <v>1000</v>
      </c>
      <c r="F802" s="76" t="s">
        <v>150</v>
      </c>
      <c r="G802" s="77" t="s">
        <v>159</v>
      </c>
      <c r="H802" s="77" t="s">
        <v>153</v>
      </c>
      <c r="I802" s="86">
        <v>41705</v>
      </c>
      <c r="J802" s="78">
        <v>1374</v>
      </c>
      <c r="K802" s="132" t="s">
        <v>20</v>
      </c>
      <c r="L802" s="132" t="s">
        <v>224</v>
      </c>
      <c r="M802" s="132" t="s">
        <v>158</v>
      </c>
      <c r="N802" s="133">
        <v>41933</v>
      </c>
      <c r="O802" s="134">
        <v>1044</v>
      </c>
      <c r="P802" s="132" t="s">
        <v>151</v>
      </c>
      <c r="Q802" s="132" t="s">
        <v>223</v>
      </c>
      <c r="R802" s="132" t="s">
        <v>158</v>
      </c>
      <c r="S802" s="133">
        <v>41932</v>
      </c>
      <c r="T802" s="134">
        <v>642</v>
      </c>
      <c r="U802" s="132" t="s">
        <v>154</v>
      </c>
      <c r="V802" s="132" t="s">
        <v>183</v>
      </c>
      <c r="W802" s="132" t="s">
        <v>153</v>
      </c>
      <c r="X802" s="133">
        <v>41798</v>
      </c>
      <c r="Y802" s="134">
        <v>496</v>
      </c>
    </row>
    <row r="803" spans="1:25" x14ac:dyDescent="0.25">
      <c r="A803" s="92" t="s">
        <v>148</v>
      </c>
      <c r="B803" s="12" t="s">
        <v>223</v>
      </c>
      <c r="C803" s="12" t="s">
        <v>158</v>
      </c>
      <c r="D803" s="80">
        <v>41770</v>
      </c>
      <c r="E803" s="81">
        <v>712</v>
      </c>
      <c r="F803" s="76" t="s">
        <v>150</v>
      </c>
      <c r="G803" s="77" t="s">
        <v>159</v>
      </c>
      <c r="H803" s="77" t="s">
        <v>153</v>
      </c>
      <c r="I803" s="86">
        <v>41706</v>
      </c>
      <c r="J803" s="78">
        <v>672</v>
      </c>
      <c r="K803" s="132" t="s">
        <v>20</v>
      </c>
      <c r="L803" s="132" t="s">
        <v>224</v>
      </c>
      <c r="M803" s="132" t="s">
        <v>158</v>
      </c>
      <c r="N803" s="133">
        <v>41974</v>
      </c>
      <c r="O803" s="134">
        <v>720</v>
      </c>
      <c r="P803" s="132" t="s">
        <v>151</v>
      </c>
      <c r="Q803" s="132" t="s">
        <v>223</v>
      </c>
      <c r="R803" s="132" t="s">
        <v>158</v>
      </c>
      <c r="S803" s="133">
        <v>41935</v>
      </c>
      <c r="T803" s="134">
        <v>1433.6</v>
      </c>
      <c r="U803" s="132" t="s">
        <v>154</v>
      </c>
      <c r="V803" s="132" t="s">
        <v>183</v>
      </c>
      <c r="W803" s="132" t="s">
        <v>153</v>
      </c>
      <c r="X803" s="133">
        <v>41927</v>
      </c>
      <c r="Y803" s="134">
        <v>609</v>
      </c>
    </row>
    <row r="804" spans="1:25" x14ac:dyDescent="0.25">
      <c r="A804" s="92" t="s">
        <v>148</v>
      </c>
      <c r="B804" s="12" t="s">
        <v>223</v>
      </c>
      <c r="C804" s="12" t="s">
        <v>158</v>
      </c>
      <c r="D804" s="80">
        <v>41771</v>
      </c>
      <c r="E804" s="81">
        <v>670</v>
      </c>
      <c r="F804" s="76" t="s">
        <v>150</v>
      </c>
      <c r="G804" s="77" t="s">
        <v>159</v>
      </c>
      <c r="H804" s="77" t="s">
        <v>153</v>
      </c>
      <c r="I804" s="86">
        <v>41707</v>
      </c>
      <c r="J804" s="78">
        <v>687</v>
      </c>
      <c r="K804" s="132" t="s">
        <v>20</v>
      </c>
      <c r="L804" s="132" t="s">
        <v>225</v>
      </c>
      <c r="M804" s="132" t="s">
        <v>158</v>
      </c>
      <c r="N804" s="133">
        <v>41637</v>
      </c>
      <c r="O804" s="134">
        <v>861</v>
      </c>
      <c r="P804" s="132" t="s">
        <v>151</v>
      </c>
      <c r="Q804" s="132" t="s">
        <v>223</v>
      </c>
      <c r="R804" s="132" t="s">
        <v>158</v>
      </c>
      <c r="S804" s="133">
        <v>41936</v>
      </c>
      <c r="T804" s="134">
        <v>547.20000000000005</v>
      </c>
      <c r="U804" s="132" t="s">
        <v>154</v>
      </c>
      <c r="V804" s="132" t="s">
        <v>183</v>
      </c>
      <c r="W804" s="132" t="s">
        <v>153</v>
      </c>
      <c r="X804" s="133">
        <v>41962</v>
      </c>
      <c r="Y804" s="134">
        <v>303</v>
      </c>
    </row>
    <row r="805" spans="1:25" x14ac:dyDescent="0.25">
      <c r="A805" s="92" t="s">
        <v>148</v>
      </c>
      <c r="B805" s="12" t="s">
        <v>224</v>
      </c>
      <c r="C805" s="12" t="s">
        <v>158</v>
      </c>
      <c r="D805" s="80">
        <v>41679</v>
      </c>
      <c r="E805" s="81">
        <v>1550</v>
      </c>
      <c r="F805" s="76" t="s">
        <v>150</v>
      </c>
      <c r="G805" s="77" t="s">
        <v>159</v>
      </c>
      <c r="H805" s="77" t="s">
        <v>153</v>
      </c>
      <c r="I805" s="86">
        <v>41709</v>
      </c>
      <c r="J805" s="78">
        <v>610</v>
      </c>
      <c r="K805" s="132" t="s">
        <v>20</v>
      </c>
      <c r="L805" s="132" t="s">
        <v>225</v>
      </c>
      <c r="M805" s="132" t="s">
        <v>158</v>
      </c>
      <c r="N805" s="133">
        <v>41652</v>
      </c>
      <c r="O805" s="134">
        <v>1299</v>
      </c>
      <c r="P805" s="132" t="s">
        <v>151</v>
      </c>
      <c r="Q805" s="132" t="s">
        <v>223</v>
      </c>
      <c r="R805" s="132" t="s">
        <v>158</v>
      </c>
      <c r="S805" s="133">
        <v>41953</v>
      </c>
      <c r="T805" s="134">
        <v>1134</v>
      </c>
      <c r="U805" s="132" t="s">
        <v>154</v>
      </c>
      <c r="V805" s="132" t="s">
        <v>183</v>
      </c>
      <c r="W805" s="132" t="s">
        <v>153</v>
      </c>
      <c r="X805" s="133">
        <v>41963</v>
      </c>
      <c r="Y805" s="134">
        <v>620</v>
      </c>
    </row>
    <row r="806" spans="1:25" x14ac:dyDescent="0.25">
      <c r="A806" s="92" t="s">
        <v>148</v>
      </c>
      <c r="B806" s="12" t="s">
        <v>224</v>
      </c>
      <c r="C806" s="12" t="s">
        <v>158</v>
      </c>
      <c r="D806" s="80">
        <v>41680</v>
      </c>
      <c r="E806" s="81">
        <v>830</v>
      </c>
      <c r="F806" s="76" t="s">
        <v>150</v>
      </c>
      <c r="G806" s="77" t="s">
        <v>159</v>
      </c>
      <c r="H806" s="77" t="s">
        <v>153</v>
      </c>
      <c r="I806" s="86">
        <v>41710</v>
      </c>
      <c r="J806" s="78">
        <v>645</v>
      </c>
      <c r="K806" s="132" t="s">
        <v>20</v>
      </c>
      <c r="L806" s="132" t="s">
        <v>225</v>
      </c>
      <c r="M806" s="132" t="s">
        <v>158</v>
      </c>
      <c r="N806" s="133">
        <v>41662</v>
      </c>
      <c r="O806" s="134">
        <v>2021</v>
      </c>
      <c r="P806" s="132" t="s">
        <v>151</v>
      </c>
      <c r="Q806" s="132" t="s">
        <v>223</v>
      </c>
      <c r="R806" s="132" t="s">
        <v>158</v>
      </c>
      <c r="S806" s="133">
        <v>41954</v>
      </c>
      <c r="T806" s="134">
        <v>606.4</v>
      </c>
      <c r="U806" s="132" t="s">
        <v>154</v>
      </c>
      <c r="V806" s="132" t="s">
        <v>183</v>
      </c>
      <c r="W806" s="132" t="s">
        <v>153</v>
      </c>
      <c r="X806" s="133">
        <v>41964</v>
      </c>
      <c r="Y806" s="134">
        <v>703</v>
      </c>
    </row>
    <row r="807" spans="1:25" x14ac:dyDescent="0.25">
      <c r="A807" s="92" t="s">
        <v>148</v>
      </c>
      <c r="B807" s="12" t="s">
        <v>224</v>
      </c>
      <c r="C807" s="12" t="s">
        <v>158</v>
      </c>
      <c r="D807" s="80">
        <v>41681</v>
      </c>
      <c r="E807" s="81">
        <v>810</v>
      </c>
      <c r="F807" s="76" t="s">
        <v>150</v>
      </c>
      <c r="G807" s="77" t="s">
        <v>159</v>
      </c>
      <c r="H807" s="77" t="s">
        <v>153</v>
      </c>
      <c r="I807" s="86">
        <v>41712</v>
      </c>
      <c r="J807" s="78">
        <v>1171</v>
      </c>
      <c r="K807" s="132" t="s">
        <v>20</v>
      </c>
      <c r="L807" s="132" t="s">
        <v>225</v>
      </c>
      <c r="M807" s="132" t="s">
        <v>158</v>
      </c>
      <c r="N807" s="133">
        <v>41664</v>
      </c>
      <c r="O807" s="134">
        <v>1116</v>
      </c>
      <c r="P807" s="132" t="s">
        <v>151</v>
      </c>
      <c r="Q807" s="132" t="s">
        <v>223</v>
      </c>
      <c r="R807" s="132" t="s">
        <v>158</v>
      </c>
      <c r="S807" s="133">
        <v>41955</v>
      </c>
      <c r="T807" s="134">
        <v>363.7</v>
      </c>
      <c r="U807" s="132" t="s">
        <v>154</v>
      </c>
      <c r="V807" s="132" t="s">
        <v>183</v>
      </c>
      <c r="W807" s="132" t="s">
        <v>153</v>
      </c>
      <c r="X807" s="133">
        <v>41967</v>
      </c>
      <c r="Y807" s="134">
        <v>1029</v>
      </c>
    </row>
    <row r="808" spans="1:25" x14ac:dyDescent="0.25">
      <c r="A808" s="92" t="s">
        <v>148</v>
      </c>
      <c r="B808" s="12" t="s">
        <v>224</v>
      </c>
      <c r="C808" s="12" t="s">
        <v>158</v>
      </c>
      <c r="D808" s="80">
        <v>41682</v>
      </c>
      <c r="E808" s="81">
        <v>820</v>
      </c>
      <c r="F808" s="76" t="s">
        <v>150</v>
      </c>
      <c r="G808" s="77" t="s">
        <v>159</v>
      </c>
      <c r="H808" s="77" t="s">
        <v>153</v>
      </c>
      <c r="I808" s="86">
        <v>41715</v>
      </c>
      <c r="J808" s="78">
        <v>1045</v>
      </c>
      <c r="K808" s="132" t="s">
        <v>20</v>
      </c>
      <c r="L808" s="132" t="s">
        <v>225</v>
      </c>
      <c r="M808" s="132" t="s">
        <v>158</v>
      </c>
      <c r="N808" s="133">
        <v>41693</v>
      </c>
      <c r="O808" s="134">
        <v>1979</v>
      </c>
      <c r="P808" s="132" t="s">
        <v>151</v>
      </c>
      <c r="Q808" s="132" t="s">
        <v>223</v>
      </c>
      <c r="R808" s="132" t="s">
        <v>158</v>
      </c>
      <c r="S808" s="133">
        <v>41957</v>
      </c>
      <c r="T808" s="134">
        <v>1018.5</v>
      </c>
      <c r="U808" s="132" t="s">
        <v>154</v>
      </c>
      <c r="V808" s="132" t="s">
        <v>183</v>
      </c>
      <c r="W808" s="132" t="s">
        <v>153</v>
      </c>
      <c r="X808" s="133">
        <v>41968</v>
      </c>
      <c r="Y808" s="134">
        <v>1035</v>
      </c>
    </row>
    <row r="809" spans="1:25" x14ac:dyDescent="0.25">
      <c r="A809" s="92" t="s">
        <v>148</v>
      </c>
      <c r="B809" s="12" t="s">
        <v>224</v>
      </c>
      <c r="C809" s="12" t="s">
        <v>158</v>
      </c>
      <c r="D809" s="80">
        <v>41683</v>
      </c>
      <c r="E809" s="81">
        <v>800</v>
      </c>
      <c r="F809" s="76" t="s">
        <v>150</v>
      </c>
      <c r="G809" s="77" t="s">
        <v>159</v>
      </c>
      <c r="H809" s="77" t="s">
        <v>153</v>
      </c>
      <c r="I809" s="86">
        <v>41717</v>
      </c>
      <c r="J809" s="78">
        <v>976</v>
      </c>
      <c r="K809" s="132" t="s">
        <v>20</v>
      </c>
      <c r="L809" s="132" t="s">
        <v>225</v>
      </c>
      <c r="M809" s="132" t="s">
        <v>158</v>
      </c>
      <c r="N809" s="133">
        <v>41710</v>
      </c>
      <c r="O809" s="134">
        <v>502</v>
      </c>
      <c r="P809" s="132" t="s">
        <v>151</v>
      </c>
      <c r="Q809" s="132" t="s">
        <v>223</v>
      </c>
      <c r="R809" s="132" t="s">
        <v>158</v>
      </c>
      <c r="S809" s="133">
        <v>41988</v>
      </c>
      <c r="T809" s="134">
        <v>1121.9000000000001</v>
      </c>
      <c r="U809" s="132" t="s">
        <v>154</v>
      </c>
      <c r="V809" s="132" t="s">
        <v>183</v>
      </c>
      <c r="W809" s="132" t="s">
        <v>153</v>
      </c>
      <c r="X809" s="133">
        <v>41969</v>
      </c>
      <c r="Y809" s="134">
        <v>722</v>
      </c>
    </row>
    <row r="810" spans="1:25" x14ac:dyDescent="0.25">
      <c r="A810" s="92" t="s">
        <v>148</v>
      </c>
      <c r="B810" s="12" t="s">
        <v>224</v>
      </c>
      <c r="C810" s="12" t="s">
        <v>158</v>
      </c>
      <c r="D810" s="80">
        <v>41684</v>
      </c>
      <c r="E810" s="81">
        <v>760</v>
      </c>
      <c r="F810" s="76" t="s">
        <v>150</v>
      </c>
      <c r="G810" s="77" t="s">
        <v>159</v>
      </c>
      <c r="H810" s="77" t="s">
        <v>153</v>
      </c>
      <c r="I810" s="86">
        <v>41719</v>
      </c>
      <c r="J810" s="78">
        <v>1179</v>
      </c>
      <c r="K810" s="132" t="s">
        <v>20</v>
      </c>
      <c r="L810" s="132" t="s">
        <v>225</v>
      </c>
      <c r="M810" s="132" t="s">
        <v>158</v>
      </c>
      <c r="N810" s="133">
        <v>41824</v>
      </c>
      <c r="O810" s="134">
        <v>2041</v>
      </c>
      <c r="P810" s="132" t="s">
        <v>151</v>
      </c>
      <c r="Q810" s="132" t="s">
        <v>223</v>
      </c>
      <c r="R810" s="132" t="s">
        <v>158</v>
      </c>
      <c r="S810" s="133">
        <v>41990</v>
      </c>
      <c r="T810" s="134">
        <v>353</v>
      </c>
      <c r="U810" s="132" t="s">
        <v>154</v>
      </c>
      <c r="V810" s="132" t="s">
        <v>183</v>
      </c>
      <c r="W810" s="132" t="s">
        <v>153</v>
      </c>
      <c r="X810" s="133">
        <v>41969</v>
      </c>
      <c r="Y810" s="134">
        <v>250</v>
      </c>
    </row>
    <row r="811" spans="1:25" x14ac:dyDescent="0.25">
      <c r="A811" s="92" t="s">
        <v>148</v>
      </c>
      <c r="B811" s="12" t="s">
        <v>224</v>
      </c>
      <c r="C811" s="12" t="s">
        <v>158</v>
      </c>
      <c r="D811" s="80">
        <v>41685</v>
      </c>
      <c r="E811" s="81">
        <v>770</v>
      </c>
      <c r="F811" s="76" t="s">
        <v>150</v>
      </c>
      <c r="G811" s="77" t="s">
        <v>159</v>
      </c>
      <c r="H811" s="77" t="s">
        <v>153</v>
      </c>
      <c r="I811" s="86">
        <v>41719</v>
      </c>
      <c r="J811" s="78">
        <v>892</v>
      </c>
      <c r="K811" s="132" t="s">
        <v>20</v>
      </c>
      <c r="L811" s="132" t="s">
        <v>225</v>
      </c>
      <c r="M811" s="132" t="s">
        <v>158</v>
      </c>
      <c r="N811" s="133">
        <v>41830</v>
      </c>
      <c r="O811" s="134">
        <v>500</v>
      </c>
      <c r="P811" s="132" t="s">
        <v>151</v>
      </c>
      <c r="Q811" s="132" t="s">
        <v>224</v>
      </c>
      <c r="R811" s="132" t="s">
        <v>158</v>
      </c>
      <c r="S811" s="133">
        <v>41807</v>
      </c>
      <c r="T811" s="134">
        <v>290.2</v>
      </c>
      <c r="U811" s="132" t="s">
        <v>154</v>
      </c>
      <c r="V811" s="132" t="s">
        <v>184</v>
      </c>
      <c r="W811" s="132" t="s">
        <v>153</v>
      </c>
      <c r="X811" s="133">
        <v>41768</v>
      </c>
      <c r="Y811" s="134">
        <v>821</v>
      </c>
    </row>
    <row r="812" spans="1:25" x14ac:dyDescent="0.25">
      <c r="A812" s="92" t="s">
        <v>148</v>
      </c>
      <c r="B812" s="12" t="s">
        <v>224</v>
      </c>
      <c r="C812" s="12" t="s">
        <v>158</v>
      </c>
      <c r="D812" s="80">
        <v>41686</v>
      </c>
      <c r="E812" s="81">
        <v>1340</v>
      </c>
      <c r="F812" s="76" t="s">
        <v>150</v>
      </c>
      <c r="G812" s="77" t="s">
        <v>159</v>
      </c>
      <c r="H812" s="77" t="s">
        <v>153</v>
      </c>
      <c r="I812" s="86">
        <v>41720</v>
      </c>
      <c r="J812" s="78">
        <v>618</v>
      </c>
      <c r="K812" s="132" t="s">
        <v>20</v>
      </c>
      <c r="L812" s="132" t="s">
        <v>225</v>
      </c>
      <c r="M812" s="132" t="s">
        <v>158</v>
      </c>
      <c r="N812" s="133">
        <v>41859</v>
      </c>
      <c r="O812" s="134">
        <v>1806</v>
      </c>
      <c r="P812" s="132" t="s">
        <v>151</v>
      </c>
      <c r="Q812" s="132" t="s">
        <v>224</v>
      </c>
      <c r="R812" s="132" t="s">
        <v>158</v>
      </c>
      <c r="S812" s="133">
        <v>41808</v>
      </c>
      <c r="T812" s="134">
        <v>627.6</v>
      </c>
      <c r="U812" s="132" t="s">
        <v>154</v>
      </c>
      <c r="V812" s="132" t="s">
        <v>184</v>
      </c>
      <c r="W812" s="132" t="s">
        <v>153</v>
      </c>
      <c r="X812" s="133">
        <v>41771</v>
      </c>
      <c r="Y812" s="134">
        <v>860</v>
      </c>
    </row>
    <row r="813" spans="1:25" x14ac:dyDescent="0.25">
      <c r="A813" s="92" t="s">
        <v>148</v>
      </c>
      <c r="B813" s="12" t="s">
        <v>224</v>
      </c>
      <c r="C813" s="12" t="s">
        <v>158</v>
      </c>
      <c r="D813" s="80">
        <v>41687</v>
      </c>
      <c r="E813" s="81">
        <v>540</v>
      </c>
      <c r="F813" s="76" t="s">
        <v>150</v>
      </c>
      <c r="G813" s="77" t="s">
        <v>159</v>
      </c>
      <c r="H813" s="77" t="s">
        <v>153</v>
      </c>
      <c r="I813" s="86">
        <v>41721</v>
      </c>
      <c r="J813" s="78">
        <v>1221</v>
      </c>
      <c r="K813" s="132" t="s">
        <v>20</v>
      </c>
      <c r="L813" s="132" t="s">
        <v>225</v>
      </c>
      <c r="M813" s="132" t="s">
        <v>158</v>
      </c>
      <c r="N813" s="133">
        <v>41868</v>
      </c>
      <c r="O813" s="134">
        <v>1009</v>
      </c>
      <c r="P813" s="132" t="s">
        <v>151</v>
      </c>
      <c r="Q813" s="132" t="s">
        <v>224</v>
      </c>
      <c r="R813" s="132" t="s">
        <v>158</v>
      </c>
      <c r="S813" s="133">
        <v>41841</v>
      </c>
      <c r="T813" s="134">
        <v>830</v>
      </c>
      <c r="U813" s="132" t="s">
        <v>154</v>
      </c>
      <c r="V813" s="132" t="s">
        <v>184</v>
      </c>
      <c r="W813" s="132" t="s">
        <v>153</v>
      </c>
      <c r="X813" s="133">
        <v>41772</v>
      </c>
      <c r="Y813" s="134">
        <v>510</v>
      </c>
    </row>
    <row r="814" spans="1:25" x14ac:dyDescent="0.25">
      <c r="A814" s="92" t="s">
        <v>148</v>
      </c>
      <c r="B814" s="12" t="s">
        <v>224</v>
      </c>
      <c r="C814" s="12" t="s">
        <v>158</v>
      </c>
      <c r="D814" s="80">
        <v>41689</v>
      </c>
      <c r="E814" s="81">
        <v>1476</v>
      </c>
      <c r="F814" s="76" t="s">
        <v>150</v>
      </c>
      <c r="G814" s="77" t="s">
        <v>159</v>
      </c>
      <c r="H814" s="77" t="s">
        <v>153</v>
      </c>
      <c r="I814" s="86">
        <v>41722</v>
      </c>
      <c r="J814" s="78">
        <v>1140</v>
      </c>
      <c r="K814" s="132" t="s">
        <v>20</v>
      </c>
      <c r="L814" s="132" t="s">
        <v>225</v>
      </c>
      <c r="M814" s="132" t="s">
        <v>158</v>
      </c>
      <c r="N814" s="133">
        <v>41886</v>
      </c>
      <c r="O814" s="134">
        <v>1344</v>
      </c>
      <c r="P814" s="132" t="s">
        <v>151</v>
      </c>
      <c r="Q814" s="132" t="s">
        <v>224</v>
      </c>
      <c r="R814" s="132" t="s">
        <v>158</v>
      </c>
      <c r="S814" s="133">
        <v>41842</v>
      </c>
      <c r="T814" s="134">
        <v>755.9</v>
      </c>
      <c r="U814" s="132" t="s">
        <v>154</v>
      </c>
      <c r="V814" s="132" t="s">
        <v>184</v>
      </c>
      <c r="W814" s="132" t="s">
        <v>153</v>
      </c>
      <c r="X814" s="133">
        <v>41773</v>
      </c>
      <c r="Y814" s="134">
        <v>869</v>
      </c>
    </row>
    <row r="815" spans="1:25" x14ac:dyDescent="0.25">
      <c r="A815" s="92" t="s">
        <v>148</v>
      </c>
      <c r="B815" s="12" t="s">
        <v>224</v>
      </c>
      <c r="C815" s="12" t="s">
        <v>158</v>
      </c>
      <c r="D815" s="80">
        <v>41690</v>
      </c>
      <c r="E815" s="81">
        <v>560</v>
      </c>
      <c r="F815" s="76" t="s">
        <v>150</v>
      </c>
      <c r="G815" s="77" t="s">
        <v>159</v>
      </c>
      <c r="H815" s="77" t="s">
        <v>153</v>
      </c>
      <c r="I815" s="86">
        <v>41723</v>
      </c>
      <c r="J815" s="78">
        <v>978</v>
      </c>
      <c r="K815" s="132" t="s">
        <v>20</v>
      </c>
      <c r="L815" s="132" t="s">
        <v>225</v>
      </c>
      <c r="M815" s="132" t="s">
        <v>158</v>
      </c>
      <c r="N815" s="133">
        <v>41899</v>
      </c>
      <c r="O815" s="134">
        <v>1629</v>
      </c>
      <c r="P815" s="132" t="s">
        <v>151</v>
      </c>
      <c r="Q815" s="132" t="s">
        <v>224</v>
      </c>
      <c r="R815" s="132" t="s">
        <v>158</v>
      </c>
      <c r="S815" s="133">
        <v>41848</v>
      </c>
      <c r="T815" s="134">
        <v>169.7</v>
      </c>
      <c r="U815" s="132" t="s">
        <v>154</v>
      </c>
      <c r="V815" s="132" t="s">
        <v>184</v>
      </c>
      <c r="W815" s="132" t="s">
        <v>153</v>
      </c>
      <c r="X815" s="133">
        <v>41774</v>
      </c>
      <c r="Y815" s="134">
        <v>926</v>
      </c>
    </row>
    <row r="816" spans="1:25" x14ac:dyDescent="0.25">
      <c r="A816" s="92" t="s">
        <v>148</v>
      </c>
      <c r="B816" s="12" t="s">
        <v>224</v>
      </c>
      <c r="C816" s="12" t="s">
        <v>158</v>
      </c>
      <c r="D816" s="80">
        <v>41698</v>
      </c>
      <c r="E816" s="81">
        <v>1050</v>
      </c>
      <c r="F816" s="76" t="s">
        <v>150</v>
      </c>
      <c r="G816" s="77" t="s">
        <v>159</v>
      </c>
      <c r="H816" s="77" t="s">
        <v>153</v>
      </c>
      <c r="I816" s="86">
        <v>41724</v>
      </c>
      <c r="J816" s="78">
        <v>1109</v>
      </c>
      <c r="K816" s="132" t="s">
        <v>20</v>
      </c>
      <c r="L816" s="132" t="s">
        <v>225</v>
      </c>
      <c r="M816" s="132" t="s">
        <v>158</v>
      </c>
      <c r="N816" s="133">
        <v>41912</v>
      </c>
      <c r="O816" s="134">
        <v>1511</v>
      </c>
      <c r="P816" s="132" t="s">
        <v>151</v>
      </c>
      <c r="Q816" s="132" t="s">
        <v>224</v>
      </c>
      <c r="R816" s="132" t="s">
        <v>158</v>
      </c>
      <c r="S816" s="133">
        <v>41953</v>
      </c>
      <c r="T816" s="134">
        <v>771.1</v>
      </c>
      <c r="U816" s="132" t="s">
        <v>154</v>
      </c>
      <c r="V816" s="132" t="s">
        <v>184</v>
      </c>
      <c r="W816" s="132" t="s">
        <v>153</v>
      </c>
      <c r="X816" s="133">
        <v>41828</v>
      </c>
      <c r="Y816" s="134">
        <v>834</v>
      </c>
    </row>
    <row r="817" spans="1:25" x14ac:dyDescent="0.25">
      <c r="A817" s="92" t="s">
        <v>148</v>
      </c>
      <c r="B817" s="12" t="s">
        <v>224</v>
      </c>
      <c r="C817" s="12" t="s">
        <v>158</v>
      </c>
      <c r="D817" s="80">
        <v>41699</v>
      </c>
      <c r="E817" s="81">
        <v>1088</v>
      </c>
      <c r="F817" s="76" t="s">
        <v>150</v>
      </c>
      <c r="G817" s="77" t="s">
        <v>159</v>
      </c>
      <c r="H817" s="77" t="s">
        <v>153</v>
      </c>
      <c r="I817" s="86">
        <v>41726</v>
      </c>
      <c r="J817" s="78">
        <v>1191</v>
      </c>
      <c r="K817" s="132" t="s">
        <v>20</v>
      </c>
      <c r="L817" s="132" t="s">
        <v>225</v>
      </c>
      <c r="M817" s="132" t="s">
        <v>158</v>
      </c>
      <c r="N817" s="133">
        <v>41914</v>
      </c>
      <c r="O817" s="134">
        <v>300</v>
      </c>
      <c r="P817" s="132" t="s">
        <v>151</v>
      </c>
      <c r="Q817" s="132" t="s">
        <v>224</v>
      </c>
      <c r="R817" s="132" t="s">
        <v>158</v>
      </c>
      <c r="S817" s="133">
        <v>41954</v>
      </c>
      <c r="T817" s="134">
        <v>605.70000000000005</v>
      </c>
      <c r="U817" s="132" t="s">
        <v>154</v>
      </c>
      <c r="V817" s="132" t="s">
        <v>184</v>
      </c>
      <c r="W817" s="132" t="s">
        <v>153</v>
      </c>
      <c r="X817" s="133">
        <v>41829</v>
      </c>
      <c r="Y817" s="134">
        <v>515</v>
      </c>
    </row>
    <row r="818" spans="1:25" x14ac:dyDescent="0.25">
      <c r="A818" s="92" t="s">
        <v>148</v>
      </c>
      <c r="B818" s="12" t="s">
        <v>224</v>
      </c>
      <c r="C818" s="12" t="s">
        <v>158</v>
      </c>
      <c r="D818" s="80">
        <v>41700</v>
      </c>
      <c r="E818" s="81">
        <v>846</v>
      </c>
      <c r="F818" s="76" t="s">
        <v>150</v>
      </c>
      <c r="G818" s="77" t="s">
        <v>159</v>
      </c>
      <c r="H818" s="77" t="s">
        <v>153</v>
      </c>
      <c r="I818" s="86">
        <v>41728</v>
      </c>
      <c r="J818" s="78">
        <v>1100</v>
      </c>
      <c r="K818" s="132" t="s">
        <v>20</v>
      </c>
      <c r="L818" s="132" t="s">
        <v>225</v>
      </c>
      <c r="M818" s="132" t="s">
        <v>158</v>
      </c>
      <c r="N818" s="133">
        <v>41922</v>
      </c>
      <c r="O818" s="134">
        <v>1248</v>
      </c>
      <c r="P818" s="132" t="s">
        <v>151</v>
      </c>
      <c r="Q818" s="132" t="s">
        <v>224</v>
      </c>
      <c r="R818" s="132" t="s">
        <v>158</v>
      </c>
      <c r="S818" s="133">
        <v>41955</v>
      </c>
      <c r="T818" s="134">
        <v>524.6</v>
      </c>
      <c r="U818" s="132" t="s">
        <v>154</v>
      </c>
      <c r="V818" s="132" t="s">
        <v>184</v>
      </c>
      <c r="W818" s="132" t="s">
        <v>153</v>
      </c>
      <c r="X818" s="133">
        <v>41851</v>
      </c>
      <c r="Y818" s="134">
        <v>530</v>
      </c>
    </row>
    <row r="819" spans="1:25" x14ac:dyDescent="0.25">
      <c r="A819" s="92" t="s">
        <v>148</v>
      </c>
      <c r="B819" s="12" t="s">
        <v>224</v>
      </c>
      <c r="C819" s="12" t="s">
        <v>158</v>
      </c>
      <c r="D819" s="80">
        <v>41701</v>
      </c>
      <c r="E819" s="81">
        <v>570</v>
      </c>
      <c r="F819" s="76" t="s">
        <v>150</v>
      </c>
      <c r="G819" s="77" t="s">
        <v>159</v>
      </c>
      <c r="H819" s="77" t="s">
        <v>153</v>
      </c>
      <c r="I819" s="86">
        <v>41729</v>
      </c>
      <c r="J819" s="78">
        <v>1138</v>
      </c>
      <c r="K819" s="132" t="s">
        <v>20</v>
      </c>
      <c r="L819" s="132" t="s">
        <v>225</v>
      </c>
      <c r="M819" s="132" t="s">
        <v>158</v>
      </c>
      <c r="N819" s="133">
        <v>41937</v>
      </c>
      <c r="O819" s="134">
        <v>1430</v>
      </c>
      <c r="P819" s="132" t="s">
        <v>151</v>
      </c>
      <c r="Q819" s="132" t="s">
        <v>224</v>
      </c>
      <c r="R819" s="132" t="s">
        <v>158</v>
      </c>
      <c r="S819" s="133">
        <v>41956</v>
      </c>
      <c r="T819" s="134">
        <v>724.8</v>
      </c>
      <c r="U819" s="132" t="s">
        <v>154</v>
      </c>
      <c r="V819" s="132" t="s">
        <v>184</v>
      </c>
      <c r="W819" s="132" t="s">
        <v>153</v>
      </c>
      <c r="X819" s="133">
        <v>41852</v>
      </c>
      <c r="Y819" s="134">
        <v>772</v>
      </c>
    </row>
    <row r="820" spans="1:25" x14ac:dyDescent="0.25">
      <c r="A820" s="92" t="s">
        <v>148</v>
      </c>
      <c r="B820" s="12" t="s">
        <v>224</v>
      </c>
      <c r="C820" s="12" t="s">
        <v>158</v>
      </c>
      <c r="D820" s="80">
        <v>41702</v>
      </c>
      <c r="E820" s="81">
        <v>900</v>
      </c>
      <c r="F820" s="76" t="s">
        <v>150</v>
      </c>
      <c r="G820" s="77" t="s">
        <v>159</v>
      </c>
      <c r="H820" s="77" t="s">
        <v>153</v>
      </c>
      <c r="I820" s="86">
        <v>41730</v>
      </c>
      <c r="J820" s="78">
        <v>1014</v>
      </c>
      <c r="K820" s="132" t="s">
        <v>20</v>
      </c>
      <c r="L820" s="132" t="s">
        <v>225</v>
      </c>
      <c r="M820" s="132" t="s">
        <v>158</v>
      </c>
      <c r="N820" s="133">
        <v>41953</v>
      </c>
      <c r="O820" s="134">
        <v>1622</v>
      </c>
      <c r="P820" s="132" t="s">
        <v>151</v>
      </c>
      <c r="Q820" s="132" t="s">
        <v>224</v>
      </c>
      <c r="R820" s="132" t="s">
        <v>158</v>
      </c>
      <c r="S820" s="133">
        <v>41981</v>
      </c>
      <c r="T820" s="134">
        <v>809.6</v>
      </c>
      <c r="U820" s="132" t="s">
        <v>154</v>
      </c>
      <c r="V820" s="132" t="s">
        <v>184</v>
      </c>
      <c r="W820" s="132" t="s">
        <v>153</v>
      </c>
      <c r="X820" s="133">
        <v>41854</v>
      </c>
      <c r="Y820" s="134">
        <v>248</v>
      </c>
    </row>
    <row r="821" spans="1:25" x14ac:dyDescent="0.25">
      <c r="A821" s="92" t="s">
        <v>148</v>
      </c>
      <c r="B821" s="12" t="s">
        <v>224</v>
      </c>
      <c r="C821" s="12" t="s">
        <v>158</v>
      </c>
      <c r="D821" s="80">
        <v>41703</v>
      </c>
      <c r="E821" s="81">
        <v>800</v>
      </c>
      <c r="F821" s="76" t="s">
        <v>150</v>
      </c>
      <c r="G821" s="77" t="s">
        <v>159</v>
      </c>
      <c r="H821" s="77" t="s">
        <v>153</v>
      </c>
      <c r="I821" s="86">
        <v>41732</v>
      </c>
      <c r="J821" s="78">
        <v>1301</v>
      </c>
      <c r="K821" s="132" t="s">
        <v>20</v>
      </c>
      <c r="L821" s="132" t="s">
        <v>226</v>
      </c>
      <c r="M821" s="132" t="s">
        <v>158</v>
      </c>
      <c r="N821" s="133">
        <v>41637</v>
      </c>
      <c r="O821" s="134">
        <v>906</v>
      </c>
      <c r="P821" s="132" t="s">
        <v>151</v>
      </c>
      <c r="Q821" s="132" t="s">
        <v>225</v>
      </c>
      <c r="R821" s="132" t="s">
        <v>158</v>
      </c>
      <c r="S821" s="133">
        <v>41761</v>
      </c>
      <c r="T821" s="134">
        <v>346.9</v>
      </c>
      <c r="U821" s="132" t="s">
        <v>154</v>
      </c>
      <c r="V821" s="132" t="s">
        <v>184</v>
      </c>
      <c r="W821" s="132" t="s">
        <v>153</v>
      </c>
      <c r="X821" s="133">
        <v>41854</v>
      </c>
      <c r="Y821" s="134">
        <v>188</v>
      </c>
    </row>
    <row r="822" spans="1:25" x14ac:dyDescent="0.25">
      <c r="A822" s="92" t="s">
        <v>148</v>
      </c>
      <c r="B822" s="12" t="s">
        <v>224</v>
      </c>
      <c r="C822" s="12" t="s">
        <v>158</v>
      </c>
      <c r="D822" s="80">
        <v>41704</v>
      </c>
      <c r="E822" s="81">
        <v>780</v>
      </c>
      <c r="F822" s="76" t="s">
        <v>150</v>
      </c>
      <c r="G822" s="77" t="s">
        <v>159</v>
      </c>
      <c r="H822" s="77" t="s">
        <v>153</v>
      </c>
      <c r="I822" s="86">
        <v>41736</v>
      </c>
      <c r="J822" s="78">
        <v>308</v>
      </c>
      <c r="K822" s="132" t="s">
        <v>20</v>
      </c>
      <c r="L822" s="132" t="s">
        <v>226</v>
      </c>
      <c r="M822" s="132" t="s">
        <v>158</v>
      </c>
      <c r="N822" s="133">
        <v>41641</v>
      </c>
      <c r="O822" s="134">
        <v>906</v>
      </c>
      <c r="P822" s="132" t="s">
        <v>151</v>
      </c>
      <c r="Q822" s="132" t="s">
        <v>226</v>
      </c>
      <c r="R822" s="132" t="s">
        <v>158</v>
      </c>
      <c r="S822" s="133">
        <v>41919</v>
      </c>
      <c r="T822" s="134">
        <v>311.2</v>
      </c>
      <c r="U822" s="132" t="s">
        <v>154</v>
      </c>
      <c r="V822" s="132" t="s">
        <v>184</v>
      </c>
      <c r="W822" s="132" t="s">
        <v>153</v>
      </c>
      <c r="X822" s="133">
        <v>41855</v>
      </c>
      <c r="Y822" s="134">
        <v>1031</v>
      </c>
    </row>
    <row r="823" spans="1:25" x14ac:dyDescent="0.25">
      <c r="A823" s="92" t="s">
        <v>148</v>
      </c>
      <c r="B823" s="12" t="s">
        <v>224</v>
      </c>
      <c r="C823" s="12" t="s">
        <v>158</v>
      </c>
      <c r="D823" s="80">
        <v>41705</v>
      </c>
      <c r="E823" s="81">
        <v>800</v>
      </c>
      <c r="F823" s="76" t="s">
        <v>150</v>
      </c>
      <c r="G823" s="77" t="s">
        <v>159</v>
      </c>
      <c r="H823" s="77" t="s">
        <v>153</v>
      </c>
      <c r="I823" s="86">
        <v>41739</v>
      </c>
      <c r="J823" s="78">
        <v>882</v>
      </c>
      <c r="K823" s="132" t="s">
        <v>20</v>
      </c>
      <c r="L823" s="132" t="s">
        <v>226</v>
      </c>
      <c r="M823" s="132" t="s">
        <v>158</v>
      </c>
      <c r="N823" s="133">
        <v>41643</v>
      </c>
      <c r="O823" s="134">
        <v>1298</v>
      </c>
      <c r="P823" s="132" t="s">
        <v>151</v>
      </c>
      <c r="Q823" s="132" t="s">
        <v>226</v>
      </c>
      <c r="R823" s="132" t="s">
        <v>158</v>
      </c>
      <c r="S823" s="133">
        <v>41929</v>
      </c>
      <c r="T823" s="134">
        <v>1085.7</v>
      </c>
      <c r="U823" s="132" t="s">
        <v>154</v>
      </c>
      <c r="V823" s="132" t="s">
        <v>184</v>
      </c>
      <c r="W823" s="132" t="s">
        <v>153</v>
      </c>
      <c r="X823" s="133">
        <v>41856</v>
      </c>
      <c r="Y823" s="134">
        <v>831</v>
      </c>
    </row>
    <row r="824" spans="1:25" x14ac:dyDescent="0.25">
      <c r="A824" s="92" t="s">
        <v>148</v>
      </c>
      <c r="B824" s="12" t="s">
        <v>224</v>
      </c>
      <c r="C824" s="12" t="s">
        <v>158</v>
      </c>
      <c r="D824" s="80">
        <v>41706</v>
      </c>
      <c r="E824" s="81">
        <v>801</v>
      </c>
      <c r="F824" s="76" t="s">
        <v>150</v>
      </c>
      <c r="G824" s="77" t="s">
        <v>159</v>
      </c>
      <c r="H824" s="77" t="s">
        <v>153</v>
      </c>
      <c r="I824" s="86">
        <v>41740</v>
      </c>
      <c r="J824" s="78">
        <v>692</v>
      </c>
      <c r="K824" s="132" t="s">
        <v>20</v>
      </c>
      <c r="L824" s="132" t="s">
        <v>226</v>
      </c>
      <c r="M824" s="132" t="s">
        <v>158</v>
      </c>
      <c r="N824" s="133">
        <v>41645</v>
      </c>
      <c r="O824" s="134">
        <v>1012</v>
      </c>
      <c r="P824" s="132" t="s">
        <v>151</v>
      </c>
      <c r="Q824" s="132" t="s">
        <v>226</v>
      </c>
      <c r="R824" s="132" t="s">
        <v>158</v>
      </c>
      <c r="S824" s="133">
        <v>41933</v>
      </c>
      <c r="T824" s="134">
        <v>504.6</v>
      </c>
      <c r="U824" s="132" t="s">
        <v>154</v>
      </c>
      <c r="V824" s="132" t="s">
        <v>184</v>
      </c>
      <c r="W824" s="132" t="s">
        <v>153</v>
      </c>
      <c r="X824" s="133">
        <v>41857</v>
      </c>
      <c r="Y824" s="134">
        <v>752</v>
      </c>
    </row>
    <row r="825" spans="1:25" x14ac:dyDescent="0.25">
      <c r="A825" s="92" t="s">
        <v>148</v>
      </c>
      <c r="B825" s="12" t="s">
        <v>224</v>
      </c>
      <c r="C825" s="12" t="s">
        <v>158</v>
      </c>
      <c r="D825" s="80">
        <v>41707</v>
      </c>
      <c r="E825" s="81">
        <v>555</v>
      </c>
      <c r="F825" s="76" t="s">
        <v>150</v>
      </c>
      <c r="G825" s="77" t="s">
        <v>159</v>
      </c>
      <c r="H825" s="77" t="s">
        <v>153</v>
      </c>
      <c r="I825" s="86">
        <v>41742</v>
      </c>
      <c r="J825" s="78">
        <v>672</v>
      </c>
      <c r="K825" s="132" t="s">
        <v>20</v>
      </c>
      <c r="L825" s="132" t="s">
        <v>226</v>
      </c>
      <c r="M825" s="132" t="s">
        <v>158</v>
      </c>
      <c r="N825" s="133">
        <v>41646</v>
      </c>
      <c r="O825" s="134">
        <v>644</v>
      </c>
      <c r="P825" s="132" t="s">
        <v>151</v>
      </c>
      <c r="Q825" s="132" t="s">
        <v>226</v>
      </c>
      <c r="R825" s="132" t="s">
        <v>158</v>
      </c>
      <c r="S825" s="133">
        <v>41934</v>
      </c>
      <c r="T825" s="134">
        <v>606.4</v>
      </c>
      <c r="U825" s="132" t="s">
        <v>154</v>
      </c>
      <c r="V825" s="132" t="s">
        <v>184</v>
      </c>
      <c r="W825" s="132" t="s">
        <v>153</v>
      </c>
      <c r="X825" s="133">
        <v>41858</v>
      </c>
      <c r="Y825" s="134">
        <v>814</v>
      </c>
    </row>
    <row r="826" spans="1:25" x14ac:dyDescent="0.25">
      <c r="A826" s="92" t="s">
        <v>148</v>
      </c>
      <c r="B826" s="12" t="s">
        <v>224</v>
      </c>
      <c r="C826" s="12" t="s">
        <v>158</v>
      </c>
      <c r="D826" s="80">
        <v>41711</v>
      </c>
      <c r="E826" s="81">
        <v>930</v>
      </c>
      <c r="F826" s="76" t="s">
        <v>150</v>
      </c>
      <c r="G826" s="77" t="s">
        <v>159</v>
      </c>
      <c r="H826" s="77" t="s">
        <v>153</v>
      </c>
      <c r="I826" s="86">
        <v>41752</v>
      </c>
      <c r="J826" s="78">
        <v>362</v>
      </c>
      <c r="K826" s="132" t="s">
        <v>20</v>
      </c>
      <c r="L826" s="132" t="s">
        <v>226</v>
      </c>
      <c r="M826" s="132" t="s">
        <v>158</v>
      </c>
      <c r="N826" s="133">
        <v>41648</v>
      </c>
      <c r="O826" s="134">
        <v>1483</v>
      </c>
      <c r="P826" s="132" t="s">
        <v>151</v>
      </c>
      <c r="Q826" s="132" t="s">
        <v>226</v>
      </c>
      <c r="R826" s="132" t="s">
        <v>158</v>
      </c>
      <c r="S826" s="133">
        <v>41935</v>
      </c>
      <c r="T826" s="134">
        <v>478.7</v>
      </c>
      <c r="U826" s="132" t="s">
        <v>154</v>
      </c>
      <c r="V826" s="132" t="s">
        <v>184</v>
      </c>
      <c r="W826" s="132" t="s">
        <v>153</v>
      </c>
      <c r="X826" s="133">
        <v>41859</v>
      </c>
      <c r="Y826" s="134">
        <v>838</v>
      </c>
    </row>
    <row r="827" spans="1:25" x14ac:dyDescent="0.25">
      <c r="A827" s="92" t="s">
        <v>148</v>
      </c>
      <c r="B827" s="12" t="s">
        <v>224</v>
      </c>
      <c r="C827" s="12" t="s">
        <v>158</v>
      </c>
      <c r="D827" s="80">
        <v>41712</v>
      </c>
      <c r="E827" s="81">
        <v>775</v>
      </c>
      <c r="F827" s="76" t="s">
        <v>150</v>
      </c>
      <c r="G827" s="77" t="s">
        <v>159</v>
      </c>
      <c r="H827" s="77" t="s">
        <v>153</v>
      </c>
      <c r="I827" s="86">
        <v>41754</v>
      </c>
      <c r="J827" s="78">
        <v>896</v>
      </c>
      <c r="K827" s="132" t="s">
        <v>20</v>
      </c>
      <c r="L827" s="132" t="s">
        <v>226</v>
      </c>
      <c r="M827" s="132" t="s">
        <v>158</v>
      </c>
      <c r="N827" s="133">
        <v>41661</v>
      </c>
      <c r="O827" s="134">
        <v>1313</v>
      </c>
      <c r="P827" s="132" t="s">
        <v>151</v>
      </c>
      <c r="Q827" s="132" t="s">
        <v>227</v>
      </c>
      <c r="R827" s="132" t="s">
        <v>158</v>
      </c>
      <c r="S827" s="133">
        <v>41655</v>
      </c>
      <c r="T827" s="134">
        <v>650.1</v>
      </c>
      <c r="U827" s="132" t="s">
        <v>154</v>
      </c>
      <c r="V827" s="132" t="s">
        <v>184</v>
      </c>
      <c r="W827" s="132" t="s">
        <v>153</v>
      </c>
      <c r="X827" s="133">
        <v>41860</v>
      </c>
      <c r="Y827" s="134">
        <v>513</v>
      </c>
    </row>
    <row r="828" spans="1:25" x14ac:dyDescent="0.25">
      <c r="A828" s="92" t="s">
        <v>148</v>
      </c>
      <c r="B828" s="12" t="s">
        <v>224</v>
      </c>
      <c r="C828" s="12" t="s">
        <v>158</v>
      </c>
      <c r="D828" s="80">
        <v>41713</v>
      </c>
      <c r="E828" s="81">
        <v>728</v>
      </c>
      <c r="F828" s="76" t="s">
        <v>150</v>
      </c>
      <c r="G828" s="77" t="s">
        <v>159</v>
      </c>
      <c r="H828" s="77" t="s">
        <v>153</v>
      </c>
      <c r="I828" s="86">
        <v>41756</v>
      </c>
      <c r="J828" s="78">
        <v>1074</v>
      </c>
      <c r="K828" s="132" t="s">
        <v>20</v>
      </c>
      <c r="L828" s="132" t="s">
        <v>226</v>
      </c>
      <c r="M828" s="132" t="s">
        <v>158</v>
      </c>
      <c r="N828" s="133">
        <v>41706</v>
      </c>
      <c r="O828" s="134">
        <v>1682</v>
      </c>
      <c r="P828" s="132" t="s">
        <v>151</v>
      </c>
      <c r="Q828" s="132" t="s">
        <v>227</v>
      </c>
      <c r="R828" s="132" t="s">
        <v>158</v>
      </c>
      <c r="S828" s="133">
        <v>41793</v>
      </c>
      <c r="T828" s="134">
        <v>1425.4</v>
      </c>
      <c r="U828" s="132" t="s">
        <v>154</v>
      </c>
      <c r="V828" s="132" t="s">
        <v>184</v>
      </c>
      <c r="W828" s="132" t="s">
        <v>153</v>
      </c>
      <c r="X828" s="133">
        <v>41861</v>
      </c>
      <c r="Y828" s="134">
        <v>460</v>
      </c>
    </row>
    <row r="829" spans="1:25" x14ac:dyDescent="0.25">
      <c r="A829" s="92" t="s">
        <v>148</v>
      </c>
      <c r="B829" s="12" t="s">
        <v>224</v>
      </c>
      <c r="C829" s="12" t="s">
        <v>158</v>
      </c>
      <c r="D829" s="80">
        <v>41714</v>
      </c>
      <c r="E829" s="81">
        <v>537</v>
      </c>
      <c r="F829" s="76" t="s">
        <v>150</v>
      </c>
      <c r="G829" s="77" t="s">
        <v>159</v>
      </c>
      <c r="H829" s="77" t="s">
        <v>153</v>
      </c>
      <c r="I829" s="86">
        <v>41759</v>
      </c>
      <c r="J829" s="78">
        <v>784</v>
      </c>
      <c r="K829" s="132" t="s">
        <v>20</v>
      </c>
      <c r="L829" s="132" t="s">
        <v>226</v>
      </c>
      <c r="M829" s="132" t="s">
        <v>158</v>
      </c>
      <c r="N829" s="133">
        <v>41715</v>
      </c>
      <c r="O829" s="134">
        <v>1012</v>
      </c>
      <c r="P829" s="132" t="s">
        <v>151</v>
      </c>
      <c r="Q829" s="132" t="s">
        <v>227</v>
      </c>
      <c r="R829" s="132" t="s">
        <v>158</v>
      </c>
      <c r="S829" s="133">
        <v>41794</v>
      </c>
      <c r="T829" s="134">
        <v>628.5</v>
      </c>
      <c r="U829" s="132" t="s">
        <v>154</v>
      </c>
      <c r="V829" s="132" t="s">
        <v>184</v>
      </c>
      <c r="W829" s="132" t="s">
        <v>153</v>
      </c>
      <c r="X829" s="133">
        <v>41862</v>
      </c>
      <c r="Y829" s="134">
        <v>821</v>
      </c>
    </row>
    <row r="830" spans="1:25" x14ac:dyDescent="0.25">
      <c r="A830" s="92" t="s">
        <v>148</v>
      </c>
      <c r="B830" s="12" t="s">
        <v>224</v>
      </c>
      <c r="C830" s="12" t="s">
        <v>158</v>
      </c>
      <c r="D830" s="80">
        <v>41715</v>
      </c>
      <c r="E830" s="81">
        <v>740</v>
      </c>
      <c r="F830" s="76" t="s">
        <v>150</v>
      </c>
      <c r="G830" s="77" t="s">
        <v>159</v>
      </c>
      <c r="H830" s="77" t="s">
        <v>153</v>
      </c>
      <c r="I830" s="86">
        <v>41760</v>
      </c>
      <c r="J830" s="78">
        <v>825</v>
      </c>
      <c r="K830" s="132" t="s">
        <v>20</v>
      </c>
      <c r="L830" s="132" t="s">
        <v>226</v>
      </c>
      <c r="M830" s="132" t="s">
        <v>158</v>
      </c>
      <c r="N830" s="133">
        <v>41814</v>
      </c>
      <c r="O830" s="134">
        <v>1001</v>
      </c>
      <c r="P830" s="132" t="s">
        <v>151</v>
      </c>
      <c r="Q830" s="132" t="s">
        <v>227</v>
      </c>
      <c r="R830" s="132" t="s">
        <v>158</v>
      </c>
      <c r="S830" s="133">
        <v>41830</v>
      </c>
      <c r="T830" s="134">
        <v>269.2</v>
      </c>
      <c r="U830" s="132" t="s">
        <v>154</v>
      </c>
      <c r="V830" s="132" t="s">
        <v>184</v>
      </c>
      <c r="W830" s="132" t="s">
        <v>153</v>
      </c>
      <c r="X830" s="133">
        <v>41863</v>
      </c>
      <c r="Y830" s="134">
        <v>810</v>
      </c>
    </row>
    <row r="831" spans="1:25" x14ac:dyDescent="0.25">
      <c r="A831" s="92" t="s">
        <v>148</v>
      </c>
      <c r="B831" s="12" t="s">
        <v>224</v>
      </c>
      <c r="C831" s="12" t="s">
        <v>158</v>
      </c>
      <c r="D831" s="80">
        <v>41716</v>
      </c>
      <c r="E831" s="81">
        <v>720</v>
      </c>
      <c r="F831" s="76" t="s">
        <v>150</v>
      </c>
      <c r="G831" s="77" t="s">
        <v>159</v>
      </c>
      <c r="H831" s="77" t="s">
        <v>153</v>
      </c>
      <c r="I831" s="86">
        <v>41768</v>
      </c>
      <c r="J831" s="78">
        <v>937</v>
      </c>
      <c r="K831" s="132" t="s">
        <v>20</v>
      </c>
      <c r="L831" s="132" t="s">
        <v>226</v>
      </c>
      <c r="M831" s="132" t="s">
        <v>158</v>
      </c>
      <c r="N831" s="133">
        <v>41910</v>
      </c>
      <c r="O831" s="134">
        <v>1676</v>
      </c>
      <c r="P831" s="132" t="s">
        <v>151</v>
      </c>
      <c r="Q831" s="132" t="s">
        <v>227</v>
      </c>
      <c r="R831" s="132" t="s">
        <v>158</v>
      </c>
      <c r="S831" s="133">
        <v>41953</v>
      </c>
      <c r="T831" s="134">
        <v>1099</v>
      </c>
      <c r="U831" s="132" t="s">
        <v>154</v>
      </c>
      <c r="V831" s="132" t="s">
        <v>184</v>
      </c>
      <c r="W831" s="132" t="s">
        <v>153</v>
      </c>
      <c r="X831" s="133">
        <v>41864</v>
      </c>
      <c r="Y831" s="134">
        <v>789</v>
      </c>
    </row>
    <row r="832" spans="1:25" x14ac:dyDescent="0.25">
      <c r="A832" s="92" t="s">
        <v>148</v>
      </c>
      <c r="B832" s="12" t="s">
        <v>224</v>
      </c>
      <c r="C832" s="12" t="s">
        <v>158</v>
      </c>
      <c r="D832" s="80">
        <v>41718</v>
      </c>
      <c r="E832" s="81">
        <v>750</v>
      </c>
      <c r="F832" s="76" t="s">
        <v>150</v>
      </c>
      <c r="G832" s="77" t="s">
        <v>159</v>
      </c>
      <c r="H832" s="77" t="s">
        <v>153</v>
      </c>
      <c r="I832" s="86">
        <v>41772</v>
      </c>
      <c r="J832" s="78">
        <v>1285</v>
      </c>
      <c r="K832" s="132" t="s">
        <v>20</v>
      </c>
      <c r="L832" s="132" t="s">
        <v>227</v>
      </c>
      <c r="M832" s="132" t="s">
        <v>158</v>
      </c>
      <c r="N832" s="133">
        <v>41635</v>
      </c>
      <c r="O832" s="134">
        <v>1087</v>
      </c>
      <c r="P832" s="132" t="s">
        <v>151</v>
      </c>
      <c r="Q832" s="132" t="s">
        <v>228</v>
      </c>
      <c r="R832" s="132" t="s">
        <v>158</v>
      </c>
      <c r="S832" s="133">
        <v>41641</v>
      </c>
      <c r="T832" s="134">
        <v>1392.4</v>
      </c>
      <c r="U832" s="132" t="s">
        <v>154</v>
      </c>
      <c r="V832" s="132" t="s">
        <v>184</v>
      </c>
      <c r="W832" s="132" t="s">
        <v>153</v>
      </c>
      <c r="X832" s="133">
        <v>41865</v>
      </c>
      <c r="Y832" s="134">
        <v>784</v>
      </c>
    </row>
    <row r="833" spans="1:25" x14ac:dyDescent="0.25">
      <c r="A833" s="92" t="s">
        <v>148</v>
      </c>
      <c r="B833" s="12" t="s">
        <v>224</v>
      </c>
      <c r="C833" s="12" t="s">
        <v>158</v>
      </c>
      <c r="D833" s="80">
        <v>41719</v>
      </c>
      <c r="E833" s="81">
        <v>670</v>
      </c>
      <c r="F833" s="76" t="s">
        <v>150</v>
      </c>
      <c r="G833" s="77" t="s">
        <v>159</v>
      </c>
      <c r="H833" s="77" t="s">
        <v>153</v>
      </c>
      <c r="I833" s="86">
        <v>41772</v>
      </c>
      <c r="J833" s="78">
        <v>1184</v>
      </c>
      <c r="K833" s="132" t="s">
        <v>20</v>
      </c>
      <c r="L833" s="132" t="s">
        <v>227</v>
      </c>
      <c r="M833" s="132" t="s">
        <v>158</v>
      </c>
      <c r="N833" s="133">
        <v>41675</v>
      </c>
      <c r="O833" s="134">
        <v>1906</v>
      </c>
      <c r="P833" s="132" t="s">
        <v>151</v>
      </c>
      <c r="Q833" s="132" t="s">
        <v>228</v>
      </c>
      <c r="R833" s="132" t="s">
        <v>158</v>
      </c>
      <c r="S833" s="133">
        <v>41642</v>
      </c>
      <c r="T833" s="134">
        <v>693.9</v>
      </c>
      <c r="U833" s="132" t="s">
        <v>154</v>
      </c>
      <c r="V833" s="132" t="s">
        <v>184</v>
      </c>
      <c r="W833" s="132" t="s">
        <v>153</v>
      </c>
      <c r="X833" s="133">
        <v>41866</v>
      </c>
      <c r="Y833" s="134">
        <v>787</v>
      </c>
    </row>
    <row r="834" spans="1:25" x14ac:dyDescent="0.25">
      <c r="A834" s="92" t="s">
        <v>148</v>
      </c>
      <c r="B834" s="12" t="s">
        <v>224</v>
      </c>
      <c r="C834" s="12" t="s">
        <v>158</v>
      </c>
      <c r="D834" s="80">
        <v>41720</v>
      </c>
      <c r="E834" s="81">
        <v>725</v>
      </c>
      <c r="F834" s="76" t="s">
        <v>150</v>
      </c>
      <c r="G834" s="77" t="s">
        <v>159</v>
      </c>
      <c r="H834" s="77" t="s">
        <v>153</v>
      </c>
      <c r="I834" s="86">
        <v>41773</v>
      </c>
      <c r="J834" s="78">
        <v>1174</v>
      </c>
      <c r="K834" s="132" t="s">
        <v>20</v>
      </c>
      <c r="L834" s="132" t="s">
        <v>227</v>
      </c>
      <c r="M834" s="132" t="s">
        <v>158</v>
      </c>
      <c r="N834" s="133">
        <v>41713</v>
      </c>
      <c r="O834" s="134">
        <v>1215</v>
      </c>
      <c r="P834" s="132" t="s">
        <v>151</v>
      </c>
      <c r="Q834" s="132" t="s">
        <v>228</v>
      </c>
      <c r="R834" s="132" t="s">
        <v>158</v>
      </c>
      <c r="S834" s="133">
        <v>41645</v>
      </c>
      <c r="T834" s="134">
        <v>709.3</v>
      </c>
      <c r="U834" s="132" t="s">
        <v>154</v>
      </c>
      <c r="V834" s="132" t="s">
        <v>184</v>
      </c>
      <c r="W834" s="132" t="s">
        <v>153</v>
      </c>
      <c r="X834" s="133">
        <v>41869</v>
      </c>
      <c r="Y834" s="134">
        <v>794</v>
      </c>
    </row>
    <row r="835" spans="1:25" x14ac:dyDescent="0.25">
      <c r="A835" s="92" t="s">
        <v>148</v>
      </c>
      <c r="B835" s="12" t="s">
        <v>224</v>
      </c>
      <c r="C835" s="12" t="s">
        <v>158</v>
      </c>
      <c r="D835" s="80">
        <v>41721</v>
      </c>
      <c r="E835" s="81">
        <v>725</v>
      </c>
      <c r="F835" s="76" t="s">
        <v>150</v>
      </c>
      <c r="G835" s="77" t="s">
        <v>159</v>
      </c>
      <c r="H835" s="77" t="s">
        <v>153</v>
      </c>
      <c r="I835" s="86">
        <v>41774</v>
      </c>
      <c r="J835" s="78">
        <v>1079</v>
      </c>
      <c r="K835" s="132" t="s">
        <v>20</v>
      </c>
      <c r="L835" s="132" t="s">
        <v>227</v>
      </c>
      <c r="M835" s="132" t="s">
        <v>158</v>
      </c>
      <c r="N835" s="133">
        <v>41755</v>
      </c>
      <c r="O835" s="134">
        <v>928</v>
      </c>
      <c r="P835" s="132" t="s">
        <v>151</v>
      </c>
      <c r="Q835" s="132" t="s">
        <v>228</v>
      </c>
      <c r="R835" s="132" t="s">
        <v>158</v>
      </c>
      <c r="S835" s="133">
        <v>41856</v>
      </c>
      <c r="T835" s="134">
        <v>528.70000000000005</v>
      </c>
      <c r="U835" s="132" t="s">
        <v>154</v>
      </c>
      <c r="V835" s="132" t="s">
        <v>184</v>
      </c>
      <c r="W835" s="132" t="s">
        <v>153</v>
      </c>
      <c r="X835" s="133">
        <v>41870</v>
      </c>
      <c r="Y835" s="134">
        <v>756</v>
      </c>
    </row>
    <row r="836" spans="1:25" x14ac:dyDescent="0.25">
      <c r="A836" s="92" t="s">
        <v>148</v>
      </c>
      <c r="B836" s="12" t="s">
        <v>224</v>
      </c>
      <c r="C836" s="12" t="s">
        <v>158</v>
      </c>
      <c r="D836" s="80">
        <v>41722</v>
      </c>
      <c r="E836" s="81">
        <v>760</v>
      </c>
      <c r="F836" s="76" t="s">
        <v>150</v>
      </c>
      <c r="G836" s="77" t="s">
        <v>159</v>
      </c>
      <c r="H836" s="77" t="s">
        <v>153</v>
      </c>
      <c r="I836" s="86">
        <v>41778</v>
      </c>
      <c r="J836" s="78">
        <v>1403</v>
      </c>
      <c r="K836" s="132" t="s">
        <v>20</v>
      </c>
      <c r="L836" s="132" t="s">
        <v>227</v>
      </c>
      <c r="M836" s="132" t="s">
        <v>158</v>
      </c>
      <c r="N836" s="133">
        <v>41758</v>
      </c>
      <c r="O836" s="134">
        <v>997</v>
      </c>
      <c r="P836" s="132" t="s">
        <v>151</v>
      </c>
      <c r="Q836" s="132" t="s">
        <v>228</v>
      </c>
      <c r="R836" s="132" t="s">
        <v>158</v>
      </c>
      <c r="S836" s="133">
        <v>41857</v>
      </c>
      <c r="T836" s="134">
        <v>697.6</v>
      </c>
      <c r="U836" s="132" t="s">
        <v>154</v>
      </c>
      <c r="V836" s="132" t="s">
        <v>184</v>
      </c>
      <c r="W836" s="132" t="s">
        <v>153</v>
      </c>
      <c r="X836" s="133">
        <v>41871</v>
      </c>
      <c r="Y836" s="134">
        <v>836</v>
      </c>
    </row>
    <row r="837" spans="1:25" x14ac:dyDescent="0.25">
      <c r="A837" s="92" t="s">
        <v>148</v>
      </c>
      <c r="B837" s="12" t="s">
        <v>224</v>
      </c>
      <c r="C837" s="12" t="s">
        <v>158</v>
      </c>
      <c r="D837" s="80">
        <v>41723</v>
      </c>
      <c r="E837" s="81">
        <v>800</v>
      </c>
      <c r="F837" s="76" t="s">
        <v>150</v>
      </c>
      <c r="G837" s="77" t="s">
        <v>159</v>
      </c>
      <c r="H837" s="77" t="s">
        <v>153</v>
      </c>
      <c r="I837" s="86">
        <v>41779</v>
      </c>
      <c r="J837" s="78">
        <v>797</v>
      </c>
      <c r="K837" s="132" t="s">
        <v>20</v>
      </c>
      <c r="L837" s="132" t="s">
        <v>227</v>
      </c>
      <c r="M837" s="132" t="s">
        <v>158</v>
      </c>
      <c r="N837" s="133">
        <v>41766</v>
      </c>
      <c r="O837" s="134">
        <v>1246</v>
      </c>
      <c r="P837" s="132" t="s">
        <v>151</v>
      </c>
      <c r="Q837" s="132" t="s">
        <v>228</v>
      </c>
      <c r="R837" s="132" t="s">
        <v>158</v>
      </c>
      <c r="S837" s="133">
        <v>41939</v>
      </c>
      <c r="T837" s="134">
        <v>1055.4000000000001</v>
      </c>
      <c r="U837" s="132" t="s">
        <v>154</v>
      </c>
      <c r="V837" s="132" t="s">
        <v>184</v>
      </c>
      <c r="W837" s="132" t="s">
        <v>153</v>
      </c>
      <c r="X837" s="133">
        <v>41872</v>
      </c>
      <c r="Y837" s="134">
        <v>800</v>
      </c>
    </row>
    <row r="838" spans="1:25" x14ac:dyDescent="0.25">
      <c r="A838" s="92" t="s">
        <v>148</v>
      </c>
      <c r="B838" s="12" t="s">
        <v>224</v>
      </c>
      <c r="C838" s="12" t="s">
        <v>158</v>
      </c>
      <c r="D838" s="80">
        <v>41724</v>
      </c>
      <c r="E838" s="81">
        <v>875</v>
      </c>
      <c r="F838" s="76" t="s">
        <v>150</v>
      </c>
      <c r="G838" s="77" t="s">
        <v>159</v>
      </c>
      <c r="H838" s="77" t="s">
        <v>153</v>
      </c>
      <c r="I838" s="86">
        <v>41781</v>
      </c>
      <c r="J838" s="78">
        <v>986</v>
      </c>
      <c r="K838" s="132" t="s">
        <v>20</v>
      </c>
      <c r="L838" s="132" t="s">
        <v>227</v>
      </c>
      <c r="M838" s="132" t="s">
        <v>158</v>
      </c>
      <c r="N838" s="133">
        <v>41782</v>
      </c>
      <c r="O838" s="134">
        <v>968</v>
      </c>
      <c r="P838" s="132" t="s">
        <v>151</v>
      </c>
      <c r="Q838" s="132" t="s">
        <v>228</v>
      </c>
      <c r="R838" s="132" t="s">
        <v>158</v>
      </c>
      <c r="S838" s="133">
        <v>41940</v>
      </c>
      <c r="T838" s="134">
        <v>344.2</v>
      </c>
      <c r="U838" s="132" t="s">
        <v>154</v>
      </c>
      <c r="V838" s="132" t="s">
        <v>184</v>
      </c>
      <c r="W838" s="132" t="s">
        <v>153</v>
      </c>
      <c r="X838" s="133">
        <v>41873</v>
      </c>
      <c r="Y838" s="134">
        <v>730</v>
      </c>
    </row>
    <row r="839" spans="1:25" x14ac:dyDescent="0.25">
      <c r="A839" s="92" t="s">
        <v>148</v>
      </c>
      <c r="B839" s="12" t="s">
        <v>224</v>
      </c>
      <c r="C839" s="12" t="s">
        <v>158</v>
      </c>
      <c r="D839" s="80">
        <v>41725</v>
      </c>
      <c r="E839" s="81">
        <v>825</v>
      </c>
      <c r="F839" s="76" t="s">
        <v>150</v>
      </c>
      <c r="G839" s="77" t="s">
        <v>159</v>
      </c>
      <c r="H839" s="77" t="s">
        <v>153</v>
      </c>
      <c r="I839" s="86">
        <v>41782</v>
      </c>
      <c r="J839" s="78">
        <v>839</v>
      </c>
      <c r="K839" s="132" t="s">
        <v>20</v>
      </c>
      <c r="L839" s="132" t="s">
        <v>227</v>
      </c>
      <c r="M839" s="132" t="s">
        <v>158</v>
      </c>
      <c r="N839" s="133">
        <v>41820</v>
      </c>
      <c r="O839" s="134">
        <v>1494</v>
      </c>
      <c r="P839" s="132" t="s">
        <v>151</v>
      </c>
      <c r="Q839" s="132" t="s">
        <v>228</v>
      </c>
      <c r="R839" s="132" t="s">
        <v>158</v>
      </c>
      <c r="S839" s="133">
        <v>41942</v>
      </c>
      <c r="T839" s="134">
        <v>503</v>
      </c>
      <c r="U839" s="132" t="s">
        <v>154</v>
      </c>
      <c r="V839" s="132" t="s">
        <v>184</v>
      </c>
      <c r="W839" s="132" t="s">
        <v>153</v>
      </c>
      <c r="X839" s="133">
        <v>41876</v>
      </c>
      <c r="Y839" s="134">
        <v>791</v>
      </c>
    </row>
    <row r="840" spans="1:25" x14ac:dyDescent="0.25">
      <c r="A840" s="92" t="s">
        <v>148</v>
      </c>
      <c r="B840" s="12" t="s">
        <v>224</v>
      </c>
      <c r="C840" s="12" t="s">
        <v>158</v>
      </c>
      <c r="D840" s="80">
        <v>41726</v>
      </c>
      <c r="E840" s="81">
        <v>690</v>
      </c>
      <c r="F840" s="76" t="s">
        <v>150</v>
      </c>
      <c r="G840" s="77" t="s">
        <v>159</v>
      </c>
      <c r="H840" s="77" t="s">
        <v>153</v>
      </c>
      <c r="I840" s="86">
        <v>41784</v>
      </c>
      <c r="J840" s="78">
        <v>805</v>
      </c>
      <c r="K840" s="132" t="s">
        <v>20</v>
      </c>
      <c r="L840" s="132" t="s">
        <v>227</v>
      </c>
      <c r="M840" s="132" t="s">
        <v>158</v>
      </c>
      <c r="N840" s="133">
        <v>41840</v>
      </c>
      <c r="O840" s="134">
        <v>652</v>
      </c>
      <c r="P840" s="132" t="s">
        <v>151</v>
      </c>
      <c r="Q840" s="132" t="s">
        <v>228</v>
      </c>
      <c r="R840" s="132" t="s">
        <v>158</v>
      </c>
      <c r="S840" s="133">
        <v>41953</v>
      </c>
      <c r="T840" s="134">
        <v>724.2</v>
      </c>
      <c r="U840" s="132" t="s">
        <v>154</v>
      </c>
      <c r="V840" s="132" t="s">
        <v>184</v>
      </c>
      <c r="W840" s="132" t="s">
        <v>153</v>
      </c>
      <c r="X840" s="133">
        <v>41877</v>
      </c>
      <c r="Y840" s="134">
        <v>810</v>
      </c>
    </row>
    <row r="841" spans="1:25" x14ac:dyDescent="0.25">
      <c r="A841" s="92" t="s">
        <v>148</v>
      </c>
      <c r="B841" s="12" t="s">
        <v>224</v>
      </c>
      <c r="C841" s="12" t="s">
        <v>158</v>
      </c>
      <c r="D841" s="80">
        <v>41772</v>
      </c>
      <c r="E841" s="81">
        <v>1100</v>
      </c>
      <c r="F841" s="76" t="s">
        <v>150</v>
      </c>
      <c r="G841" s="77" t="s">
        <v>159</v>
      </c>
      <c r="H841" s="77" t="s">
        <v>153</v>
      </c>
      <c r="I841" s="86">
        <v>41786</v>
      </c>
      <c r="J841" s="78">
        <v>825</v>
      </c>
      <c r="K841" s="132" t="s">
        <v>20</v>
      </c>
      <c r="L841" s="132" t="s">
        <v>227</v>
      </c>
      <c r="M841" s="132" t="s">
        <v>158</v>
      </c>
      <c r="N841" s="133">
        <v>41894</v>
      </c>
      <c r="O841" s="134">
        <v>1701</v>
      </c>
      <c r="P841" s="132" t="s">
        <v>151</v>
      </c>
      <c r="Q841" s="132" t="s">
        <v>228</v>
      </c>
      <c r="R841" s="132" t="s">
        <v>158</v>
      </c>
      <c r="S841" s="133">
        <v>41954</v>
      </c>
      <c r="T841" s="134">
        <v>463.1</v>
      </c>
      <c r="U841" s="132" t="s">
        <v>154</v>
      </c>
      <c r="V841" s="132" t="s">
        <v>184</v>
      </c>
      <c r="W841" s="132" t="s">
        <v>153</v>
      </c>
      <c r="X841" s="133">
        <v>41878</v>
      </c>
      <c r="Y841" s="134">
        <v>775</v>
      </c>
    </row>
    <row r="842" spans="1:25" x14ac:dyDescent="0.25">
      <c r="A842" s="92" t="s">
        <v>148</v>
      </c>
      <c r="B842" s="12" t="s">
        <v>224</v>
      </c>
      <c r="C842" s="12" t="s">
        <v>158</v>
      </c>
      <c r="D842" s="80">
        <v>41773</v>
      </c>
      <c r="E842" s="81">
        <v>718</v>
      </c>
      <c r="F842" s="76" t="s">
        <v>150</v>
      </c>
      <c r="G842" s="77" t="s">
        <v>159</v>
      </c>
      <c r="H842" s="77" t="s">
        <v>153</v>
      </c>
      <c r="I842" s="86">
        <v>41788</v>
      </c>
      <c r="J842" s="78">
        <v>1169</v>
      </c>
      <c r="K842" s="132" t="s">
        <v>20</v>
      </c>
      <c r="L842" s="132" t="s">
        <v>227</v>
      </c>
      <c r="M842" s="132" t="s">
        <v>158</v>
      </c>
      <c r="N842" s="133">
        <v>41907</v>
      </c>
      <c r="O842" s="134">
        <v>994</v>
      </c>
      <c r="P842" s="132" t="s">
        <v>151</v>
      </c>
      <c r="Q842" s="132" t="s">
        <v>228</v>
      </c>
      <c r="R842" s="132" t="s">
        <v>158</v>
      </c>
      <c r="S842" s="133">
        <v>41956</v>
      </c>
      <c r="T842" s="134">
        <v>1015.2</v>
      </c>
      <c r="U842" s="132" t="s">
        <v>154</v>
      </c>
      <c r="V842" s="132" t="s">
        <v>184</v>
      </c>
      <c r="W842" s="132" t="s">
        <v>153</v>
      </c>
      <c r="X842" s="133">
        <v>41879</v>
      </c>
      <c r="Y842" s="134">
        <v>689</v>
      </c>
    </row>
    <row r="843" spans="1:25" x14ac:dyDescent="0.25">
      <c r="A843" s="92" t="s">
        <v>148</v>
      </c>
      <c r="B843" s="12" t="s">
        <v>224</v>
      </c>
      <c r="C843" s="12" t="s">
        <v>158</v>
      </c>
      <c r="D843" s="80">
        <v>41774</v>
      </c>
      <c r="E843" s="81">
        <v>775</v>
      </c>
      <c r="F843" s="76" t="s">
        <v>150</v>
      </c>
      <c r="G843" s="77" t="s">
        <v>159</v>
      </c>
      <c r="H843" s="77" t="s">
        <v>153</v>
      </c>
      <c r="I843" s="86">
        <v>41797</v>
      </c>
      <c r="J843" s="78">
        <v>1237</v>
      </c>
      <c r="K843" s="132" t="s">
        <v>20</v>
      </c>
      <c r="L843" s="132" t="s">
        <v>227</v>
      </c>
      <c r="M843" s="132" t="s">
        <v>158</v>
      </c>
      <c r="N843" s="133">
        <v>41921</v>
      </c>
      <c r="O843" s="134">
        <v>1441</v>
      </c>
      <c r="P843" s="132" t="s">
        <v>151</v>
      </c>
      <c r="Q843" s="132" t="s">
        <v>228</v>
      </c>
      <c r="R843" s="132" t="s">
        <v>158</v>
      </c>
      <c r="S843" s="133">
        <v>41960</v>
      </c>
      <c r="T843" s="134">
        <v>1076.8</v>
      </c>
      <c r="U843" s="132" t="s">
        <v>154</v>
      </c>
      <c r="V843" s="132" t="s">
        <v>184</v>
      </c>
      <c r="W843" s="132" t="s">
        <v>153</v>
      </c>
      <c r="X843" s="133">
        <v>41880</v>
      </c>
      <c r="Y843" s="134">
        <v>585</v>
      </c>
    </row>
    <row r="844" spans="1:25" x14ac:dyDescent="0.25">
      <c r="A844" s="92" t="s">
        <v>148</v>
      </c>
      <c r="B844" s="12" t="s">
        <v>224</v>
      </c>
      <c r="C844" s="12" t="s">
        <v>158</v>
      </c>
      <c r="D844" s="80">
        <v>41775</v>
      </c>
      <c r="E844" s="81">
        <v>805</v>
      </c>
      <c r="F844" s="76" t="s">
        <v>150</v>
      </c>
      <c r="G844" s="77" t="s">
        <v>159</v>
      </c>
      <c r="H844" s="77" t="s">
        <v>153</v>
      </c>
      <c r="I844" s="86">
        <v>41800</v>
      </c>
      <c r="J844" s="78">
        <v>879</v>
      </c>
      <c r="K844" s="132" t="s">
        <v>20</v>
      </c>
      <c r="L844" s="132" t="s">
        <v>227</v>
      </c>
      <c r="M844" s="132" t="s">
        <v>158</v>
      </c>
      <c r="N844" s="133">
        <v>41935</v>
      </c>
      <c r="O844" s="134">
        <v>1748</v>
      </c>
      <c r="P844" s="132" t="s">
        <v>151</v>
      </c>
      <c r="Q844" s="132" t="s">
        <v>228</v>
      </c>
      <c r="R844" s="132" t="s">
        <v>158</v>
      </c>
      <c r="S844" s="133">
        <v>41961</v>
      </c>
      <c r="T844" s="134">
        <v>659.8</v>
      </c>
      <c r="U844" s="132" t="s">
        <v>154</v>
      </c>
      <c r="V844" s="132" t="s">
        <v>184</v>
      </c>
      <c r="W844" s="132" t="s">
        <v>153</v>
      </c>
      <c r="X844" s="133">
        <v>41881</v>
      </c>
      <c r="Y844" s="134">
        <v>544</v>
      </c>
    </row>
    <row r="845" spans="1:25" x14ac:dyDescent="0.25">
      <c r="A845" s="92" t="s">
        <v>148</v>
      </c>
      <c r="B845" s="12" t="s">
        <v>224</v>
      </c>
      <c r="C845" s="12" t="s">
        <v>158</v>
      </c>
      <c r="D845" s="80">
        <v>41776</v>
      </c>
      <c r="E845" s="81">
        <v>700</v>
      </c>
      <c r="F845" s="76" t="s">
        <v>150</v>
      </c>
      <c r="G845" s="77" t="s">
        <v>159</v>
      </c>
      <c r="H845" s="77" t="s">
        <v>153</v>
      </c>
      <c r="I845" s="86">
        <v>41801</v>
      </c>
      <c r="J845" s="78">
        <v>731</v>
      </c>
      <c r="K845" s="132" t="s">
        <v>20</v>
      </c>
      <c r="L845" s="132" t="s">
        <v>227</v>
      </c>
      <c r="M845" s="132" t="s">
        <v>158</v>
      </c>
      <c r="N845" s="133">
        <v>41971</v>
      </c>
      <c r="O845" s="134">
        <v>1831</v>
      </c>
      <c r="P845" s="132" t="s">
        <v>151</v>
      </c>
      <c r="Q845" s="132" t="s">
        <v>228</v>
      </c>
      <c r="R845" s="132" t="s">
        <v>158</v>
      </c>
      <c r="S845" s="133">
        <v>41962</v>
      </c>
      <c r="T845" s="134">
        <v>779.8</v>
      </c>
      <c r="U845" s="132" t="s">
        <v>154</v>
      </c>
      <c r="V845" s="132" t="s">
        <v>184</v>
      </c>
      <c r="W845" s="132" t="s">
        <v>153</v>
      </c>
      <c r="X845" s="133">
        <v>41883</v>
      </c>
      <c r="Y845" s="134">
        <v>506</v>
      </c>
    </row>
    <row r="846" spans="1:25" x14ac:dyDescent="0.25">
      <c r="A846" s="92" t="s">
        <v>148</v>
      </c>
      <c r="B846" s="12" t="s">
        <v>224</v>
      </c>
      <c r="C846" s="12" t="s">
        <v>158</v>
      </c>
      <c r="D846" s="80">
        <v>41777</v>
      </c>
      <c r="E846" s="81">
        <v>600</v>
      </c>
      <c r="F846" s="76" t="s">
        <v>150</v>
      </c>
      <c r="G846" s="77" t="s">
        <v>159</v>
      </c>
      <c r="H846" s="77" t="s">
        <v>153</v>
      </c>
      <c r="I846" s="86">
        <v>41809</v>
      </c>
      <c r="J846" s="78">
        <v>934</v>
      </c>
      <c r="K846" s="132" t="s">
        <v>20</v>
      </c>
      <c r="L846" s="132" t="s">
        <v>227</v>
      </c>
      <c r="M846" s="132" t="s">
        <v>158</v>
      </c>
      <c r="N846" s="133">
        <v>41986</v>
      </c>
      <c r="O846" s="134">
        <v>1798</v>
      </c>
      <c r="P846" s="132" t="s">
        <v>151</v>
      </c>
      <c r="Q846" s="132" t="s">
        <v>228</v>
      </c>
      <c r="R846" s="132" t="s">
        <v>158</v>
      </c>
      <c r="S846" s="133">
        <v>41963</v>
      </c>
      <c r="T846" s="134">
        <v>377.2</v>
      </c>
      <c r="U846" s="132" t="s">
        <v>154</v>
      </c>
      <c r="V846" s="132" t="s">
        <v>184</v>
      </c>
      <c r="W846" s="132" t="s">
        <v>153</v>
      </c>
      <c r="X846" s="133">
        <v>41884</v>
      </c>
      <c r="Y846" s="134">
        <v>795</v>
      </c>
    </row>
    <row r="847" spans="1:25" x14ac:dyDescent="0.25">
      <c r="A847" s="92" t="s">
        <v>148</v>
      </c>
      <c r="B847" s="12" t="s">
        <v>224</v>
      </c>
      <c r="C847" s="12" t="s">
        <v>158</v>
      </c>
      <c r="D847" s="80">
        <v>41778</v>
      </c>
      <c r="E847" s="81">
        <v>820</v>
      </c>
      <c r="F847" s="76" t="s">
        <v>150</v>
      </c>
      <c r="G847" s="77" t="s">
        <v>159</v>
      </c>
      <c r="H847" s="77" t="s">
        <v>153</v>
      </c>
      <c r="I847" s="86">
        <v>41813</v>
      </c>
      <c r="J847" s="78">
        <v>769</v>
      </c>
      <c r="K847" s="132" t="s">
        <v>20</v>
      </c>
      <c r="L847" s="132" t="s">
        <v>227</v>
      </c>
      <c r="M847" s="132" t="s">
        <v>158</v>
      </c>
      <c r="N847" s="133">
        <v>42001</v>
      </c>
      <c r="O847" s="134">
        <v>1690</v>
      </c>
      <c r="P847" s="132" t="s">
        <v>151</v>
      </c>
      <c r="Q847" s="132" t="s">
        <v>228</v>
      </c>
      <c r="R847" s="132" t="s">
        <v>158</v>
      </c>
      <c r="S847" s="133">
        <v>41967</v>
      </c>
      <c r="T847" s="134">
        <v>1248.5999999999999</v>
      </c>
      <c r="U847" s="132" t="s">
        <v>154</v>
      </c>
      <c r="V847" s="132" t="s">
        <v>184</v>
      </c>
      <c r="W847" s="132" t="s">
        <v>153</v>
      </c>
      <c r="X847" s="133">
        <v>41885</v>
      </c>
      <c r="Y847" s="134">
        <v>876</v>
      </c>
    </row>
    <row r="848" spans="1:25" x14ac:dyDescent="0.25">
      <c r="A848" s="92" t="s">
        <v>148</v>
      </c>
      <c r="B848" s="12" t="s">
        <v>224</v>
      </c>
      <c r="C848" s="12" t="s">
        <v>158</v>
      </c>
      <c r="D848" s="80">
        <v>41779</v>
      </c>
      <c r="E848" s="81">
        <v>840</v>
      </c>
      <c r="F848" s="76" t="s">
        <v>150</v>
      </c>
      <c r="G848" s="77" t="s">
        <v>159</v>
      </c>
      <c r="H848" s="77" t="s">
        <v>153</v>
      </c>
      <c r="I848" s="86">
        <v>41814</v>
      </c>
      <c r="J848" s="78">
        <v>870</v>
      </c>
      <c r="K848" s="132" t="s">
        <v>20</v>
      </c>
      <c r="L848" s="132" t="s">
        <v>228</v>
      </c>
      <c r="M848" s="132" t="s">
        <v>158</v>
      </c>
      <c r="N848" s="133">
        <v>41751</v>
      </c>
      <c r="O848" s="134">
        <v>382</v>
      </c>
      <c r="P848" s="132" t="s">
        <v>151</v>
      </c>
      <c r="Q848" s="132" t="s">
        <v>228</v>
      </c>
      <c r="R848" s="132" t="s">
        <v>158</v>
      </c>
      <c r="S848" s="133">
        <v>41968</v>
      </c>
      <c r="T848" s="134">
        <v>521.9</v>
      </c>
      <c r="U848" s="132" t="s">
        <v>154</v>
      </c>
      <c r="V848" s="132" t="s">
        <v>184</v>
      </c>
      <c r="W848" s="132" t="s">
        <v>153</v>
      </c>
      <c r="X848" s="133">
        <v>41886</v>
      </c>
      <c r="Y848" s="134">
        <v>962</v>
      </c>
    </row>
    <row r="849" spans="1:25" x14ac:dyDescent="0.25">
      <c r="A849" s="92" t="s">
        <v>148</v>
      </c>
      <c r="B849" s="12" t="s">
        <v>224</v>
      </c>
      <c r="C849" s="12" t="s">
        <v>158</v>
      </c>
      <c r="D849" s="80">
        <v>41780</v>
      </c>
      <c r="E849" s="81">
        <v>875</v>
      </c>
      <c r="F849" s="76" t="s">
        <v>150</v>
      </c>
      <c r="G849" s="77" t="s">
        <v>159</v>
      </c>
      <c r="H849" s="77" t="s">
        <v>153</v>
      </c>
      <c r="I849" s="86">
        <v>41816</v>
      </c>
      <c r="J849" s="78">
        <v>1030</v>
      </c>
      <c r="K849" s="132" t="s">
        <v>20</v>
      </c>
      <c r="L849" s="132" t="s">
        <v>228</v>
      </c>
      <c r="M849" s="132" t="s">
        <v>158</v>
      </c>
      <c r="N849" s="133">
        <v>41766</v>
      </c>
      <c r="O849" s="134">
        <v>846</v>
      </c>
      <c r="P849" s="132" t="s">
        <v>151</v>
      </c>
      <c r="Q849" s="132" t="s">
        <v>228</v>
      </c>
      <c r="R849" s="132" t="s">
        <v>158</v>
      </c>
      <c r="S849" s="133">
        <v>41969</v>
      </c>
      <c r="T849" s="134">
        <v>619.6</v>
      </c>
      <c r="U849" s="132" t="s">
        <v>154</v>
      </c>
      <c r="V849" s="132" t="s">
        <v>184</v>
      </c>
      <c r="W849" s="132" t="s">
        <v>153</v>
      </c>
      <c r="X849" s="133">
        <v>41887</v>
      </c>
      <c r="Y849" s="134">
        <v>1175</v>
      </c>
    </row>
    <row r="850" spans="1:25" x14ac:dyDescent="0.25">
      <c r="A850" s="92" t="s">
        <v>148</v>
      </c>
      <c r="B850" s="12" t="s">
        <v>224</v>
      </c>
      <c r="C850" s="12" t="s">
        <v>158</v>
      </c>
      <c r="D850" s="80">
        <v>41781</v>
      </c>
      <c r="E850" s="81">
        <v>782</v>
      </c>
      <c r="F850" s="76" t="s">
        <v>150</v>
      </c>
      <c r="G850" s="77" t="s">
        <v>159</v>
      </c>
      <c r="H850" s="77" t="s">
        <v>153</v>
      </c>
      <c r="I850" s="86">
        <v>41817</v>
      </c>
      <c r="J850" s="78">
        <v>779</v>
      </c>
      <c r="K850" s="132" t="s">
        <v>20</v>
      </c>
      <c r="L850" s="132" t="s">
        <v>228</v>
      </c>
      <c r="M850" s="132" t="s">
        <v>158</v>
      </c>
      <c r="N850" s="133">
        <v>41785</v>
      </c>
      <c r="O850" s="134">
        <v>1110</v>
      </c>
      <c r="P850" s="132" t="s">
        <v>151</v>
      </c>
      <c r="Q850" s="132" t="s">
        <v>228</v>
      </c>
      <c r="R850" s="132" t="s">
        <v>158</v>
      </c>
      <c r="S850" s="133">
        <v>41974</v>
      </c>
      <c r="T850" s="134">
        <v>1277.3</v>
      </c>
      <c r="U850" s="132" t="s">
        <v>154</v>
      </c>
      <c r="V850" s="132" t="s">
        <v>184</v>
      </c>
      <c r="W850" s="132" t="s">
        <v>153</v>
      </c>
      <c r="X850" s="133">
        <v>41890</v>
      </c>
      <c r="Y850" s="134">
        <v>819</v>
      </c>
    </row>
    <row r="851" spans="1:25" x14ac:dyDescent="0.25">
      <c r="A851" s="92" t="s">
        <v>148</v>
      </c>
      <c r="B851" s="12" t="s">
        <v>224</v>
      </c>
      <c r="C851" s="12" t="s">
        <v>158</v>
      </c>
      <c r="D851" s="80">
        <v>41782</v>
      </c>
      <c r="E851" s="81">
        <v>820</v>
      </c>
      <c r="F851" s="76" t="s">
        <v>150</v>
      </c>
      <c r="G851" s="77" t="s">
        <v>159</v>
      </c>
      <c r="H851" s="77" t="s">
        <v>153</v>
      </c>
      <c r="I851" s="86">
        <v>41820</v>
      </c>
      <c r="J851" s="78">
        <v>426</v>
      </c>
      <c r="K851" s="132" t="s">
        <v>20</v>
      </c>
      <c r="L851" s="132" t="s">
        <v>228</v>
      </c>
      <c r="M851" s="132" t="s">
        <v>158</v>
      </c>
      <c r="N851" s="133">
        <v>41796</v>
      </c>
      <c r="O851" s="134">
        <v>1745</v>
      </c>
      <c r="P851" s="132" t="s">
        <v>151</v>
      </c>
      <c r="Q851" s="132" t="s">
        <v>228</v>
      </c>
      <c r="R851" s="132" t="s">
        <v>158</v>
      </c>
      <c r="S851" s="133">
        <v>41975</v>
      </c>
      <c r="T851" s="134">
        <v>669.2</v>
      </c>
      <c r="U851" s="132" t="s">
        <v>154</v>
      </c>
      <c r="V851" s="132" t="s">
        <v>184</v>
      </c>
      <c r="W851" s="132" t="s">
        <v>153</v>
      </c>
      <c r="X851" s="133">
        <v>41891</v>
      </c>
      <c r="Y851" s="134">
        <v>781</v>
      </c>
    </row>
    <row r="852" spans="1:25" x14ac:dyDescent="0.25">
      <c r="A852" s="92" t="s">
        <v>148</v>
      </c>
      <c r="B852" s="12" t="s">
        <v>224</v>
      </c>
      <c r="C852" s="12" t="s">
        <v>158</v>
      </c>
      <c r="D852" s="80">
        <v>41783</v>
      </c>
      <c r="E852" s="81">
        <v>560</v>
      </c>
      <c r="F852" s="76" t="s">
        <v>150</v>
      </c>
      <c r="G852" s="77" t="s">
        <v>159</v>
      </c>
      <c r="H852" s="77" t="s">
        <v>153</v>
      </c>
      <c r="I852" s="86">
        <v>41822</v>
      </c>
      <c r="J852" s="78">
        <v>1007</v>
      </c>
      <c r="K852" s="132" t="s">
        <v>20</v>
      </c>
      <c r="L852" s="132" t="s">
        <v>228</v>
      </c>
      <c r="M852" s="132" t="s">
        <v>158</v>
      </c>
      <c r="N852" s="133">
        <v>41798</v>
      </c>
      <c r="O852" s="134">
        <v>815</v>
      </c>
      <c r="P852" s="132" t="s">
        <v>151</v>
      </c>
      <c r="Q852" s="132" t="s">
        <v>228</v>
      </c>
      <c r="R852" s="132" t="s">
        <v>158</v>
      </c>
      <c r="S852" s="133">
        <v>41975</v>
      </c>
      <c r="T852" s="134">
        <v>1324.2</v>
      </c>
      <c r="U852" s="132" t="s">
        <v>154</v>
      </c>
      <c r="V852" s="132" t="s">
        <v>184</v>
      </c>
      <c r="W852" s="132" t="s">
        <v>153</v>
      </c>
      <c r="X852" s="133">
        <v>41892</v>
      </c>
      <c r="Y852" s="134">
        <v>809</v>
      </c>
    </row>
    <row r="853" spans="1:25" x14ac:dyDescent="0.25">
      <c r="A853" s="92" t="s">
        <v>148</v>
      </c>
      <c r="B853" s="12" t="s">
        <v>224</v>
      </c>
      <c r="C853" s="12" t="s">
        <v>158</v>
      </c>
      <c r="D853" s="80">
        <v>41784</v>
      </c>
      <c r="E853" s="81">
        <v>720</v>
      </c>
      <c r="F853" s="76" t="s">
        <v>150</v>
      </c>
      <c r="G853" s="77" t="s">
        <v>159</v>
      </c>
      <c r="H853" s="77" t="s">
        <v>153</v>
      </c>
      <c r="I853" s="86">
        <v>41823</v>
      </c>
      <c r="J853" s="78">
        <v>868</v>
      </c>
      <c r="K853" s="132" t="s">
        <v>20</v>
      </c>
      <c r="L853" s="132" t="s">
        <v>228</v>
      </c>
      <c r="M853" s="132" t="s">
        <v>158</v>
      </c>
      <c r="N853" s="133">
        <v>41812</v>
      </c>
      <c r="O853" s="134">
        <v>1884</v>
      </c>
      <c r="P853" s="132" t="s">
        <v>151</v>
      </c>
      <c r="Q853" s="132" t="s">
        <v>228</v>
      </c>
      <c r="R853" s="132" t="s">
        <v>158</v>
      </c>
      <c r="S853" s="133">
        <v>41976</v>
      </c>
      <c r="T853" s="134">
        <v>607.70000000000005</v>
      </c>
      <c r="U853" s="132" t="s">
        <v>154</v>
      </c>
      <c r="V853" s="132" t="s">
        <v>184</v>
      </c>
      <c r="W853" s="132" t="s">
        <v>153</v>
      </c>
      <c r="X853" s="133">
        <v>41893</v>
      </c>
      <c r="Y853" s="134">
        <v>950</v>
      </c>
    </row>
    <row r="854" spans="1:25" x14ac:dyDescent="0.25">
      <c r="A854" s="92" t="s">
        <v>148</v>
      </c>
      <c r="B854" s="12" t="s">
        <v>224</v>
      </c>
      <c r="C854" s="12" t="s">
        <v>158</v>
      </c>
      <c r="D854" s="80">
        <v>41785</v>
      </c>
      <c r="E854" s="81">
        <v>775</v>
      </c>
      <c r="F854" s="76" t="s">
        <v>150</v>
      </c>
      <c r="G854" s="77" t="s">
        <v>159</v>
      </c>
      <c r="H854" s="77" t="s">
        <v>153</v>
      </c>
      <c r="I854" s="86">
        <v>41825</v>
      </c>
      <c r="J854" s="78">
        <v>485</v>
      </c>
      <c r="K854" s="132" t="s">
        <v>20</v>
      </c>
      <c r="L854" s="132" t="s">
        <v>228</v>
      </c>
      <c r="M854" s="132" t="s">
        <v>158</v>
      </c>
      <c r="N854" s="133">
        <v>41825</v>
      </c>
      <c r="O854" s="134">
        <v>1824</v>
      </c>
      <c r="P854" s="132" t="s">
        <v>151</v>
      </c>
      <c r="Q854" s="132" t="s">
        <v>228</v>
      </c>
      <c r="R854" s="132" t="s">
        <v>158</v>
      </c>
      <c r="S854" s="133">
        <v>41977</v>
      </c>
      <c r="T854" s="134">
        <v>403.1</v>
      </c>
      <c r="U854" s="132" t="s">
        <v>154</v>
      </c>
      <c r="V854" s="132" t="s">
        <v>184</v>
      </c>
      <c r="W854" s="132" t="s">
        <v>153</v>
      </c>
      <c r="X854" s="133">
        <v>41894</v>
      </c>
      <c r="Y854" s="134">
        <v>1130</v>
      </c>
    </row>
    <row r="855" spans="1:25" x14ac:dyDescent="0.25">
      <c r="A855" s="92" t="s">
        <v>148</v>
      </c>
      <c r="B855" s="12" t="s">
        <v>224</v>
      </c>
      <c r="C855" s="12" t="s">
        <v>158</v>
      </c>
      <c r="D855" s="80">
        <v>41786</v>
      </c>
      <c r="E855" s="81">
        <v>775</v>
      </c>
      <c r="F855" s="76" t="s">
        <v>150</v>
      </c>
      <c r="G855" s="77" t="s">
        <v>159</v>
      </c>
      <c r="H855" s="77" t="s">
        <v>153</v>
      </c>
      <c r="I855" s="86">
        <v>41825</v>
      </c>
      <c r="J855" s="78">
        <v>560</v>
      </c>
      <c r="K855" s="132" t="s">
        <v>20</v>
      </c>
      <c r="L855" s="132" t="s">
        <v>228</v>
      </c>
      <c r="M855" s="132" t="s">
        <v>158</v>
      </c>
      <c r="N855" s="133">
        <v>41850</v>
      </c>
      <c r="O855" s="134">
        <v>742</v>
      </c>
      <c r="P855" s="132" t="s">
        <v>151</v>
      </c>
      <c r="Q855" s="132" t="s">
        <v>228</v>
      </c>
      <c r="R855" s="132" t="s">
        <v>158</v>
      </c>
      <c r="S855" s="133">
        <v>41981</v>
      </c>
      <c r="T855" s="134">
        <v>1053.4000000000001</v>
      </c>
      <c r="U855" s="132" t="s">
        <v>154</v>
      </c>
      <c r="V855" s="132" t="s">
        <v>184</v>
      </c>
      <c r="W855" s="132" t="s">
        <v>153</v>
      </c>
      <c r="X855" s="133">
        <v>41897</v>
      </c>
      <c r="Y855" s="134">
        <v>967</v>
      </c>
    </row>
    <row r="856" spans="1:25" x14ac:dyDescent="0.25">
      <c r="A856" s="92" t="s">
        <v>148</v>
      </c>
      <c r="B856" s="12" t="s">
        <v>224</v>
      </c>
      <c r="C856" s="12" t="s">
        <v>158</v>
      </c>
      <c r="D856" s="80">
        <v>41787</v>
      </c>
      <c r="E856" s="81">
        <v>764</v>
      </c>
      <c r="F856" s="76" t="s">
        <v>150</v>
      </c>
      <c r="G856" s="77" t="s">
        <v>159</v>
      </c>
      <c r="H856" s="77" t="s">
        <v>153</v>
      </c>
      <c r="I856" s="86">
        <v>41826</v>
      </c>
      <c r="J856" s="78">
        <v>602</v>
      </c>
      <c r="K856" s="132" t="s">
        <v>20</v>
      </c>
      <c r="L856" s="132" t="s">
        <v>228</v>
      </c>
      <c r="M856" s="132" t="s">
        <v>158</v>
      </c>
      <c r="N856" s="133">
        <v>41873</v>
      </c>
      <c r="O856" s="134">
        <v>773</v>
      </c>
      <c r="P856" s="132" t="s">
        <v>151</v>
      </c>
      <c r="Q856" s="132" t="s">
        <v>228</v>
      </c>
      <c r="R856" s="132" t="s">
        <v>158</v>
      </c>
      <c r="S856" s="133">
        <v>41982</v>
      </c>
      <c r="T856" s="134">
        <v>712</v>
      </c>
      <c r="U856" s="132" t="s">
        <v>154</v>
      </c>
      <c r="V856" s="132" t="s">
        <v>184</v>
      </c>
      <c r="W856" s="132" t="s">
        <v>153</v>
      </c>
      <c r="X856" s="133">
        <v>41898</v>
      </c>
      <c r="Y856" s="134">
        <v>801</v>
      </c>
    </row>
    <row r="857" spans="1:25" x14ac:dyDescent="0.25">
      <c r="A857" s="92" t="s">
        <v>148</v>
      </c>
      <c r="B857" s="12" t="s">
        <v>224</v>
      </c>
      <c r="C857" s="12" t="s">
        <v>158</v>
      </c>
      <c r="D857" s="80">
        <v>41788</v>
      </c>
      <c r="E857" s="81">
        <v>710</v>
      </c>
      <c r="F857" s="76" t="s">
        <v>150</v>
      </c>
      <c r="G857" s="77" t="s">
        <v>159</v>
      </c>
      <c r="H857" s="77" t="s">
        <v>153</v>
      </c>
      <c r="I857" s="86">
        <v>41828</v>
      </c>
      <c r="J857" s="78">
        <v>529</v>
      </c>
      <c r="K857" s="132" t="s">
        <v>20</v>
      </c>
      <c r="L857" s="132" t="s">
        <v>228</v>
      </c>
      <c r="M857" s="132" t="s">
        <v>158</v>
      </c>
      <c r="N857" s="133">
        <v>41884</v>
      </c>
      <c r="O857" s="134">
        <v>1898</v>
      </c>
      <c r="P857" s="132" t="s">
        <v>151</v>
      </c>
      <c r="Q857" s="132" t="s">
        <v>228</v>
      </c>
      <c r="R857" s="132" t="s">
        <v>158</v>
      </c>
      <c r="S857" s="133">
        <v>41983</v>
      </c>
      <c r="T857" s="134">
        <v>620.4</v>
      </c>
      <c r="U857" s="132" t="s">
        <v>154</v>
      </c>
      <c r="V857" s="132" t="s">
        <v>184</v>
      </c>
      <c r="W857" s="132" t="s">
        <v>153</v>
      </c>
      <c r="X857" s="133">
        <v>41899</v>
      </c>
      <c r="Y857" s="134">
        <v>747</v>
      </c>
    </row>
    <row r="858" spans="1:25" x14ac:dyDescent="0.25">
      <c r="A858" s="92" t="s">
        <v>148</v>
      </c>
      <c r="B858" s="12" t="s">
        <v>224</v>
      </c>
      <c r="C858" s="12" t="s">
        <v>158</v>
      </c>
      <c r="D858" s="80">
        <v>41789</v>
      </c>
      <c r="E858" s="81">
        <v>725</v>
      </c>
      <c r="F858" s="76" t="s">
        <v>150</v>
      </c>
      <c r="G858" s="77" t="s">
        <v>159</v>
      </c>
      <c r="H858" s="77" t="s">
        <v>153</v>
      </c>
      <c r="I858" s="86">
        <v>41828</v>
      </c>
      <c r="J858" s="78">
        <v>912</v>
      </c>
      <c r="K858" s="132" t="s">
        <v>20</v>
      </c>
      <c r="L858" s="132" t="s">
        <v>228</v>
      </c>
      <c r="M858" s="132" t="s">
        <v>158</v>
      </c>
      <c r="N858" s="133">
        <v>41892</v>
      </c>
      <c r="O858" s="134">
        <v>824</v>
      </c>
      <c r="P858" s="132" t="s">
        <v>151</v>
      </c>
      <c r="Q858" s="132" t="s">
        <v>228</v>
      </c>
      <c r="R858" s="132" t="s">
        <v>158</v>
      </c>
      <c r="S858" s="133">
        <v>41985</v>
      </c>
      <c r="T858" s="134">
        <v>1127.5999999999999</v>
      </c>
      <c r="U858" s="132" t="s">
        <v>154</v>
      </c>
      <c r="V858" s="132" t="s">
        <v>185</v>
      </c>
      <c r="W858" s="132" t="s">
        <v>153</v>
      </c>
      <c r="X858" s="133">
        <v>41639</v>
      </c>
      <c r="Y858" s="134">
        <v>1246</v>
      </c>
    </row>
    <row r="859" spans="1:25" x14ac:dyDescent="0.25">
      <c r="A859" s="92" t="s">
        <v>148</v>
      </c>
      <c r="B859" s="12" t="s">
        <v>224</v>
      </c>
      <c r="C859" s="12" t="s">
        <v>158</v>
      </c>
      <c r="D859" s="80">
        <v>41790</v>
      </c>
      <c r="E859" s="81">
        <v>776</v>
      </c>
      <c r="F859" s="76" t="s">
        <v>150</v>
      </c>
      <c r="G859" s="77" t="s">
        <v>159</v>
      </c>
      <c r="H859" s="77" t="s">
        <v>153</v>
      </c>
      <c r="I859" s="86">
        <v>41830</v>
      </c>
      <c r="J859" s="78">
        <v>743</v>
      </c>
      <c r="K859" s="132" t="s">
        <v>20</v>
      </c>
      <c r="L859" s="132" t="s">
        <v>228</v>
      </c>
      <c r="M859" s="132" t="s">
        <v>158</v>
      </c>
      <c r="N859" s="133">
        <v>41924</v>
      </c>
      <c r="O859" s="134">
        <v>1294</v>
      </c>
      <c r="P859" s="132" t="s">
        <v>151</v>
      </c>
      <c r="Q859" s="132" t="s">
        <v>229</v>
      </c>
      <c r="R859" s="132" t="s">
        <v>158</v>
      </c>
      <c r="S859" s="133">
        <v>41828</v>
      </c>
      <c r="T859" s="134">
        <v>1393.8</v>
      </c>
      <c r="U859" s="132" t="s">
        <v>154</v>
      </c>
      <c r="V859" s="132" t="s">
        <v>185</v>
      </c>
      <c r="W859" s="132" t="s">
        <v>153</v>
      </c>
      <c r="X859" s="133">
        <v>41641</v>
      </c>
      <c r="Y859" s="134">
        <v>1312</v>
      </c>
    </row>
    <row r="860" spans="1:25" x14ac:dyDescent="0.25">
      <c r="A860" s="92" t="s">
        <v>148</v>
      </c>
      <c r="B860" s="12" t="s">
        <v>224</v>
      </c>
      <c r="C860" s="12" t="s">
        <v>158</v>
      </c>
      <c r="D860" s="80">
        <v>41791</v>
      </c>
      <c r="E860" s="81">
        <v>515</v>
      </c>
      <c r="F860" s="76" t="s">
        <v>150</v>
      </c>
      <c r="G860" s="77" t="s">
        <v>159</v>
      </c>
      <c r="H860" s="77" t="s">
        <v>153</v>
      </c>
      <c r="I860" s="86">
        <v>41831</v>
      </c>
      <c r="J860" s="78">
        <v>840</v>
      </c>
      <c r="K860" s="132" t="s">
        <v>20</v>
      </c>
      <c r="L860" s="132" t="s">
        <v>228</v>
      </c>
      <c r="M860" s="132" t="s">
        <v>158</v>
      </c>
      <c r="N860" s="133">
        <v>41933</v>
      </c>
      <c r="O860" s="134">
        <v>723</v>
      </c>
      <c r="P860" s="132" t="s">
        <v>151</v>
      </c>
      <c r="Q860" s="132" t="s">
        <v>229</v>
      </c>
      <c r="R860" s="132" t="s">
        <v>158</v>
      </c>
      <c r="S860" s="133">
        <v>41843</v>
      </c>
      <c r="T860" s="134">
        <v>1130.4000000000001</v>
      </c>
      <c r="U860" s="132" t="s">
        <v>154</v>
      </c>
      <c r="V860" s="132" t="s">
        <v>185</v>
      </c>
      <c r="W860" s="132" t="s">
        <v>153</v>
      </c>
      <c r="X860" s="133">
        <v>41695</v>
      </c>
      <c r="Y860" s="134">
        <v>500</v>
      </c>
    </row>
    <row r="861" spans="1:25" x14ac:dyDescent="0.25">
      <c r="A861" s="92" t="s">
        <v>148</v>
      </c>
      <c r="B861" s="12" t="s">
        <v>224</v>
      </c>
      <c r="C861" s="12" t="s">
        <v>158</v>
      </c>
      <c r="D861" s="80">
        <v>41792</v>
      </c>
      <c r="E861" s="81">
        <v>846</v>
      </c>
      <c r="F861" s="76" t="s">
        <v>150</v>
      </c>
      <c r="G861" s="77" t="s">
        <v>159</v>
      </c>
      <c r="H861" s="77" t="s">
        <v>153</v>
      </c>
      <c r="I861" s="86">
        <v>41834</v>
      </c>
      <c r="J861" s="78">
        <v>431</v>
      </c>
      <c r="K861" s="132" t="s">
        <v>20</v>
      </c>
      <c r="L861" s="132" t="s">
        <v>229</v>
      </c>
      <c r="M861" s="132" t="s">
        <v>158</v>
      </c>
      <c r="N861" s="133">
        <v>41640</v>
      </c>
      <c r="O861" s="134">
        <v>1132</v>
      </c>
      <c r="P861" s="132" t="s">
        <v>151</v>
      </c>
      <c r="Q861" s="132" t="s">
        <v>229</v>
      </c>
      <c r="R861" s="132" t="s">
        <v>158</v>
      </c>
      <c r="S861" s="133">
        <v>41844</v>
      </c>
      <c r="T861" s="134">
        <v>611</v>
      </c>
      <c r="U861" s="132" t="s">
        <v>154</v>
      </c>
      <c r="V861" s="132" t="s">
        <v>185</v>
      </c>
      <c r="W861" s="132" t="s">
        <v>153</v>
      </c>
      <c r="X861" s="133">
        <v>41696</v>
      </c>
      <c r="Y861" s="134">
        <v>800</v>
      </c>
    </row>
    <row r="862" spans="1:25" x14ac:dyDescent="0.25">
      <c r="A862" s="92" t="s">
        <v>148</v>
      </c>
      <c r="B862" s="12" t="s">
        <v>224</v>
      </c>
      <c r="C862" s="12" t="s">
        <v>158</v>
      </c>
      <c r="D862" s="80">
        <v>41793</v>
      </c>
      <c r="E862" s="81">
        <v>900</v>
      </c>
      <c r="F862" s="76" t="s">
        <v>150</v>
      </c>
      <c r="G862" s="77" t="s">
        <v>159</v>
      </c>
      <c r="H862" s="77" t="s">
        <v>153</v>
      </c>
      <c r="I862" s="86">
        <v>41838</v>
      </c>
      <c r="J862" s="78">
        <v>1017</v>
      </c>
      <c r="K862" s="132" t="s">
        <v>20</v>
      </c>
      <c r="L862" s="132" t="s">
        <v>229</v>
      </c>
      <c r="M862" s="132" t="s">
        <v>158</v>
      </c>
      <c r="N862" s="133">
        <v>41645</v>
      </c>
      <c r="O862" s="134">
        <v>1222</v>
      </c>
      <c r="P862" s="132" t="s">
        <v>151</v>
      </c>
      <c r="Q862" s="132" t="s">
        <v>229</v>
      </c>
      <c r="R862" s="132" t="s">
        <v>158</v>
      </c>
      <c r="S862" s="133">
        <v>41845</v>
      </c>
      <c r="T862" s="134">
        <v>675</v>
      </c>
      <c r="U862" s="132" t="s">
        <v>154</v>
      </c>
      <c r="V862" s="132" t="s">
        <v>185</v>
      </c>
      <c r="W862" s="132" t="s">
        <v>153</v>
      </c>
      <c r="X862" s="133">
        <v>41698</v>
      </c>
      <c r="Y862" s="134">
        <v>501</v>
      </c>
    </row>
    <row r="863" spans="1:25" x14ac:dyDescent="0.25">
      <c r="A863" s="92" t="s">
        <v>148</v>
      </c>
      <c r="B863" s="12" t="s">
        <v>224</v>
      </c>
      <c r="C863" s="12" t="s">
        <v>158</v>
      </c>
      <c r="D863" s="80">
        <v>41873</v>
      </c>
      <c r="E863" s="81">
        <v>1050</v>
      </c>
      <c r="F863" s="76" t="s">
        <v>150</v>
      </c>
      <c r="G863" s="77" t="s">
        <v>159</v>
      </c>
      <c r="H863" s="77" t="s">
        <v>153</v>
      </c>
      <c r="I863" s="86">
        <v>41839</v>
      </c>
      <c r="J863" s="78">
        <v>481</v>
      </c>
      <c r="K863" s="132" t="s">
        <v>20</v>
      </c>
      <c r="L863" s="132" t="s">
        <v>229</v>
      </c>
      <c r="M863" s="132" t="s">
        <v>158</v>
      </c>
      <c r="N863" s="133">
        <v>41669</v>
      </c>
      <c r="O863" s="134">
        <v>1390</v>
      </c>
      <c r="P863" s="132" t="s">
        <v>151</v>
      </c>
      <c r="Q863" s="132" t="s">
        <v>229</v>
      </c>
      <c r="R863" s="132" t="s">
        <v>158</v>
      </c>
      <c r="S863" s="133">
        <v>41850</v>
      </c>
      <c r="T863" s="134">
        <v>1078.4000000000001</v>
      </c>
      <c r="U863" s="132" t="s">
        <v>154</v>
      </c>
      <c r="V863" s="132" t="s">
        <v>185</v>
      </c>
      <c r="W863" s="132" t="s">
        <v>153</v>
      </c>
      <c r="X863" s="133">
        <v>41698</v>
      </c>
      <c r="Y863" s="134">
        <v>600</v>
      </c>
    </row>
    <row r="864" spans="1:25" x14ac:dyDescent="0.25">
      <c r="A864" s="92" t="s">
        <v>148</v>
      </c>
      <c r="B864" s="12" t="s">
        <v>224</v>
      </c>
      <c r="C864" s="12" t="s">
        <v>158</v>
      </c>
      <c r="D864" s="80">
        <v>41874</v>
      </c>
      <c r="E864" s="81">
        <v>1000</v>
      </c>
      <c r="F864" s="76" t="s">
        <v>150</v>
      </c>
      <c r="G864" s="77" t="s">
        <v>159</v>
      </c>
      <c r="H864" s="77" t="s">
        <v>153</v>
      </c>
      <c r="I864" s="86">
        <v>41840</v>
      </c>
      <c r="J864" s="78">
        <v>313</v>
      </c>
      <c r="K864" s="132" t="s">
        <v>20</v>
      </c>
      <c r="L864" s="132" t="s">
        <v>229</v>
      </c>
      <c r="M864" s="132" t="s">
        <v>158</v>
      </c>
      <c r="N864" s="133">
        <v>41892</v>
      </c>
      <c r="O864" s="134">
        <v>823</v>
      </c>
      <c r="P864" s="132" t="s">
        <v>151</v>
      </c>
      <c r="Q864" s="132" t="s">
        <v>229</v>
      </c>
      <c r="R864" s="132" t="s">
        <v>158</v>
      </c>
      <c r="S864" s="133">
        <v>41851</v>
      </c>
      <c r="T864" s="134">
        <v>599.20000000000005</v>
      </c>
      <c r="U864" s="132" t="s">
        <v>154</v>
      </c>
      <c r="V864" s="132" t="s">
        <v>185</v>
      </c>
      <c r="W864" s="132" t="s">
        <v>153</v>
      </c>
      <c r="X864" s="133">
        <v>41714</v>
      </c>
      <c r="Y864" s="134">
        <v>801</v>
      </c>
    </row>
    <row r="865" spans="1:25" x14ac:dyDescent="0.25">
      <c r="A865" s="92" t="s">
        <v>148</v>
      </c>
      <c r="B865" s="12" t="s">
        <v>224</v>
      </c>
      <c r="C865" s="12" t="s">
        <v>158</v>
      </c>
      <c r="D865" s="80">
        <v>41875</v>
      </c>
      <c r="E865" s="81">
        <v>1050</v>
      </c>
      <c r="F865" s="76" t="s">
        <v>150</v>
      </c>
      <c r="G865" s="77" t="s">
        <v>159</v>
      </c>
      <c r="H865" s="77" t="s">
        <v>153</v>
      </c>
      <c r="I865" s="86">
        <v>41841</v>
      </c>
      <c r="J865" s="78">
        <v>664</v>
      </c>
      <c r="K865" s="132" t="s">
        <v>20</v>
      </c>
      <c r="L865" s="132" t="s">
        <v>229</v>
      </c>
      <c r="M865" s="132" t="s">
        <v>158</v>
      </c>
      <c r="N865" s="133">
        <v>41961</v>
      </c>
      <c r="O865" s="134">
        <v>1329</v>
      </c>
      <c r="P865" s="132" t="s">
        <v>151</v>
      </c>
      <c r="Q865" s="132" t="s">
        <v>229</v>
      </c>
      <c r="R865" s="132" t="s">
        <v>158</v>
      </c>
      <c r="S865" s="133">
        <v>41852</v>
      </c>
      <c r="T865" s="134">
        <v>110.6</v>
      </c>
      <c r="U865" s="132" t="s">
        <v>154</v>
      </c>
      <c r="V865" s="132" t="s">
        <v>185</v>
      </c>
      <c r="W865" s="132" t="s">
        <v>153</v>
      </c>
      <c r="X865" s="133">
        <v>41714</v>
      </c>
      <c r="Y865" s="134">
        <v>383</v>
      </c>
    </row>
    <row r="866" spans="1:25" x14ac:dyDescent="0.25">
      <c r="A866" s="92" t="s">
        <v>148</v>
      </c>
      <c r="B866" s="12" t="s">
        <v>224</v>
      </c>
      <c r="C866" s="12" t="s">
        <v>158</v>
      </c>
      <c r="D866" s="80">
        <v>41876</v>
      </c>
      <c r="E866" s="81">
        <v>500</v>
      </c>
      <c r="F866" s="76" t="s">
        <v>150</v>
      </c>
      <c r="G866" s="77" t="s">
        <v>159</v>
      </c>
      <c r="H866" s="77" t="s">
        <v>153</v>
      </c>
      <c r="I866" s="86">
        <v>41842</v>
      </c>
      <c r="J866" s="78">
        <v>939</v>
      </c>
      <c r="K866" s="132" t="s">
        <v>20</v>
      </c>
      <c r="L866" s="132" t="s">
        <v>229</v>
      </c>
      <c r="M866" s="132" t="s">
        <v>158</v>
      </c>
      <c r="N866" s="133">
        <v>41966</v>
      </c>
      <c r="O866" s="134">
        <v>959</v>
      </c>
      <c r="P866" s="132" t="s">
        <v>151</v>
      </c>
      <c r="Q866" s="132" t="s">
        <v>229</v>
      </c>
      <c r="R866" s="132" t="s">
        <v>158</v>
      </c>
      <c r="S866" s="133">
        <v>41855</v>
      </c>
      <c r="T866" s="134">
        <v>667.2</v>
      </c>
      <c r="U866" s="132" t="s">
        <v>154</v>
      </c>
      <c r="V866" s="132" t="s">
        <v>185</v>
      </c>
      <c r="W866" s="132" t="s">
        <v>153</v>
      </c>
      <c r="X866" s="133">
        <v>41715</v>
      </c>
      <c r="Y866" s="134">
        <v>980</v>
      </c>
    </row>
    <row r="867" spans="1:25" x14ac:dyDescent="0.25">
      <c r="A867" s="92" t="s">
        <v>148</v>
      </c>
      <c r="B867" s="12" t="s">
        <v>224</v>
      </c>
      <c r="C867" s="12" t="s">
        <v>158</v>
      </c>
      <c r="D867" s="80">
        <v>41877</v>
      </c>
      <c r="E867" s="81">
        <v>750</v>
      </c>
      <c r="F867" s="76" t="s">
        <v>150</v>
      </c>
      <c r="G867" s="77" t="s">
        <v>159</v>
      </c>
      <c r="H867" s="77" t="s">
        <v>153</v>
      </c>
      <c r="I867" s="86">
        <v>41844</v>
      </c>
      <c r="J867" s="78">
        <v>652</v>
      </c>
      <c r="K867" s="132" t="s">
        <v>20</v>
      </c>
      <c r="L867" s="132" t="s">
        <v>230</v>
      </c>
      <c r="M867" s="132" t="s">
        <v>158</v>
      </c>
      <c r="N867" s="133">
        <v>41639</v>
      </c>
      <c r="O867" s="134">
        <v>820</v>
      </c>
      <c r="P867" s="132" t="s">
        <v>151</v>
      </c>
      <c r="Q867" s="132" t="s">
        <v>229</v>
      </c>
      <c r="R867" s="132" t="s">
        <v>158</v>
      </c>
      <c r="S867" s="133">
        <v>41928</v>
      </c>
      <c r="T867" s="134">
        <v>958.1</v>
      </c>
      <c r="U867" s="132" t="s">
        <v>154</v>
      </c>
      <c r="V867" s="132" t="s">
        <v>185</v>
      </c>
      <c r="W867" s="132" t="s">
        <v>153</v>
      </c>
      <c r="X867" s="133">
        <v>41723</v>
      </c>
      <c r="Y867" s="134">
        <v>760</v>
      </c>
    </row>
    <row r="868" spans="1:25" x14ac:dyDescent="0.25">
      <c r="A868" s="92" t="s">
        <v>148</v>
      </c>
      <c r="B868" s="12" t="s">
        <v>224</v>
      </c>
      <c r="C868" s="12" t="s">
        <v>158</v>
      </c>
      <c r="D868" s="80">
        <v>41878</v>
      </c>
      <c r="E868" s="81">
        <v>720</v>
      </c>
      <c r="F868" s="76" t="s">
        <v>150</v>
      </c>
      <c r="G868" s="77" t="s">
        <v>159</v>
      </c>
      <c r="H868" s="77" t="s">
        <v>153</v>
      </c>
      <c r="I868" s="86">
        <v>41845</v>
      </c>
      <c r="J868" s="78">
        <v>795</v>
      </c>
      <c r="K868" s="132" t="s">
        <v>20</v>
      </c>
      <c r="L868" s="132" t="s">
        <v>230</v>
      </c>
      <c r="M868" s="132" t="s">
        <v>158</v>
      </c>
      <c r="N868" s="133">
        <v>41640</v>
      </c>
      <c r="O868" s="134">
        <v>684</v>
      </c>
      <c r="P868" s="132" t="s">
        <v>151</v>
      </c>
      <c r="Q868" s="132" t="s">
        <v>229</v>
      </c>
      <c r="R868" s="132" t="s">
        <v>158</v>
      </c>
      <c r="S868" s="133">
        <v>41929</v>
      </c>
      <c r="T868" s="134">
        <v>773.9</v>
      </c>
      <c r="U868" s="132" t="s">
        <v>154</v>
      </c>
      <c r="V868" s="132" t="s">
        <v>185</v>
      </c>
      <c r="W868" s="132" t="s">
        <v>153</v>
      </c>
      <c r="X868" s="133">
        <v>41724</v>
      </c>
      <c r="Y868" s="134">
        <v>750</v>
      </c>
    </row>
    <row r="869" spans="1:25" x14ac:dyDescent="0.25">
      <c r="A869" s="92" t="s">
        <v>148</v>
      </c>
      <c r="B869" s="12" t="s">
        <v>224</v>
      </c>
      <c r="C869" s="12" t="s">
        <v>158</v>
      </c>
      <c r="D869" s="80">
        <v>41879</v>
      </c>
      <c r="E869" s="81">
        <v>725</v>
      </c>
      <c r="F869" s="76" t="s">
        <v>150</v>
      </c>
      <c r="G869" s="77" t="s">
        <v>159</v>
      </c>
      <c r="H869" s="77" t="s">
        <v>153</v>
      </c>
      <c r="I869" s="86">
        <v>41849</v>
      </c>
      <c r="J869" s="78">
        <v>918</v>
      </c>
      <c r="K869" s="132" t="s">
        <v>20</v>
      </c>
      <c r="L869" s="132" t="s">
        <v>230</v>
      </c>
      <c r="M869" s="132" t="s">
        <v>158</v>
      </c>
      <c r="N869" s="133">
        <v>41642</v>
      </c>
      <c r="O869" s="134">
        <v>434</v>
      </c>
      <c r="P869" s="132" t="s">
        <v>151</v>
      </c>
      <c r="Q869" s="132" t="s">
        <v>229</v>
      </c>
      <c r="R869" s="132" t="s">
        <v>158</v>
      </c>
      <c r="S869" s="133">
        <v>41932</v>
      </c>
      <c r="T869" s="134">
        <v>446.2</v>
      </c>
      <c r="U869" s="132" t="s">
        <v>154</v>
      </c>
      <c r="V869" s="132" t="s">
        <v>185</v>
      </c>
      <c r="W869" s="132" t="s">
        <v>153</v>
      </c>
      <c r="X869" s="133">
        <v>41725</v>
      </c>
      <c r="Y869" s="134">
        <v>806</v>
      </c>
    </row>
    <row r="870" spans="1:25" x14ac:dyDescent="0.25">
      <c r="A870" s="92" t="s">
        <v>148</v>
      </c>
      <c r="B870" s="12" t="s">
        <v>224</v>
      </c>
      <c r="C870" s="12" t="s">
        <v>158</v>
      </c>
      <c r="D870" s="80">
        <v>41880</v>
      </c>
      <c r="E870" s="81">
        <v>775</v>
      </c>
      <c r="F870" s="76" t="s">
        <v>150</v>
      </c>
      <c r="G870" s="77" t="s">
        <v>159</v>
      </c>
      <c r="H870" s="77" t="s">
        <v>153</v>
      </c>
      <c r="I870" s="86">
        <v>41851</v>
      </c>
      <c r="J870" s="78">
        <v>945</v>
      </c>
      <c r="K870" s="132" t="s">
        <v>20</v>
      </c>
      <c r="L870" s="132" t="s">
        <v>230</v>
      </c>
      <c r="M870" s="132" t="s">
        <v>158</v>
      </c>
      <c r="N870" s="133">
        <v>41644</v>
      </c>
      <c r="O870" s="134">
        <v>648</v>
      </c>
      <c r="P870" s="132" t="s">
        <v>151</v>
      </c>
      <c r="Q870" s="132" t="s">
        <v>229</v>
      </c>
      <c r="R870" s="132" t="s">
        <v>158</v>
      </c>
      <c r="S870" s="133">
        <v>41933</v>
      </c>
      <c r="T870" s="134">
        <v>322.39999999999998</v>
      </c>
      <c r="U870" s="132" t="s">
        <v>154</v>
      </c>
      <c r="V870" s="132" t="s">
        <v>185</v>
      </c>
      <c r="W870" s="132" t="s">
        <v>153</v>
      </c>
      <c r="X870" s="133">
        <v>41726</v>
      </c>
      <c r="Y870" s="134">
        <v>1114</v>
      </c>
    </row>
    <row r="871" spans="1:25" x14ac:dyDescent="0.25">
      <c r="A871" s="92" t="s">
        <v>148</v>
      </c>
      <c r="B871" s="12" t="s">
        <v>224</v>
      </c>
      <c r="C871" s="12" t="s">
        <v>158</v>
      </c>
      <c r="D871" s="80">
        <v>41881</v>
      </c>
      <c r="E871" s="81">
        <v>750</v>
      </c>
      <c r="F871" s="76" t="s">
        <v>150</v>
      </c>
      <c r="G871" s="77" t="s">
        <v>159</v>
      </c>
      <c r="H871" s="77" t="s">
        <v>153</v>
      </c>
      <c r="I871" s="86">
        <v>41852</v>
      </c>
      <c r="J871" s="78">
        <v>791</v>
      </c>
      <c r="K871" s="132" t="s">
        <v>20</v>
      </c>
      <c r="L871" s="132" t="s">
        <v>230</v>
      </c>
      <c r="M871" s="132" t="s">
        <v>158</v>
      </c>
      <c r="N871" s="133">
        <v>41650</v>
      </c>
      <c r="O871" s="134">
        <v>689</v>
      </c>
      <c r="P871" s="132" t="s">
        <v>151</v>
      </c>
      <c r="Q871" s="132" t="s">
        <v>229</v>
      </c>
      <c r="R871" s="132" t="s">
        <v>158</v>
      </c>
      <c r="S871" s="133">
        <v>41934</v>
      </c>
      <c r="T871" s="134">
        <v>407.7</v>
      </c>
      <c r="U871" s="132" t="s">
        <v>154</v>
      </c>
      <c r="V871" s="132" t="s">
        <v>185</v>
      </c>
      <c r="W871" s="132" t="s">
        <v>153</v>
      </c>
      <c r="X871" s="133">
        <v>41727</v>
      </c>
      <c r="Y871" s="134">
        <v>535</v>
      </c>
    </row>
    <row r="872" spans="1:25" x14ac:dyDescent="0.25">
      <c r="A872" s="92" t="s">
        <v>148</v>
      </c>
      <c r="B872" s="12" t="s">
        <v>224</v>
      </c>
      <c r="C872" s="12" t="s">
        <v>158</v>
      </c>
      <c r="D872" s="80">
        <v>41883</v>
      </c>
      <c r="E872" s="81">
        <v>1013</v>
      </c>
      <c r="F872" s="76" t="s">
        <v>150</v>
      </c>
      <c r="G872" s="77" t="s">
        <v>159</v>
      </c>
      <c r="H872" s="77" t="s">
        <v>153</v>
      </c>
      <c r="I872" s="86">
        <v>41856</v>
      </c>
      <c r="J872" s="78">
        <v>1041</v>
      </c>
      <c r="K872" s="132" t="s">
        <v>20</v>
      </c>
      <c r="L872" s="132" t="s">
        <v>230</v>
      </c>
      <c r="M872" s="132" t="s">
        <v>158</v>
      </c>
      <c r="N872" s="133">
        <v>41691</v>
      </c>
      <c r="O872" s="134">
        <v>755</v>
      </c>
      <c r="P872" s="132" t="s">
        <v>151</v>
      </c>
      <c r="Q872" s="132" t="s">
        <v>229</v>
      </c>
      <c r="R872" s="132" t="s">
        <v>158</v>
      </c>
      <c r="S872" s="133">
        <v>41935</v>
      </c>
      <c r="T872" s="134">
        <v>655.5</v>
      </c>
      <c r="U872" s="132" t="s">
        <v>154</v>
      </c>
      <c r="V872" s="132" t="s">
        <v>185</v>
      </c>
      <c r="W872" s="132" t="s">
        <v>153</v>
      </c>
      <c r="X872" s="133">
        <v>41728</v>
      </c>
      <c r="Y872" s="134">
        <v>401</v>
      </c>
    </row>
    <row r="873" spans="1:25" x14ac:dyDescent="0.25">
      <c r="A873" s="92" t="s">
        <v>148</v>
      </c>
      <c r="B873" s="12" t="s">
        <v>224</v>
      </c>
      <c r="C873" s="12" t="s">
        <v>158</v>
      </c>
      <c r="D873" s="80">
        <v>41884</v>
      </c>
      <c r="E873" s="81">
        <v>700</v>
      </c>
      <c r="F873" s="76" t="s">
        <v>150</v>
      </c>
      <c r="G873" s="77" t="s">
        <v>159</v>
      </c>
      <c r="H873" s="77" t="s">
        <v>153</v>
      </c>
      <c r="I873" s="86">
        <v>41857</v>
      </c>
      <c r="J873" s="78">
        <v>1223</v>
      </c>
      <c r="K873" s="132" t="s">
        <v>20</v>
      </c>
      <c r="L873" s="132" t="s">
        <v>230</v>
      </c>
      <c r="M873" s="132" t="s">
        <v>158</v>
      </c>
      <c r="N873" s="133">
        <v>41699</v>
      </c>
      <c r="O873" s="134">
        <v>652</v>
      </c>
      <c r="P873" s="132" t="s">
        <v>151</v>
      </c>
      <c r="Q873" s="132" t="s">
        <v>229</v>
      </c>
      <c r="R873" s="132" t="s">
        <v>158</v>
      </c>
      <c r="S873" s="133">
        <v>41936</v>
      </c>
      <c r="T873" s="134">
        <v>517.29999999999995</v>
      </c>
      <c r="U873" s="132" t="s">
        <v>154</v>
      </c>
      <c r="V873" s="132" t="s">
        <v>185</v>
      </c>
      <c r="W873" s="132" t="s">
        <v>153</v>
      </c>
      <c r="X873" s="133">
        <v>41729</v>
      </c>
      <c r="Y873" s="134">
        <v>980</v>
      </c>
    </row>
    <row r="874" spans="1:25" x14ac:dyDescent="0.25">
      <c r="A874" s="92" t="s">
        <v>148</v>
      </c>
      <c r="B874" s="12" t="s">
        <v>224</v>
      </c>
      <c r="C874" s="12" t="s">
        <v>158</v>
      </c>
      <c r="D874" s="80">
        <v>41885</v>
      </c>
      <c r="E874" s="81">
        <v>800</v>
      </c>
      <c r="F874" s="76" t="s">
        <v>150</v>
      </c>
      <c r="G874" s="77" t="s">
        <v>159</v>
      </c>
      <c r="H874" s="77" t="s">
        <v>153</v>
      </c>
      <c r="I874" s="86">
        <v>41857</v>
      </c>
      <c r="J874" s="78">
        <v>690</v>
      </c>
      <c r="K874" s="132" t="s">
        <v>20</v>
      </c>
      <c r="L874" s="132" t="s">
        <v>230</v>
      </c>
      <c r="M874" s="132" t="s">
        <v>158</v>
      </c>
      <c r="N874" s="133">
        <v>41793</v>
      </c>
      <c r="O874" s="134">
        <v>1137</v>
      </c>
      <c r="P874" s="132" t="s">
        <v>151</v>
      </c>
      <c r="Q874" s="132" t="s">
        <v>229</v>
      </c>
      <c r="R874" s="132" t="s">
        <v>158</v>
      </c>
      <c r="S874" s="133">
        <v>41976</v>
      </c>
      <c r="T874" s="134">
        <v>569</v>
      </c>
      <c r="U874" s="132" t="s">
        <v>154</v>
      </c>
      <c r="V874" s="132" t="s">
        <v>185</v>
      </c>
      <c r="W874" s="132" t="s">
        <v>153</v>
      </c>
      <c r="X874" s="133">
        <v>41730</v>
      </c>
      <c r="Y874" s="134">
        <v>942</v>
      </c>
    </row>
    <row r="875" spans="1:25" x14ac:dyDescent="0.25">
      <c r="A875" s="92" t="s">
        <v>148</v>
      </c>
      <c r="B875" s="12" t="s">
        <v>224</v>
      </c>
      <c r="C875" s="12" t="s">
        <v>158</v>
      </c>
      <c r="D875" s="80">
        <v>41886</v>
      </c>
      <c r="E875" s="81">
        <v>780</v>
      </c>
      <c r="F875" s="76" t="s">
        <v>150</v>
      </c>
      <c r="G875" s="77" t="s">
        <v>159</v>
      </c>
      <c r="H875" s="77" t="s">
        <v>153</v>
      </c>
      <c r="I875" s="86">
        <v>41859</v>
      </c>
      <c r="J875" s="78">
        <v>1261</v>
      </c>
      <c r="K875" s="132" t="s">
        <v>20</v>
      </c>
      <c r="L875" s="132" t="s">
        <v>230</v>
      </c>
      <c r="M875" s="132" t="s">
        <v>158</v>
      </c>
      <c r="N875" s="133">
        <v>41881</v>
      </c>
      <c r="O875" s="134">
        <v>2101</v>
      </c>
      <c r="P875" s="132" t="s">
        <v>151</v>
      </c>
      <c r="Q875" s="132" t="s">
        <v>229</v>
      </c>
      <c r="R875" s="132" t="s">
        <v>158</v>
      </c>
      <c r="S875" s="133">
        <v>41977</v>
      </c>
      <c r="T875" s="134">
        <v>732.5</v>
      </c>
      <c r="U875" s="132" t="s">
        <v>154</v>
      </c>
      <c r="V875" s="132" t="s">
        <v>185</v>
      </c>
      <c r="W875" s="132" t="s">
        <v>153</v>
      </c>
      <c r="X875" s="133">
        <v>41731</v>
      </c>
      <c r="Y875" s="134">
        <v>1000</v>
      </c>
    </row>
    <row r="876" spans="1:25" x14ac:dyDescent="0.25">
      <c r="A876" s="92" t="s">
        <v>148</v>
      </c>
      <c r="B876" s="12" t="s">
        <v>224</v>
      </c>
      <c r="C876" s="12" t="s">
        <v>158</v>
      </c>
      <c r="D876" s="80">
        <v>41887</v>
      </c>
      <c r="E876" s="81">
        <v>775</v>
      </c>
      <c r="F876" s="76" t="s">
        <v>150</v>
      </c>
      <c r="G876" s="77" t="s">
        <v>159</v>
      </c>
      <c r="H876" s="77" t="s">
        <v>153</v>
      </c>
      <c r="I876" s="86">
        <v>41865</v>
      </c>
      <c r="J876" s="78">
        <v>956</v>
      </c>
      <c r="K876" s="132" t="s">
        <v>20</v>
      </c>
      <c r="L876" s="132" t="s">
        <v>232</v>
      </c>
      <c r="M876" s="132" t="s">
        <v>158</v>
      </c>
      <c r="N876" s="133">
        <v>41653</v>
      </c>
      <c r="O876" s="134">
        <v>1368</v>
      </c>
      <c r="P876" s="132" t="s">
        <v>151</v>
      </c>
      <c r="Q876" s="132" t="s">
        <v>229</v>
      </c>
      <c r="R876" s="132" t="s">
        <v>158</v>
      </c>
      <c r="S876" s="133">
        <v>41978</v>
      </c>
      <c r="T876" s="134">
        <v>381.3</v>
      </c>
      <c r="U876" s="132" t="s">
        <v>154</v>
      </c>
      <c r="V876" s="132" t="s">
        <v>185</v>
      </c>
      <c r="W876" s="132" t="s">
        <v>153</v>
      </c>
      <c r="X876" s="133">
        <v>41732</v>
      </c>
      <c r="Y876" s="134">
        <v>900</v>
      </c>
    </row>
    <row r="877" spans="1:25" x14ac:dyDescent="0.25">
      <c r="A877" s="92" t="s">
        <v>148</v>
      </c>
      <c r="B877" s="12" t="s">
        <v>224</v>
      </c>
      <c r="C877" s="12" t="s">
        <v>158</v>
      </c>
      <c r="D877" s="80">
        <v>41888</v>
      </c>
      <c r="E877" s="81">
        <v>1193</v>
      </c>
      <c r="F877" s="76" t="s">
        <v>150</v>
      </c>
      <c r="G877" s="77" t="s">
        <v>159</v>
      </c>
      <c r="H877" s="77" t="s">
        <v>153</v>
      </c>
      <c r="I877" s="86">
        <v>41866</v>
      </c>
      <c r="J877" s="78">
        <v>1130</v>
      </c>
      <c r="K877" s="132" t="s">
        <v>20</v>
      </c>
      <c r="L877" s="132" t="s">
        <v>232</v>
      </c>
      <c r="M877" s="132" t="s">
        <v>158</v>
      </c>
      <c r="N877" s="133">
        <v>41657</v>
      </c>
      <c r="O877" s="134">
        <v>888</v>
      </c>
      <c r="P877" s="132" t="s">
        <v>151</v>
      </c>
      <c r="Q877" s="132" t="s">
        <v>229</v>
      </c>
      <c r="R877" s="132" t="s">
        <v>158</v>
      </c>
      <c r="S877" s="133">
        <v>41981</v>
      </c>
      <c r="T877" s="134">
        <v>675.9</v>
      </c>
      <c r="U877" s="132" t="s">
        <v>154</v>
      </c>
      <c r="V877" s="132" t="s">
        <v>185</v>
      </c>
      <c r="W877" s="132" t="s">
        <v>153</v>
      </c>
      <c r="X877" s="133">
        <v>41919</v>
      </c>
      <c r="Y877" s="134">
        <v>931</v>
      </c>
    </row>
    <row r="878" spans="1:25" x14ac:dyDescent="0.25">
      <c r="A878" s="92" t="s">
        <v>148</v>
      </c>
      <c r="B878" s="12" t="s">
        <v>224</v>
      </c>
      <c r="C878" s="12" t="s">
        <v>158</v>
      </c>
      <c r="D878" s="80">
        <v>41889</v>
      </c>
      <c r="E878" s="81">
        <v>947</v>
      </c>
      <c r="F878" s="76" t="s">
        <v>150</v>
      </c>
      <c r="G878" s="77" t="s">
        <v>159</v>
      </c>
      <c r="H878" s="77" t="s">
        <v>153</v>
      </c>
      <c r="I878" s="86">
        <v>41870</v>
      </c>
      <c r="J878" s="78">
        <v>1120</v>
      </c>
      <c r="K878" s="132" t="s">
        <v>20</v>
      </c>
      <c r="L878" s="132" t="s">
        <v>232</v>
      </c>
      <c r="M878" s="132" t="s">
        <v>158</v>
      </c>
      <c r="N878" s="133">
        <v>41672</v>
      </c>
      <c r="O878" s="134">
        <v>1253</v>
      </c>
      <c r="P878" s="132" t="s">
        <v>151</v>
      </c>
      <c r="Q878" s="132" t="s">
        <v>229</v>
      </c>
      <c r="R878" s="132" t="s">
        <v>158</v>
      </c>
      <c r="S878" s="133">
        <v>41982</v>
      </c>
      <c r="T878" s="134">
        <v>711.1</v>
      </c>
      <c r="U878" s="132" t="s">
        <v>154</v>
      </c>
      <c r="V878" s="132" t="s">
        <v>185</v>
      </c>
      <c r="W878" s="132" t="s">
        <v>153</v>
      </c>
      <c r="X878" s="133">
        <v>41920</v>
      </c>
      <c r="Y878" s="134">
        <v>1100</v>
      </c>
    </row>
    <row r="879" spans="1:25" x14ac:dyDescent="0.25">
      <c r="A879" s="92" t="s">
        <v>148</v>
      </c>
      <c r="B879" s="12" t="s">
        <v>224</v>
      </c>
      <c r="C879" s="12" t="s">
        <v>158</v>
      </c>
      <c r="D879" s="80">
        <v>41890</v>
      </c>
      <c r="E879" s="81">
        <v>500</v>
      </c>
      <c r="F879" s="76" t="s">
        <v>150</v>
      </c>
      <c r="G879" s="77" t="s">
        <v>159</v>
      </c>
      <c r="H879" s="77" t="s">
        <v>153</v>
      </c>
      <c r="I879" s="86">
        <v>41871</v>
      </c>
      <c r="J879" s="78">
        <v>547</v>
      </c>
      <c r="K879" s="132" t="s">
        <v>20</v>
      </c>
      <c r="L879" s="132" t="s">
        <v>232</v>
      </c>
      <c r="M879" s="132" t="s">
        <v>158</v>
      </c>
      <c r="N879" s="133">
        <v>41676</v>
      </c>
      <c r="O879" s="134">
        <v>1419</v>
      </c>
      <c r="P879" s="132" t="s">
        <v>151</v>
      </c>
      <c r="Q879" s="132" t="s">
        <v>229</v>
      </c>
      <c r="R879" s="132" t="s">
        <v>158</v>
      </c>
      <c r="S879" s="133">
        <v>41984</v>
      </c>
      <c r="T879" s="134">
        <v>842.2</v>
      </c>
      <c r="U879" s="132" t="s">
        <v>154</v>
      </c>
      <c r="V879" s="132" t="s">
        <v>185</v>
      </c>
      <c r="W879" s="132" t="s">
        <v>153</v>
      </c>
      <c r="X879" s="133">
        <v>41921</v>
      </c>
      <c r="Y879" s="134">
        <v>991</v>
      </c>
    </row>
    <row r="880" spans="1:25" x14ac:dyDescent="0.25">
      <c r="A880" s="92" t="s">
        <v>148</v>
      </c>
      <c r="B880" s="12" t="s">
        <v>224</v>
      </c>
      <c r="C880" s="12" t="s">
        <v>158</v>
      </c>
      <c r="D880" s="80">
        <v>41891</v>
      </c>
      <c r="E880" s="81">
        <v>770</v>
      </c>
      <c r="F880" s="76" t="s">
        <v>150</v>
      </c>
      <c r="G880" s="77" t="s">
        <v>159</v>
      </c>
      <c r="H880" s="77" t="s">
        <v>153</v>
      </c>
      <c r="I880" s="86">
        <v>41871</v>
      </c>
      <c r="J880" s="78">
        <v>987</v>
      </c>
      <c r="K880" s="132" t="s">
        <v>20</v>
      </c>
      <c r="L880" s="132" t="s">
        <v>232</v>
      </c>
      <c r="M880" s="132" t="s">
        <v>158</v>
      </c>
      <c r="N880" s="133">
        <v>41678</v>
      </c>
      <c r="O880" s="134">
        <v>1242</v>
      </c>
      <c r="P880" s="132" t="s">
        <v>151</v>
      </c>
      <c r="Q880" s="132" t="s">
        <v>229</v>
      </c>
      <c r="R880" s="132" t="s">
        <v>158</v>
      </c>
      <c r="S880" s="133">
        <v>41990</v>
      </c>
      <c r="T880" s="134">
        <v>988.1</v>
      </c>
      <c r="U880" s="132" t="s">
        <v>154</v>
      </c>
      <c r="V880" s="132" t="s">
        <v>185</v>
      </c>
      <c r="W880" s="132" t="s">
        <v>153</v>
      </c>
      <c r="X880" s="133">
        <v>41922</v>
      </c>
      <c r="Y880" s="134">
        <v>840</v>
      </c>
    </row>
    <row r="881" spans="1:25" x14ac:dyDescent="0.25">
      <c r="A881" s="92" t="s">
        <v>148</v>
      </c>
      <c r="B881" s="12" t="s">
        <v>224</v>
      </c>
      <c r="C881" s="12" t="s">
        <v>158</v>
      </c>
      <c r="D881" s="80">
        <v>41892</v>
      </c>
      <c r="E881" s="81">
        <v>780</v>
      </c>
      <c r="F881" s="76" t="s">
        <v>150</v>
      </c>
      <c r="G881" s="77" t="s">
        <v>159</v>
      </c>
      <c r="H881" s="77" t="s">
        <v>153</v>
      </c>
      <c r="I881" s="86">
        <v>41874</v>
      </c>
      <c r="J881" s="78">
        <v>997</v>
      </c>
      <c r="K881" s="132" t="s">
        <v>20</v>
      </c>
      <c r="L881" s="132" t="s">
        <v>232</v>
      </c>
      <c r="M881" s="132" t="s">
        <v>158</v>
      </c>
      <c r="N881" s="133">
        <v>41680</v>
      </c>
      <c r="O881" s="134">
        <v>960</v>
      </c>
      <c r="P881" s="132" t="s">
        <v>151</v>
      </c>
      <c r="Q881" s="132" t="s">
        <v>229</v>
      </c>
      <c r="R881" s="132" t="s">
        <v>158</v>
      </c>
      <c r="S881" s="133">
        <v>41992</v>
      </c>
      <c r="T881" s="134">
        <v>946.9</v>
      </c>
      <c r="U881" s="132" t="s">
        <v>154</v>
      </c>
      <c r="V881" s="132" t="s">
        <v>185</v>
      </c>
      <c r="W881" s="132" t="s">
        <v>153</v>
      </c>
      <c r="X881" s="133">
        <v>41923</v>
      </c>
      <c r="Y881" s="134">
        <v>435</v>
      </c>
    </row>
    <row r="882" spans="1:25" x14ac:dyDescent="0.25">
      <c r="A882" s="92" t="s">
        <v>148</v>
      </c>
      <c r="B882" s="12" t="s">
        <v>224</v>
      </c>
      <c r="C882" s="12" t="s">
        <v>158</v>
      </c>
      <c r="D882" s="80">
        <v>41893</v>
      </c>
      <c r="E882" s="81">
        <v>780</v>
      </c>
      <c r="F882" s="76" t="s">
        <v>150</v>
      </c>
      <c r="G882" s="77" t="s">
        <v>159</v>
      </c>
      <c r="H882" s="77" t="s">
        <v>153</v>
      </c>
      <c r="I882" s="86">
        <v>41874</v>
      </c>
      <c r="J882" s="78">
        <v>1274</v>
      </c>
      <c r="K882" s="132" t="s">
        <v>20</v>
      </c>
      <c r="L882" s="132" t="s">
        <v>232</v>
      </c>
      <c r="M882" s="132" t="s">
        <v>158</v>
      </c>
      <c r="N882" s="133">
        <v>41698</v>
      </c>
      <c r="O882" s="134">
        <v>1689</v>
      </c>
      <c r="P882" s="132" t="s">
        <v>151</v>
      </c>
      <c r="Q882" s="132" t="s">
        <v>230</v>
      </c>
      <c r="R882" s="132" t="s">
        <v>158</v>
      </c>
      <c r="S882" s="133">
        <v>41670</v>
      </c>
      <c r="T882" s="134">
        <v>740.5</v>
      </c>
      <c r="U882" s="132" t="s">
        <v>154</v>
      </c>
      <c r="V882" s="132" t="s">
        <v>185</v>
      </c>
      <c r="W882" s="132" t="s">
        <v>153</v>
      </c>
      <c r="X882" s="133">
        <v>41923</v>
      </c>
      <c r="Y882" s="134">
        <v>501</v>
      </c>
    </row>
    <row r="883" spans="1:25" x14ac:dyDescent="0.25">
      <c r="A883" s="92" t="s">
        <v>148</v>
      </c>
      <c r="B883" s="12" t="s">
        <v>224</v>
      </c>
      <c r="C883" s="12" t="s">
        <v>158</v>
      </c>
      <c r="D883" s="80">
        <v>41895</v>
      </c>
      <c r="E883" s="81">
        <v>1500</v>
      </c>
      <c r="F883" s="76" t="s">
        <v>150</v>
      </c>
      <c r="G883" s="77" t="s">
        <v>159</v>
      </c>
      <c r="H883" s="77" t="s">
        <v>153</v>
      </c>
      <c r="I883" s="86">
        <v>41875</v>
      </c>
      <c r="J883" s="78">
        <v>1318</v>
      </c>
      <c r="K883" s="132" t="s">
        <v>20</v>
      </c>
      <c r="L883" s="132" t="s">
        <v>232</v>
      </c>
      <c r="M883" s="132" t="s">
        <v>158</v>
      </c>
      <c r="N883" s="133">
        <v>41719</v>
      </c>
      <c r="O883" s="134">
        <v>637</v>
      </c>
      <c r="P883" s="132" t="s">
        <v>151</v>
      </c>
      <c r="Q883" s="132" t="s">
        <v>232</v>
      </c>
      <c r="R883" s="132" t="s">
        <v>158</v>
      </c>
      <c r="S883" s="133">
        <v>41884</v>
      </c>
      <c r="T883" s="134">
        <v>1138.8</v>
      </c>
      <c r="U883" s="132" t="s">
        <v>154</v>
      </c>
      <c r="V883" s="132" t="s">
        <v>185</v>
      </c>
      <c r="W883" s="132" t="s">
        <v>153</v>
      </c>
      <c r="X883" s="133">
        <v>41924</v>
      </c>
      <c r="Y883" s="134">
        <v>185</v>
      </c>
    </row>
    <row r="884" spans="1:25" x14ac:dyDescent="0.25">
      <c r="A884" s="92" t="s">
        <v>148</v>
      </c>
      <c r="B884" s="12" t="s">
        <v>224</v>
      </c>
      <c r="C884" s="12" t="s">
        <v>158</v>
      </c>
      <c r="D884" s="80">
        <v>41896</v>
      </c>
      <c r="E884" s="81">
        <v>675</v>
      </c>
      <c r="F884" s="76" t="s">
        <v>150</v>
      </c>
      <c r="G884" s="77" t="s">
        <v>159</v>
      </c>
      <c r="H884" s="77" t="s">
        <v>153</v>
      </c>
      <c r="I884" s="86">
        <v>41876</v>
      </c>
      <c r="J884" s="78">
        <v>848</v>
      </c>
      <c r="K884" s="132" t="s">
        <v>20</v>
      </c>
      <c r="L884" s="132" t="s">
        <v>232</v>
      </c>
      <c r="M884" s="132" t="s">
        <v>158</v>
      </c>
      <c r="N884" s="133">
        <v>41721</v>
      </c>
      <c r="O884" s="134">
        <v>813</v>
      </c>
      <c r="P884" s="132" t="s">
        <v>151</v>
      </c>
      <c r="Q884" s="132" t="s">
        <v>232</v>
      </c>
      <c r="R884" s="132" t="s">
        <v>158</v>
      </c>
      <c r="S884" s="133">
        <v>41964</v>
      </c>
      <c r="T884" s="134">
        <v>932.9</v>
      </c>
      <c r="U884" s="132" t="s">
        <v>154</v>
      </c>
      <c r="V884" s="132" t="s">
        <v>185</v>
      </c>
      <c r="W884" s="132" t="s">
        <v>153</v>
      </c>
      <c r="X884" s="133">
        <v>41965</v>
      </c>
      <c r="Y884" s="134">
        <v>474</v>
      </c>
    </row>
    <row r="885" spans="1:25" x14ac:dyDescent="0.25">
      <c r="A885" s="92" t="s">
        <v>148</v>
      </c>
      <c r="B885" s="12" t="s">
        <v>224</v>
      </c>
      <c r="C885" s="12" t="s">
        <v>158</v>
      </c>
      <c r="D885" s="80">
        <v>41897</v>
      </c>
      <c r="E885" s="81">
        <v>650</v>
      </c>
      <c r="F885" s="76" t="s">
        <v>150</v>
      </c>
      <c r="G885" s="77" t="s">
        <v>159</v>
      </c>
      <c r="H885" s="77" t="s">
        <v>153</v>
      </c>
      <c r="I885" s="86">
        <v>41905</v>
      </c>
      <c r="J885" s="78">
        <v>675</v>
      </c>
      <c r="K885" s="132" t="s">
        <v>20</v>
      </c>
      <c r="L885" s="132" t="s">
        <v>232</v>
      </c>
      <c r="M885" s="132" t="s">
        <v>158</v>
      </c>
      <c r="N885" s="133">
        <v>41737</v>
      </c>
      <c r="O885" s="134">
        <v>1822</v>
      </c>
      <c r="P885" s="132" t="s">
        <v>151</v>
      </c>
      <c r="Q885" s="132" t="s">
        <v>232</v>
      </c>
      <c r="R885" s="132" t="s">
        <v>158</v>
      </c>
      <c r="S885" s="133">
        <v>41988</v>
      </c>
      <c r="T885" s="134">
        <v>823.2</v>
      </c>
      <c r="U885" s="132" t="s">
        <v>154</v>
      </c>
      <c r="V885" s="132" t="s">
        <v>186</v>
      </c>
      <c r="W885" s="132" t="s">
        <v>153</v>
      </c>
      <c r="X885" s="133">
        <v>41645</v>
      </c>
      <c r="Y885" s="134">
        <v>1000</v>
      </c>
    </row>
    <row r="886" spans="1:25" x14ac:dyDescent="0.25">
      <c r="A886" s="92" t="s">
        <v>148</v>
      </c>
      <c r="B886" s="12" t="s">
        <v>224</v>
      </c>
      <c r="C886" s="12" t="s">
        <v>158</v>
      </c>
      <c r="D886" s="80">
        <v>41898</v>
      </c>
      <c r="E886" s="81">
        <v>910</v>
      </c>
      <c r="F886" s="76" t="s">
        <v>150</v>
      </c>
      <c r="G886" s="77" t="s">
        <v>159</v>
      </c>
      <c r="H886" s="77" t="s">
        <v>153</v>
      </c>
      <c r="I886" s="86">
        <v>41906</v>
      </c>
      <c r="J886" s="78">
        <v>543</v>
      </c>
      <c r="K886" s="132" t="s">
        <v>20</v>
      </c>
      <c r="L886" s="132" t="s">
        <v>232</v>
      </c>
      <c r="M886" s="132" t="s">
        <v>158</v>
      </c>
      <c r="N886" s="133">
        <v>41742</v>
      </c>
      <c r="O886" s="134">
        <v>1134</v>
      </c>
      <c r="P886" s="132" t="s">
        <v>151</v>
      </c>
      <c r="Q886" s="132" t="s">
        <v>232</v>
      </c>
      <c r="R886" s="132" t="s">
        <v>158</v>
      </c>
      <c r="S886" s="133">
        <v>41989</v>
      </c>
      <c r="T886" s="134">
        <v>567.6</v>
      </c>
      <c r="U886" s="132" t="s">
        <v>154</v>
      </c>
      <c r="V886" s="132" t="s">
        <v>186</v>
      </c>
      <c r="W886" s="132" t="s">
        <v>153</v>
      </c>
      <c r="X886" s="133">
        <v>41646</v>
      </c>
      <c r="Y886" s="134">
        <v>1150</v>
      </c>
    </row>
    <row r="887" spans="1:25" x14ac:dyDescent="0.25">
      <c r="A887" s="92" t="s">
        <v>148</v>
      </c>
      <c r="B887" s="12" t="s">
        <v>224</v>
      </c>
      <c r="C887" s="12" t="s">
        <v>158</v>
      </c>
      <c r="D887" s="80">
        <v>41899</v>
      </c>
      <c r="E887" s="81">
        <v>730</v>
      </c>
      <c r="F887" s="76" t="s">
        <v>150</v>
      </c>
      <c r="G887" s="77" t="s">
        <v>159</v>
      </c>
      <c r="H887" s="77" t="s">
        <v>153</v>
      </c>
      <c r="I887" s="86">
        <v>41908</v>
      </c>
      <c r="J887" s="78">
        <v>951</v>
      </c>
      <c r="K887" s="132" t="s">
        <v>20</v>
      </c>
      <c r="L887" s="132" t="s">
        <v>232</v>
      </c>
      <c r="M887" s="132" t="s">
        <v>158</v>
      </c>
      <c r="N887" s="133">
        <v>41748</v>
      </c>
      <c r="O887" s="134">
        <v>764</v>
      </c>
      <c r="P887" s="132" t="s">
        <v>151</v>
      </c>
      <c r="Q887" s="132" t="s">
        <v>232</v>
      </c>
      <c r="R887" s="132" t="s">
        <v>158</v>
      </c>
      <c r="S887" s="133">
        <v>41990</v>
      </c>
      <c r="T887" s="134">
        <v>390.9</v>
      </c>
      <c r="U887" s="132" t="s">
        <v>154</v>
      </c>
      <c r="V887" s="132" t="s">
        <v>186</v>
      </c>
      <c r="W887" s="132" t="s">
        <v>153</v>
      </c>
      <c r="X887" s="133">
        <v>41647</v>
      </c>
      <c r="Y887" s="134">
        <v>1126</v>
      </c>
    </row>
    <row r="888" spans="1:25" x14ac:dyDescent="0.25">
      <c r="A888" s="92" t="s">
        <v>148</v>
      </c>
      <c r="B888" s="12" t="s">
        <v>224</v>
      </c>
      <c r="C888" s="12" t="s">
        <v>158</v>
      </c>
      <c r="D888" s="80">
        <v>41900</v>
      </c>
      <c r="E888" s="81">
        <v>800</v>
      </c>
      <c r="F888" s="76" t="s">
        <v>150</v>
      </c>
      <c r="G888" s="77" t="s">
        <v>159</v>
      </c>
      <c r="H888" s="77" t="s">
        <v>153</v>
      </c>
      <c r="I888" s="86">
        <v>41911</v>
      </c>
      <c r="J888" s="78">
        <v>1106</v>
      </c>
      <c r="K888" s="132" t="s">
        <v>20</v>
      </c>
      <c r="L888" s="132" t="s">
        <v>232</v>
      </c>
      <c r="M888" s="132" t="s">
        <v>158</v>
      </c>
      <c r="N888" s="133">
        <v>41750</v>
      </c>
      <c r="O888" s="134">
        <v>475</v>
      </c>
      <c r="P888" s="132" t="s">
        <v>151</v>
      </c>
      <c r="Q888" s="132" t="s">
        <v>232</v>
      </c>
      <c r="R888" s="132" t="s">
        <v>158</v>
      </c>
      <c r="S888" s="133">
        <v>41991</v>
      </c>
      <c r="T888" s="134">
        <v>689.7</v>
      </c>
      <c r="U888" s="132" t="s">
        <v>154</v>
      </c>
      <c r="V888" s="132" t="s">
        <v>186</v>
      </c>
      <c r="W888" s="132" t="s">
        <v>153</v>
      </c>
      <c r="X888" s="133">
        <v>41648</v>
      </c>
      <c r="Y888" s="134">
        <v>983</v>
      </c>
    </row>
    <row r="889" spans="1:25" x14ac:dyDescent="0.25">
      <c r="A889" s="92" t="s">
        <v>148</v>
      </c>
      <c r="B889" s="12" t="s">
        <v>224</v>
      </c>
      <c r="C889" s="12" t="s">
        <v>158</v>
      </c>
      <c r="D889" s="80">
        <v>41901</v>
      </c>
      <c r="E889" s="81">
        <v>825</v>
      </c>
      <c r="F889" s="76" t="s">
        <v>150</v>
      </c>
      <c r="G889" s="77" t="s">
        <v>159</v>
      </c>
      <c r="H889" s="77" t="s">
        <v>153</v>
      </c>
      <c r="I889" s="86">
        <v>41913</v>
      </c>
      <c r="J889" s="78">
        <v>979</v>
      </c>
      <c r="K889" s="132" t="s">
        <v>20</v>
      </c>
      <c r="L889" s="132" t="s">
        <v>232</v>
      </c>
      <c r="M889" s="132" t="s">
        <v>158</v>
      </c>
      <c r="N889" s="133">
        <v>41752</v>
      </c>
      <c r="O889" s="134">
        <v>922</v>
      </c>
      <c r="P889" s="132" t="s">
        <v>151</v>
      </c>
      <c r="Q889" s="132" t="s">
        <v>232</v>
      </c>
      <c r="R889" s="132" t="s">
        <v>158</v>
      </c>
      <c r="S889" s="133">
        <v>41992</v>
      </c>
      <c r="T889" s="134">
        <v>811.2</v>
      </c>
      <c r="U889" s="132" t="s">
        <v>154</v>
      </c>
      <c r="V889" s="132" t="s">
        <v>186</v>
      </c>
      <c r="W889" s="132" t="s">
        <v>153</v>
      </c>
      <c r="X889" s="133">
        <v>41649</v>
      </c>
      <c r="Y889" s="134">
        <v>1300</v>
      </c>
    </row>
    <row r="890" spans="1:25" x14ac:dyDescent="0.25">
      <c r="A890" s="92" t="s">
        <v>148</v>
      </c>
      <c r="B890" s="12" t="s">
        <v>224</v>
      </c>
      <c r="C890" s="12" t="s">
        <v>158</v>
      </c>
      <c r="D890" s="80">
        <v>41902</v>
      </c>
      <c r="E890" s="81">
        <v>1168</v>
      </c>
      <c r="F890" s="76" t="s">
        <v>150</v>
      </c>
      <c r="G890" s="77" t="s">
        <v>159</v>
      </c>
      <c r="H890" s="77" t="s">
        <v>153</v>
      </c>
      <c r="I890" s="86">
        <v>41915</v>
      </c>
      <c r="J890" s="78">
        <v>1097</v>
      </c>
      <c r="K890" s="132" t="s">
        <v>20</v>
      </c>
      <c r="L890" s="132" t="s">
        <v>232</v>
      </c>
      <c r="M890" s="132" t="s">
        <v>158</v>
      </c>
      <c r="N890" s="133">
        <v>41762</v>
      </c>
      <c r="O890" s="134">
        <v>1557</v>
      </c>
      <c r="P890" s="132" t="s">
        <v>151</v>
      </c>
      <c r="Q890" s="132" t="s">
        <v>232</v>
      </c>
      <c r="R890" s="132" t="s">
        <v>158</v>
      </c>
      <c r="S890" s="133">
        <v>41995</v>
      </c>
      <c r="T890" s="134">
        <v>347.8</v>
      </c>
      <c r="U890" s="132" t="s">
        <v>154</v>
      </c>
      <c r="V890" s="132" t="s">
        <v>186</v>
      </c>
      <c r="W890" s="132" t="s">
        <v>153</v>
      </c>
      <c r="X890" s="133">
        <v>41652</v>
      </c>
      <c r="Y890" s="134">
        <v>1002</v>
      </c>
    </row>
    <row r="891" spans="1:25" x14ac:dyDescent="0.25">
      <c r="A891" s="92" t="s">
        <v>148</v>
      </c>
      <c r="B891" s="12" t="s">
        <v>224</v>
      </c>
      <c r="C891" s="12" t="s">
        <v>158</v>
      </c>
      <c r="D891" s="80">
        <v>41903</v>
      </c>
      <c r="E891" s="81">
        <v>944</v>
      </c>
      <c r="F891" s="76" t="s">
        <v>150</v>
      </c>
      <c r="G891" s="77" t="s">
        <v>159</v>
      </c>
      <c r="H891" s="77" t="s">
        <v>153</v>
      </c>
      <c r="I891" s="86">
        <v>41915</v>
      </c>
      <c r="J891" s="78">
        <v>1212</v>
      </c>
      <c r="K891" s="132" t="s">
        <v>20</v>
      </c>
      <c r="L891" s="132" t="s">
        <v>232</v>
      </c>
      <c r="M891" s="132" t="s">
        <v>158</v>
      </c>
      <c r="N891" s="133">
        <v>41820</v>
      </c>
      <c r="O891" s="134">
        <v>1700</v>
      </c>
      <c r="P891" s="132" t="s">
        <v>151</v>
      </c>
      <c r="Q891" s="132" t="s">
        <v>232</v>
      </c>
      <c r="R891" s="132" t="s">
        <v>158</v>
      </c>
      <c r="S891" s="133">
        <v>41997</v>
      </c>
      <c r="T891" s="134">
        <v>1081.9000000000001</v>
      </c>
      <c r="U891" s="132" t="s">
        <v>154</v>
      </c>
      <c r="V891" s="132" t="s">
        <v>186</v>
      </c>
      <c r="W891" s="132" t="s">
        <v>153</v>
      </c>
      <c r="X891" s="133">
        <v>41653</v>
      </c>
      <c r="Y891" s="134">
        <v>1109</v>
      </c>
    </row>
    <row r="892" spans="1:25" x14ac:dyDescent="0.25">
      <c r="A892" s="92" t="s">
        <v>148</v>
      </c>
      <c r="B892" s="12" t="s">
        <v>224</v>
      </c>
      <c r="C892" s="12" t="s">
        <v>158</v>
      </c>
      <c r="D892" s="80">
        <v>41904</v>
      </c>
      <c r="E892" s="81">
        <v>500</v>
      </c>
      <c r="F892" s="76" t="s">
        <v>150</v>
      </c>
      <c r="G892" s="77" t="s">
        <v>159</v>
      </c>
      <c r="H892" s="77" t="s">
        <v>153</v>
      </c>
      <c r="I892" s="86">
        <v>41916</v>
      </c>
      <c r="J892" s="78">
        <v>1101</v>
      </c>
      <c r="K892" s="132" t="s">
        <v>20</v>
      </c>
      <c r="L892" s="132" t="s">
        <v>232</v>
      </c>
      <c r="M892" s="132" t="s">
        <v>158</v>
      </c>
      <c r="N892" s="133">
        <v>41846</v>
      </c>
      <c r="O892" s="134">
        <v>1677</v>
      </c>
      <c r="P892" s="132" t="s">
        <v>151</v>
      </c>
      <c r="Q892" s="132" t="s">
        <v>232</v>
      </c>
      <c r="R892" s="132" t="s">
        <v>158</v>
      </c>
      <c r="S892" s="133">
        <v>41999</v>
      </c>
      <c r="T892" s="134">
        <v>714.8</v>
      </c>
      <c r="U892" s="132" t="s">
        <v>154</v>
      </c>
      <c r="V892" s="132" t="s">
        <v>186</v>
      </c>
      <c r="W892" s="132" t="s">
        <v>153</v>
      </c>
      <c r="X892" s="133">
        <v>41654</v>
      </c>
      <c r="Y892" s="134">
        <v>961</v>
      </c>
    </row>
    <row r="893" spans="1:25" x14ac:dyDescent="0.25">
      <c r="A893" s="92" t="s">
        <v>148</v>
      </c>
      <c r="B893" s="12" t="s">
        <v>224</v>
      </c>
      <c r="C893" s="12" t="s">
        <v>158</v>
      </c>
      <c r="D893" s="80">
        <v>41905</v>
      </c>
      <c r="E893" s="81">
        <v>766</v>
      </c>
      <c r="F893" s="76" t="s">
        <v>150</v>
      </c>
      <c r="G893" s="77" t="s">
        <v>159</v>
      </c>
      <c r="H893" s="77" t="s">
        <v>153</v>
      </c>
      <c r="I893" s="86">
        <v>41917</v>
      </c>
      <c r="J893" s="78">
        <v>1276</v>
      </c>
      <c r="K893" s="132" t="s">
        <v>20</v>
      </c>
      <c r="L893" s="132" t="s">
        <v>232</v>
      </c>
      <c r="M893" s="132" t="s">
        <v>158</v>
      </c>
      <c r="N893" s="133">
        <v>41855</v>
      </c>
      <c r="O893" s="134">
        <v>902</v>
      </c>
      <c r="P893" s="132" t="s">
        <v>151</v>
      </c>
      <c r="Q893" s="132" t="s">
        <v>266</v>
      </c>
      <c r="R893" s="132" t="s">
        <v>267</v>
      </c>
      <c r="S893" s="133">
        <v>41765</v>
      </c>
      <c r="T893" s="134">
        <v>611.9</v>
      </c>
      <c r="U893" s="132" t="s">
        <v>154</v>
      </c>
      <c r="V893" s="132" t="s">
        <v>186</v>
      </c>
      <c r="W893" s="132" t="s">
        <v>153</v>
      </c>
      <c r="X893" s="133">
        <v>41655</v>
      </c>
      <c r="Y893" s="134">
        <v>875</v>
      </c>
    </row>
    <row r="894" spans="1:25" x14ac:dyDescent="0.25">
      <c r="A894" s="92" t="s">
        <v>148</v>
      </c>
      <c r="B894" s="12" t="s">
        <v>224</v>
      </c>
      <c r="C894" s="12" t="s">
        <v>158</v>
      </c>
      <c r="D894" s="80">
        <v>41906</v>
      </c>
      <c r="E894" s="81">
        <v>950</v>
      </c>
      <c r="F894" s="76" t="s">
        <v>150</v>
      </c>
      <c r="G894" s="77" t="s">
        <v>159</v>
      </c>
      <c r="H894" s="77" t="s">
        <v>153</v>
      </c>
      <c r="I894" s="86">
        <v>41919</v>
      </c>
      <c r="J894" s="78">
        <v>903</v>
      </c>
      <c r="K894" s="132" t="s">
        <v>20</v>
      </c>
      <c r="L894" s="132" t="s">
        <v>232</v>
      </c>
      <c r="M894" s="132" t="s">
        <v>158</v>
      </c>
      <c r="N894" s="133">
        <v>41876</v>
      </c>
      <c r="O894" s="134">
        <v>1430</v>
      </c>
      <c r="P894" s="132" t="s">
        <v>151</v>
      </c>
      <c r="Q894" s="132" t="s">
        <v>266</v>
      </c>
      <c r="R894" s="132" t="s">
        <v>267</v>
      </c>
      <c r="S894" s="133">
        <v>41766</v>
      </c>
      <c r="T894" s="134">
        <v>633.29999999999995</v>
      </c>
      <c r="U894" s="132" t="s">
        <v>154</v>
      </c>
      <c r="V894" s="132" t="s">
        <v>186</v>
      </c>
      <c r="W894" s="132" t="s">
        <v>153</v>
      </c>
      <c r="X894" s="133">
        <v>41656</v>
      </c>
      <c r="Y894" s="134">
        <v>1330</v>
      </c>
    </row>
    <row r="895" spans="1:25" x14ac:dyDescent="0.25">
      <c r="A895" s="92" t="s">
        <v>148</v>
      </c>
      <c r="B895" s="12" t="s">
        <v>224</v>
      </c>
      <c r="C895" s="12" t="s">
        <v>158</v>
      </c>
      <c r="D895" s="80">
        <v>41907</v>
      </c>
      <c r="E895" s="81">
        <v>790</v>
      </c>
      <c r="F895" s="76" t="s">
        <v>150</v>
      </c>
      <c r="G895" s="77" t="s">
        <v>159</v>
      </c>
      <c r="H895" s="77" t="s">
        <v>153</v>
      </c>
      <c r="I895" s="86">
        <v>41919</v>
      </c>
      <c r="J895" s="78">
        <v>1338</v>
      </c>
      <c r="K895" s="132" t="s">
        <v>20</v>
      </c>
      <c r="L895" s="132" t="s">
        <v>232</v>
      </c>
      <c r="M895" s="132" t="s">
        <v>158</v>
      </c>
      <c r="N895" s="133">
        <v>41879</v>
      </c>
      <c r="O895" s="134">
        <v>508</v>
      </c>
      <c r="P895" s="132" t="s">
        <v>151</v>
      </c>
      <c r="Q895" s="132" t="s">
        <v>266</v>
      </c>
      <c r="R895" s="132" t="s">
        <v>267</v>
      </c>
      <c r="S895" s="133">
        <v>41767</v>
      </c>
      <c r="T895" s="134">
        <v>468.3</v>
      </c>
      <c r="U895" s="132" t="s">
        <v>154</v>
      </c>
      <c r="V895" s="132" t="s">
        <v>186</v>
      </c>
      <c r="W895" s="132" t="s">
        <v>153</v>
      </c>
      <c r="X895" s="133">
        <v>41659</v>
      </c>
      <c r="Y895" s="134">
        <v>465</v>
      </c>
    </row>
    <row r="896" spans="1:25" x14ac:dyDescent="0.25">
      <c r="A896" s="92" t="s">
        <v>148</v>
      </c>
      <c r="B896" s="12" t="s">
        <v>224</v>
      </c>
      <c r="C896" s="12" t="s">
        <v>158</v>
      </c>
      <c r="D896" s="80">
        <v>41908</v>
      </c>
      <c r="E896" s="81">
        <v>780</v>
      </c>
      <c r="F896" s="76" t="s">
        <v>150</v>
      </c>
      <c r="G896" s="77" t="s">
        <v>159</v>
      </c>
      <c r="H896" s="77" t="s">
        <v>153</v>
      </c>
      <c r="I896" s="86">
        <v>41921</v>
      </c>
      <c r="J896" s="78">
        <v>1181</v>
      </c>
      <c r="K896" s="132" t="s">
        <v>20</v>
      </c>
      <c r="L896" s="132" t="s">
        <v>232</v>
      </c>
      <c r="M896" s="132" t="s">
        <v>158</v>
      </c>
      <c r="N896" s="133">
        <v>41894</v>
      </c>
      <c r="O896" s="134">
        <v>1140</v>
      </c>
      <c r="P896" s="132" t="s">
        <v>151</v>
      </c>
      <c r="Q896" s="132" t="s">
        <v>266</v>
      </c>
      <c r="R896" s="132" t="s">
        <v>267</v>
      </c>
      <c r="S896" s="133">
        <v>41768</v>
      </c>
      <c r="T896" s="134">
        <v>475.6</v>
      </c>
      <c r="U896" s="132" t="s">
        <v>154</v>
      </c>
      <c r="V896" s="132" t="s">
        <v>186</v>
      </c>
      <c r="W896" s="132" t="s">
        <v>153</v>
      </c>
      <c r="X896" s="133">
        <v>41660</v>
      </c>
      <c r="Y896" s="134">
        <v>980</v>
      </c>
    </row>
    <row r="897" spans="1:25" x14ac:dyDescent="0.25">
      <c r="A897" s="92" t="s">
        <v>148</v>
      </c>
      <c r="B897" s="12" t="s">
        <v>224</v>
      </c>
      <c r="C897" s="12" t="s">
        <v>158</v>
      </c>
      <c r="D897" s="80">
        <v>41909</v>
      </c>
      <c r="E897" s="81">
        <v>1312</v>
      </c>
      <c r="F897" s="76" t="s">
        <v>150</v>
      </c>
      <c r="G897" s="77" t="s">
        <v>159</v>
      </c>
      <c r="H897" s="77" t="s">
        <v>153</v>
      </c>
      <c r="I897" s="86">
        <v>41921</v>
      </c>
      <c r="J897" s="78">
        <v>1114</v>
      </c>
      <c r="K897" s="132" t="s">
        <v>20</v>
      </c>
      <c r="L897" s="132" t="s">
        <v>232</v>
      </c>
      <c r="M897" s="132" t="s">
        <v>158</v>
      </c>
      <c r="N897" s="133">
        <v>41896</v>
      </c>
      <c r="O897" s="134">
        <v>982</v>
      </c>
      <c r="P897" s="132" t="s">
        <v>151</v>
      </c>
      <c r="Q897" s="132" t="s">
        <v>266</v>
      </c>
      <c r="R897" s="132" t="s">
        <v>267</v>
      </c>
      <c r="S897" s="133">
        <v>41772</v>
      </c>
      <c r="T897" s="134">
        <v>686.3</v>
      </c>
      <c r="U897" s="132" t="s">
        <v>154</v>
      </c>
      <c r="V897" s="132" t="s">
        <v>186</v>
      </c>
      <c r="W897" s="132" t="s">
        <v>153</v>
      </c>
      <c r="X897" s="133">
        <v>41661</v>
      </c>
      <c r="Y897" s="134">
        <v>854</v>
      </c>
    </row>
    <row r="898" spans="1:25" x14ac:dyDescent="0.25">
      <c r="A898" s="92" t="s">
        <v>148</v>
      </c>
      <c r="B898" s="12" t="s">
        <v>224</v>
      </c>
      <c r="C898" s="12" t="s">
        <v>158</v>
      </c>
      <c r="D898" s="80">
        <v>41910</v>
      </c>
      <c r="E898" s="81">
        <v>1048</v>
      </c>
      <c r="F898" s="76" t="s">
        <v>150</v>
      </c>
      <c r="G898" s="77" t="s">
        <v>159</v>
      </c>
      <c r="H898" s="77" t="s">
        <v>153</v>
      </c>
      <c r="I898" s="86">
        <v>41922</v>
      </c>
      <c r="J898" s="78">
        <v>830</v>
      </c>
      <c r="K898" s="132" t="s">
        <v>20</v>
      </c>
      <c r="L898" s="132" t="s">
        <v>232</v>
      </c>
      <c r="M898" s="132" t="s">
        <v>158</v>
      </c>
      <c r="N898" s="133">
        <v>41899</v>
      </c>
      <c r="O898" s="134">
        <v>1373</v>
      </c>
      <c r="P898" s="132" t="s">
        <v>151</v>
      </c>
      <c r="Q898" s="132" t="s">
        <v>266</v>
      </c>
      <c r="R898" s="132" t="s">
        <v>267</v>
      </c>
      <c r="S898" s="133">
        <v>41773</v>
      </c>
      <c r="T898" s="134">
        <v>512</v>
      </c>
      <c r="U898" s="132" t="s">
        <v>154</v>
      </c>
      <c r="V898" s="132" t="s">
        <v>186</v>
      </c>
      <c r="W898" s="132" t="s">
        <v>153</v>
      </c>
      <c r="X898" s="133">
        <v>41661</v>
      </c>
      <c r="Y898" s="134">
        <v>450</v>
      </c>
    </row>
    <row r="899" spans="1:25" x14ac:dyDescent="0.25">
      <c r="A899" s="92" t="s">
        <v>148</v>
      </c>
      <c r="B899" s="12" t="s">
        <v>224</v>
      </c>
      <c r="C899" s="12" t="s">
        <v>158</v>
      </c>
      <c r="D899" s="80">
        <v>41910</v>
      </c>
      <c r="E899" s="81">
        <v>310</v>
      </c>
      <c r="F899" s="76" t="s">
        <v>150</v>
      </c>
      <c r="G899" s="77" t="s">
        <v>159</v>
      </c>
      <c r="H899" s="77" t="s">
        <v>153</v>
      </c>
      <c r="I899" s="86">
        <v>41928</v>
      </c>
      <c r="J899" s="78">
        <v>1270</v>
      </c>
      <c r="K899" s="132" t="s">
        <v>20</v>
      </c>
      <c r="L899" s="132" t="s">
        <v>232</v>
      </c>
      <c r="M899" s="132" t="s">
        <v>158</v>
      </c>
      <c r="N899" s="133">
        <v>41920</v>
      </c>
      <c r="O899" s="134">
        <v>1263</v>
      </c>
      <c r="P899" s="132" t="s">
        <v>151</v>
      </c>
      <c r="Q899" s="132" t="s">
        <v>266</v>
      </c>
      <c r="R899" s="132" t="s">
        <v>267</v>
      </c>
      <c r="S899" s="133">
        <v>41774</v>
      </c>
      <c r="T899" s="134">
        <v>953.5</v>
      </c>
      <c r="U899" s="132" t="s">
        <v>154</v>
      </c>
      <c r="V899" s="132" t="s">
        <v>186</v>
      </c>
      <c r="W899" s="132" t="s">
        <v>153</v>
      </c>
      <c r="X899" s="133">
        <v>41662</v>
      </c>
      <c r="Y899" s="134">
        <v>983</v>
      </c>
    </row>
    <row r="900" spans="1:25" x14ac:dyDescent="0.25">
      <c r="A900" s="92" t="s">
        <v>148</v>
      </c>
      <c r="B900" s="12" t="s">
        <v>224</v>
      </c>
      <c r="C900" s="12" t="s">
        <v>158</v>
      </c>
      <c r="D900" s="80">
        <v>41911</v>
      </c>
      <c r="E900" s="81">
        <v>507</v>
      </c>
      <c r="F900" s="76" t="s">
        <v>150</v>
      </c>
      <c r="G900" s="77" t="s">
        <v>159</v>
      </c>
      <c r="H900" s="77" t="s">
        <v>153</v>
      </c>
      <c r="I900" s="86">
        <v>41928</v>
      </c>
      <c r="J900" s="78">
        <v>947</v>
      </c>
      <c r="K900" s="132" t="s">
        <v>20</v>
      </c>
      <c r="L900" s="132" t="s">
        <v>232</v>
      </c>
      <c r="M900" s="132" t="s">
        <v>158</v>
      </c>
      <c r="N900" s="133">
        <v>41960</v>
      </c>
      <c r="O900" s="134">
        <v>1325</v>
      </c>
      <c r="P900" s="132" t="s">
        <v>151</v>
      </c>
      <c r="Q900" s="132" t="s">
        <v>266</v>
      </c>
      <c r="R900" s="132" t="s">
        <v>267</v>
      </c>
      <c r="S900" s="133">
        <v>41775</v>
      </c>
      <c r="T900" s="134">
        <v>368.9</v>
      </c>
      <c r="U900" s="132" t="s">
        <v>154</v>
      </c>
      <c r="V900" s="132" t="s">
        <v>186</v>
      </c>
      <c r="W900" s="132" t="s">
        <v>153</v>
      </c>
      <c r="X900" s="133">
        <v>41663</v>
      </c>
      <c r="Y900" s="134">
        <v>1000</v>
      </c>
    </row>
    <row r="901" spans="1:25" x14ac:dyDescent="0.25">
      <c r="A901" s="92" t="s">
        <v>148</v>
      </c>
      <c r="B901" s="12" t="s">
        <v>224</v>
      </c>
      <c r="C901" s="12" t="s">
        <v>158</v>
      </c>
      <c r="D901" s="80">
        <v>41913</v>
      </c>
      <c r="E901" s="81">
        <v>1300</v>
      </c>
      <c r="F901" s="76" t="s">
        <v>150</v>
      </c>
      <c r="G901" s="77" t="s">
        <v>159</v>
      </c>
      <c r="H901" s="77" t="s">
        <v>153</v>
      </c>
      <c r="I901" s="86">
        <v>41960</v>
      </c>
      <c r="J901" s="78">
        <v>313</v>
      </c>
      <c r="K901" s="132" t="s">
        <v>20</v>
      </c>
      <c r="L901" s="132" t="s">
        <v>266</v>
      </c>
      <c r="M901" s="132" t="s">
        <v>267</v>
      </c>
      <c r="N901" s="133">
        <v>41791</v>
      </c>
      <c r="O901" s="134">
        <v>972</v>
      </c>
      <c r="P901" s="132" t="s">
        <v>151</v>
      </c>
      <c r="Q901" s="132" t="s">
        <v>266</v>
      </c>
      <c r="R901" s="132" t="s">
        <v>267</v>
      </c>
      <c r="S901" s="133">
        <v>41778</v>
      </c>
      <c r="T901" s="134">
        <v>455.2</v>
      </c>
      <c r="U901" s="132" t="s">
        <v>154</v>
      </c>
      <c r="V901" s="132" t="s">
        <v>186</v>
      </c>
      <c r="W901" s="132" t="s">
        <v>153</v>
      </c>
      <c r="X901" s="133">
        <v>41664</v>
      </c>
      <c r="Y901" s="134">
        <v>829</v>
      </c>
    </row>
    <row r="902" spans="1:25" x14ac:dyDescent="0.25">
      <c r="A902" s="92" t="s">
        <v>148</v>
      </c>
      <c r="B902" s="12" t="s">
        <v>224</v>
      </c>
      <c r="C902" s="12" t="s">
        <v>158</v>
      </c>
      <c r="D902" s="80">
        <v>41916</v>
      </c>
      <c r="E902" s="81">
        <v>1950</v>
      </c>
      <c r="F902" s="76" t="s">
        <v>150</v>
      </c>
      <c r="G902" s="77" t="s">
        <v>159</v>
      </c>
      <c r="H902" s="77" t="s">
        <v>153</v>
      </c>
      <c r="I902" s="86">
        <v>41962</v>
      </c>
      <c r="J902" s="78">
        <v>1281</v>
      </c>
      <c r="K902" s="132" t="s">
        <v>20</v>
      </c>
      <c r="L902" s="132" t="s">
        <v>266</v>
      </c>
      <c r="M902" s="132" t="s">
        <v>267</v>
      </c>
      <c r="N902" s="133">
        <v>41906</v>
      </c>
      <c r="O902" s="134">
        <v>1336</v>
      </c>
      <c r="P902" s="132" t="s">
        <v>151</v>
      </c>
      <c r="Q902" s="132" t="s">
        <v>266</v>
      </c>
      <c r="R902" s="132" t="s">
        <v>267</v>
      </c>
      <c r="S902" s="133">
        <v>41779</v>
      </c>
      <c r="T902" s="134">
        <v>466.7</v>
      </c>
      <c r="U902" s="132" t="s">
        <v>154</v>
      </c>
      <c r="V902" s="132" t="s">
        <v>186</v>
      </c>
      <c r="W902" s="132" t="s">
        <v>153</v>
      </c>
      <c r="X902" s="133">
        <v>41664</v>
      </c>
      <c r="Y902" s="134">
        <v>415</v>
      </c>
    </row>
    <row r="903" spans="1:25" x14ac:dyDescent="0.25">
      <c r="A903" s="92" t="s">
        <v>148</v>
      </c>
      <c r="B903" s="12" t="s">
        <v>224</v>
      </c>
      <c r="C903" s="12" t="s">
        <v>158</v>
      </c>
      <c r="D903" s="80">
        <v>41917</v>
      </c>
      <c r="E903" s="81">
        <v>800</v>
      </c>
      <c r="F903" s="76" t="s">
        <v>150</v>
      </c>
      <c r="G903" s="77" t="s">
        <v>159</v>
      </c>
      <c r="H903" s="77" t="s">
        <v>153</v>
      </c>
      <c r="I903" s="86">
        <v>41964</v>
      </c>
      <c r="J903" s="78">
        <v>815</v>
      </c>
      <c r="K903" s="132" t="s">
        <v>20</v>
      </c>
      <c r="L903" s="132" t="s">
        <v>266</v>
      </c>
      <c r="M903" s="132" t="s">
        <v>267</v>
      </c>
      <c r="N903" s="133">
        <v>41948</v>
      </c>
      <c r="O903" s="134">
        <v>272</v>
      </c>
      <c r="P903" s="132" t="s">
        <v>151</v>
      </c>
      <c r="Q903" s="132" t="s">
        <v>266</v>
      </c>
      <c r="R903" s="132" t="s">
        <v>267</v>
      </c>
      <c r="S903" s="133">
        <v>41780</v>
      </c>
      <c r="T903" s="134">
        <v>445.3</v>
      </c>
      <c r="U903" s="132" t="s">
        <v>154</v>
      </c>
      <c r="V903" s="132" t="s">
        <v>186</v>
      </c>
      <c r="W903" s="132" t="s">
        <v>153</v>
      </c>
      <c r="X903" s="133">
        <v>41666</v>
      </c>
      <c r="Y903" s="134">
        <v>1115</v>
      </c>
    </row>
    <row r="904" spans="1:25" x14ac:dyDescent="0.25">
      <c r="A904" s="92" t="s">
        <v>148</v>
      </c>
      <c r="B904" s="12" t="s">
        <v>224</v>
      </c>
      <c r="C904" s="12" t="s">
        <v>158</v>
      </c>
      <c r="D904" s="80">
        <v>41918</v>
      </c>
      <c r="E904" s="81">
        <v>700</v>
      </c>
      <c r="F904" s="76" t="s">
        <v>150</v>
      </c>
      <c r="G904" s="77" t="s">
        <v>159</v>
      </c>
      <c r="H904" s="77" t="s">
        <v>153</v>
      </c>
      <c r="I904" s="86">
        <v>41967</v>
      </c>
      <c r="J904" s="78">
        <v>953</v>
      </c>
      <c r="K904" s="132" t="s">
        <v>20</v>
      </c>
      <c r="L904" s="132" t="s">
        <v>266</v>
      </c>
      <c r="M904" s="132" t="s">
        <v>267</v>
      </c>
      <c r="N904" s="133">
        <v>41949</v>
      </c>
      <c r="O904" s="134">
        <v>683</v>
      </c>
      <c r="P904" s="132" t="s">
        <v>151</v>
      </c>
      <c r="Q904" s="132" t="s">
        <v>266</v>
      </c>
      <c r="R904" s="132" t="s">
        <v>267</v>
      </c>
      <c r="S904" s="133">
        <v>41781</v>
      </c>
      <c r="T904" s="134">
        <v>511.6</v>
      </c>
      <c r="U904" s="132" t="s">
        <v>154</v>
      </c>
      <c r="V904" s="132" t="s">
        <v>186</v>
      </c>
      <c r="W904" s="132" t="s">
        <v>153</v>
      </c>
      <c r="X904" s="133">
        <v>41667</v>
      </c>
      <c r="Y904" s="134">
        <v>1020</v>
      </c>
    </row>
    <row r="905" spans="1:25" x14ac:dyDescent="0.25">
      <c r="A905" s="92" t="s">
        <v>148</v>
      </c>
      <c r="B905" s="12" t="s">
        <v>224</v>
      </c>
      <c r="C905" s="12" t="s">
        <v>158</v>
      </c>
      <c r="D905" s="80">
        <v>41919</v>
      </c>
      <c r="E905" s="81">
        <v>900</v>
      </c>
      <c r="F905" s="76" t="s">
        <v>150</v>
      </c>
      <c r="G905" s="77" t="s">
        <v>159</v>
      </c>
      <c r="H905" s="77" t="s">
        <v>153</v>
      </c>
      <c r="I905" s="86">
        <v>41968</v>
      </c>
      <c r="J905" s="78">
        <v>761</v>
      </c>
      <c r="K905" s="132" t="s">
        <v>20</v>
      </c>
      <c r="L905" s="132" t="s">
        <v>275</v>
      </c>
      <c r="M905" s="132" t="s">
        <v>267</v>
      </c>
      <c r="N905" s="133">
        <v>41716</v>
      </c>
      <c r="O905" s="134">
        <v>1079</v>
      </c>
      <c r="P905" s="132" t="s">
        <v>151</v>
      </c>
      <c r="Q905" s="132" t="s">
        <v>266</v>
      </c>
      <c r="R905" s="132" t="s">
        <v>267</v>
      </c>
      <c r="S905" s="133">
        <v>41814</v>
      </c>
      <c r="T905" s="134">
        <v>464.6</v>
      </c>
      <c r="U905" s="132" t="s">
        <v>154</v>
      </c>
      <c r="V905" s="132" t="s">
        <v>186</v>
      </c>
      <c r="W905" s="132" t="s">
        <v>153</v>
      </c>
      <c r="X905" s="133">
        <v>41668</v>
      </c>
      <c r="Y905" s="134">
        <v>740</v>
      </c>
    </row>
    <row r="906" spans="1:25" x14ac:dyDescent="0.25">
      <c r="A906" s="92" t="s">
        <v>148</v>
      </c>
      <c r="B906" s="12" t="s">
        <v>224</v>
      </c>
      <c r="C906" s="12" t="s">
        <v>158</v>
      </c>
      <c r="D906" s="80">
        <v>41920</v>
      </c>
      <c r="E906" s="81">
        <v>700</v>
      </c>
      <c r="F906" s="76" t="s">
        <v>150</v>
      </c>
      <c r="G906" s="77" t="s">
        <v>159</v>
      </c>
      <c r="H906" s="77" t="s">
        <v>153</v>
      </c>
      <c r="I906" s="86">
        <v>41969</v>
      </c>
      <c r="J906" s="78">
        <v>469</v>
      </c>
      <c r="K906" s="132" t="s">
        <v>20</v>
      </c>
      <c r="L906" s="132" t="s">
        <v>275</v>
      </c>
      <c r="M906" s="132" t="s">
        <v>267</v>
      </c>
      <c r="N906" s="133">
        <v>41805</v>
      </c>
      <c r="O906" s="134">
        <v>853</v>
      </c>
      <c r="P906" s="132" t="s">
        <v>151</v>
      </c>
      <c r="Q906" s="132" t="s">
        <v>266</v>
      </c>
      <c r="R906" s="132" t="s">
        <v>267</v>
      </c>
      <c r="S906" s="133">
        <v>41815</v>
      </c>
      <c r="T906" s="134">
        <v>657.2</v>
      </c>
      <c r="U906" s="132" t="s">
        <v>154</v>
      </c>
      <c r="V906" s="132" t="s">
        <v>186</v>
      </c>
      <c r="W906" s="132" t="s">
        <v>153</v>
      </c>
      <c r="X906" s="133">
        <v>41669</v>
      </c>
      <c r="Y906" s="134">
        <v>980</v>
      </c>
    </row>
    <row r="907" spans="1:25" x14ac:dyDescent="0.25">
      <c r="A907" s="92" t="s">
        <v>148</v>
      </c>
      <c r="B907" s="12" t="s">
        <v>224</v>
      </c>
      <c r="C907" s="12" t="s">
        <v>158</v>
      </c>
      <c r="D907" s="80">
        <v>41921</v>
      </c>
      <c r="E907" s="81">
        <v>970</v>
      </c>
      <c r="F907" s="76" t="s">
        <v>150</v>
      </c>
      <c r="G907" s="77" t="s">
        <v>159</v>
      </c>
      <c r="H907" s="77" t="s">
        <v>153</v>
      </c>
      <c r="I907" s="86">
        <v>41971</v>
      </c>
      <c r="J907" s="78">
        <v>533</v>
      </c>
      <c r="K907" s="132" t="s">
        <v>20</v>
      </c>
      <c r="L907" s="132" t="s">
        <v>275</v>
      </c>
      <c r="M907" s="132" t="s">
        <v>267</v>
      </c>
      <c r="N907" s="133">
        <v>41818</v>
      </c>
      <c r="O907" s="134">
        <v>539</v>
      </c>
      <c r="P907" s="132" t="s">
        <v>151</v>
      </c>
      <c r="Q907" s="132" t="s">
        <v>266</v>
      </c>
      <c r="R907" s="132" t="s">
        <v>267</v>
      </c>
      <c r="S907" s="133">
        <v>41816</v>
      </c>
      <c r="T907" s="134">
        <v>552.79999999999995</v>
      </c>
      <c r="U907" s="132" t="s">
        <v>154</v>
      </c>
      <c r="V907" s="132" t="s">
        <v>186</v>
      </c>
      <c r="W907" s="132" t="s">
        <v>153</v>
      </c>
      <c r="X907" s="133">
        <v>41670</v>
      </c>
      <c r="Y907" s="134">
        <v>800</v>
      </c>
    </row>
    <row r="908" spans="1:25" x14ac:dyDescent="0.25">
      <c r="A908" s="92" t="s">
        <v>148</v>
      </c>
      <c r="B908" s="12" t="s">
        <v>224</v>
      </c>
      <c r="C908" s="12" t="s">
        <v>158</v>
      </c>
      <c r="D908" s="80">
        <v>41922</v>
      </c>
      <c r="E908" s="81">
        <v>800</v>
      </c>
      <c r="F908" s="76" t="s">
        <v>150</v>
      </c>
      <c r="G908" s="77" t="s">
        <v>159</v>
      </c>
      <c r="H908" s="77" t="s">
        <v>153</v>
      </c>
      <c r="I908" s="86">
        <v>41975</v>
      </c>
      <c r="J908" s="78">
        <v>962</v>
      </c>
      <c r="K908" s="132" t="s">
        <v>20</v>
      </c>
      <c r="L908" s="132" t="s">
        <v>275</v>
      </c>
      <c r="M908" s="132" t="s">
        <v>267</v>
      </c>
      <c r="N908" s="133">
        <v>41837</v>
      </c>
      <c r="O908" s="134">
        <v>313</v>
      </c>
      <c r="P908" s="132" t="s">
        <v>151</v>
      </c>
      <c r="Q908" s="132" t="s">
        <v>266</v>
      </c>
      <c r="R908" s="132" t="s">
        <v>267</v>
      </c>
      <c r="S908" s="133">
        <v>41817</v>
      </c>
      <c r="T908" s="134">
        <v>612.20000000000005</v>
      </c>
      <c r="U908" s="132" t="s">
        <v>154</v>
      </c>
      <c r="V908" s="132" t="s">
        <v>186</v>
      </c>
      <c r="W908" s="132" t="s">
        <v>153</v>
      </c>
      <c r="X908" s="133">
        <v>41671</v>
      </c>
      <c r="Y908" s="134">
        <v>720</v>
      </c>
    </row>
    <row r="909" spans="1:25" x14ac:dyDescent="0.25">
      <c r="A909" s="92" t="s">
        <v>148</v>
      </c>
      <c r="B909" s="12" t="s">
        <v>224</v>
      </c>
      <c r="C909" s="12" t="s">
        <v>158</v>
      </c>
      <c r="D909" s="80">
        <v>41923</v>
      </c>
      <c r="E909" s="81">
        <v>1122</v>
      </c>
      <c r="F909" s="76" t="s">
        <v>150</v>
      </c>
      <c r="G909" s="77" t="s">
        <v>159</v>
      </c>
      <c r="H909" s="77" t="s">
        <v>153</v>
      </c>
      <c r="I909" s="86">
        <v>41996</v>
      </c>
      <c r="J909" s="78">
        <v>1056</v>
      </c>
      <c r="K909" s="132" t="s">
        <v>20</v>
      </c>
      <c r="L909" s="132" t="s">
        <v>275</v>
      </c>
      <c r="M909" s="132" t="s">
        <v>267</v>
      </c>
      <c r="N909" s="133">
        <v>41850</v>
      </c>
      <c r="O909" s="134">
        <v>347</v>
      </c>
      <c r="P909" s="132" t="s">
        <v>151</v>
      </c>
      <c r="Q909" s="132" t="s">
        <v>266</v>
      </c>
      <c r="R909" s="132" t="s">
        <v>267</v>
      </c>
      <c r="S909" s="133">
        <v>41820</v>
      </c>
      <c r="T909" s="134">
        <v>714.9</v>
      </c>
      <c r="U909" s="132" t="s">
        <v>154</v>
      </c>
      <c r="V909" s="132" t="s">
        <v>186</v>
      </c>
      <c r="W909" s="132" t="s">
        <v>153</v>
      </c>
      <c r="X909" s="133">
        <v>41671</v>
      </c>
      <c r="Y909" s="134">
        <v>410</v>
      </c>
    </row>
    <row r="910" spans="1:25" x14ac:dyDescent="0.25">
      <c r="A910" s="92" t="s">
        <v>148</v>
      </c>
      <c r="B910" s="12" t="s">
        <v>224</v>
      </c>
      <c r="C910" s="12" t="s">
        <v>158</v>
      </c>
      <c r="D910" s="80">
        <v>41924</v>
      </c>
      <c r="E910" s="81">
        <v>917</v>
      </c>
      <c r="F910" s="76" t="s">
        <v>150</v>
      </c>
      <c r="G910" s="77" t="s">
        <v>159</v>
      </c>
      <c r="H910" s="77" t="s">
        <v>153</v>
      </c>
      <c r="I910" s="86">
        <v>41999</v>
      </c>
      <c r="J910" s="78">
        <v>774</v>
      </c>
      <c r="K910" s="132" t="s">
        <v>20</v>
      </c>
      <c r="L910" s="132" t="s">
        <v>275</v>
      </c>
      <c r="M910" s="132" t="s">
        <v>267</v>
      </c>
      <c r="N910" s="133">
        <v>41858</v>
      </c>
      <c r="O910" s="134">
        <v>270</v>
      </c>
      <c r="P910" s="132" t="s">
        <v>151</v>
      </c>
      <c r="Q910" s="132" t="s">
        <v>266</v>
      </c>
      <c r="R910" s="132" t="s">
        <v>267</v>
      </c>
      <c r="S910" s="133">
        <v>41821</v>
      </c>
      <c r="T910" s="134">
        <v>624.79999999999995</v>
      </c>
      <c r="U910" s="132" t="s">
        <v>154</v>
      </c>
      <c r="V910" s="132" t="s">
        <v>186</v>
      </c>
      <c r="W910" s="132" t="s">
        <v>153</v>
      </c>
      <c r="X910" s="133">
        <v>41671</v>
      </c>
      <c r="Y910" s="134">
        <v>310</v>
      </c>
    </row>
    <row r="911" spans="1:25" x14ac:dyDescent="0.25">
      <c r="A911" s="92" t="s">
        <v>148</v>
      </c>
      <c r="B911" s="12" t="s">
        <v>224</v>
      </c>
      <c r="C911" s="12" t="s">
        <v>158</v>
      </c>
      <c r="D911" s="80">
        <v>41925</v>
      </c>
      <c r="E911" s="81">
        <v>555</v>
      </c>
      <c r="F911" s="76" t="s">
        <v>150</v>
      </c>
      <c r="G911" s="77" t="s">
        <v>159</v>
      </c>
      <c r="H911" s="77" t="s">
        <v>153</v>
      </c>
      <c r="I911" s="86">
        <v>42002</v>
      </c>
      <c r="J911" s="78">
        <v>1000</v>
      </c>
      <c r="K911" s="132" t="s">
        <v>20</v>
      </c>
      <c r="L911" s="132" t="s">
        <v>275</v>
      </c>
      <c r="M911" s="132" t="s">
        <v>267</v>
      </c>
      <c r="N911" s="133">
        <v>41859</v>
      </c>
      <c r="O911" s="134">
        <v>279</v>
      </c>
      <c r="P911" s="132" t="s">
        <v>151</v>
      </c>
      <c r="Q911" s="132" t="s">
        <v>266</v>
      </c>
      <c r="R911" s="132" t="s">
        <v>267</v>
      </c>
      <c r="S911" s="133">
        <v>41831</v>
      </c>
      <c r="T911" s="134">
        <v>538.5</v>
      </c>
      <c r="U911" s="132" t="s">
        <v>154</v>
      </c>
      <c r="V911" s="132" t="s">
        <v>186</v>
      </c>
      <c r="W911" s="132" t="s">
        <v>153</v>
      </c>
      <c r="X911" s="133">
        <v>41672</v>
      </c>
      <c r="Y911" s="134">
        <v>914</v>
      </c>
    </row>
    <row r="912" spans="1:25" x14ac:dyDescent="0.25">
      <c r="A912" s="92" t="s">
        <v>148</v>
      </c>
      <c r="B912" s="12" t="s">
        <v>224</v>
      </c>
      <c r="C912" s="12" t="s">
        <v>158</v>
      </c>
      <c r="D912" s="80">
        <v>41926</v>
      </c>
      <c r="E912" s="81">
        <v>560</v>
      </c>
      <c r="F912" s="76" t="s">
        <v>150</v>
      </c>
      <c r="G912" s="77" t="s">
        <v>160</v>
      </c>
      <c r="H912" s="77" t="s">
        <v>153</v>
      </c>
      <c r="I912" s="86">
        <v>41666</v>
      </c>
      <c r="J912" s="78">
        <v>778</v>
      </c>
      <c r="K912" s="132" t="s">
        <v>20</v>
      </c>
      <c r="L912" s="132" t="s">
        <v>276</v>
      </c>
      <c r="M912" s="132" t="s">
        <v>267</v>
      </c>
      <c r="N912" s="133">
        <v>41657</v>
      </c>
      <c r="O912" s="134">
        <v>1433</v>
      </c>
      <c r="P912" s="132" t="s">
        <v>151</v>
      </c>
      <c r="Q912" s="132" t="s">
        <v>266</v>
      </c>
      <c r="R912" s="132" t="s">
        <v>267</v>
      </c>
      <c r="S912" s="133">
        <v>41835</v>
      </c>
      <c r="T912" s="134">
        <v>362.8</v>
      </c>
      <c r="U912" s="132" t="s">
        <v>154</v>
      </c>
      <c r="V912" s="132" t="s">
        <v>186</v>
      </c>
      <c r="W912" s="132" t="s">
        <v>153</v>
      </c>
      <c r="X912" s="133">
        <v>41672</v>
      </c>
      <c r="Y912" s="134">
        <v>342</v>
      </c>
    </row>
    <row r="913" spans="1:25" x14ac:dyDescent="0.25">
      <c r="A913" s="92" t="s">
        <v>148</v>
      </c>
      <c r="B913" s="12" t="s">
        <v>224</v>
      </c>
      <c r="C913" s="12" t="s">
        <v>158</v>
      </c>
      <c r="D913" s="80">
        <v>41927</v>
      </c>
      <c r="E913" s="81">
        <v>780</v>
      </c>
      <c r="F913" s="76" t="s">
        <v>150</v>
      </c>
      <c r="G913" s="77" t="s">
        <v>160</v>
      </c>
      <c r="H913" s="77" t="s">
        <v>153</v>
      </c>
      <c r="I913" s="86">
        <v>41676</v>
      </c>
      <c r="J913" s="78">
        <v>1119</v>
      </c>
      <c r="K913" s="132" t="s">
        <v>20</v>
      </c>
      <c r="L913" s="132" t="s">
        <v>276</v>
      </c>
      <c r="M913" s="132" t="s">
        <v>267</v>
      </c>
      <c r="N913" s="133">
        <v>41667</v>
      </c>
      <c r="O913" s="134">
        <v>356</v>
      </c>
      <c r="P913" s="132" t="s">
        <v>151</v>
      </c>
      <c r="Q913" s="132" t="s">
        <v>266</v>
      </c>
      <c r="R913" s="132" t="s">
        <v>267</v>
      </c>
      <c r="S913" s="133">
        <v>41858</v>
      </c>
      <c r="T913" s="134">
        <v>354.9</v>
      </c>
      <c r="U913" s="132" t="s">
        <v>154</v>
      </c>
      <c r="V913" s="132" t="s">
        <v>186</v>
      </c>
      <c r="W913" s="132" t="s">
        <v>153</v>
      </c>
      <c r="X913" s="133">
        <v>41674</v>
      </c>
      <c r="Y913" s="134">
        <v>699</v>
      </c>
    </row>
    <row r="914" spans="1:25" x14ac:dyDescent="0.25">
      <c r="A914" s="92" t="s">
        <v>148</v>
      </c>
      <c r="B914" s="12" t="s">
        <v>225</v>
      </c>
      <c r="C914" s="12" t="s">
        <v>158</v>
      </c>
      <c r="D914" s="80">
        <v>41670</v>
      </c>
      <c r="E914" s="81">
        <v>725</v>
      </c>
      <c r="F914" s="76" t="s">
        <v>150</v>
      </c>
      <c r="G914" s="77" t="s">
        <v>160</v>
      </c>
      <c r="H914" s="77" t="s">
        <v>153</v>
      </c>
      <c r="I914" s="86">
        <v>41680</v>
      </c>
      <c r="J914" s="78">
        <v>1171</v>
      </c>
      <c r="K914" s="132" t="s">
        <v>20</v>
      </c>
      <c r="L914" s="132" t="s">
        <v>276</v>
      </c>
      <c r="M914" s="132" t="s">
        <v>267</v>
      </c>
      <c r="N914" s="133">
        <v>41671</v>
      </c>
      <c r="O914" s="134">
        <v>280</v>
      </c>
      <c r="P914" s="132" t="s">
        <v>151</v>
      </c>
      <c r="Q914" s="132" t="s">
        <v>266</v>
      </c>
      <c r="R914" s="132" t="s">
        <v>267</v>
      </c>
      <c r="S914" s="133">
        <v>41871</v>
      </c>
      <c r="T914" s="134">
        <v>515.5</v>
      </c>
      <c r="U914" s="132" t="s">
        <v>154</v>
      </c>
      <c r="V914" s="132" t="s">
        <v>186</v>
      </c>
      <c r="W914" s="132" t="s">
        <v>153</v>
      </c>
      <c r="X914" s="133">
        <v>41675</v>
      </c>
      <c r="Y914" s="134">
        <v>820</v>
      </c>
    </row>
    <row r="915" spans="1:25" x14ac:dyDescent="0.25">
      <c r="A915" s="92" t="s">
        <v>148</v>
      </c>
      <c r="B915" s="12" t="s">
        <v>225</v>
      </c>
      <c r="C915" s="12" t="s">
        <v>158</v>
      </c>
      <c r="D915" s="80">
        <v>41671</v>
      </c>
      <c r="E915" s="81">
        <v>800</v>
      </c>
      <c r="F915" s="76" t="s">
        <v>150</v>
      </c>
      <c r="G915" s="77" t="s">
        <v>160</v>
      </c>
      <c r="H915" s="77" t="s">
        <v>153</v>
      </c>
      <c r="I915" s="86">
        <v>41682</v>
      </c>
      <c r="J915" s="78">
        <v>1185</v>
      </c>
      <c r="K915" s="132" t="s">
        <v>20</v>
      </c>
      <c r="L915" s="132" t="s">
        <v>276</v>
      </c>
      <c r="M915" s="132" t="s">
        <v>267</v>
      </c>
      <c r="N915" s="133">
        <v>41703</v>
      </c>
      <c r="O915" s="134">
        <v>775</v>
      </c>
      <c r="P915" s="132" t="s">
        <v>151</v>
      </c>
      <c r="Q915" s="132" t="s">
        <v>266</v>
      </c>
      <c r="R915" s="132" t="s">
        <v>267</v>
      </c>
      <c r="S915" s="133">
        <v>41872</v>
      </c>
      <c r="T915" s="134">
        <v>670</v>
      </c>
      <c r="U915" s="132" t="s">
        <v>154</v>
      </c>
      <c r="V915" s="132" t="s">
        <v>186</v>
      </c>
      <c r="W915" s="132" t="s">
        <v>153</v>
      </c>
      <c r="X915" s="133">
        <v>41675</v>
      </c>
      <c r="Y915" s="134">
        <v>502</v>
      </c>
    </row>
    <row r="916" spans="1:25" x14ac:dyDescent="0.25">
      <c r="A916" s="92" t="s">
        <v>148</v>
      </c>
      <c r="B916" s="12" t="s">
        <v>225</v>
      </c>
      <c r="C916" s="12" t="s">
        <v>158</v>
      </c>
      <c r="D916" s="80">
        <v>41672</v>
      </c>
      <c r="E916" s="81">
        <v>576</v>
      </c>
      <c r="F916" s="76" t="s">
        <v>150</v>
      </c>
      <c r="G916" s="77" t="s">
        <v>160</v>
      </c>
      <c r="H916" s="77" t="s">
        <v>153</v>
      </c>
      <c r="I916" s="86">
        <v>41683</v>
      </c>
      <c r="J916" s="78">
        <v>371</v>
      </c>
      <c r="K916" s="132" t="s">
        <v>20</v>
      </c>
      <c r="L916" s="132" t="s">
        <v>276</v>
      </c>
      <c r="M916" s="132" t="s">
        <v>267</v>
      </c>
      <c r="N916" s="133">
        <v>41719</v>
      </c>
      <c r="O916" s="134">
        <v>984</v>
      </c>
      <c r="P916" s="132" t="s">
        <v>151</v>
      </c>
      <c r="Q916" s="132" t="s">
        <v>266</v>
      </c>
      <c r="R916" s="132" t="s">
        <v>267</v>
      </c>
      <c r="S916" s="133">
        <v>41873</v>
      </c>
      <c r="T916" s="134">
        <v>573.70000000000005</v>
      </c>
      <c r="U916" s="132" t="s">
        <v>154</v>
      </c>
      <c r="V916" s="132" t="s">
        <v>186</v>
      </c>
      <c r="W916" s="132" t="s">
        <v>153</v>
      </c>
      <c r="X916" s="133">
        <v>41676</v>
      </c>
      <c r="Y916" s="134">
        <v>870</v>
      </c>
    </row>
    <row r="917" spans="1:25" x14ac:dyDescent="0.25">
      <c r="A917" s="92" t="s">
        <v>148</v>
      </c>
      <c r="B917" s="12" t="s">
        <v>225</v>
      </c>
      <c r="C917" s="12" t="s">
        <v>158</v>
      </c>
      <c r="D917" s="80">
        <v>41673</v>
      </c>
      <c r="E917" s="81">
        <v>800</v>
      </c>
      <c r="F917" s="76" t="s">
        <v>150</v>
      </c>
      <c r="G917" s="77" t="s">
        <v>160</v>
      </c>
      <c r="H917" s="77" t="s">
        <v>153</v>
      </c>
      <c r="I917" s="86">
        <v>41683</v>
      </c>
      <c r="J917" s="78">
        <v>801</v>
      </c>
      <c r="K917" s="132" t="s">
        <v>20</v>
      </c>
      <c r="L917" s="132" t="s">
        <v>276</v>
      </c>
      <c r="M917" s="132" t="s">
        <v>267</v>
      </c>
      <c r="N917" s="133">
        <v>41728</v>
      </c>
      <c r="O917" s="134">
        <v>1162</v>
      </c>
      <c r="P917" s="132" t="s">
        <v>151</v>
      </c>
      <c r="Q917" s="132" t="s">
        <v>266</v>
      </c>
      <c r="R917" s="132" t="s">
        <v>267</v>
      </c>
      <c r="S917" s="133">
        <v>41914</v>
      </c>
      <c r="T917" s="134">
        <v>682.2</v>
      </c>
      <c r="U917" s="132" t="s">
        <v>154</v>
      </c>
      <c r="V917" s="132" t="s">
        <v>186</v>
      </c>
      <c r="W917" s="132" t="s">
        <v>153</v>
      </c>
      <c r="X917" s="133">
        <v>41677</v>
      </c>
      <c r="Y917" s="134">
        <v>699</v>
      </c>
    </row>
    <row r="918" spans="1:25" x14ac:dyDescent="0.25">
      <c r="A918" s="92" t="s">
        <v>148</v>
      </c>
      <c r="B918" s="12" t="s">
        <v>225</v>
      </c>
      <c r="C918" s="12" t="s">
        <v>158</v>
      </c>
      <c r="D918" s="80">
        <v>41674</v>
      </c>
      <c r="E918" s="81">
        <v>600</v>
      </c>
      <c r="F918" s="76" t="s">
        <v>150</v>
      </c>
      <c r="G918" s="77" t="s">
        <v>160</v>
      </c>
      <c r="H918" s="77" t="s">
        <v>153</v>
      </c>
      <c r="I918" s="86">
        <v>41685</v>
      </c>
      <c r="J918" s="78">
        <v>807</v>
      </c>
      <c r="K918" s="132" t="s">
        <v>20</v>
      </c>
      <c r="L918" s="132" t="s">
        <v>276</v>
      </c>
      <c r="M918" s="132" t="s">
        <v>267</v>
      </c>
      <c r="N918" s="133">
        <v>41735</v>
      </c>
      <c r="O918" s="134">
        <v>1003</v>
      </c>
      <c r="P918" s="132" t="s">
        <v>151</v>
      </c>
      <c r="Q918" s="132" t="s">
        <v>266</v>
      </c>
      <c r="R918" s="132" t="s">
        <v>267</v>
      </c>
      <c r="S918" s="133">
        <v>41941</v>
      </c>
      <c r="T918" s="134">
        <v>1190.4000000000001</v>
      </c>
      <c r="U918" s="132" t="s">
        <v>154</v>
      </c>
      <c r="V918" s="132" t="s">
        <v>186</v>
      </c>
      <c r="W918" s="132" t="s">
        <v>153</v>
      </c>
      <c r="X918" s="133">
        <v>41680</v>
      </c>
      <c r="Y918" s="134">
        <v>710</v>
      </c>
    </row>
    <row r="919" spans="1:25" x14ac:dyDescent="0.25">
      <c r="A919" s="92" t="s">
        <v>148</v>
      </c>
      <c r="B919" s="12" t="s">
        <v>225</v>
      </c>
      <c r="C919" s="12" t="s">
        <v>158</v>
      </c>
      <c r="D919" s="80">
        <v>41675</v>
      </c>
      <c r="E919" s="81">
        <v>1000</v>
      </c>
      <c r="F919" s="76" t="s">
        <v>150</v>
      </c>
      <c r="G919" s="77" t="s">
        <v>160</v>
      </c>
      <c r="H919" s="77" t="s">
        <v>153</v>
      </c>
      <c r="I919" s="86">
        <v>41688</v>
      </c>
      <c r="J919" s="78">
        <v>809</v>
      </c>
      <c r="K919" s="132" t="s">
        <v>20</v>
      </c>
      <c r="L919" s="132" t="s">
        <v>276</v>
      </c>
      <c r="M919" s="132" t="s">
        <v>267</v>
      </c>
      <c r="N919" s="133">
        <v>41751</v>
      </c>
      <c r="O919" s="134">
        <v>309</v>
      </c>
      <c r="P919" s="132" t="s">
        <v>151</v>
      </c>
      <c r="Q919" s="132" t="s">
        <v>266</v>
      </c>
      <c r="R919" s="132" t="s">
        <v>267</v>
      </c>
      <c r="S919" s="133">
        <v>41942</v>
      </c>
      <c r="T919" s="134">
        <v>577.70000000000005</v>
      </c>
      <c r="U919" s="132" t="s">
        <v>154</v>
      </c>
      <c r="V919" s="132" t="s">
        <v>186</v>
      </c>
      <c r="W919" s="132" t="s">
        <v>153</v>
      </c>
      <c r="X919" s="133">
        <v>41681</v>
      </c>
      <c r="Y919" s="134">
        <v>1060</v>
      </c>
    </row>
    <row r="920" spans="1:25" x14ac:dyDescent="0.25">
      <c r="A920" s="92" t="s">
        <v>148</v>
      </c>
      <c r="B920" s="12" t="s">
        <v>225</v>
      </c>
      <c r="C920" s="12" t="s">
        <v>158</v>
      </c>
      <c r="D920" s="80">
        <v>41676</v>
      </c>
      <c r="E920" s="81">
        <v>730</v>
      </c>
      <c r="F920" s="76" t="s">
        <v>150</v>
      </c>
      <c r="G920" s="77" t="s">
        <v>160</v>
      </c>
      <c r="H920" s="77" t="s">
        <v>153</v>
      </c>
      <c r="I920" s="86">
        <v>41688</v>
      </c>
      <c r="J920" s="78">
        <v>428</v>
      </c>
      <c r="K920" s="132" t="s">
        <v>20</v>
      </c>
      <c r="L920" s="132" t="s">
        <v>276</v>
      </c>
      <c r="M920" s="132" t="s">
        <v>267</v>
      </c>
      <c r="N920" s="133">
        <v>41766</v>
      </c>
      <c r="O920" s="134">
        <v>309</v>
      </c>
      <c r="P920" s="132" t="s">
        <v>151</v>
      </c>
      <c r="Q920" s="132" t="s">
        <v>266</v>
      </c>
      <c r="R920" s="132" t="s">
        <v>267</v>
      </c>
      <c r="S920" s="133">
        <v>41954</v>
      </c>
      <c r="T920" s="134">
        <v>665.9</v>
      </c>
      <c r="U920" s="132" t="s">
        <v>154</v>
      </c>
      <c r="V920" s="132" t="s">
        <v>186</v>
      </c>
      <c r="W920" s="132" t="s">
        <v>153</v>
      </c>
      <c r="X920" s="133">
        <v>41682</v>
      </c>
      <c r="Y920" s="134">
        <v>849</v>
      </c>
    </row>
    <row r="921" spans="1:25" x14ac:dyDescent="0.25">
      <c r="A921" s="92" t="s">
        <v>148</v>
      </c>
      <c r="B921" s="12" t="s">
        <v>225</v>
      </c>
      <c r="C921" s="12" t="s">
        <v>158</v>
      </c>
      <c r="D921" s="80">
        <v>41677</v>
      </c>
      <c r="E921" s="81">
        <v>750</v>
      </c>
      <c r="F921" s="76" t="s">
        <v>150</v>
      </c>
      <c r="G921" s="77" t="s">
        <v>160</v>
      </c>
      <c r="H921" s="77" t="s">
        <v>153</v>
      </c>
      <c r="I921" s="86">
        <v>41689</v>
      </c>
      <c r="J921" s="78">
        <v>777</v>
      </c>
      <c r="K921" s="132" t="s">
        <v>20</v>
      </c>
      <c r="L921" s="132" t="s">
        <v>276</v>
      </c>
      <c r="M921" s="132" t="s">
        <v>267</v>
      </c>
      <c r="N921" s="133">
        <v>41771</v>
      </c>
      <c r="O921" s="134">
        <v>512</v>
      </c>
      <c r="P921" s="132" t="s">
        <v>151</v>
      </c>
      <c r="Q921" s="132" t="s">
        <v>266</v>
      </c>
      <c r="R921" s="132" t="s">
        <v>267</v>
      </c>
      <c r="S921" s="133">
        <v>41974</v>
      </c>
      <c r="T921" s="134">
        <v>354.6</v>
      </c>
      <c r="U921" s="132" t="s">
        <v>154</v>
      </c>
      <c r="V921" s="132" t="s">
        <v>186</v>
      </c>
      <c r="W921" s="132" t="s">
        <v>153</v>
      </c>
      <c r="X921" s="133">
        <v>41683</v>
      </c>
      <c r="Y921" s="134">
        <v>718</v>
      </c>
    </row>
    <row r="922" spans="1:25" x14ac:dyDescent="0.25">
      <c r="A922" s="92" t="s">
        <v>148</v>
      </c>
      <c r="B922" s="12" t="s">
        <v>225</v>
      </c>
      <c r="C922" s="12" t="s">
        <v>158</v>
      </c>
      <c r="D922" s="80">
        <v>41678</v>
      </c>
      <c r="E922" s="81">
        <v>1221</v>
      </c>
      <c r="F922" s="76" t="s">
        <v>150</v>
      </c>
      <c r="G922" s="77" t="s">
        <v>160</v>
      </c>
      <c r="H922" s="77" t="s">
        <v>153</v>
      </c>
      <c r="I922" s="86">
        <v>41691</v>
      </c>
      <c r="J922" s="78">
        <v>600</v>
      </c>
      <c r="K922" s="132" t="s">
        <v>20</v>
      </c>
      <c r="L922" s="132" t="s">
        <v>276</v>
      </c>
      <c r="M922" s="132" t="s">
        <v>267</v>
      </c>
      <c r="N922" s="133">
        <v>41786</v>
      </c>
      <c r="O922" s="134">
        <v>543</v>
      </c>
      <c r="P922" s="132" t="s">
        <v>151</v>
      </c>
      <c r="Q922" s="132" t="s">
        <v>266</v>
      </c>
      <c r="R922" s="132" t="s">
        <v>267</v>
      </c>
      <c r="S922" s="133">
        <v>41991</v>
      </c>
      <c r="T922" s="134">
        <v>423.8</v>
      </c>
      <c r="U922" s="132" t="s">
        <v>154</v>
      </c>
      <c r="V922" s="132" t="s">
        <v>186</v>
      </c>
      <c r="W922" s="132" t="s">
        <v>153</v>
      </c>
      <c r="X922" s="133">
        <v>41684</v>
      </c>
      <c r="Y922" s="134">
        <v>752</v>
      </c>
    </row>
    <row r="923" spans="1:25" x14ac:dyDescent="0.25">
      <c r="A923" s="92" t="s">
        <v>148</v>
      </c>
      <c r="B923" s="12" t="s">
        <v>225</v>
      </c>
      <c r="C923" s="12" t="s">
        <v>158</v>
      </c>
      <c r="D923" s="80">
        <v>41679</v>
      </c>
      <c r="E923" s="81">
        <v>978</v>
      </c>
      <c r="F923" s="76" t="s">
        <v>150</v>
      </c>
      <c r="G923" s="77" t="s">
        <v>160</v>
      </c>
      <c r="H923" s="77" t="s">
        <v>153</v>
      </c>
      <c r="I923" s="86">
        <v>41695</v>
      </c>
      <c r="J923" s="78">
        <v>518</v>
      </c>
      <c r="K923" s="132" t="s">
        <v>20</v>
      </c>
      <c r="L923" s="132" t="s">
        <v>276</v>
      </c>
      <c r="M923" s="132" t="s">
        <v>267</v>
      </c>
      <c r="N923" s="133">
        <v>41789</v>
      </c>
      <c r="O923" s="134">
        <v>358</v>
      </c>
      <c r="P923" s="132" t="s">
        <v>151</v>
      </c>
      <c r="Q923" s="132" t="s">
        <v>266</v>
      </c>
      <c r="R923" s="132" t="s">
        <v>267</v>
      </c>
      <c r="S923" s="133">
        <v>41999</v>
      </c>
      <c r="T923" s="134">
        <v>297.3</v>
      </c>
      <c r="U923" s="132" t="s">
        <v>154</v>
      </c>
      <c r="V923" s="132" t="s">
        <v>186</v>
      </c>
      <c r="W923" s="132" t="s">
        <v>153</v>
      </c>
      <c r="X923" s="133">
        <v>41684</v>
      </c>
      <c r="Y923" s="134">
        <v>300</v>
      </c>
    </row>
    <row r="924" spans="1:25" x14ac:dyDescent="0.25">
      <c r="A924" s="92" t="s">
        <v>148</v>
      </c>
      <c r="B924" s="12" t="s">
        <v>225</v>
      </c>
      <c r="C924" s="12" t="s">
        <v>158</v>
      </c>
      <c r="D924" s="80">
        <v>41680</v>
      </c>
      <c r="E924" s="81">
        <v>540</v>
      </c>
      <c r="F924" s="76" t="s">
        <v>150</v>
      </c>
      <c r="G924" s="77" t="s">
        <v>160</v>
      </c>
      <c r="H924" s="77" t="s">
        <v>153</v>
      </c>
      <c r="I924" s="86">
        <v>41696</v>
      </c>
      <c r="J924" s="78">
        <v>652</v>
      </c>
      <c r="K924" s="132" t="s">
        <v>20</v>
      </c>
      <c r="L924" s="132" t="s">
        <v>276</v>
      </c>
      <c r="M924" s="132" t="s">
        <v>267</v>
      </c>
      <c r="N924" s="133">
        <v>41802</v>
      </c>
      <c r="O924" s="134">
        <v>236</v>
      </c>
      <c r="P924" s="132" t="s">
        <v>151</v>
      </c>
      <c r="Q924" s="132" t="s">
        <v>266</v>
      </c>
      <c r="R924" s="132" t="s">
        <v>267</v>
      </c>
      <c r="S924" s="133">
        <v>42002</v>
      </c>
      <c r="T924" s="134">
        <v>739.4</v>
      </c>
      <c r="U924" s="132" t="s">
        <v>154</v>
      </c>
      <c r="V924" s="132" t="s">
        <v>186</v>
      </c>
      <c r="W924" s="132" t="s">
        <v>153</v>
      </c>
      <c r="X924" s="133">
        <v>41685</v>
      </c>
      <c r="Y924" s="134">
        <v>850</v>
      </c>
    </row>
    <row r="925" spans="1:25" x14ac:dyDescent="0.25">
      <c r="A925" s="92" t="s">
        <v>148</v>
      </c>
      <c r="B925" s="12" t="s">
        <v>225</v>
      </c>
      <c r="C925" s="12" t="s">
        <v>158</v>
      </c>
      <c r="D925" s="80">
        <v>41681</v>
      </c>
      <c r="E925" s="81">
        <v>800</v>
      </c>
      <c r="F925" s="76" t="s">
        <v>150</v>
      </c>
      <c r="G925" s="77" t="s">
        <v>160</v>
      </c>
      <c r="H925" s="77" t="s">
        <v>153</v>
      </c>
      <c r="I925" s="86">
        <v>41697</v>
      </c>
      <c r="J925" s="78">
        <v>954</v>
      </c>
      <c r="K925" s="132" t="s">
        <v>20</v>
      </c>
      <c r="L925" s="132" t="s">
        <v>276</v>
      </c>
      <c r="M925" s="132" t="s">
        <v>267</v>
      </c>
      <c r="N925" s="133">
        <v>41810</v>
      </c>
      <c r="O925" s="134">
        <v>295</v>
      </c>
      <c r="P925" s="132" t="s">
        <v>151</v>
      </c>
      <c r="Q925" s="132" t="s">
        <v>275</v>
      </c>
      <c r="R925" s="132" t="s">
        <v>267</v>
      </c>
      <c r="S925" s="133">
        <v>41726</v>
      </c>
      <c r="T925" s="134">
        <v>485.3</v>
      </c>
      <c r="U925" s="132" t="s">
        <v>154</v>
      </c>
      <c r="V925" s="132" t="s">
        <v>186</v>
      </c>
      <c r="W925" s="132" t="s">
        <v>153</v>
      </c>
      <c r="X925" s="133">
        <v>41686</v>
      </c>
      <c r="Y925" s="134">
        <v>891</v>
      </c>
    </row>
    <row r="926" spans="1:25" x14ac:dyDescent="0.25">
      <c r="A926" s="92" t="s">
        <v>148</v>
      </c>
      <c r="B926" s="12" t="s">
        <v>225</v>
      </c>
      <c r="C926" s="12" t="s">
        <v>158</v>
      </c>
      <c r="D926" s="80">
        <v>41682</v>
      </c>
      <c r="E926" s="81">
        <v>880</v>
      </c>
      <c r="F926" s="76" t="s">
        <v>150</v>
      </c>
      <c r="G926" s="77" t="s">
        <v>160</v>
      </c>
      <c r="H926" s="77" t="s">
        <v>153</v>
      </c>
      <c r="I926" s="86">
        <v>41701</v>
      </c>
      <c r="J926" s="78">
        <v>1052</v>
      </c>
      <c r="K926" s="132" t="s">
        <v>20</v>
      </c>
      <c r="L926" s="132" t="s">
        <v>276</v>
      </c>
      <c r="M926" s="132" t="s">
        <v>267</v>
      </c>
      <c r="N926" s="133">
        <v>41828</v>
      </c>
      <c r="O926" s="134">
        <v>624</v>
      </c>
      <c r="P926" s="132" t="s">
        <v>151</v>
      </c>
      <c r="Q926" s="132" t="s">
        <v>275</v>
      </c>
      <c r="R926" s="132" t="s">
        <v>267</v>
      </c>
      <c r="S926" s="133">
        <v>41729</v>
      </c>
      <c r="T926" s="134">
        <v>448.8</v>
      </c>
      <c r="U926" s="132" t="s">
        <v>154</v>
      </c>
      <c r="V926" s="132" t="s">
        <v>186</v>
      </c>
      <c r="W926" s="132" t="s">
        <v>153</v>
      </c>
      <c r="X926" s="133">
        <v>41688</v>
      </c>
      <c r="Y926" s="134">
        <v>815</v>
      </c>
    </row>
    <row r="927" spans="1:25" x14ac:dyDescent="0.25">
      <c r="A927" s="92" t="s">
        <v>148</v>
      </c>
      <c r="B927" s="12" t="s">
        <v>225</v>
      </c>
      <c r="C927" s="12" t="s">
        <v>158</v>
      </c>
      <c r="D927" s="80">
        <v>41683</v>
      </c>
      <c r="E927" s="81">
        <v>800</v>
      </c>
      <c r="F927" s="76" t="s">
        <v>150</v>
      </c>
      <c r="G927" s="77" t="s">
        <v>160</v>
      </c>
      <c r="H927" s="77" t="s">
        <v>153</v>
      </c>
      <c r="I927" s="86">
        <v>41703</v>
      </c>
      <c r="J927" s="78">
        <v>778</v>
      </c>
      <c r="K927" s="132" t="s">
        <v>20</v>
      </c>
      <c r="L927" s="132" t="s">
        <v>276</v>
      </c>
      <c r="M927" s="132" t="s">
        <v>267</v>
      </c>
      <c r="N927" s="133">
        <v>41843</v>
      </c>
      <c r="O927" s="134">
        <v>1486</v>
      </c>
      <c r="P927" s="132" t="s">
        <v>151</v>
      </c>
      <c r="Q927" s="132" t="s">
        <v>275</v>
      </c>
      <c r="R927" s="132" t="s">
        <v>267</v>
      </c>
      <c r="S927" s="133">
        <v>41730</v>
      </c>
      <c r="T927" s="134">
        <v>433.5</v>
      </c>
      <c r="U927" s="132" t="s">
        <v>154</v>
      </c>
      <c r="V927" s="132" t="s">
        <v>186</v>
      </c>
      <c r="W927" s="132" t="s">
        <v>153</v>
      </c>
      <c r="X927" s="133">
        <v>41689</v>
      </c>
      <c r="Y927" s="134">
        <v>670</v>
      </c>
    </row>
    <row r="928" spans="1:25" x14ac:dyDescent="0.25">
      <c r="A928" s="92" t="s">
        <v>148</v>
      </c>
      <c r="B928" s="12" t="s">
        <v>225</v>
      </c>
      <c r="C928" s="12" t="s">
        <v>158</v>
      </c>
      <c r="D928" s="80">
        <v>41684</v>
      </c>
      <c r="E928" s="81">
        <v>800</v>
      </c>
      <c r="F928" s="76" t="s">
        <v>150</v>
      </c>
      <c r="G928" s="77" t="s">
        <v>160</v>
      </c>
      <c r="H928" s="77" t="s">
        <v>153</v>
      </c>
      <c r="I928" s="86">
        <v>41705</v>
      </c>
      <c r="J928" s="78">
        <v>1110</v>
      </c>
      <c r="K928" s="132" t="s">
        <v>20</v>
      </c>
      <c r="L928" s="132" t="s">
        <v>276</v>
      </c>
      <c r="M928" s="132" t="s">
        <v>267</v>
      </c>
      <c r="N928" s="133">
        <v>41949</v>
      </c>
      <c r="O928" s="134">
        <v>250</v>
      </c>
      <c r="P928" s="132" t="s">
        <v>151</v>
      </c>
      <c r="Q928" s="132" t="s">
        <v>275</v>
      </c>
      <c r="R928" s="132" t="s">
        <v>267</v>
      </c>
      <c r="S928" s="133">
        <v>41731</v>
      </c>
      <c r="T928" s="134">
        <v>417.2</v>
      </c>
      <c r="U928" s="132" t="s">
        <v>154</v>
      </c>
      <c r="V928" s="132" t="s">
        <v>186</v>
      </c>
      <c r="W928" s="132" t="s">
        <v>153</v>
      </c>
      <c r="X928" s="133">
        <v>41690</v>
      </c>
      <c r="Y928" s="134">
        <v>748</v>
      </c>
    </row>
    <row r="929" spans="1:25" x14ac:dyDescent="0.25">
      <c r="A929" s="92" t="s">
        <v>148</v>
      </c>
      <c r="B929" s="12" t="s">
        <v>225</v>
      </c>
      <c r="C929" s="12" t="s">
        <v>158</v>
      </c>
      <c r="D929" s="80">
        <v>41686</v>
      </c>
      <c r="E929" s="81">
        <v>1575</v>
      </c>
      <c r="F929" s="76" t="s">
        <v>150</v>
      </c>
      <c r="G929" s="77" t="s">
        <v>160</v>
      </c>
      <c r="H929" s="77" t="s">
        <v>153</v>
      </c>
      <c r="I929" s="86">
        <v>41706</v>
      </c>
      <c r="J929" s="78">
        <v>705</v>
      </c>
      <c r="K929" s="132" t="s">
        <v>20</v>
      </c>
      <c r="L929" s="132" t="s">
        <v>276</v>
      </c>
      <c r="M929" s="132" t="s">
        <v>267</v>
      </c>
      <c r="N929" s="133">
        <v>41956</v>
      </c>
      <c r="O929" s="134">
        <v>443</v>
      </c>
      <c r="P929" s="132" t="s">
        <v>151</v>
      </c>
      <c r="Q929" s="132" t="s">
        <v>275</v>
      </c>
      <c r="R929" s="132" t="s">
        <v>267</v>
      </c>
      <c r="S929" s="133">
        <v>41732</v>
      </c>
      <c r="T929" s="134">
        <v>464.9</v>
      </c>
      <c r="U929" s="132" t="s">
        <v>154</v>
      </c>
      <c r="V929" s="132" t="s">
        <v>186</v>
      </c>
      <c r="W929" s="132" t="s">
        <v>153</v>
      </c>
      <c r="X929" s="133">
        <v>41690</v>
      </c>
      <c r="Y929" s="134">
        <v>340</v>
      </c>
    </row>
    <row r="930" spans="1:25" x14ac:dyDescent="0.25">
      <c r="A930" s="92" t="s">
        <v>148</v>
      </c>
      <c r="B930" s="12" t="s">
        <v>225</v>
      </c>
      <c r="C930" s="12" t="s">
        <v>158</v>
      </c>
      <c r="D930" s="80">
        <v>41687</v>
      </c>
      <c r="E930" s="81">
        <v>650</v>
      </c>
      <c r="F930" s="76" t="s">
        <v>150</v>
      </c>
      <c r="G930" s="77" t="s">
        <v>160</v>
      </c>
      <c r="H930" s="77" t="s">
        <v>153</v>
      </c>
      <c r="I930" s="86">
        <v>41707</v>
      </c>
      <c r="J930" s="78">
        <v>1032</v>
      </c>
      <c r="K930" s="132" t="s">
        <v>20</v>
      </c>
      <c r="L930" s="132" t="s">
        <v>276</v>
      </c>
      <c r="M930" s="132" t="s">
        <v>267</v>
      </c>
      <c r="N930" s="133">
        <v>41968</v>
      </c>
      <c r="O930" s="134">
        <v>523</v>
      </c>
      <c r="P930" s="132" t="s">
        <v>151</v>
      </c>
      <c r="Q930" s="132" t="s">
        <v>275</v>
      </c>
      <c r="R930" s="132" t="s">
        <v>267</v>
      </c>
      <c r="S930" s="133">
        <v>41733</v>
      </c>
      <c r="T930" s="134">
        <v>427.1</v>
      </c>
      <c r="U930" s="132" t="s">
        <v>154</v>
      </c>
      <c r="V930" s="132" t="s">
        <v>186</v>
      </c>
      <c r="W930" s="132" t="s">
        <v>153</v>
      </c>
      <c r="X930" s="133">
        <v>41691</v>
      </c>
      <c r="Y930" s="134">
        <v>1260</v>
      </c>
    </row>
    <row r="931" spans="1:25" x14ac:dyDescent="0.25">
      <c r="A931" s="92" t="s">
        <v>148</v>
      </c>
      <c r="B931" s="12" t="s">
        <v>225</v>
      </c>
      <c r="C931" s="12" t="s">
        <v>158</v>
      </c>
      <c r="D931" s="80">
        <v>41721</v>
      </c>
      <c r="E931" s="81">
        <v>1490</v>
      </c>
      <c r="F931" s="76" t="s">
        <v>150</v>
      </c>
      <c r="G931" s="77" t="s">
        <v>160</v>
      </c>
      <c r="H931" s="77" t="s">
        <v>153</v>
      </c>
      <c r="I931" s="86">
        <v>41708</v>
      </c>
      <c r="J931" s="78">
        <v>1254</v>
      </c>
      <c r="K931" s="132" t="s">
        <v>20</v>
      </c>
      <c r="L931" s="132" t="s">
        <v>277</v>
      </c>
      <c r="M931" s="132" t="s">
        <v>267</v>
      </c>
      <c r="N931" s="133">
        <v>41764</v>
      </c>
      <c r="O931" s="134">
        <v>1110</v>
      </c>
      <c r="P931" s="132" t="s">
        <v>151</v>
      </c>
      <c r="Q931" s="132" t="s">
        <v>275</v>
      </c>
      <c r="R931" s="132" t="s">
        <v>267</v>
      </c>
      <c r="S931" s="133">
        <v>41736</v>
      </c>
      <c r="T931" s="134">
        <v>932.4</v>
      </c>
      <c r="U931" s="132" t="s">
        <v>154</v>
      </c>
      <c r="V931" s="132" t="s">
        <v>186</v>
      </c>
      <c r="W931" s="132" t="s">
        <v>153</v>
      </c>
      <c r="X931" s="133">
        <v>41694</v>
      </c>
      <c r="Y931" s="134">
        <v>1080</v>
      </c>
    </row>
    <row r="932" spans="1:25" x14ac:dyDescent="0.25">
      <c r="A932" s="92" t="s">
        <v>148</v>
      </c>
      <c r="B932" s="12" t="s">
        <v>225</v>
      </c>
      <c r="C932" s="12" t="s">
        <v>158</v>
      </c>
      <c r="D932" s="80">
        <v>41722</v>
      </c>
      <c r="E932" s="81">
        <v>780</v>
      </c>
      <c r="F932" s="76" t="s">
        <v>150</v>
      </c>
      <c r="G932" s="77" t="s">
        <v>160</v>
      </c>
      <c r="H932" s="77" t="s">
        <v>153</v>
      </c>
      <c r="I932" s="86">
        <v>41709</v>
      </c>
      <c r="J932" s="78">
        <v>1197</v>
      </c>
      <c r="K932" s="132" t="s">
        <v>20</v>
      </c>
      <c r="L932" s="132" t="s">
        <v>277</v>
      </c>
      <c r="M932" s="132" t="s">
        <v>267</v>
      </c>
      <c r="N932" s="133">
        <v>41780</v>
      </c>
      <c r="O932" s="134">
        <v>1021</v>
      </c>
      <c r="P932" s="132" t="s">
        <v>151</v>
      </c>
      <c r="Q932" s="132" t="s">
        <v>275</v>
      </c>
      <c r="R932" s="132" t="s">
        <v>267</v>
      </c>
      <c r="S932" s="133">
        <v>41737</v>
      </c>
      <c r="T932" s="134">
        <v>854.6</v>
      </c>
      <c r="U932" s="132" t="s">
        <v>154</v>
      </c>
      <c r="V932" s="132" t="s">
        <v>186</v>
      </c>
      <c r="W932" s="132" t="s">
        <v>153</v>
      </c>
      <c r="X932" s="133">
        <v>41695</v>
      </c>
      <c r="Y932" s="134">
        <v>550</v>
      </c>
    </row>
    <row r="933" spans="1:25" x14ac:dyDescent="0.25">
      <c r="A933" s="92" t="s">
        <v>148</v>
      </c>
      <c r="B933" s="12" t="s">
        <v>225</v>
      </c>
      <c r="C933" s="12" t="s">
        <v>158</v>
      </c>
      <c r="D933" s="80">
        <v>41723</v>
      </c>
      <c r="E933" s="81">
        <v>790</v>
      </c>
      <c r="F933" s="76" t="s">
        <v>150</v>
      </c>
      <c r="G933" s="77" t="s">
        <v>160</v>
      </c>
      <c r="H933" s="77" t="s">
        <v>153</v>
      </c>
      <c r="I933" s="86">
        <v>41711</v>
      </c>
      <c r="J933" s="78">
        <v>1291</v>
      </c>
      <c r="K933" s="132" t="s">
        <v>20</v>
      </c>
      <c r="L933" s="132" t="s">
        <v>277</v>
      </c>
      <c r="M933" s="132" t="s">
        <v>267</v>
      </c>
      <c r="N933" s="133">
        <v>41791</v>
      </c>
      <c r="O933" s="134">
        <v>272</v>
      </c>
      <c r="P933" s="132" t="s">
        <v>151</v>
      </c>
      <c r="Q933" s="132" t="s">
        <v>275</v>
      </c>
      <c r="R933" s="132" t="s">
        <v>267</v>
      </c>
      <c r="S933" s="133">
        <v>41738</v>
      </c>
      <c r="T933" s="134">
        <v>850.6</v>
      </c>
      <c r="U933" s="132" t="s">
        <v>154</v>
      </c>
      <c r="V933" s="132" t="s">
        <v>186</v>
      </c>
      <c r="W933" s="132" t="s">
        <v>153</v>
      </c>
      <c r="X933" s="133">
        <v>41696</v>
      </c>
      <c r="Y933" s="134">
        <v>700</v>
      </c>
    </row>
    <row r="934" spans="1:25" x14ac:dyDescent="0.25">
      <c r="A934" s="92" t="s">
        <v>148</v>
      </c>
      <c r="B934" s="12" t="s">
        <v>225</v>
      </c>
      <c r="C934" s="12" t="s">
        <v>158</v>
      </c>
      <c r="D934" s="80">
        <v>41724</v>
      </c>
      <c r="E934" s="81">
        <v>800</v>
      </c>
      <c r="F934" s="76" t="s">
        <v>150</v>
      </c>
      <c r="G934" s="77" t="s">
        <v>160</v>
      </c>
      <c r="H934" s="77" t="s">
        <v>153</v>
      </c>
      <c r="I934" s="86">
        <v>41712</v>
      </c>
      <c r="J934" s="78">
        <v>667</v>
      </c>
      <c r="K934" s="132" t="s">
        <v>20</v>
      </c>
      <c r="L934" s="132" t="s">
        <v>277</v>
      </c>
      <c r="M934" s="132" t="s">
        <v>267</v>
      </c>
      <c r="N934" s="133">
        <v>41813</v>
      </c>
      <c r="O934" s="134">
        <v>1059</v>
      </c>
      <c r="P934" s="132" t="s">
        <v>151</v>
      </c>
      <c r="Q934" s="132" t="s">
        <v>275</v>
      </c>
      <c r="R934" s="132" t="s">
        <v>267</v>
      </c>
      <c r="S934" s="133">
        <v>41739</v>
      </c>
      <c r="T934" s="134">
        <v>896.6</v>
      </c>
      <c r="U934" s="132" t="s">
        <v>154</v>
      </c>
      <c r="V934" s="132" t="s">
        <v>186</v>
      </c>
      <c r="W934" s="132" t="s">
        <v>153</v>
      </c>
      <c r="X934" s="133">
        <v>41697</v>
      </c>
      <c r="Y934" s="134">
        <v>664</v>
      </c>
    </row>
    <row r="935" spans="1:25" x14ac:dyDescent="0.25">
      <c r="A935" s="92" t="s">
        <v>148</v>
      </c>
      <c r="B935" s="12" t="s">
        <v>225</v>
      </c>
      <c r="C935" s="12" t="s">
        <v>158</v>
      </c>
      <c r="D935" s="80">
        <v>41725</v>
      </c>
      <c r="E935" s="81">
        <v>740</v>
      </c>
      <c r="F935" s="76" t="s">
        <v>150</v>
      </c>
      <c r="G935" s="77" t="s">
        <v>160</v>
      </c>
      <c r="H935" s="77" t="s">
        <v>153</v>
      </c>
      <c r="I935" s="86">
        <v>41715</v>
      </c>
      <c r="J935" s="78">
        <v>615</v>
      </c>
      <c r="K935" s="132" t="s">
        <v>20</v>
      </c>
      <c r="L935" s="132" t="s">
        <v>277</v>
      </c>
      <c r="M935" s="132" t="s">
        <v>267</v>
      </c>
      <c r="N935" s="133">
        <v>41817</v>
      </c>
      <c r="O935" s="134">
        <v>980</v>
      </c>
      <c r="P935" s="132" t="s">
        <v>151</v>
      </c>
      <c r="Q935" s="132" t="s">
        <v>275</v>
      </c>
      <c r="R935" s="132" t="s">
        <v>267</v>
      </c>
      <c r="S935" s="133">
        <v>41740</v>
      </c>
      <c r="T935" s="134">
        <v>703.7</v>
      </c>
      <c r="U935" s="132" t="s">
        <v>154</v>
      </c>
      <c r="V935" s="132" t="s">
        <v>186</v>
      </c>
      <c r="W935" s="132" t="s">
        <v>153</v>
      </c>
      <c r="X935" s="133">
        <v>41697</v>
      </c>
      <c r="Y935" s="134">
        <v>816</v>
      </c>
    </row>
    <row r="936" spans="1:25" x14ac:dyDescent="0.25">
      <c r="A936" s="92" t="s">
        <v>148</v>
      </c>
      <c r="B936" s="12" t="s">
        <v>225</v>
      </c>
      <c r="C936" s="12" t="s">
        <v>158</v>
      </c>
      <c r="D936" s="80">
        <v>41726</v>
      </c>
      <c r="E936" s="81">
        <v>740</v>
      </c>
      <c r="F936" s="76" t="s">
        <v>150</v>
      </c>
      <c r="G936" s="77" t="s">
        <v>160</v>
      </c>
      <c r="H936" s="77" t="s">
        <v>153</v>
      </c>
      <c r="I936" s="86">
        <v>41720</v>
      </c>
      <c r="J936" s="78">
        <v>823</v>
      </c>
      <c r="K936" s="132" t="s">
        <v>20</v>
      </c>
      <c r="L936" s="132" t="s">
        <v>277</v>
      </c>
      <c r="M936" s="132" t="s">
        <v>267</v>
      </c>
      <c r="N936" s="133">
        <v>41821</v>
      </c>
      <c r="O936" s="134">
        <v>752</v>
      </c>
      <c r="P936" s="132" t="s">
        <v>151</v>
      </c>
      <c r="Q936" s="132" t="s">
        <v>275</v>
      </c>
      <c r="R936" s="132" t="s">
        <v>267</v>
      </c>
      <c r="S936" s="133">
        <v>41760</v>
      </c>
      <c r="T936" s="134">
        <v>224.7</v>
      </c>
      <c r="U936" s="132" t="s">
        <v>154</v>
      </c>
      <c r="V936" s="132" t="s">
        <v>186</v>
      </c>
      <c r="W936" s="132" t="s">
        <v>153</v>
      </c>
      <c r="X936" s="133">
        <v>41698</v>
      </c>
      <c r="Y936" s="134">
        <v>721</v>
      </c>
    </row>
    <row r="937" spans="1:25" x14ac:dyDescent="0.25">
      <c r="A937" s="92" t="s">
        <v>148</v>
      </c>
      <c r="B937" s="12" t="s">
        <v>225</v>
      </c>
      <c r="C937" s="12" t="s">
        <v>158</v>
      </c>
      <c r="D937" s="80">
        <v>41727</v>
      </c>
      <c r="E937" s="81">
        <v>1115</v>
      </c>
      <c r="F937" s="76" t="s">
        <v>150</v>
      </c>
      <c r="G937" s="77" t="s">
        <v>160</v>
      </c>
      <c r="H937" s="77" t="s">
        <v>153</v>
      </c>
      <c r="I937" s="86">
        <v>41720</v>
      </c>
      <c r="J937" s="78">
        <v>621</v>
      </c>
      <c r="K937" s="132" t="s">
        <v>20</v>
      </c>
      <c r="L937" s="132" t="s">
        <v>277</v>
      </c>
      <c r="M937" s="132" t="s">
        <v>267</v>
      </c>
      <c r="N937" s="133">
        <v>41833</v>
      </c>
      <c r="O937" s="134">
        <v>921</v>
      </c>
      <c r="P937" s="132" t="s">
        <v>151</v>
      </c>
      <c r="Q937" s="132" t="s">
        <v>275</v>
      </c>
      <c r="R937" s="132" t="s">
        <v>267</v>
      </c>
      <c r="S937" s="133">
        <v>41761</v>
      </c>
      <c r="T937" s="134">
        <v>645.6</v>
      </c>
      <c r="U937" s="132" t="s">
        <v>154</v>
      </c>
      <c r="V937" s="132" t="s">
        <v>186</v>
      </c>
      <c r="W937" s="132" t="s">
        <v>153</v>
      </c>
      <c r="X937" s="133">
        <v>41698</v>
      </c>
      <c r="Y937" s="134">
        <v>500</v>
      </c>
    </row>
    <row r="938" spans="1:25" x14ac:dyDescent="0.25">
      <c r="A938" s="92" t="s">
        <v>148</v>
      </c>
      <c r="B938" s="12" t="s">
        <v>225</v>
      </c>
      <c r="C938" s="12" t="s">
        <v>158</v>
      </c>
      <c r="D938" s="80">
        <v>41729</v>
      </c>
      <c r="E938" s="81">
        <v>1100</v>
      </c>
      <c r="F938" s="76" t="s">
        <v>150</v>
      </c>
      <c r="G938" s="77" t="s">
        <v>160</v>
      </c>
      <c r="H938" s="77" t="s">
        <v>153</v>
      </c>
      <c r="I938" s="86">
        <v>41721</v>
      </c>
      <c r="J938" s="78">
        <v>903</v>
      </c>
      <c r="K938" s="132" t="s">
        <v>20</v>
      </c>
      <c r="L938" s="132" t="s">
        <v>277</v>
      </c>
      <c r="M938" s="132" t="s">
        <v>267</v>
      </c>
      <c r="N938" s="133">
        <v>41839</v>
      </c>
      <c r="O938" s="134">
        <v>656</v>
      </c>
      <c r="P938" s="132" t="s">
        <v>151</v>
      </c>
      <c r="Q938" s="132" t="s">
        <v>275</v>
      </c>
      <c r="R938" s="132" t="s">
        <v>267</v>
      </c>
      <c r="S938" s="133">
        <v>41762</v>
      </c>
      <c r="T938" s="134">
        <v>454.9</v>
      </c>
      <c r="U938" s="132" t="s">
        <v>154</v>
      </c>
      <c r="V938" s="132" t="s">
        <v>186</v>
      </c>
      <c r="W938" s="132" t="s">
        <v>153</v>
      </c>
      <c r="X938" s="133">
        <v>41699</v>
      </c>
      <c r="Y938" s="134">
        <v>545</v>
      </c>
    </row>
    <row r="939" spans="1:25" x14ac:dyDescent="0.25">
      <c r="A939" s="92" t="s">
        <v>148</v>
      </c>
      <c r="B939" s="12" t="s">
        <v>225</v>
      </c>
      <c r="C939" s="12" t="s">
        <v>158</v>
      </c>
      <c r="D939" s="80">
        <v>41730</v>
      </c>
      <c r="E939" s="81">
        <v>1000</v>
      </c>
      <c r="F939" s="76" t="s">
        <v>150</v>
      </c>
      <c r="G939" s="77" t="s">
        <v>160</v>
      </c>
      <c r="H939" s="77" t="s">
        <v>153</v>
      </c>
      <c r="I939" s="86">
        <v>41723</v>
      </c>
      <c r="J939" s="78">
        <v>1273</v>
      </c>
      <c r="K939" s="132" t="s">
        <v>20</v>
      </c>
      <c r="L939" s="132" t="s">
        <v>277</v>
      </c>
      <c r="M939" s="132" t="s">
        <v>267</v>
      </c>
      <c r="N939" s="133">
        <v>41856</v>
      </c>
      <c r="O939" s="134">
        <v>730</v>
      </c>
      <c r="P939" s="132" t="s">
        <v>151</v>
      </c>
      <c r="Q939" s="132" t="s">
        <v>275</v>
      </c>
      <c r="R939" s="132" t="s">
        <v>267</v>
      </c>
      <c r="S939" s="133">
        <v>41763</v>
      </c>
      <c r="T939" s="134">
        <v>483</v>
      </c>
      <c r="U939" s="132" t="s">
        <v>154</v>
      </c>
      <c r="V939" s="132" t="s">
        <v>186</v>
      </c>
      <c r="W939" s="132" t="s">
        <v>153</v>
      </c>
      <c r="X939" s="133">
        <v>41701</v>
      </c>
      <c r="Y939" s="134">
        <v>860</v>
      </c>
    </row>
    <row r="940" spans="1:25" x14ac:dyDescent="0.25">
      <c r="A940" s="92" t="s">
        <v>148</v>
      </c>
      <c r="B940" s="12" t="s">
        <v>225</v>
      </c>
      <c r="C940" s="12" t="s">
        <v>158</v>
      </c>
      <c r="D940" s="80">
        <v>41731</v>
      </c>
      <c r="E940" s="81">
        <v>800</v>
      </c>
      <c r="F940" s="76" t="s">
        <v>150</v>
      </c>
      <c r="G940" s="77" t="s">
        <v>160</v>
      </c>
      <c r="H940" s="77" t="s">
        <v>153</v>
      </c>
      <c r="I940" s="86">
        <v>41724</v>
      </c>
      <c r="J940" s="78">
        <v>420</v>
      </c>
      <c r="K940" s="132" t="s">
        <v>20</v>
      </c>
      <c r="L940" s="132" t="s">
        <v>277</v>
      </c>
      <c r="M940" s="132" t="s">
        <v>267</v>
      </c>
      <c r="N940" s="133">
        <v>41865</v>
      </c>
      <c r="O940" s="134">
        <v>1145</v>
      </c>
      <c r="P940" s="132" t="s">
        <v>151</v>
      </c>
      <c r="Q940" s="132" t="s">
        <v>275</v>
      </c>
      <c r="R940" s="132" t="s">
        <v>267</v>
      </c>
      <c r="S940" s="133">
        <v>41782</v>
      </c>
      <c r="T940" s="134">
        <v>1090.9000000000001</v>
      </c>
      <c r="U940" s="132" t="s">
        <v>154</v>
      </c>
      <c r="V940" s="132" t="s">
        <v>186</v>
      </c>
      <c r="W940" s="132" t="s">
        <v>153</v>
      </c>
      <c r="X940" s="133">
        <v>41702</v>
      </c>
      <c r="Y940" s="134">
        <v>900</v>
      </c>
    </row>
    <row r="941" spans="1:25" x14ac:dyDescent="0.25">
      <c r="A941" s="92" t="s">
        <v>148</v>
      </c>
      <c r="B941" s="12" t="s">
        <v>225</v>
      </c>
      <c r="C941" s="12" t="s">
        <v>158</v>
      </c>
      <c r="D941" s="80">
        <v>41732</v>
      </c>
      <c r="E941" s="81">
        <v>680</v>
      </c>
      <c r="F941" s="76" t="s">
        <v>150</v>
      </c>
      <c r="G941" s="77" t="s">
        <v>160</v>
      </c>
      <c r="H941" s="77" t="s">
        <v>153</v>
      </c>
      <c r="I941" s="86">
        <v>41725</v>
      </c>
      <c r="J941" s="78">
        <v>1051</v>
      </c>
      <c r="K941" s="132" t="s">
        <v>20</v>
      </c>
      <c r="L941" s="132" t="s">
        <v>277</v>
      </c>
      <c r="M941" s="132" t="s">
        <v>267</v>
      </c>
      <c r="N941" s="133">
        <v>41868</v>
      </c>
      <c r="O941" s="134">
        <v>1247</v>
      </c>
      <c r="P941" s="132" t="s">
        <v>151</v>
      </c>
      <c r="Q941" s="132" t="s">
        <v>275</v>
      </c>
      <c r="R941" s="132" t="s">
        <v>267</v>
      </c>
      <c r="S941" s="133">
        <v>41786</v>
      </c>
      <c r="T941" s="134">
        <v>849.9</v>
      </c>
      <c r="U941" s="132" t="s">
        <v>154</v>
      </c>
      <c r="V941" s="132" t="s">
        <v>186</v>
      </c>
      <c r="W941" s="132" t="s">
        <v>153</v>
      </c>
      <c r="X941" s="133">
        <v>41703</v>
      </c>
      <c r="Y941" s="134">
        <v>481</v>
      </c>
    </row>
    <row r="942" spans="1:25" x14ac:dyDescent="0.25">
      <c r="A942" s="92" t="s">
        <v>148</v>
      </c>
      <c r="B942" s="12" t="s">
        <v>225</v>
      </c>
      <c r="C942" s="12" t="s">
        <v>158</v>
      </c>
      <c r="D942" s="80">
        <v>41733</v>
      </c>
      <c r="E942" s="81">
        <v>750</v>
      </c>
      <c r="F942" s="76" t="s">
        <v>150</v>
      </c>
      <c r="G942" s="77" t="s">
        <v>160</v>
      </c>
      <c r="H942" s="77" t="s">
        <v>153</v>
      </c>
      <c r="I942" s="86">
        <v>41732</v>
      </c>
      <c r="J942" s="78">
        <v>367</v>
      </c>
      <c r="K942" s="132" t="s">
        <v>20</v>
      </c>
      <c r="L942" s="132" t="s">
        <v>277</v>
      </c>
      <c r="M942" s="132" t="s">
        <v>267</v>
      </c>
      <c r="N942" s="133">
        <v>41983</v>
      </c>
      <c r="O942" s="134">
        <v>416</v>
      </c>
      <c r="P942" s="132" t="s">
        <v>151</v>
      </c>
      <c r="Q942" s="132" t="s">
        <v>275</v>
      </c>
      <c r="R942" s="132" t="s">
        <v>267</v>
      </c>
      <c r="S942" s="133">
        <v>41799</v>
      </c>
      <c r="T942" s="134">
        <v>784.7</v>
      </c>
      <c r="U942" s="132" t="s">
        <v>154</v>
      </c>
      <c r="V942" s="132" t="s">
        <v>186</v>
      </c>
      <c r="W942" s="132" t="s">
        <v>153</v>
      </c>
      <c r="X942" s="133">
        <v>41704</v>
      </c>
      <c r="Y942" s="134">
        <v>1110</v>
      </c>
    </row>
    <row r="943" spans="1:25" x14ac:dyDescent="0.25">
      <c r="A943" s="92" t="s">
        <v>148</v>
      </c>
      <c r="B943" s="12" t="s">
        <v>225</v>
      </c>
      <c r="C943" s="12" t="s">
        <v>158</v>
      </c>
      <c r="D943" s="80">
        <v>41734</v>
      </c>
      <c r="E943" s="81">
        <v>938</v>
      </c>
      <c r="F943" s="76" t="s">
        <v>150</v>
      </c>
      <c r="G943" s="77" t="s">
        <v>160</v>
      </c>
      <c r="H943" s="77" t="s">
        <v>153</v>
      </c>
      <c r="I943" s="86">
        <v>41736</v>
      </c>
      <c r="J943" s="78">
        <v>1055</v>
      </c>
      <c r="K943" s="132" t="s">
        <v>20</v>
      </c>
      <c r="L943" s="132" t="s">
        <v>277</v>
      </c>
      <c r="M943" s="132" t="s">
        <v>267</v>
      </c>
      <c r="N943" s="133">
        <v>41984</v>
      </c>
      <c r="O943" s="134">
        <v>545</v>
      </c>
      <c r="P943" s="132" t="s">
        <v>151</v>
      </c>
      <c r="Q943" s="132" t="s">
        <v>275</v>
      </c>
      <c r="R943" s="132" t="s">
        <v>267</v>
      </c>
      <c r="S943" s="133">
        <v>41800</v>
      </c>
      <c r="T943" s="134">
        <v>601.70000000000005</v>
      </c>
      <c r="U943" s="132" t="s">
        <v>154</v>
      </c>
      <c r="V943" s="132" t="s">
        <v>186</v>
      </c>
      <c r="W943" s="132" t="s">
        <v>153</v>
      </c>
      <c r="X943" s="133">
        <v>41705</v>
      </c>
      <c r="Y943" s="134">
        <v>700</v>
      </c>
    </row>
    <row r="944" spans="1:25" x14ac:dyDescent="0.25">
      <c r="A944" s="92" t="s">
        <v>148</v>
      </c>
      <c r="B944" s="12" t="s">
        <v>225</v>
      </c>
      <c r="C944" s="12" t="s">
        <v>158</v>
      </c>
      <c r="D944" s="80">
        <v>41736</v>
      </c>
      <c r="E944" s="81">
        <v>1630</v>
      </c>
      <c r="F944" s="76" t="s">
        <v>150</v>
      </c>
      <c r="G944" s="77" t="s">
        <v>160</v>
      </c>
      <c r="H944" s="77" t="s">
        <v>153</v>
      </c>
      <c r="I944" s="86">
        <v>41737</v>
      </c>
      <c r="J944" s="78">
        <v>1220</v>
      </c>
      <c r="K944" s="132" t="s">
        <v>20</v>
      </c>
      <c r="L944" s="132" t="s">
        <v>277</v>
      </c>
      <c r="M944" s="132" t="s">
        <v>267</v>
      </c>
      <c r="N944" s="133">
        <v>41988</v>
      </c>
      <c r="O944" s="134">
        <v>521</v>
      </c>
      <c r="P944" s="132" t="s">
        <v>151</v>
      </c>
      <c r="Q944" s="132" t="s">
        <v>275</v>
      </c>
      <c r="R944" s="132" t="s">
        <v>267</v>
      </c>
      <c r="S944" s="133">
        <v>41801</v>
      </c>
      <c r="T944" s="134">
        <v>868.1</v>
      </c>
      <c r="U944" s="132" t="s">
        <v>154</v>
      </c>
      <c r="V944" s="132" t="s">
        <v>186</v>
      </c>
      <c r="W944" s="132" t="s">
        <v>153</v>
      </c>
      <c r="X944" s="133">
        <v>41707</v>
      </c>
      <c r="Y944" s="134">
        <v>597</v>
      </c>
    </row>
    <row r="945" spans="1:25" x14ac:dyDescent="0.25">
      <c r="A945" s="92" t="s">
        <v>148</v>
      </c>
      <c r="B945" s="12" t="s">
        <v>225</v>
      </c>
      <c r="C945" s="12" t="s">
        <v>158</v>
      </c>
      <c r="D945" s="80">
        <v>41737</v>
      </c>
      <c r="E945" s="81">
        <v>480</v>
      </c>
      <c r="F945" s="76" t="s">
        <v>150</v>
      </c>
      <c r="G945" s="77" t="s">
        <v>160</v>
      </c>
      <c r="H945" s="77" t="s">
        <v>153</v>
      </c>
      <c r="I945" s="86">
        <v>41737</v>
      </c>
      <c r="J945" s="78">
        <v>661</v>
      </c>
      <c r="K945" s="132" t="s">
        <v>20</v>
      </c>
      <c r="L945" s="132" t="s">
        <v>277</v>
      </c>
      <c r="M945" s="132" t="s">
        <v>267</v>
      </c>
      <c r="N945" s="133">
        <v>41990</v>
      </c>
      <c r="O945" s="134">
        <v>286</v>
      </c>
      <c r="P945" s="132" t="s">
        <v>151</v>
      </c>
      <c r="Q945" s="132" t="s">
        <v>275</v>
      </c>
      <c r="R945" s="132" t="s">
        <v>267</v>
      </c>
      <c r="S945" s="133">
        <v>41918</v>
      </c>
      <c r="T945" s="134">
        <v>158.4</v>
      </c>
      <c r="U945" s="132" t="s">
        <v>154</v>
      </c>
      <c r="V945" s="132" t="s">
        <v>186</v>
      </c>
      <c r="W945" s="132" t="s">
        <v>153</v>
      </c>
      <c r="X945" s="133">
        <v>41708</v>
      </c>
      <c r="Y945" s="134">
        <v>850</v>
      </c>
    </row>
    <row r="946" spans="1:25" x14ac:dyDescent="0.25">
      <c r="A946" s="92" t="s">
        <v>148</v>
      </c>
      <c r="B946" s="12" t="s">
        <v>225</v>
      </c>
      <c r="C946" s="12" t="s">
        <v>158</v>
      </c>
      <c r="D946" s="80">
        <v>41738</v>
      </c>
      <c r="E946" s="81">
        <v>1055</v>
      </c>
      <c r="F946" s="76" t="s">
        <v>150</v>
      </c>
      <c r="G946" s="77" t="s">
        <v>160</v>
      </c>
      <c r="H946" s="77" t="s">
        <v>153</v>
      </c>
      <c r="I946" s="86">
        <v>41739</v>
      </c>
      <c r="J946" s="78">
        <v>1317</v>
      </c>
      <c r="K946" s="132" t="s">
        <v>20</v>
      </c>
      <c r="L946" s="132" t="s">
        <v>277</v>
      </c>
      <c r="M946" s="132" t="s">
        <v>267</v>
      </c>
      <c r="N946" s="133">
        <v>41992</v>
      </c>
      <c r="O946" s="134">
        <v>213</v>
      </c>
      <c r="P946" s="132" t="s">
        <v>151</v>
      </c>
      <c r="Q946" s="132" t="s">
        <v>275</v>
      </c>
      <c r="R946" s="132" t="s">
        <v>267</v>
      </c>
      <c r="S946" s="133">
        <v>41919</v>
      </c>
      <c r="T946" s="134">
        <v>636.29999999999995</v>
      </c>
      <c r="U946" s="132" t="s">
        <v>154</v>
      </c>
      <c r="V946" s="132" t="s">
        <v>186</v>
      </c>
      <c r="W946" s="132" t="s">
        <v>153</v>
      </c>
      <c r="X946" s="133">
        <v>41709</v>
      </c>
      <c r="Y946" s="134">
        <v>700</v>
      </c>
    </row>
    <row r="947" spans="1:25" x14ac:dyDescent="0.25">
      <c r="A947" s="92" t="s">
        <v>148</v>
      </c>
      <c r="B947" s="12" t="s">
        <v>225</v>
      </c>
      <c r="C947" s="12" t="s">
        <v>158</v>
      </c>
      <c r="D947" s="80">
        <v>41739</v>
      </c>
      <c r="E947" s="81">
        <v>770</v>
      </c>
      <c r="F947" s="76" t="s">
        <v>150</v>
      </c>
      <c r="G947" s="77" t="s">
        <v>160</v>
      </c>
      <c r="H947" s="77" t="s">
        <v>153</v>
      </c>
      <c r="I947" s="86">
        <v>41744</v>
      </c>
      <c r="J947" s="78">
        <v>1001</v>
      </c>
      <c r="K947" s="132" t="s">
        <v>20</v>
      </c>
      <c r="L947" s="132" t="s">
        <v>277</v>
      </c>
      <c r="M947" s="132" t="s">
        <v>267</v>
      </c>
      <c r="N947" s="133">
        <v>41995</v>
      </c>
      <c r="O947" s="134">
        <v>556</v>
      </c>
      <c r="P947" s="132" t="s">
        <v>151</v>
      </c>
      <c r="Q947" s="132" t="s">
        <v>275</v>
      </c>
      <c r="R947" s="132" t="s">
        <v>267</v>
      </c>
      <c r="S947" s="133">
        <v>41920</v>
      </c>
      <c r="T947" s="134">
        <v>614.70000000000005</v>
      </c>
      <c r="U947" s="132" t="s">
        <v>154</v>
      </c>
      <c r="V947" s="132" t="s">
        <v>186</v>
      </c>
      <c r="W947" s="132" t="s">
        <v>153</v>
      </c>
      <c r="X947" s="133">
        <v>41722</v>
      </c>
      <c r="Y947" s="134">
        <v>820</v>
      </c>
    </row>
    <row r="948" spans="1:25" x14ac:dyDescent="0.25">
      <c r="A948" s="92" t="s">
        <v>148</v>
      </c>
      <c r="B948" s="12" t="s">
        <v>225</v>
      </c>
      <c r="C948" s="12" t="s">
        <v>158</v>
      </c>
      <c r="D948" s="80">
        <v>41740</v>
      </c>
      <c r="E948" s="81">
        <v>809</v>
      </c>
      <c r="F948" s="76" t="s">
        <v>150</v>
      </c>
      <c r="G948" s="77" t="s">
        <v>160</v>
      </c>
      <c r="H948" s="77" t="s">
        <v>153</v>
      </c>
      <c r="I948" s="86">
        <v>41746</v>
      </c>
      <c r="J948" s="78">
        <v>590</v>
      </c>
      <c r="K948" s="132" t="s">
        <v>20</v>
      </c>
      <c r="L948" s="132" t="s">
        <v>278</v>
      </c>
      <c r="M948" s="132" t="s">
        <v>267</v>
      </c>
      <c r="N948" s="133">
        <v>41761</v>
      </c>
      <c r="O948" s="134">
        <v>1320</v>
      </c>
      <c r="P948" s="132" t="s">
        <v>151</v>
      </c>
      <c r="Q948" s="132" t="s">
        <v>275</v>
      </c>
      <c r="R948" s="132" t="s">
        <v>267</v>
      </c>
      <c r="S948" s="133">
        <v>41921</v>
      </c>
      <c r="T948" s="134">
        <v>610.20000000000005</v>
      </c>
      <c r="U948" s="132" t="s">
        <v>154</v>
      </c>
      <c r="V948" s="132" t="s">
        <v>186</v>
      </c>
      <c r="W948" s="132" t="s">
        <v>153</v>
      </c>
      <c r="X948" s="133">
        <v>41733</v>
      </c>
      <c r="Y948" s="134">
        <v>1042</v>
      </c>
    </row>
    <row r="949" spans="1:25" x14ac:dyDescent="0.25">
      <c r="A949" s="92" t="s">
        <v>148</v>
      </c>
      <c r="B949" s="12" t="s">
        <v>225</v>
      </c>
      <c r="C949" s="12" t="s">
        <v>158</v>
      </c>
      <c r="D949" s="80">
        <v>41741</v>
      </c>
      <c r="E949" s="81">
        <v>525</v>
      </c>
      <c r="F949" s="76" t="s">
        <v>150</v>
      </c>
      <c r="G949" s="77" t="s">
        <v>160</v>
      </c>
      <c r="H949" s="77" t="s">
        <v>153</v>
      </c>
      <c r="I949" s="86">
        <v>41753</v>
      </c>
      <c r="J949" s="78">
        <v>895</v>
      </c>
      <c r="K949" s="132" t="s">
        <v>20</v>
      </c>
      <c r="L949" s="132" t="s">
        <v>278</v>
      </c>
      <c r="M949" s="132" t="s">
        <v>267</v>
      </c>
      <c r="N949" s="133">
        <v>41845</v>
      </c>
      <c r="O949" s="134">
        <v>1174</v>
      </c>
      <c r="P949" s="132" t="s">
        <v>151</v>
      </c>
      <c r="Q949" s="132" t="s">
        <v>275</v>
      </c>
      <c r="R949" s="132" t="s">
        <v>267</v>
      </c>
      <c r="S949" s="133">
        <v>41922</v>
      </c>
      <c r="T949" s="134">
        <v>525</v>
      </c>
      <c r="U949" s="132" t="s">
        <v>154</v>
      </c>
      <c r="V949" s="132" t="s">
        <v>186</v>
      </c>
      <c r="W949" s="132" t="s">
        <v>153</v>
      </c>
      <c r="X949" s="133">
        <v>41734</v>
      </c>
      <c r="Y949" s="134">
        <v>421</v>
      </c>
    </row>
    <row r="950" spans="1:25" x14ac:dyDescent="0.25">
      <c r="A950" s="92" t="s">
        <v>148</v>
      </c>
      <c r="B950" s="12" t="s">
        <v>225</v>
      </c>
      <c r="C950" s="12" t="s">
        <v>158</v>
      </c>
      <c r="D950" s="80">
        <v>41742</v>
      </c>
      <c r="E950" s="81">
        <v>700</v>
      </c>
      <c r="F950" s="76" t="s">
        <v>150</v>
      </c>
      <c r="G950" s="77" t="s">
        <v>160</v>
      </c>
      <c r="H950" s="77" t="s">
        <v>153</v>
      </c>
      <c r="I950" s="86">
        <v>41754</v>
      </c>
      <c r="J950" s="78">
        <v>946</v>
      </c>
      <c r="K950" s="132" t="s">
        <v>20</v>
      </c>
      <c r="L950" s="132" t="s">
        <v>278</v>
      </c>
      <c r="M950" s="132" t="s">
        <v>267</v>
      </c>
      <c r="N950" s="133">
        <v>41897</v>
      </c>
      <c r="O950" s="134">
        <v>864</v>
      </c>
      <c r="P950" s="132" t="s">
        <v>151</v>
      </c>
      <c r="Q950" s="132" t="s">
        <v>275</v>
      </c>
      <c r="R950" s="132" t="s">
        <v>267</v>
      </c>
      <c r="S950" s="133">
        <v>41925</v>
      </c>
      <c r="T950" s="134">
        <v>963.9</v>
      </c>
      <c r="U950" s="132" t="s">
        <v>154</v>
      </c>
      <c r="V950" s="132" t="s">
        <v>186</v>
      </c>
      <c r="W950" s="132" t="s">
        <v>153</v>
      </c>
      <c r="X950" s="133">
        <v>41735</v>
      </c>
      <c r="Y950" s="134">
        <v>527</v>
      </c>
    </row>
    <row r="951" spans="1:25" x14ac:dyDescent="0.25">
      <c r="A951" s="92" t="s">
        <v>148</v>
      </c>
      <c r="B951" s="12" t="s">
        <v>225</v>
      </c>
      <c r="C951" s="12" t="s">
        <v>158</v>
      </c>
      <c r="D951" s="80">
        <v>41743</v>
      </c>
      <c r="E951" s="81">
        <v>700</v>
      </c>
      <c r="F951" s="76" t="s">
        <v>150</v>
      </c>
      <c r="G951" s="77" t="s">
        <v>160</v>
      </c>
      <c r="H951" s="77" t="s">
        <v>153</v>
      </c>
      <c r="I951" s="86">
        <v>41766</v>
      </c>
      <c r="J951" s="78">
        <v>769</v>
      </c>
      <c r="K951" s="132" t="s">
        <v>20</v>
      </c>
      <c r="L951" s="132" t="s">
        <v>278</v>
      </c>
      <c r="M951" s="132" t="s">
        <v>267</v>
      </c>
      <c r="N951" s="133">
        <v>41927</v>
      </c>
      <c r="O951" s="134">
        <v>300</v>
      </c>
      <c r="P951" s="132" t="s">
        <v>151</v>
      </c>
      <c r="Q951" s="132" t="s">
        <v>275</v>
      </c>
      <c r="R951" s="132" t="s">
        <v>267</v>
      </c>
      <c r="S951" s="133">
        <v>41927</v>
      </c>
      <c r="T951" s="134">
        <v>582.20000000000005</v>
      </c>
      <c r="U951" s="132" t="s">
        <v>154</v>
      </c>
      <c r="V951" s="132" t="s">
        <v>186</v>
      </c>
      <c r="W951" s="132" t="s">
        <v>153</v>
      </c>
      <c r="X951" s="133">
        <v>41736</v>
      </c>
      <c r="Y951" s="134">
        <v>730</v>
      </c>
    </row>
    <row r="952" spans="1:25" x14ac:dyDescent="0.25">
      <c r="A952" s="92" t="s">
        <v>148</v>
      </c>
      <c r="B952" s="12" t="s">
        <v>225</v>
      </c>
      <c r="C952" s="12" t="s">
        <v>158</v>
      </c>
      <c r="D952" s="80">
        <v>41744</v>
      </c>
      <c r="E952" s="81">
        <v>875</v>
      </c>
      <c r="F952" s="76" t="s">
        <v>150</v>
      </c>
      <c r="G952" s="77" t="s">
        <v>160</v>
      </c>
      <c r="H952" s="77" t="s">
        <v>153</v>
      </c>
      <c r="I952" s="86">
        <v>41768</v>
      </c>
      <c r="J952" s="78">
        <v>973</v>
      </c>
      <c r="K952" s="132" t="s">
        <v>20</v>
      </c>
      <c r="L952" s="132" t="s">
        <v>278</v>
      </c>
      <c r="M952" s="132" t="s">
        <v>267</v>
      </c>
      <c r="N952" s="133">
        <v>41984</v>
      </c>
      <c r="O952" s="134">
        <v>1089</v>
      </c>
      <c r="P952" s="132" t="s">
        <v>151</v>
      </c>
      <c r="Q952" s="132" t="s">
        <v>275</v>
      </c>
      <c r="R952" s="132" t="s">
        <v>267</v>
      </c>
      <c r="S952" s="133">
        <v>41928</v>
      </c>
      <c r="T952" s="134">
        <v>616.4</v>
      </c>
      <c r="U952" s="132" t="s">
        <v>154</v>
      </c>
      <c r="V952" s="132" t="s">
        <v>186</v>
      </c>
      <c r="W952" s="132" t="s">
        <v>153</v>
      </c>
      <c r="X952" s="133">
        <v>41737</v>
      </c>
      <c r="Y952" s="134">
        <v>700</v>
      </c>
    </row>
    <row r="953" spans="1:25" x14ac:dyDescent="0.25">
      <c r="A953" s="92" t="s">
        <v>148</v>
      </c>
      <c r="B953" s="12" t="s">
        <v>225</v>
      </c>
      <c r="C953" s="12" t="s">
        <v>158</v>
      </c>
      <c r="D953" s="80">
        <v>41745</v>
      </c>
      <c r="E953" s="81">
        <v>740</v>
      </c>
      <c r="F953" s="76" t="s">
        <v>150</v>
      </c>
      <c r="G953" s="77" t="s">
        <v>160</v>
      </c>
      <c r="H953" s="77" t="s">
        <v>153</v>
      </c>
      <c r="I953" s="86">
        <v>41771</v>
      </c>
      <c r="J953" s="78">
        <v>910</v>
      </c>
      <c r="K953" s="132" t="s">
        <v>20</v>
      </c>
      <c r="L953" s="132" t="s">
        <v>278</v>
      </c>
      <c r="M953" s="132" t="s">
        <v>267</v>
      </c>
      <c r="N953" s="133">
        <v>41996</v>
      </c>
      <c r="O953" s="134">
        <v>264</v>
      </c>
      <c r="P953" s="132" t="s">
        <v>151</v>
      </c>
      <c r="Q953" s="132" t="s">
        <v>275</v>
      </c>
      <c r="R953" s="132" t="s">
        <v>267</v>
      </c>
      <c r="S953" s="133">
        <v>41940</v>
      </c>
      <c r="T953" s="134">
        <v>729.6</v>
      </c>
      <c r="U953" s="132" t="s">
        <v>154</v>
      </c>
      <c r="V953" s="132" t="s">
        <v>186</v>
      </c>
      <c r="W953" s="132" t="s">
        <v>153</v>
      </c>
      <c r="X953" s="133">
        <v>41738</v>
      </c>
      <c r="Y953" s="134">
        <v>590</v>
      </c>
    </row>
    <row r="954" spans="1:25" x14ac:dyDescent="0.25">
      <c r="A954" s="92" t="s">
        <v>148</v>
      </c>
      <c r="B954" s="12" t="s">
        <v>225</v>
      </c>
      <c r="C954" s="12" t="s">
        <v>158</v>
      </c>
      <c r="D954" s="80">
        <v>41746</v>
      </c>
      <c r="E954" s="81">
        <v>775</v>
      </c>
      <c r="F954" s="76" t="s">
        <v>150</v>
      </c>
      <c r="G954" s="77" t="s">
        <v>160</v>
      </c>
      <c r="H954" s="77" t="s">
        <v>153</v>
      </c>
      <c r="I954" s="86">
        <v>41772</v>
      </c>
      <c r="J954" s="78">
        <v>645</v>
      </c>
      <c r="K954" s="132" t="s">
        <v>20</v>
      </c>
      <c r="L954" s="132" t="s">
        <v>279</v>
      </c>
      <c r="M954" s="132" t="s">
        <v>267</v>
      </c>
      <c r="N954" s="133">
        <v>41658</v>
      </c>
      <c r="O954" s="134">
        <v>1209</v>
      </c>
      <c r="P954" s="132" t="s">
        <v>151</v>
      </c>
      <c r="Q954" s="132" t="s">
        <v>275</v>
      </c>
      <c r="R954" s="132" t="s">
        <v>267</v>
      </c>
      <c r="S954" s="133">
        <v>41960</v>
      </c>
      <c r="T954" s="134">
        <v>368.6</v>
      </c>
      <c r="U954" s="132" t="s">
        <v>154</v>
      </c>
      <c r="V954" s="132" t="s">
        <v>186</v>
      </c>
      <c r="W954" s="132" t="s">
        <v>153</v>
      </c>
      <c r="X954" s="133">
        <v>41739</v>
      </c>
      <c r="Y954" s="134">
        <v>900</v>
      </c>
    </row>
    <row r="955" spans="1:25" x14ac:dyDescent="0.25">
      <c r="A955" s="92" t="s">
        <v>148</v>
      </c>
      <c r="B955" s="12" t="s">
        <v>225</v>
      </c>
      <c r="C955" s="12" t="s">
        <v>158</v>
      </c>
      <c r="D955" s="80">
        <v>41747</v>
      </c>
      <c r="E955" s="81">
        <v>740</v>
      </c>
      <c r="F955" s="76" t="s">
        <v>150</v>
      </c>
      <c r="G955" s="77" t="s">
        <v>160</v>
      </c>
      <c r="H955" s="77" t="s">
        <v>153</v>
      </c>
      <c r="I955" s="86">
        <v>41774</v>
      </c>
      <c r="J955" s="78">
        <v>856</v>
      </c>
      <c r="K955" s="132" t="s">
        <v>20</v>
      </c>
      <c r="L955" s="132" t="s">
        <v>279</v>
      </c>
      <c r="M955" s="132" t="s">
        <v>267</v>
      </c>
      <c r="N955" s="133">
        <v>41659</v>
      </c>
      <c r="O955" s="134">
        <v>1181</v>
      </c>
      <c r="P955" s="132" t="s">
        <v>151</v>
      </c>
      <c r="Q955" s="132" t="s">
        <v>275</v>
      </c>
      <c r="R955" s="132" t="s">
        <v>267</v>
      </c>
      <c r="S955" s="133">
        <v>41963</v>
      </c>
      <c r="T955" s="134">
        <v>1028.3</v>
      </c>
      <c r="U955" s="132" t="s">
        <v>154</v>
      </c>
      <c r="V955" s="132" t="s">
        <v>186</v>
      </c>
      <c r="W955" s="132" t="s">
        <v>153</v>
      </c>
      <c r="X955" s="133">
        <v>41740</v>
      </c>
      <c r="Y955" s="134">
        <v>1150</v>
      </c>
    </row>
    <row r="956" spans="1:25" x14ac:dyDescent="0.25">
      <c r="A956" s="92" t="s">
        <v>148</v>
      </c>
      <c r="B956" s="12" t="s">
        <v>225</v>
      </c>
      <c r="C956" s="12" t="s">
        <v>158</v>
      </c>
      <c r="D956" s="80">
        <v>41748</v>
      </c>
      <c r="E956" s="81">
        <v>704</v>
      </c>
      <c r="F956" s="76" t="s">
        <v>150</v>
      </c>
      <c r="G956" s="77" t="s">
        <v>160</v>
      </c>
      <c r="H956" s="77" t="s">
        <v>153</v>
      </c>
      <c r="I956" s="86">
        <v>41775</v>
      </c>
      <c r="J956" s="78">
        <v>970</v>
      </c>
      <c r="K956" s="132" t="s">
        <v>20</v>
      </c>
      <c r="L956" s="132" t="s">
        <v>279</v>
      </c>
      <c r="M956" s="132" t="s">
        <v>267</v>
      </c>
      <c r="N956" s="133">
        <v>41669</v>
      </c>
      <c r="O956" s="134">
        <v>1241</v>
      </c>
      <c r="P956" s="132" t="s">
        <v>151</v>
      </c>
      <c r="Q956" s="132" t="s">
        <v>275</v>
      </c>
      <c r="R956" s="132" t="s">
        <v>267</v>
      </c>
      <c r="S956" s="133">
        <v>41964</v>
      </c>
      <c r="T956" s="134">
        <v>567.5</v>
      </c>
      <c r="U956" s="132" t="s">
        <v>154</v>
      </c>
      <c r="V956" s="132" t="s">
        <v>186</v>
      </c>
      <c r="W956" s="132" t="s">
        <v>153</v>
      </c>
      <c r="X956" s="133">
        <v>41741</v>
      </c>
      <c r="Y956" s="134">
        <v>745</v>
      </c>
    </row>
    <row r="957" spans="1:25" x14ac:dyDescent="0.25">
      <c r="A957" s="92" t="s">
        <v>148</v>
      </c>
      <c r="B957" s="12" t="s">
        <v>225</v>
      </c>
      <c r="C957" s="12" t="s">
        <v>158</v>
      </c>
      <c r="D957" s="80">
        <v>41762</v>
      </c>
      <c r="E957" s="81">
        <v>700</v>
      </c>
      <c r="F957" s="76" t="s">
        <v>150</v>
      </c>
      <c r="G957" s="77" t="s">
        <v>160</v>
      </c>
      <c r="H957" s="77" t="s">
        <v>153</v>
      </c>
      <c r="I957" s="86">
        <v>41779</v>
      </c>
      <c r="J957" s="78">
        <v>696</v>
      </c>
      <c r="K957" s="132" t="s">
        <v>20</v>
      </c>
      <c r="L957" s="132" t="s">
        <v>279</v>
      </c>
      <c r="M957" s="132" t="s">
        <v>267</v>
      </c>
      <c r="N957" s="133">
        <v>41678</v>
      </c>
      <c r="O957" s="134">
        <v>1300</v>
      </c>
      <c r="P957" s="132" t="s">
        <v>151</v>
      </c>
      <c r="Q957" s="132" t="s">
        <v>275</v>
      </c>
      <c r="R957" s="132" t="s">
        <v>267</v>
      </c>
      <c r="S957" s="133">
        <v>41968</v>
      </c>
      <c r="T957" s="134">
        <v>476.6</v>
      </c>
      <c r="U957" s="132" t="s">
        <v>154</v>
      </c>
      <c r="V957" s="132" t="s">
        <v>186</v>
      </c>
      <c r="W957" s="132" t="s">
        <v>153</v>
      </c>
      <c r="X957" s="133">
        <v>41741</v>
      </c>
      <c r="Y957" s="134">
        <v>480</v>
      </c>
    </row>
    <row r="958" spans="1:25" x14ac:dyDescent="0.25">
      <c r="A958" s="92" t="s">
        <v>148</v>
      </c>
      <c r="B958" s="12" t="s">
        <v>225</v>
      </c>
      <c r="C958" s="12" t="s">
        <v>158</v>
      </c>
      <c r="D958" s="80">
        <v>41852</v>
      </c>
      <c r="E958" s="81">
        <v>1025</v>
      </c>
      <c r="F958" s="76" t="s">
        <v>150</v>
      </c>
      <c r="G958" s="77" t="s">
        <v>160</v>
      </c>
      <c r="H958" s="77" t="s">
        <v>153</v>
      </c>
      <c r="I958" s="86">
        <v>41781</v>
      </c>
      <c r="J958" s="78">
        <v>652</v>
      </c>
      <c r="K958" s="132" t="s">
        <v>20</v>
      </c>
      <c r="L958" s="132" t="s">
        <v>279</v>
      </c>
      <c r="M958" s="132" t="s">
        <v>267</v>
      </c>
      <c r="N958" s="133">
        <v>41710</v>
      </c>
      <c r="O958" s="134">
        <v>1160</v>
      </c>
      <c r="P958" s="132" t="s">
        <v>151</v>
      </c>
      <c r="Q958" s="132" t="s">
        <v>275</v>
      </c>
      <c r="R958" s="132" t="s">
        <v>267</v>
      </c>
      <c r="S958" s="133">
        <v>41969</v>
      </c>
      <c r="T958" s="134">
        <v>646.20000000000005</v>
      </c>
      <c r="U958" s="132" t="s">
        <v>154</v>
      </c>
      <c r="V958" s="132" t="s">
        <v>186</v>
      </c>
      <c r="W958" s="132" t="s">
        <v>153</v>
      </c>
      <c r="X958" s="133">
        <v>41741</v>
      </c>
      <c r="Y958" s="134">
        <v>225</v>
      </c>
    </row>
    <row r="959" spans="1:25" x14ac:dyDescent="0.25">
      <c r="A959" s="92" t="s">
        <v>148</v>
      </c>
      <c r="B959" s="12" t="s">
        <v>226</v>
      </c>
      <c r="C959" s="12" t="s">
        <v>158</v>
      </c>
      <c r="D959" s="80">
        <v>41663</v>
      </c>
      <c r="E959" s="81">
        <v>1030</v>
      </c>
      <c r="F959" s="76" t="s">
        <v>150</v>
      </c>
      <c r="G959" s="77" t="s">
        <v>160</v>
      </c>
      <c r="H959" s="77" t="s">
        <v>153</v>
      </c>
      <c r="I959" s="86">
        <v>41782</v>
      </c>
      <c r="J959" s="78">
        <v>578</v>
      </c>
      <c r="K959" s="132" t="s">
        <v>20</v>
      </c>
      <c r="L959" s="132" t="s">
        <v>279</v>
      </c>
      <c r="M959" s="132" t="s">
        <v>267</v>
      </c>
      <c r="N959" s="133">
        <v>41711</v>
      </c>
      <c r="O959" s="134">
        <v>742</v>
      </c>
      <c r="P959" s="132" t="s">
        <v>151</v>
      </c>
      <c r="Q959" s="132" t="s">
        <v>275</v>
      </c>
      <c r="R959" s="132" t="s">
        <v>267</v>
      </c>
      <c r="S959" s="133">
        <v>41977</v>
      </c>
      <c r="T959" s="134">
        <v>669.6</v>
      </c>
      <c r="U959" s="132" t="s">
        <v>154</v>
      </c>
      <c r="V959" s="132" t="s">
        <v>186</v>
      </c>
      <c r="W959" s="132" t="s">
        <v>153</v>
      </c>
      <c r="X959" s="133">
        <v>41743</v>
      </c>
      <c r="Y959" s="134">
        <v>1040</v>
      </c>
    </row>
    <row r="960" spans="1:25" x14ac:dyDescent="0.25">
      <c r="A960" s="92" t="s">
        <v>148</v>
      </c>
      <c r="B960" s="12" t="s">
        <v>226</v>
      </c>
      <c r="C960" s="12" t="s">
        <v>158</v>
      </c>
      <c r="D960" s="80">
        <v>41664</v>
      </c>
      <c r="E960" s="81">
        <v>1234</v>
      </c>
      <c r="F960" s="76" t="s">
        <v>150</v>
      </c>
      <c r="G960" s="77" t="s">
        <v>160</v>
      </c>
      <c r="H960" s="77" t="s">
        <v>153</v>
      </c>
      <c r="I960" s="86">
        <v>41787</v>
      </c>
      <c r="J960" s="78">
        <v>1116</v>
      </c>
      <c r="K960" s="132" t="s">
        <v>20</v>
      </c>
      <c r="L960" s="132" t="s">
        <v>279</v>
      </c>
      <c r="M960" s="132" t="s">
        <v>267</v>
      </c>
      <c r="N960" s="133">
        <v>41734</v>
      </c>
      <c r="O960" s="134">
        <v>950</v>
      </c>
      <c r="P960" s="132" t="s">
        <v>151</v>
      </c>
      <c r="Q960" s="132" t="s">
        <v>275</v>
      </c>
      <c r="R960" s="132" t="s">
        <v>267</v>
      </c>
      <c r="S960" s="133">
        <v>41989</v>
      </c>
      <c r="T960" s="134">
        <v>613.5</v>
      </c>
      <c r="U960" s="132" t="s">
        <v>154</v>
      </c>
      <c r="V960" s="132" t="s">
        <v>186</v>
      </c>
      <c r="W960" s="132" t="s">
        <v>153</v>
      </c>
      <c r="X960" s="133">
        <v>41744</v>
      </c>
      <c r="Y960" s="134">
        <v>662</v>
      </c>
    </row>
    <row r="961" spans="1:25" x14ac:dyDescent="0.25">
      <c r="A961" s="92" t="s">
        <v>148</v>
      </c>
      <c r="B961" s="12" t="s">
        <v>226</v>
      </c>
      <c r="C961" s="12" t="s">
        <v>158</v>
      </c>
      <c r="D961" s="80">
        <v>41668</v>
      </c>
      <c r="E961" s="81">
        <v>1000</v>
      </c>
      <c r="F961" s="76" t="s">
        <v>150</v>
      </c>
      <c r="G961" s="77" t="s">
        <v>160</v>
      </c>
      <c r="H961" s="77" t="s">
        <v>153</v>
      </c>
      <c r="I961" s="86">
        <v>41789</v>
      </c>
      <c r="J961" s="78">
        <v>494</v>
      </c>
      <c r="K961" s="132" t="s">
        <v>20</v>
      </c>
      <c r="L961" s="132" t="s">
        <v>279</v>
      </c>
      <c r="M961" s="132" t="s">
        <v>267</v>
      </c>
      <c r="N961" s="133">
        <v>41841</v>
      </c>
      <c r="O961" s="134">
        <v>241</v>
      </c>
      <c r="P961" s="132" t="s">
        <v>151</v>
      </c>
      <c r="Q961" s="132" t="s">
        <v>275</v>
      </c>
      <c r="R961" s="132" t="s">
        <v>267</v>
      </c>
      <c r="S961" s="133">
        <v>41990</v>
      </c>
      <c r="T961" s="134">
        <v>516.5</v>
      </c>
      <c r="U961" s="132" t="s">
        <v>154</v>
      </c>
      <c r="V961" s="132" t="s">
        <v>186</v>
      </c>
      <c r="W961" s="132" t="s">
        <v>153</v>
      </c>
      <c r="X961" s="133">
        <v>41745</v>
      </c>
      <c r="Y961" s="134">
        <v>740</v>
      </c>
    </row>
    <row r="962" spans="1:25" x14ac:dyDescent="0.25">
      <c r="A962" s="92" t="s">
        <v>148</v>
      </c>
      <c r="B962" s="12" t="s">
        <v>226</v>
      </c>
      <c r="C962" s="12" t="s">
        <v>158</v>
      </c>
      <c r="D962" s="80">
        <v>41669</v>
      </c>
      <c r="E962" s="81">
        <v>1510</v>
      </c>
      <c r="F962" s="76" t="s">
        <v>150</v>
      </c>
      <c r="G962" s="77" t="s">
        <v>160</v>
      </c>
      <c r="H962" s="77" t="s">
        <v>153</v>
      </c>
      <c r="I962" s="86">
        <v>41789</v>
      </c>
      <c r="J962" s="78">
        <v>702</v>
      </c>
      <c r="K962" s="132" t="s">
        <v>20</v>
      </c>
      <c r="L962" s="132" t="s">
        <v>279</v>
      </c>
      <c r="M962" s="132" t="s">
        <v>267</v>
      </c>
      <c r="N962" s="133">
        <v>41848</v>
      </c>
      <c r="O962" s="134">
        <v>552</v>
      </c>
      <c r="P962" s="132" t="s">
        <v>151</v>
      </c>
      <c r="Q962" s="132" t="s">
        <v>275</v>
      </c>
      <c r="R962" s="132" t="s">
        <v>267</v>
      </c>
      <c r="S962" s="133">
        <v>41991</v>
      </c>
      <c r="T962" s="134">
        <v>871.7</v>
      </c>
      <c r="U962" s="132" t="s">
        <v>154</v>
      </c>
      <c r="V962" s="132" t="s">
        <v>186</v>
      </c>
      <c r="W962" s="132" t="s">
        <v>153</v>
      </c>
      <c r="X962" s="133">
        <v>41746</v>
      </c>
      <c r="Y962" s="134">
        <v>850</v>
      </c>
    </row>
    <row r="963" spans="1:25" x14ac:dyDescent="0.25">
      <c r="A963" s="92" t="s">
        <v>148</v>
      </c>
      <c r="B963" s="12" t="s">
        <v>226</v>
      </c>
      <c r="C963" s="12" t="s">
        <v>158</v>
      </c>
      <c r="D963" s="80">
        <v>41670</v>
      </c>
      <c r="E963" s="81">
        <v>995</v>
      </c>
      <c r="F963" s="76" t="s">
        <v>150</v>
      </c>
      <c r="G963" s="77" t="s">
        <v>160</v>
      </c>
      <c r="H963" s="77" t="s">
        <v>153</v>
      </c>
      <c r="I963" s="86">
        <v>41790</v>
      </c>
      <c r="J963" s="78">
        <v>881</v>
      </c>
      <c r="K963" s="132" t="s">
        <v>20</v>
      </c>
      <c r="L963" s="132" t="s">
        <v>279</v>
      </c>
      <c r="M963" s="132" t="s">
        <v>267</v>
      </c>
      <c r="N963" s="133">
        <v>41909</v>
      </c>
      <c r="O963" s="134">
        <v>594</v>
      </c>
      <c r="P963" s="132" t="s">
        <v>151</v>
      </c>
      <c r="Q963" s="132" t="s">
        <v>275</v>
      </c>
      <c r="R963" s="132" t="s">
        <v>267</v>
      </c>
      <c r="S963" s="133">
        <v>41992</v>
      </c>
      <c r="T963" s="134">
        <v>565.1</v>
      </c>
      <c r="U963" s="132" t="s">
        <v>154</v>
      </c>
      <c r="V963" s="132" t="s">
        <v>186</v>
      </c>
      <c r="W963" s="132" t="s">
        <v>153</v>
      </c>
      <c r="X963" s="133">
        <v>41747</v>
      </c>
      <c r="Y963" s="134">
        <v>1031</v>
      </c>
    </row>
    <row r="964" spans="1:25" x14ac:dyDescent="0.25">
      <c r="A964" s="92" t="s">
        <v>148</v>
      </c>
      <c r="B964" s="12" t="s">
        <v>226</v>
      </c>
      <c r="C964" s="12" t="s">
        <v>158</v>
      </c>
      <c r="D964" s="80">
        <v>41671</v>
      </c>
      <c r="E964" s="81">
        <v>525</v>
      </c>
      <c r="F964" s="76" t="s">
        <v>150</v>
      </c>
      <c r="G964" s="77" t="s">
        <v>160</v>
      </c>
      <c r="H964" s="77" t="s">
        <v>153</v>
      </c>
      <c r="I964" s="86">
        <v>41791</v>
      </c>
      <c r="J964" s="78">
        <v>945</v>
      </c>
      <c r="K964" s="132" t="s">
        <v>20</v>
      </c>
      <c r="L964" s="132" t="s">
        <v>279</v>
      </c>
      <c r="M964" s="132" t="s">
        <v>267</v>
      </c>
      <c r="N964" s="133">
        <v>41911</v>
      </c>
      <c r="O964" s="134">
        <v>261</v>
      </c>
      <c r="P964" s="132" t="s">
        <v>151</v>
      </c>
      <c r="Q964" s="132" t="s">
        <v>276</v>
      </c>
      <c r="R964" s="132" t="s">
        <v>267</v>
      </c>
      <c r="S964" s="133">
        <v>41870</v>
      </c>
      <c r="T964" s="134">
        <v>734.3</v>
      </c>
      <c r="U964" s="132" t="s">
        <v>154</v>
      </c>
      <c r="V964" s="132" t="s">
        <v>186</v>
      </c>
      <c r="W964" s="132" t="s">
        <v>153</v>
      </c>
      <c r="X964" s="133">
        <v>41748</v>
      </c>
      <c r="Y964" s="134">
        <v>596</v>
      </c>
    </row>
    <row r="965" spans="1:25" x14ac:dyDescent="0.25">
      <c r="A965" s="92" t="s">
        <v>148</v>
      </c>
      <c r="B965" s="12" t="s">
        <v>226</v>
      </c>
      <c r="C965" s="12" t="s">
        <v>158</v>
      </c>
      <c r="D965" s="80">
        <v>41672</v>
      </c>
      <c r="E965" s="81">
        <v>1107</v>
      </c>
      <c r="F965" s="76" t="s">
        <v>150</v>
      </c>
      <c r="G965" s="77" t="s">
        <v>160</v>
      </c>
      <c r="H965" s="77" t="s">
        <v>153</v>
      </c>
      <c r="I965" s="86">
        <v>41792</v>
      </c>
      <c r="J965" s="78">
        <v>633</v>
      </c>
      <c r="K965" s="132" t="s">
        <v>20</v>
      </c>
      <c r="L965" s="132" t="s">
        <v>279</v>
      </c>
      <c r="M965" s="132" t="s">
        <v>267</v>
      </c>
      <c r="N965" s="133">
        <v>41912</v>
      </c>
      <c r="O965" s="134">
        <v>337</v>
      </c>
      <c r="P965" s="132" t="s">
        <v>151</v>
      </c>
      <c r="Q965" s="132" t="s">
        <v>276</v>
      </c>
      <c r="R965" s="132" t="s">
        <v>267</v>
      </c>
      <c r="S965" s="133">
        <v>41871</v>
      </c>
      <c r="T965" s="134">
        <v>563.20000000000005</v>
      </c>
      <c r="U965" s="132" t="s">
        <v>154</v>
      </c>
      <c r="V965" s="132" t="s">
        <v>186</v>
      </c>
      <c r="W965" s="132" t="s">
        <v>153</v>
      </c>
      <c r="X965" s="133">
        <v>41748</v>
      </c>
      <c r="Y965" s="134">
        <v>722</v>
      </c>
    </row>
    <row r="966" spans="1:25" x14ac:dyDescent="0.25">
      <c r="A966" s="92" t="s">
        <v>148</v>
      </c>
      <c r="B966" s="12" t="s">
        <v>226</v>
      </c>
      <c r="C966" s="12" t="s">
        <v>158</v>
      </c>
      <c r="D966" s="80">
        <v>41673</v>
      </c>
      <c r="E966" s="81">
        <v>550</v>
      </c>
      <c r="F966" s="76" t="s">
        <v>150</v>
      </c>
      <c r="G966" s="77" t="s">
        <v>160</v>
      </c>
      <c r="H966" s="77" t="s">
        <v>153</v>
      </c>
      <c r="I966" s="86">
        <v>41794</v>
      </c>
      <c r="J966" s="78">
        <v>1232</v>
      </c>
      <c r="K966" s="132" t="s">
        <v>20</v>
      </c>
      <c r="L966" s="132" t="s">
        <v>279</v>
      </c>
      <c r="M966" s="132" t="s">
        <v>267</v>
      </c>
      <c r="N966" s="133">
        <v>41913</v>
      </c>
      <c r="O966" s="134">
        <v>501</v>
      </c>
      <c r="P966" s="132" t="s">
        <v>151</v>
      </c>
      <c r="Q966" s="132" t="s">
        <v>276</v>
      </c>
      <c r="R966" s="132" t="s">
        <v>267</v>
      </c>
      <c r="S966" s="133">
        <v>41872</v>
      </c>
      <c r="T966" s="134">
        <v>888.4</v>
      </c>
      <c r="U966" s="132" t="s">
        <v>154</v>
      </c>
      <c r="V966" s="132" t="s">
        <v>186</v>
      </c>
      <c r="W966" s="132" t="s">
        <v>153</v>
      </c>
      <c r="X966" s="133">
        <v>41749</v>
      </c>
      <c r="Y966" s="134">
        <v>553</v>
      </c>
    </row>
    <row r="967" spans="1:25" x14ac:dyDescent="0.25">
      <c r="A967" s="92" t="s">
        <v>148</v>
      </c>
      <c r="B967" s="12" t="s">
        <v>226</v>
      </c>
      <c r="C967" s="12" t="s">
        <v>158</v>
      </c>
      <c r="D967" s="80">
        <v>41674</v>
      </c>
      <c r="E967" s="81">
        <v>800</v>
      </c>
      <c r="F967" s="76" t="s">
        <v>150</v>
      </c>
      <c r="G967" s="77" t="s">
        <v>160</v>
      </c>
      <c r="H967" s="77" t="s">
        <v>153</v>
      </c>
      <c r="I967" s="86">
        <v>41794</v>
      </c>
      <c r="J967" s="78">
        <v>1225</v>
      </c>
      <c r="K967" s="132" t="s">
        <v>20</v>
      </c>
      <c r="L967" s="132" t="s">
        <v>279</v>
      </c>
      <c r="M967" s="132" t="s">
        <v>267</v>
      </c>
      <c r="N967" s="133">
        <v>41968</v>
      </c>
      <c r="O967" s="134">
        <v>621</v>
      </c>
      <c r="P967" s="132" t="s">
        <v>151</v>
      </c>
      <c r="Q967" s="132" t="s">
        <v>276</v>
      </c>
      <c r="R967" s="132" t="s">
        <v>267</v>
      </c>
      <c r="S967" s="133">
        <v>41873</v>
      </c>
      <c r="T967" s="134">
        <v>543.29999999999995</v>
      </c>
      <c r="U967" s="132" t="s">
        <v>154</v>
      </c>
      <c r="V967" s="132" t="s">
        <v>186</v>
      </c>
      <c r="W967" s="132" t="s">
        <v>153</v>
      </c>
      <c r="X967" s="133">
        <v>41749</v>
      </c>
      <c r="Y967" s="134">
        <v>702</v>
      </c>
    </row>
    <row r="968" spans="1:25" x14ac:dyDescent="0.25">
      <c r="A968" s="92" t="s">
        <v>148</v>
      </c>
      <c r="B968" s="12" t="s">
        <v>226</v>
      </c>
      <c r="C968" s="12" t="s">
        <v>158</v>
      </c>
      <c r="D968" s="80">
        <v>41675</v>
      </c>
      <c r="E968" s="81">
        <v>710</v>
      </c>
      <c r="F968" s="76" t="s">
        <v>150</v>
      </c>
      <c r="G968" s="77" t="s">
        <v>160</v>
      </c>
      <c r="H968" s="77" t="s">
        <v>153</v>
      </c>
      <c r="I968" s="86">
        <v>41796</v>
      </c>
      <c r="J968" s="78">
        <v>1258</v>
      </c>
      <c r="K968" s="132" t="s">
        <v>20</v>
      </c>
      <c r="L968" s="132" t="s">
        <v>279</v>
      </c>
      <c r="M968" s="132" t="s">
        <v>267</v>
      </c>
      <c r="N968" s="133">
        <v>42002</v>
      </c>
      <c r="O968" s="134">
        <v>627</v>
      </c>
      <c r="P968" s="132" t="s">
        <v>151</v>
      </c>
      <c r="Q968" s="132" t="s">
        <v>276</v>
      </c>
      <c r="R968" s="132" t="s">
        <v>267</v>
      </c>
      <c r="S968" s="133">
        <v>41876</v>
      </c>
      <c r="T968" s="134">
        <v>850.2</v>
      </c>
      <c r="U968" s="132" t="s">
        <v>154</v>
      </c>
      <c r="V968" s="132" t="s">
        <v>186</v>
      </c>
      <c r="W968" s="132" t="s">
        <v>153</v>
      </c>
      <c r="X968" s="133">
        <v>41749</v>
      </c>
      <c r="Y968" s="134">
        <v>260</v>
      </c>
    </row>
    <row r="969" spans="1:25" x14ac:dyDescent="0.25">
      <c r="A969" s="92" t="s">
        <v>148</v>
      </c>
      <c r="B969" s="12" t="s">
        <v>226</v>
      </c>
      <c r="C969" s="12" t="s">
        <v>158</v>
      </c>
      <c r="D969" s="80">
        <v>41676</v>
      </c>
      <c r="E969" s="81">
        <v>920</v>
      </c>
      <c r="F969" s="76" t="s">
        <v>150</v>
      </c>
      <c r="G969" s="77" t="s">
        <v>160</v>
      </c>
      <c r="H969" s="77" t="s">
        <v>153</v>
      </c>
      <c r="I969" s="86">
        <v>41804</v>
      </c>
      <c r="J969" s="78">
        <v>856</v>
      </c>
      <c r="K969" s="132" t="s">
        <v>20</v>
      </c>
      <c r="L969" s="132" t="s">
        <v>280</v>
      </c>
      <c r="M969" s="132" t="s">
        <v>267</v>
      </c>
      <c r="N969" s="133">
        <v>41703</v>
      </c>
      <c r="O969" s="134">
        <v>306</v>
      </c>
      <c r="P969" s="132" t="s">
        <v>151</v>
      </c>
      <c r="Q969" s="132" t="s">
        <v>276</v>
      </c>
      <c r="R969" s="132" t="s">
        <v>267</v>
      </c>
      <c r="S969" s="133">
        <v>41880</v>
      </c>
      <c r="T969" s="134">
        <v>650.20000000000005</v>
      </c>
      <c r="U969" s="132" t="s">
        <v>154</v>
      </c>
      <c r="V969" s="132" t="s">
        <v>186</v>
      </c>
      <c r="W969" s="132" t="s">
        <v>153</v>
      </c>
      <c r="X969" s="133">
        <v>41918</v>
      </c>
      <c r="Y969" s="134">
        <v>558</v>
      </c>
    </row>
    <row r="970" spans="1:25" x14ac:dyDescent="0.25">
      <c r="A970" s="92" t="s">
        <v>148</v>
      </c>
      <c r="B970" s="12" t="s">
        <v>226</v>
      </c>
      <c r="C970" s="12" t="s">
        <v>158</v>
      </c>
      <c r="D970" s="80">
        <v>41677</v>
      </c>
      <c r="E970" s="81">
        <v>770</v>
      </c>
      <c r="F970" s="76" t="s">
        <v>150</v>
      </c>
      <c r="G970" s="77" t="s">
        <v>160</v>
      </c>
      <c r="H970" s="77" t="s">
        <v>153</v>
      </c>
      <c r="I970" s="86">
        <v>41805</v>
      </c>
      <c r="J970" s="78">
        <v>552</v>
      </c>
      <c r="K970" s="132" t="s">
        <v>20</v>
      </c>
      <c r="L970" s="132" t="s">
        <v>280</v>
      </c>
      <c r="M970" s="132" t="s">
        <v>267</v>
      </c>
      <c r="N970" s="133">
        <v>41708</v>
      </c>
      <c r="O970" s="134">
        <v>372</v>
      </c>
      <c r="P970" s="132" t="s">
        <v>151</v>
      </c>
      <c r="Q970" s="132" t="s">
        <v>276</v>
      </c>
      <c r="R970" s="132" t="s">
        <v>267</v>
      </c>
      <c r="S970" s="133">
        <v>41884</v>
      </c>
      <c r="T970" s="134">
        <v>629.5</v>
      </c>
      <c r="U970" s="132" t="s">
        <v>154</v>
      </c>
      <c r="V970" s="132" t="s">
        <v>186</v>
      </c>
      <c r="W970" s="132" t="s">
        <v>153</v>
      </c>
      <c r="X970" s="133">
        <v>41954</v>
      </c>
      <c r="Y970" s="134">
        <v>1083</v>
      </c>
    </row>
    <row r="971" spans="1:25" x14ac:dyDescent="0.25">
      <c r="A971" s="92" t="s">
        <v>148</v>
      </c>
      <c r="B971" s="12" t="s">
        <v>226</v>
      </c>
      <c r="C971" s="12" t="s">
        <v>158</v>
      </c>
      <c r="D971" s="80">
        <v>41678</v>
      </c>
      <c r="E971" s="81">
        <v>750</v>
      </c>
      <c r="F971" s="76" t="s">
        <v>150</v>
      </c>
      <c r="G971" s="77" t="s">
        <v>160</v>
      </c>
      <c r="H971" s="77" t="s">
        <v>153</v>
      </c>
      <c r="I971" s="86">
        <v>41807</v>
      </c>
      <c r="J971" s="78">
        <v>1114</v>
      </c>
      <c r="K971" s="132" t="s">
        <v>20</v>
      </c>
      <c r="L971" s="132" t="s">
        <v>280</v>
      </c>
      <c r="M971" s="132" t="s">
        <v>267</v>
      </c>
      <c r="N971" s="133">
        <v>41710</v>
      </c>
      <c r="O971" s="134">
        <v>581</v>
      </c>
      <c r="P971" s="132" t="s">
        <v>151</v>
      </c>
      <c r="Q971" s="132" t="s">
        <v>276</v>
      </c>
      <c r="R971" s="132" t="s">
        <v>267</v>
      </c>
      <c r="S971" s="133">
        <v>41885</v>
      </c>
      <c r="T971" s="134">
        <v>922.1</v>
      </c>
      <c r="U971" s="132" t="s">
        <v>154</v>
      </c>
      <c r="V971" s="132" t="s">
        <v>186</v>
      </c>
      <c r="W971" s="132" t="s">
        <v>153</v>
      </c>
      <c r="X971" s="133">
        <v>41955</v>
      </c>
      <c r="Y971" s="134">
        <v>511</v>
      </c>
    </row>
    <row r="972" spans="1:25" x14ac:dyDescent="0.25">
      <c r="A972" s="92" t="s">
        <v>148</v>
      </c>
      <c r="B972" s="12" t="s">
        <v>226</v>
      </c>
      <c r="C972" s="12" t="s">
        <v>158</v>
      </c>
      <c r="D972" s="80">
        <v>41679</v>
      </c>
      <c r="E972" s="81">
        <v>770</v>
      </c>
      <c r="F972" s="76" t="s">
        <v>150</v>
      </c>
      <c r="G972" s="77" t="s">
        <v>160</v>
      </c>
      <c r="H972" s="77" t="s">
        <v>153</v>
      </c>
      <c r="I972" s="86">
        <v>41807</v>
      </c>
      <c r="J972" s="78">
        <v>419</v>
      </c>
      <c r="K972" s="132" t="s">
        <v>20</v>
      </c>
      <c r="L972" s="132" t="s">
        <v>280</v>
      </c>
      <c r="M972" s="132" t="s">
        <v>267</v>
      </c>
      <c r="N972" s="133">
        <v>41712</v>
      </c>
      <c r="O972" s="134">
        <v>159</v>
      </c>
      <c r="P972" s="132" t="s">
        <v>151</v>
      </c>
      <c r="Q972" s="132" t="s">
        <v>276</v>
      </c>
      <c r="R972" s="132" t="s">
        <v>267</v>
      </c>
      <c r="S972" s="133">
        <v>41907</v>
      </c>
      <c r="T972" s="134">
        <v>422.4</v>
      </c>
      <c r="U972" s="132" t="s">
        <v>154</v>
      </c>
      <c r="V972" s="132" t="s">
        <v>186</v>
      </c>
      <c r="W972" s="132" t="s">
        <v>153</v>
      </c>
      <c r="X972" s="133">
        <v>41957</v>
      </c>
      <c r="Y972" s="134">
        <v>816</v>
      </c>
    </row>
    <row r="973" spans="1:25" x14ac:dyDescent="0.25">
      <c r="A973" s="92" t="s">
        <v>148</v>
      </c>
      <c r="B973" s="12" t="s">
        <v>226</v>
      </c>
      <c r="C973" s="12" t="s">
        <v>158</v>
      </c>
      <c r="D973" s="80">
        <v>41680</v>
      </c>
      <c r="E973" s="81">
        <v>740</v>
      </c>
      <c r="F973" s="76" t="s">
        <v>150</v>
      </c>
      <c r="G973" s="77" t="s">
        <v>160</v>
      </c>
      <c r="H973" s="77" t="s">
        <v>153</v>
      </c>
      <c r="I973" s="86">
        <v>41809</v>
      </c>
      <c r="J973" s="78">
        <v>690</v>
      </c>
      <c r="K973" s="132" t="s">
        <v>20</v>
      </c>
      <c r="L973" s="132" t="s">
        <v>280</v>
      </c>
      <c r="M973" s="132" t="s">
        <v>267</v>
      </c>
      <c r="N973" s="133">
        <v>41725</v>
      </c>
      <c r="O973" s="134">
        <v>579</v>
      </c>
      <c r="P973" s="132" t="s">
        <v>151</v>
      </c>
      <c r="Q973" s="132" t="s">
        <v>276</v>
      </c>
      <c r="R973" s="132" t="s">
        <v>267</v>
      </c>
      <c r="S973" s="133">
        <v>41925</v>
      </c>
      <c r="T973" s="134">
        <v>445.5</v>
      </c>
      <c r="U973" s="132" t="s">
        <v>154</v>
      </c>
      <c r="V973" s="132" t="s">
        <v>186</v>
      </c>
      <c r="W973" s="132" t="s">
        <v>153</v>
      </c>
      <c r="X973" s="133">
        <v>41975</v>
      </c>
      <c r="Y973" s="134">
        <v>446</v>
      </c>
    </row>
    <row r="974" spans="1:25" x14ac:dyDescent="0.25">
      <c r="A974" s="92" t="s">
        <v>148</v>
      </c>
      <c r="B974" s="12" t="s">
        <v>226</v>
      </c>
      <c r="C974" s="12" t="s">
        <v>158</v>
      </c>
      <c r="D974" s="80">
        <v>41681</v>
      </c>
      <c r="E974" s="81">
        <v>770</v>
      </c>
      <c r="F974" s="76" t="s">
        <v>150</v>
      </c>
      <c r="G974" s="77" t="s">
        <v>160</v>
      </c>
      <c r="H974" s="77" t="s">
        <v>153</v>
      </c>
      <c r="I974" s="86">
        <v>41810</v>
      </c>
      <c r="J974" s="78">
        <v>768</v>
      </c>
      <c r="K974" s="132" t="s">
        <v>20</v>
      </c>
      <c r="L974" s="132" t="s">
        <v>280</v>
      </c>
      <c r="M974" s="132" t="s">
        <v>267</v>
      </c>
      <c r="N974" s="133">
        <v>41744</v>
      </c>
      <c r="O974" s="134">
        <v>666</v>
      </c>
      <c r="P974" s="132" t="s">
        <v>151</v>
      </c>
      <c r="Q974" s="132" t="s">
        <v>277</v>
      </c>
      <c r="R974" s="132" t="s">
        <v>267</v>
      </c>
      <c r="S974" s="133">
        <v>41663</v>
      </c>
      <c r="T974" s="134">
        <v>468.7</v>
      </c>
      <c r="U974" s="132" t="s">
        <v>154</v>
      </c>
      <c r="V974" s="132" t="s">
        <v>186</v>
      </c>
      <c r="W974" s="132" t="s">
        <v>153</v>
      </c>
      <c r="X974" s="133">
        <v>41976</v>
      </c>
      <c r="Y974" s="134">
        <v>474</v>
      </c>
    </row>
    <row r="975" spans="1:25" x14ac:dyDescent="0.25">
      <c r="A975" s="92" t="s">
        <v>148</v>
      </c>
      <c r="B975" s="12" t="s">
        <v>226</v>
      </c>
      <c r="C975" s="12" t="s">
        <v>158</v>
      </c>
      <c r="D975" s="80">
        <v>41682</v>
      </c>
      <c r="E975" s="81">
        <v>800</v>
      </c>
      <c r="F975" s="76" t="s">
        <v>150</v>
      </c>
      <c r="G975" s="77" t="s">
        <v>160</v>
      </c>
      <c r="H975" s="77" t="s">
        <v>153</v>
      </c>
      <c r="I975" s="86">
        <v>41814</v>
      </c>
      <c r="J975" s="78">
        <v>1066</v>
      </c>
      <c r="K975" s="132" t="s">
        <v>20</v>
      </c>
      <c r="L975" s="132" t="s">
        <v>280</v>
      </c>
      <c r="M975" s="132" t="s">
        <v>267</v>
      </c>
      <c r="N975" s="133">
        <v>41745</v>
      </c>
      <c r="O975" s="134">
        <v>578</v>
      </c>
      <c r="P975" s="132" t="s">
        <v>151</v>
      </c>
      <c r="Q975" s="132" t="s">
        <v>277</v>
      </c>
      <c r="R975" s="132" t="s">
        <v>267</v>
      </c>
      <c r="S975" s="133">
        <v>41670</v>
      </c>
      <c r="T975" s="134">
        <v>250.4</v>
      </c>
      <c r="U975" s="132" t="s">
        <v>154</v>
      </c>
      <c r="V975" s="132" t="s">
        <v>186</v>
      </c>
      <c r="W975" s="132" t="s">
        <v>153</v>
      </c>
      <c r="X975" s="133">
        <v>41977</v>
      </c>
      <c r="Y975" s="134">
        <v>463</v>
      </c>
    </row>
    <row r="976" spans="1:25" x14ac:dyDescent="0.25">
      <c r="A976" s="92" t="s">
        <v>148</v>
      </c>
      <c r="B976" s="12" t="s">
        <v>226</v>
      </c>
      <c r="C976" s="12" t="s">
        <v>158</v>
      </c>
      <c r="D976" s="80">
        <v>41683</v>
      </c>
      <c r="E976" s="81">
        <v>740</v>
      </c>
      <c r="F976" s="76" t="s">
        <v>150</v>
      </c>
      <c r="G976" s="77" t="s">
        <v>160</v>
      </c>
      <c r="H976" s="77" t="s">
        <v>153</v>
      </c>
      <c r="I976" s="86">
        <v>41815</v>
      </c>
      <c r="J976" s="78">
        <v>843</v>
      </c>
      <c r="K976" s="132" t="s">
        <v>20</v>
      </c>
      <c r="L976" s="132" t="s">
        <v>280</v>
      </c>
      <c r="M976" s="132" t="s">
        <v>267</v>
      </c>
      <c r="N976" s="133">
        <v>41758</v>
      </c>
      <c r="O976" s="134">
        <v>1111</v>
      </c>
      <c r="P976" s="132" t="s">
        <v>151</v>
      </c>
      <c r="Q976" s="132" t="s">
        <v>277</v>
      </c>
      <c r="R976" s="132" t="s">
        <v>267</v>
      </c>
      <c r="S976" s="133">
        <v>41676</v>
      </c>
      <c r="T976" s="134">
        <v>280.5</v>
      </c>
      <c r="U976" s="132" t="s">
        <v>154</v>
      </c>
      <c r="V976" s="132" t="s">
        <v>186</v>
      </c>
      <c r="W976" s="132" t="s">
        <v>153</v>
      </c>
      <c r="X976" s="133">
        <v>41978</v>
      </c>
      <c r="Y976" s="134">
        <v>250</v>
      </c>
    </row>
    <row r="977" spans="1:25" x14ac:dyDescent="0.25">
      <c r="A977" s="92" t="s">
        <v>148</v>
      </c>
      <c r="B977" s="12" t="s">
        <v>226</v>
      </c>
      <c r="C977" s="12" t="s">
        <v>158</v>
      </c>
      <c r="D977" s="80">
        <v>41684</v>
      </c>
      <c r="E977" s="81">
        <v>700</v>
      </c>
      <c r="F977" s="76" t="s">
        <v>150</v>
      </c>
      <c r="G977" s="77" t="s">
        <v>160</v>
      </c>
      <c r="H977" s="77" t="s">
        <v>153</v>
      </c>
      <c r="I977" s="86">
        <v>41817</v>
      </c>
      <c r="J977" s="78">
        <v>1109</v>
      </c>
      <c r="K977" s="132" t="s">
        <v>20</v>
      </c>
      <c r="L977" s="132" t="s">
        <v>280</v>
      </c>
      <c r="M977" s="132" t="s">
        <v>267</v>
      </c>
      <c r="N977" s="133">
        <v>41771</v>
      </c>
      <c r="O977" s="134">
        <v>479</v>
      </c>
      <c r="P977" s="132" t="s">
        <v>151</v>
      </c>
      <c r="Q977" s="132" t="s">
        <v>277</v>
      </c>
      <c r="R977" s="132" t="s">
        <v>267</v>
      </c>
      <c r="S977" s="133">
        <v>41677</v>
      </c>
      <c r="T977" s="134">
        <v>658.2</v>
      </c>
      <c r="U977" s="132" t="s">
        <v>154</v>
      </c>
      <c r="V977" s="132" t="s">
        <v>186</v>
      </c>
      <c r="W977" s="132" t="s">
        <v>153</v>
      </c>
      <c r="X977" s="133">
        <v>41981</v>
      </c>
      <c r="Y977" s="134">
        <v>510</v>
      </c>
    </row>
    <row r="978" spans="1:25" x14ac:dyDescent="0.25">
      <c r="A978" s="92" t="s">
        <v>148</v>
      </c>
      <c r="B978" s="12" t="s">
        <v>226</v>
      </c>
      <c r="C978" s="12" t="s">
        <v>158</v>
      </c>
      <c r="D978" s="80">
        <v>41726</v>
      </c>
      <c r="E978" s="81">
        <v>551</v>
      </c>
      <c r="F978" s="76" t="s">
        <v>150</v>
      </c>
      <c r="G978" s="77" t="s">
        <v>160</v>
      </c>
      <c r="H978" s="77" t="s">
        <v>153</v>
      </c>
      <c r="I978" s="86">
        <v>41821</v>
      </c>
      <c r="J978" s="78">
        <v>859</v>
      </c>
      <c r="K978" s="132" t="s">
        <v>20</v>
      </c>
      <c r="L978" s="132" t="s">
        <v>280</v>
      </c>
      <c r="M978" s="132" t="s">
        <v>267</v>
      </c>
      <c r="N978" s="133">
        <v>41774</v>
      </c>
      <c r="O978" s="134">
        <v>646</v>
      </c>
      <c r="P978" s="132" t="s">
        <v>151</v>
      </c>
      <c r="Q978" s="132" t="s">
        <v>277</v>
      </c>
      <c r="R978" s="132" t="s">
        <v>267</v>
      </c>
      <c r="S978" s="133">
        <v>41681</v>
      </c>
      <c r="T978" s="134">
        <v>907.4</v>
      </c>
      <c r="U978" s="132" t="s">
        <v>154</v>
      </c>
      <c r="V978" s="132" t="s">
        <v>186</v>
      </c>
      <c r="W978" s="132" t="s">
        <v>153</v>
      </c>
      <c r="X978" s="133">
        <v>41983</v>
      </c>
      <c r="Y978" s="134">
        <v>859</v>
      </c>
    </row>
    <row r="979" spans="1:25" x14ac:dyDescent="0.25">
      <c r="A979" s="92" t="s">
        <v>148</v>
      </c>
      <c r="B979" s="12" t="s">
        <v>226</v>
      </c>
      <c r="C979" s="12" t="s">
        <v>158</v>
      </c>
      <c r="D979" s="80">
        <v>41728</v>
      </c>
      <c r="E979" s="81">
        <v>722</v>
      </c>
      <c r="F979" s="76" t="s">
        <v>150</v>
      </c>
      <c r="G979" s="77" t="s">
        <v>160</v>
      </c>
      <c r="H979" s="77" t="s">
        <v>153</v>
      </c>
      <c r="I979" s="86">
        <v>41822</v>
      </c>
      <c r="J979" s="78">
        <v>1280</v>
      </c>
      <c r="K979" s="132" t="s">
        <v>20</v>
      </c>
      <c r="L979" s="132" t="s">
        <v>280</v>
      </c>
      <c r="M979" s="132" t="s">
        <v>267</v>
      </c>
      <c r="N979" s="133">
        <v>41781</v>
      </c>
      <c r="O979" s="134">
        <v>328</v>
      </c>
      <c r="P979" s="132" t="s">
        <v>151</v>
      </c>
      <c r="Q979" s="132" t="s">
        <v>277</v>
      </c>
      <c r="R979" s="132" t="s">
        <v>267</v>
      </c>
      <c r="S979" s="133">
        <v>41682</v>
      </c>
      <c r="T979" s="134">
        <v>741.1</v>
      </c>
      <c r="U979" s="132" t="s">
        <v>154</v>
      </c>
      <c r="V979" s="132" t="s">
        <v>186</v>
      </c>
      <c r="W979" s="132" t="s">
        <v>153</v>
      </c>
      <c r="X979" s="133">
        <v>41984</v>
      </c>
      <c r="Y979" s="134">
        <v>726</v>
      </c>
    </row>
    <row r="980" spans="1:25" x14ac:dyDescent="0.25">
      <c r="A980" s="92" t="s">
        <v>148</v>
      </c>
      <c r="B980" s="12" t="s">
        <v>226</v>
      </c>
      <c r="C980" s="12" t="s">
        <v>158</v>
      </c>
      <c r="D980" s="80">
        <v>41729</v>
      </c>
      <c r="E980" s="81">
        <v>763</v>
      </c>
      <c r="F980" s="76" t="s">
        <v>150</v>
      </c>
      <c r="G980" s="77" t="s">
        <v>160</v>
      </c>
      <c r="H980" s="77" t="s">
        <v>153</v>
      </c>
      <c r="I980" s="86">
        <v>41827</v>
      </c>
      <c r="J980" s="78">
        <v>1051</v>
      </c>
      <c r="K980" s="132" t="s">
        <v>20</v>
      </c>
      <c r="L980" s="132" t="s">
        <v>280</v>
      </c>
      <c r="M980" s="132" t="s">
        <v>267</v>
      </c>
      <c r="N980" s="133">
        <v>41784</v>
      </c>
      <c r="O980" s="134">
        <v>1629</v>
      </c>
      <c r="P980" s="132" t="s">
        <v>151</v>
      </c>
      <c r="Q980" s="132" t="s">
        <v>277</v>
      </c>
      <c r="R980" s="132" t="s">
        <v>267</v>
      </c>
      <c r="S980" s="133">
        <v>41684</v>
      </c>
      <c r="T980" s="134">
        <v>496.6</v>
      </c>
      <c r="U980" s="132" t="s">
        <v>154</v>
      </c>
      <c r="V980" s="132" t="s">
        <v>186</v>
      </c>
      <c r="W980" s="132" t="s">
        <v>153</v>
      </c>
      <c r="X980" s="133">
        <v>41985</v>
      </c>
      <c r="Y980" s="134">
        <v>813</v>
      </c>
    </row>
    <row r="981" spans="1:25" x14ac:dyDescent="0.25">
      <c r="A981" s="92" t="s">
        <v>148</v>
      </c>
      <c r="B981" s="12" t="s">
        <v>226</v>
      </c>
      <c r="C981" s="12" t="s">
        <v>158</v>
      </c>
      <c r="D981" s="80">
        <v>41730</v>
      </c>
      <c r="E981" s="81">
        <v>800</v>
      </c>
      <c r="F981" s="76" t="s">
        <v>150</v>
      </c>
      <c r="G981" s="77" t="s">
        <v>160</v>
      </c>
      <c r="H981" s="77" t="s">
        <v>153</v>
      </c>
      <c r="I981" s="86">
        <v>41828</v>
      </c>
      <c r="J981" s="78">
        <v>488</v>
      </c>
      <c r="K981" s="132" t="s">
        <v>20</v>
      </c>
      <c r="L981" s="132" t="s">
        <v>280</v>
      </c>
      <c r="M981" s="132" t="s">
        <v>267</v>
      </c>
      <c r="N981" s="133">
        <v>41812</v>
      </c>
      <c r="O981" s="134">
        <v>476</v>
      </c>
      <c r="P981" s="132" t="s">
        <v>151</v>
      </c>
      <c r="Q981" s="132" t="s">
        <v>277</v>
      </c>
      <c r="R981" s="132" t="s">
        <v>267</v>
      </c>
      <c r="S981" s="133">
        <v>41688</v>
      </c>
      <c r="T981" s="134">
        <v>600.29999999999995</v>
      </c>
      <c r="U981" s="132" t="s">
        <v>154</v>
      </c>
      <c r="V981" s="132" t="s">
        <v>186</v>
      </c>
      <c r="W981" s="132" t="s">
        <v>153</v>
      </c>
      <c r="X981" s="133">
        <v>41987</v>
      </c>
      <c r="Y981" s="134">
        <v>200</v>
      </c>
    </row>
    <row r="982" spans="1:25" x14ac:dyDescent="0.25">
      <c r="A982" s="92" t="s">
        <v>148</v>
      </c>
      <c r="B982" s="12" t="s">
        <v>226</v>
      </c>
      <c r="C982" s="12" t="s">
        <v>158</v>
      </c>
      <c r="D982" s="80">
        <v>41731</v>
      </c>
      <c r="E982" s="81">
        <v>750</v>
      </c>
      <c r="F982" s="76" t="s">
        <v>150</v>
      </c>
      <c r="G982" s="77" t="s">
        <v>160</v>
      </c>
      <c r="H982" s="77" t="s">
        <v>153</v>
      </c>
      <c r="I982" s="86">
        <v>41829</v>
      </c>
      <c r="J982" s="78">
        <v>649</v>
      </c>
      <c r="K982" s="132" t="s">
        <v>20</v>
      </c>
      <c r="L982" s="132" t="s">
        <v>280</v>
      </c>
      <c r="M982" s="132" t="s">
        <v>267</v>
      </c>
      <c r="N982" s="133">
        <v>41831</v>
      </c>
      <c r="O982" s="134">
        <v>831</v>
      </c>
      <c r="P982" s="132" t="s">
        <v>151</v>
      </c>
      <c r="Q982" s="132" t="s">
        <v>277</v>
      </c>
      <c r="R982" s="132" t="s">
        <v>267</v>
      </c>
      <c r="S982" s="133">
        <v>41689</v>
      </c>
      <c r="T982" s="134">
        <v>594.1</v>
      </c>
      <c r="U982" s="132" t="s">
        <v>154</v>
      </c>
      <c r="V982" s="132" t="s">
        <v>186</v>
      </c>
      <c r="W982" s="132" t="s">
        <v>153</v>
      </c>
      <c r="X982" s="133">
        <v>41988</v>
      </c>
      <c r="Y982" s="134">
        <v>800</v>
      </c>
    </row>
    <row r="983" spans="1:25" x14ac:dyDescent="0.25">
      <c r="A983" s="92" t="s">
        <v>148</v>
      </c>
      <c r="B983" s="12" t="s">
        <v>226</v>
      </c>
      <c r="C983" s="12" t="s">
        <v>158</v>
      </c>
      <c r="D983" s="80">
        <v>41733</v>
      </c>
      <c r="E983" s="81">
        <v>717</v>
      </c>
      <c r="F983" s="76" t="s">
        <v>150</v>
      </c>
      <c r="G983" s="77" t="s">
        <v>160</v>
      </c>
      <c r="H983" s="77" t="s">
        <v>153</v>
      </c>
      <c r="I983" s="86">
        <v>41831</v>
      </c>
      <c r="J983" s="78">
        <v>1291</v>
      </c>
      <c r="K983" s="132" t="s">
        <v>20</v>
      </c>
      <c r="L983" s="132" t="s">
        <v>280</v>
      </c>
      <c r="M983" s="132" t="s">
        <v>267</v>
      </c>
      <c r="N983" s="133">
        <v>41835</v>
      </c>
      <c r="O983" s="134">
        <v>247</v>
      </c>
      <c r="P983" s="132" t="s">
        <v>151</v>
      </c>
      <c r="Q983" s="132" t="s">
        <v>277</v>
      </c>
      <c r="R983" s="132" t="s">
        <v>267</v>
      </c>
      <c r="S983" s="133">
        <v>41690</v>
      </c>
      <c r="T983" s="134">
        <v>631.79999999999995</v>
      </c>
      <c r="U983" s="132" t="s">
        <v>154</v>
      </c>
      <c r="V983" s="132" t="s">
        <v>186</v>
      </c>
      <c r="W983" s="132" t="s">
        <v>153</v>
      </c>
      <c r="X983" s="133">
        <v>41989</v>
      </c>
      <c r="Y983" s="134">
        <v>832</v>
      </c>
    </row>
    <row r="984" spans="1:25" x14ac:dyDescent="0.25">
      <c r="A984" s="92" t="s">
        <v>148</v>
      </c>
      <c r="B984" s="12" t="s">
        <v>226</v>
      </c>
      <c r="C984" s="12" t="s">
        <v>158</v>
      </c>
      <c r="D984" s="80">
        <v>41733</v>
      </c>
      <c r="E984" s="81">
        <v>785</v>
      </c>
      <c r="F984" s="76" t="s">
        <v>150</v>
      </c>
      <c r="G984" s="77" t="s">
        <v>160</v>
      </c>
      <c r="H984" s="77" t="s">
        <v>153</v>
      </c>
      <c r="I984" s="86">
        <v>41832</v>
      </c>
      <c r="J984" s="78">
        <v>1238</v>
      </c>
      <c r="K984" s="132" t="s">
        <v>20</v>
      </c>
      <c r="L984" s="132" t="s">
        <v>280</v>
      </c>
      <c r="M984" s="132" t="s">
        <v>267</v>
      </c>
      <c r="N984" s="133">
        <v>41836</v>
      </c>
      <c r="O984" s="134">
        <v>604</v>
      </c>
      <c r="P984" s="132" t="s">
        <v>151</v>
      </c>
      <c r="Q984" s="132" t="s">
        <v>277</v>
      </c>
      <c r="R984" s="132" t="s">
        <v>267</v>
      </c>
      <c r="S984" s="133">
        <v>41691</v>
      </c>
      <c r="T984" s="134">
        <v>517.79999999999995</v>
      </c>
      <c r="U984" s="132" t="s">
        <v>154</v>
      </c>
      <c r="V984" s="132" t="s">
        <v>186</v>
      </c>
      <c r="W984" s="132" t="s">
        <v>153</v>
      </c>
      <c r="X984" s="133">
        <v>41990</v>
      </c>
      <c r="Y984" s="134">
        <v>725</v>
      </c>
    </row>
    <row r="985" spans="1:25" x14ac:dyDescent="0.25">
      <c r="A985" s="92" t="s">
        <v>148</v>
      </c>
      <c r="B985" s="12" t="s">
        <v>226</v>
      </c>
      <c r="C985" s="12" t="s">
        <v>158</v>
      </c>
      <c r="D985" s="80">
        <v>41734</v>
      </c>
      <c r="E985" s="81">
        <v>500</v>
      </c>
      <c r="F985" s="76" t="s">
        <v>150</v>
      </c>
      <c r="G985" s="77" t="s">
        <v>160</v>
      </c>
      <c r="H985" s="77" t="s">
        <v>153</v>
      </c>
      <c r="I985" s="86">
        <v>41940</v>
      </c>
      <c r="J985" s="78">
        <v>618</v>
      </c>
      <c r="K985" s="132" t="s">
        <v>20</v>
      </c>
      <c r="L985" s="132" t="s">
        <v>280</v>
      </c>
      <c r="M985" s="132" t="s">
        <v>267</v>
      </c>
      <c r="N985" s="133">
        <v>41848</v>
      </c>
      <c r="O985" s="134">
        <v>886</v>
      </c>
      <c r="P985" s="132" t="s">
        <v>151</v>
      </c>
      <c r="Q985" s="132" t="s">
        <v>277</v>
      </c>
      <c r="R985" s="132" t="s">
        <v>267</v>
      </c>
      <c r="S985" s="133">
        <v>41694</v>
      </c>
      <c r="T985" s="134">
        <v>414.1</v>
      </c>
      <c r="U985" s="132" t="s">
        <v>154</v>
      </c>
      <c r="V985" s="132" t="s">
        <v>186</v>
      </c>
      <c r="W985" s="132" t="s">
        <v>153</v>
      </c>
      <c r="X985" s="133">
        <v>41991</v>
      </c>
      <c r="Y985" s="134">
        <v>869</v>
      </c>
    </row>
    <row r="986" spans="1:25" x14ac:dyDescent="0.25">
      <c r="A986" s="92" t="s">
        <v>148</v>
      </c>
      <c r="B986" s="12" t="s">
        <v>226</v>
      </c>
      <c r="C986" s="12" t="s">
        <v>158</v>
      </c>
      <c r="D986" s="80">
        <v>41735</v>
      </c>
      <c r="E986" s="81">
        <v>750</v>
      </c>
      <c r="F986" s="76" t="s">
        <v>150</v>
      </c>
      <c r="G986" s="77" t="s">
        <v>160</v>
      </c>
      <c r="H986" s="77" t="s">
        <v>153</v>
      </c>
      <c r="I986" s="86">
        <v>41940</v>
      </c>
      <c r="J986" s="78">
        <v>454</v>
      </c>
      <c r="K986" s="132" t="s">
        <v>20</v>
      </c>
      <c r="L986" s="132" t="s">
        <v>280</v>
      </c>
      <c r="M986" s="132" t="s">
        <v>267</v>
      </c>
      <c r="N986" s="133">
        <v>41862</v>
      </c>
      <c r="O986" s="134">
        <v>570</v>
      </c>
      <c r="P986" s="132" t="s">
        <v>151</v>
      </c>
      <c r="Q986" s="132" t="s">
        <v>277</v>
      </c>
      <c r="R986" s="132" t="s">
        <v>267</v>
      </c>
      <c r="S986" s="133">
        <v>41697</v>
      </c>
      <c r="T986" s="134">
        <v>435.7</v>
      </c>
      <c r="U986" s="132" t="s">
        <v>154</v>
      </c>
      <c r="V986" s="132" t="s">
        <v>186</v>
      </c>
      <c r="W986" s="132" t="s">
        <v>153</v>
      </c>
      <c r="X986" s="133">
        <v>41992</v>
      </c>
      <c r="Y986" s="134">
        <v>987</v>
      </c>
    </row>
    <row r="987" spans="1:25" x14ac:dyDescent="0.25">
      <c r="A987" s="92" t="s">
        <v>148</v>
      </c>
      <c r="B987" s="12" t="s">
        <v>226</v>
      </c>
      <c r="C987" s="12" t="s">
        <v>158</v>
      </c>
      <c r="D987" s="80">
        <v>41736</v>
      </c>
      <c r="E987" s="81">
        <v>900</v>
      </c>
      <c r="F987" s="76" t="s">
        <v>150</v>
      </c>
      <c r="G987" s="77" t="s">
        <v>160</v>
      </c>
      <c r="H987" s="77" t="s">
        <v>153</v>
      </c>
      <c r="I987" s="86">
        <v>41941</v>
      </c>
      <c r="J987" s="78">
        <v>851</v>
      </c>
      <c r="K987" s="132" t="s">
        <v>20</v>
      </c>
      <c r="L987" s="132" t="s">
        <v>280</v>
      </c>
      <c r="M987" s="132" t="s">
        <v>267</v>
      </c>
      <c r="N987" s="133">
        <v>41895</v>
      </c>
      <c r="O987" s="134">
        <v>264</v>
      </c>
      <c r="P987" s="132" t="s">
        <v>151</v>
      </c>
      <c r="Q987" s="132" t="s">
        <v>277</v>
      </c>
      <c r="R987" s="132" t="s">
        <v>267</v>
      </c>
      <c r="S987" s="133">
        <v>41698</v>
      </c>
      <c r="T987" s="134">
        <v>830.1</v>
      </c>
      <c r="U987" s="132" t="s">
        <v>154</v>
      </c>
      <c r="V987" s="132" t="s">
        <v>186</v>
      </c>
      <c r="W987" s="132" t="s">
        <v>153</v>
      </c>
      <c r="X987" s="133">
        <v>41994</v>
      </c>
      <c r="Y987" s="134">
        <v>422</v>
      </c>
    </row>
    <row r="988" spans="1:25" x14ac:dyDescent="0.25">
      <c r="A988" s="92" t="s">
        <v>148</v>
      </c>
      <c r="B988" s="12" t="s">
        <v>226</v>
      </c>
      <c r="C988" s="12" t="s">
        <v>158</v>
      </c>
      <c r="D988" s="80">
        <v>41737</v>
      </c>
      <c r="E988" s="81">
        <v>1000</v>
      </c>
      <c r="F988" s="76" t="s">
        <v>150</v>
      </c>
      <c r="G988" s="77" t="s">
        <v>160</v>
      </c>
      <c r="H988" s="77" t="s">
        <v>153</v>
      </c>
      <c r="I988" s="86">
        <v>41943</v>
      </c>
      <c r="J988" s="78">
        <v>1138</v>
      </c>
      <c r="K988" s="132" t="s">
        <v>20</v>
      </c>
      <c r="L988" s="132" t="s">
        <v>280</v>
      </c>
      <c r="M988" s="132" t="s">
        <v>267</v>
      </c>
      <c r="N988" s="133">
        <v>41995</v>
      </c>
      <c r="O988" s="134">
        <v>947</v>
      </c>
      <c r="P988" s="132" t="s">
        <v>151</v>
      </c>
      <c r="Q988" s="132" t="s">
        <v>277</v>
      </c>
      <c r="R988" s="132" t="s">
        <v>267</v>
      </c>
      <c r="S988" s="133">
        <v>41701</v>
      </c>
      <c r="T988" s="134">
        <v>1034.9000000000001</v>
      </c>
      <c r="U988" s="132" t="s">
        <v>154</v>
      </c>
      <c r="V988" s="132" t="s">
        <v>186</v>
      </c>
      <c r="W988" s="132" t="s">
        <v>153</v>
      </c>
      <c r="X988" s="133">
        <v>41995</v>
      </c>
      <c r="Y988" s="134">
        <v>742</v>
      </c>
    </row>
    <row r="989" spans="1:25" x14ac:dyDescent="0.25">
      <c r="A989" s="92" t="s">
        <v>148</v>
      </c>
      <c r="B989" s="12" t="s">
        <v>226</v>
      </c>
      <c r="C989" s="12" t="s">
        <v>158</v>
      </c>
      <c r="D989" s="80">
        <v>41738</v>
      </c>
      <c r="E989" s="81">
        <v>520</v>
      </c>
      <c r="F989" s="76" t="s">
        <v>150</v>
      </c>
      <c r="G989" s="77" t="s">
        <v>160</v>
      </c>
      <c r="H989" s="77" t="s">
        <v>153</v>
      </c>
      <c r="I989" s="86">
        <v>41943</v>
      </c>
      <c r="J989" s="78">
        <v>1136</v>
      </c>
      <c r="K989" s="132" t="s">
        <v>20</v>
      </c>
      <c r="L989" s="132" t="s">
        <v>281</v>
      </c>
      <c r="M989" s="132" t="s">
        <v>267</v>
      </c>
      <c r="N989" s="133">
        <v>41726</v>
      </c>
      <c r="O989" s="134">
        <v>546</v>
      </c>
      <c r="P989" s="132" t="s">
        <v>151</v>
      </c>
      <c r="Q989" s="132" t="s">
        <v>277</v>
      </c>
      <c r="R989" s="132" t="s">
        <v>267</v>
      </c>
      <c r="S989" s="133">
        <v>41709</v>
      </c>
      <c r="T989" s="134">
        <v>473</v>
      </c>
      <c r="U989" s="132" t="s">
        <v>154</v>
      </c>
      <c r="V989" s="132" t="s">
        <v>186</v>
      </c>
      <c r="W989" s="132" t="s">
        <v>153</v>
      </c>
      <c r="X989" s="133">
        <v>41996</v>
      </c>
      <c r="Y989" s="134">
        <v>740</v>
      </c>
    </row>
    <row r="990" spans="1:25" x14ac:dyDescent="0.25">
      <c r="A990" s="92" t="s">
        <v>148</v>
      </c>
      <c r="B990" s="12" t="s">
        <v>226</v>
      </c>
      <c r="C990" s="12" t="s">
        <v>158</v>
      </c>
      <c r="D990" s="80">
        <v>41739</v>
      </c>
      <c r="E990" s="81">
        <v>790</v>
      </c>
      <c r="F990" s="76" t="s">
        <v>150</v>
      </c>
      <c r="G990" s="77" t="s">
        <v>160</v>
      </c>
      <c r="H990" s="77" t="s">
        <v>153</v>
      </c>
      <c r="I990" s="86">
        <v>41944</v>
      </c>
      <c r="J990" s="78">
        <v>1160</v>
      </c>
      <c r="K990" s="132" t="s">
        <v>20</v>
      </c>
      <c r="L990" s="132" t="s">
        <v>281</v>
      </c>
      <c r="M990" s="132" t="s">
        <v>267</v>
      </c>
      <c r="N990" s="133">
        <v>41750</v>
      </c>
      <c r="O990" s="134">
        <v>833</v>
      </c>
      <c r="P990" s="132" t="s">
        <v>151</v>
      </c>
      <c r="Q990" s="132" t="s">
        <v>277</v>
      </c>
      <c r="R990" s="132" t="s">
        <v>267</v>
      </c>
      <c r="S990" s="133">
        <v>41710</v>
      </c>
      <c r="T990" s="134">
        <v>373.1</v>
      </c>
      <c r="U990" s="132" t="s">
        <v>154</v>
      </c>
      <c r="V990" s="132" t="s">
        <v>186</v>
      </c>
      <c r="W990" s="132" t="s">
        <v>153</v>
      </c>
      <c r="X990" s="133">
        <v>41997</v>
      </c>
      <c r="Y990" s="134">
        <v>767</v>
      </c>
    </row>
    <row r="991" spans="1:25" x14ac:dyDescent="0.25">
      <c r="A991" s="92" t="s">
        <v>148</v>
      </c>
      <c r="B991" s="12" t="s">
        <v>226</v>
      </c>
      <c r="C991" s="12" t="s">
        <v>158</v>
      </c>
      <c r="D991" s="80">
        <v>41740</v>
      </c>
      <c r="E991" s="81">
        <v>780</v>
      </c>
      <c r="F991" s="76" t="s">
        <v>150</v>
      </c>
      <c r="G991" s="77" t="s">
        <v>160</v>
      </c>
      <c r="H991" s="77" t="s">
        <v>153</v>
      </c>
      <c r="I991" s="86">
        <v>41945</v>
      </c>
      <c r="J991" s="78">
        <v>976</v>
      </c>
      <c r="K991" s="132" t="s">
        <v>20</v>
      </c>
      <c r="L991" s="132" t="s">
        <v>281</v>
      </c>
      <c r="M991" s="132" t="s">
        <v>267</v>
      </c>
      <c r="N991" s="133">
        <v>41761</v>
      </c>
      <c r="O991" s="134">
        <v>312</v>
      </c>
      <c r="P991" s="132" t="s">
        <v>151</v>
      </c>
      <c r="Q991" s="132" t="s">
        <v>277</v>
      </c>
      <c r="R991" s="132" t="s">
        <v>267</v>
      </c>
      <c r="S991" s="133">
        <v>41711</v>
      </c>
      <c r="T991" s="134">
        <v>749.2</v>
      </c>
      <c r="U991" s="132" t="s">
        <v>154</v>
      </c>
      <c r="V991" s="132" t="s">
        <v>186</v>
      </c>
      <c r="W991" s="132" t="s">
        <v>153</v>
      </c>
      <c r="X991" s="133">
        <v>41998</v>
      </c>
      <c r="Y991" s="134">
        <v>333</v>
      </c>
    </row>
    <row r="992" spans="1:25" x14ac:dyDescent="0.25">
      <c r="A992" s="92" t="s">
        <v>148</v>
      </c>
      <c r="B992" s="12" t="s">
        <v>226</v>
      </c>
      <c r="C992" s="12" t="s">
        <v>158</v>
      </c>
      <c r="D992" s="80">
        <v>41741</v>
      </c>
      <c r="E992" s="81">
        <v>1131</v>
      </c>
      <c r="F992" s="76" t="s">
        <v>150</v>
      </c>
      <c r="G992" s="77" t="s">
        <v>160</v>
      </c>
      <c r="H992" s="77" t="s">
        <v>153</v>
      </c>
      <c r="I992" s="86">
        <v>41946</v>
      </c>
      <c r="J992" s="78">
        <v>900</v>
      </c>
      <c r="K992" s="132" t="s">
        <v>20</v>
      </c>
      <c r="L992" s="132" t="s">
        <v>281</v>
      </c>
      <c r="M992" s="132" t="s">
        <v>267</v>
      </c>
      <c r="N992" s="133">
        <v>41868</v>
      </c>
      <c r="O992" s="134">
        <v>155</v>
      </c>
      <c r="P992" s="132" t="s">
        <v>151</v>
      </c>
      <c r="Q992" s="132" t="s">
        <v>277</v>
      </c>
      <c r="R992" s="132" t="s">
        <v>267</v>
      </c>
      <c r="S992" s="133">
        <v>41712</v>
      </c>
      <c r="T992" s="134">
        <v>502.3</v>
      </c>
      <c r="U992" s="132" t="s">
        <v>154</v>
      </c>
      <c r="V992" s="132" t="s">
        <v>186</v>
      </c>
      <c r="W992" s="132" t="s">
        <v>153</v>
      </c>
      <c r="X992" s="133">
        <v>41999</v>
      </c>
      <c r="Y992" s="134">
        <v>823</v>
      </c>
    </row>
    <row r="993" spans="1:25" x14ac:dyDescent="0.25">
      <c r="A993" s="92" t="s">
        <v>148</v>
      </c>
      <c r="B993" s="12" t="s">
        <v>226</v>
      </c>
      <c r="C993" s="12" t="s">
        <v>158</v>
      </c>
      <c r="D993" s="80">
        <v>41742</v>
      </c>
      <c r="E993" s="81">
        <v>831</v>
      </c>
      <c r="F993" s="76" t="s">
        <v>150</v>
      </c>
      <c r="G993" s="77" t="s">
        <v>160</v>
      </c>
      <c r="H993" s="77" t="s">
        <v>153</v>
      </c>
      <c r="I993" s="86">
        <v>41947</v>
      </c>
      <c r="J993" s="78">
        <v>1050</v>
      </c>
      <c r="K993" s="132" t="s">
        <v>20</v>
      </c>
      <c r="L993" s="132" t="s">
        <v>281</v>
      </c>
      <c r="M993" s="132" t="s">
        <v>267</v>
      </c>
      <c r="N993" s="133">
        <v>41871</v>
      </c>
      <c r="O993" s="134">
        <v>330</v>
      </c>
      <c r="P993" s="132" t="s">
        <v>151</v>
      </c>
      <c r="Q993" s="132" t="s">
        <v>277</v>
      </c>
      <c r="R993" s="132" t="s">
        <v>267</v>
      </c>
      <c r="S993" s="133">
        <v>41715</v>
      </c>
      <c r="T993" s="134">
        <v>427.4</v>
      </c>
      <c r="U993" s="132" t="s">
        <v>154</v>
      </c>
      <c r="V993" s="132" t="s">
        <v>186</v>
      </c>
      <c r="W993" s="132" t="s">
        <v>153</v>
      </c>
      <c r="X993" s="133">
        <v>42000</v>
      </c>
      <c r="Y993" s="134">
        <v>109</v>
      </c>
    </row>
    <row r="994" spans="1:25" x14ac:dyDescent="0.25">
      <c r="A994" s="92" t="s">
        <v>148</v>
      </c>
      <c r="B994" s="12" t="s">
        <v>226</v>
      </c>
      <c r="C994" s="12" t="s">
        <v>158</v>
      </c>
      <c r="D994" s="80">
        <v>41743</v>
      </c>
      <c r="E994" s="81">
        <v>475</v>
      </c>
      <c r="F994" s="76" t="s">
        <v>150</v>
      </c>
      <c r="G994" s="77" t="s">
        <v>160</v>
      </c>
      <c r="H994" s="77" t="s">
        <v>153</v>
      </c>
      <c r="I994" s="86">
        <v>41951</v>
      </c>
      <c r="J994" s="78">
        <v>1021</v>
      </c>
      <c r="K994" s="132" t="s">
        <v>20</v>
      </c>
      <c r="L994" s="132" t="s">
        <v>281</v>
      </c>
      <c r="M994" s="132" t="s">
        <v>267</v>
      </c>
      <c r="N994" s="133">
        <v>41876</v>
      </c>
      <c r="O994" s="134">
        <v>328</v>
      </c>
      <c r="P994" s="132" t="s">
        <v>151</v>
      </c>
      <c r="Q994" s="132" t="s">
        <v>277</v>
      </c>
      <c r="R994" s="132" t="s">
        <v>267</v>
      </c>
      <c r="S994" s="133">
        <v>41716</v>
      </c>
      <c r="T994" s="134">
        <v>414.8</v>
      </c>
      <c r="U994" s="132" t="s">
        <v>154</v>
      </c>
      <c r="V994" s="132" t="s">
        <v>186</v>
      </c>
      <c r="W994" s="132" t="s">
        <v>153</v>
      </c>
      <c r="X994" s="133">
        <v>42000</v>
      </c>
      <c r="Y994" s="134">
        <v>511</v>
      </c>
    </row>
    <row r="995" spans="1:25" x14ac:dyDescent="0.25">
      <c r="A995" s="92" t="s">
        <v>148</v>
      </c>
      <c r="B995" s="12" t="s">
        <v>226</v>
      </c>
      <c r="C995" s="12" t="s">
        <v>158</v>
      </c>
      <c r="D995" s="80">
        <v>41744</v>
      </c>
      <c r="E995" s="81">
        <v>782</v>
      </c>
      <c r="F995" s="76" t="s">
        <v>150</v>
      </c>
      <c r="G995" s="77" t="s">
        <v>160</v>
      </c>
      <c r="H995" s="77" t="s">
        <v>153</v>
      </c>
      <c r="I995" s="86">
        <v>41983</v>
      </c>
      <c r="J995" s="78">
        <v>998</v>
      </c>
      <c r="K995" s="132" t="s">
        <v>20</v>
      </c>
      <c r="L995" s="132" t="s">
        <v>281</v>
      </c>
      <c r="M995" s="132" t="s">
        <v>267</v>
      </c>
      <c r="N995" s="133">
        <v>41892</v>
      </c>
      <c r="O995" s="134">
        <v>126</v>
      </c>
      <c r="P995" s="132" t="s">
        <v>151</v>
      </c>
      <c r="Q995" s="132" t="s">
        <v>277</v>
      </c>
      <c r="R995" s="132" t="s">
        <v>267</v>
      </c>
      <c r="S995" s="133">
        <v>41717</v>
      </c>
      <c r="T995" s="134">
        <v>418.5</v>
      </c>
      <c r="U995" s="132" t="s">
        <v>154</v>
      </c>
      <c r="V995" s="132" t="s">
        <v>186</v>
      </c>
      <c r="W995" s="132" t="s">
        <v>153</v>
      </c>
      <c r="X995" s="133">
        <v>42000</v>
      </c>
      <c r="Y995" s="134">
        <v>783</v>
      </c>
    </row>
    <row r="996" spans="1:25" x14ac:dyDescent="0.25">
      <c r="A996" s="92" t="s">
        <v>148</v>
      </c>
      <c r="B996" s="12" t="s">
        <v>226</v>
      </c>
      <c r="C996" s="12" t="s">
        <v>158</v>
      </c>
      <c r="D996" s="80">
        <v>41745</v>
      </c>
      <c r="E996" s="81">
        <v>800</v>
      </c>
      <c r="F996" s="76" t="s">
        <v>150</v>
      </c>
      <c r="G996" s="77" t="s">
        <v>160</v>
      </c>
      <c r="H996" s="77" t="s">
        <v>153</v>
      </c>
      <c r="I996" s="86">
        <v>41986</v>
      </c>
      <c r="J996" s="78">
        <v>840</v>
      </c>
      <c r="K996" s="132" t="s">
        <v>20</v>
      </c>
      <c r="L996" s="132" t="s">
        <v>281</v>
      </c>
      <c r="M996" s="132" t="s">
        <v>267</v>
      </c>
      <c r="N996" s="133">
        <v>41893</v>
      </c>
      <c r="O996" s="134">
        <v>585</v>
      </c>
      <c r="P996" s="132" t="s">
        <v>151</v>
      </c>
      <c r="Q996" s="132" t="s">
        <v>277</v>
      </c>
      <c r="R996" s="132" t="s">
        <v>267</v>
      </c>
      <c r="S996" s="133">
        <v>41722</v>
      </c>
      <c r="T996" s="134">
        <v>774.5</v>
      </c>
      <c r="U996" s="132" t="s">
        <v>154</v>
      </c>
      <c r="V996" s="132" t="s">
        <v>186</v>
      </c>
      <c r="W996" s="132" t="s">
        <v>153</v>
      </c>
      <c r="X996" s="133">
        <v>42002</v>
      </c>
      <c r="Y996" s="134">
        <v>875</v>
      </c>
    </row>
    <row r="997" spans="1:25" x14ac:dyDescent="0.25">
      <c r="A997" s="92" t="s">
        <v>148</v>
      </c>
      <c r="B997" s="12" t="s">
        <v>226</v>
      </c>
      <c r="C997" s="12" t="s">
        <v>158</v>
      </c>
      <c r="D997" s="80">
        <v>41746</v>
      </c>
      <c r="E997" s="81">
        <v>780</v>
      </c>
      <c r="F997" s="76" t="s">
        <v>150</v>
      </c>
      <c r="G997" s="77" t="s">
        <v>160</v>
      </c>
      <c r="H997" s="77" t="s">
        <v>153</v>
      </c>
      <c r="I997" s="86">
        <v>41987</v>
      </c>
      <c r="J997" s="78">
        <v>621</v>
      </c>
      <c r="K997" s="132" t="s">
        <v>20</v>
      </c>
      <c r="L997" s="132" t="s">
        <v>281</v>
      </c>
      <c r="M997" s="132" t="s">
        <v>267</v>
      </c>
      <c r="N997" s="133">
        <v>41894</v>
      </c>
      <c r="O997" s="134">
        <v>587</v>
      </c>
      <c r="P997" s="132" t="s">
        <v>151</v>
      </c>
      <c r="Q997" s="132" t="s">
        <v>277</v>
      </c>
      <c r="R997" s="132" t="s">
        <v>267</v>
      </c>
      <c r="S997" s="133">
        <v>41723</v>
      </c>
      <c r="T997" s="134">
        <v>427.3</v>
      </c>
      <c r="U997" s="132" t="s">
        <v>154</v>
      </c>
      <c r="V997" s="132" t="s">
        <v>187</v>
      </c>
      <c r="W997" s="132" t="s">
        <v>153</v>
      </c>
      <c r="X997" s="133">
        <v>41635</v>
      </c>
      <c r="Y997" s="134">
        <v>745</v>
      </c>
    </row>
    <row r="998" spans="1:25" x14ac:dyDescent="0.25">
      <c r="A998" s="92" t="s">
        <v>148</v>
      </c>
      <c r="B998" s="12" t="s">
        <v>226</v>
      </c>
      <c r="C998" s="12" t="s">
        <v>158</v>
      </c>
      <c r="D998" s="80">
        <v>41747</v>
      </c>
      <c r="E998" s="81">
        <v>775</v>
      </c>
      <c r="F998" s="76" t="s">
        <v>150</v>
      </c>
      <c r="G998" s="77" t="s">
        <v>160</v>
      </c>
      <c r="H998" s="77" t="s">
        <v>153</v>
      </c>
      <c r="I998" s="86">
        <v>41989</v>
      </c>
      <c r="J998" s="78">
        <v>1228</v>
      </c>
      <c r="K998" s="132" t="s">
        <v>20</v>
      </c>
      <c r="L998" s="132" t="s">
        <v>281</v>
      </c>
      <c r="M998" s="132" t="s">
        <v>267</v>
      </c>
      <c r="N998" s="133">
        <v>41897</v>
      </c>
      <c r="O998" s="134">
        <v>562</v>
      </c>
      <c r="P998" s="132" t="s">
        <v>151</v>
      </c>
      <c r="Q998" s="132" t="s">
        <v>277</v>
      </c>
      <c r="R998" s="132" t="s">
        <v>267</v>
      </c>
      <c r="S998" s="133">
        <v>41739</v>
      </c>
      <c r="T998" s="134">
        <v>462.6</v>
      </c>
      <c r="U998" s="132" t="s">
        <v>154</v>
      </c>
      <c r="V998" s="132" t="s">
        <v>187</v>
      </c>
      <c r="W998" s="132" t="s">
        <v>153</v>
      </c>
      <c r="X998" s="133">
        <v>41638</v>
      </c>
      <c r="Y998" s="134">
        <v>1081</v>
      </c>
    </row>
    <row r="999" spans="1:25" x14ac:dyDescent="0.25">
      <c r="A999" s="92" t="s">
        <v>148</v>
      </c>
      <c r="B999" s="12" t="s">
        <v>226</v>
      </c>
      <c r="C999" s="12" t="s">
        <v>158</v>
      </c>
      <c r="D999" s="80">
        <v>41748</v>
      </c>
      <c r="E999" s="81">
        <v>1181</v>
      </c>
      <c r="F999" s="76" t="s">
        <v>150</v>
      </c>
      <c r="G999" s="77" t="s">
        <v>160</v>
      </c>
      <c r="H999" s="77" t="s">
        <v>153</v>
      </c>
      <c r="I999" s="86">
        <v>41990</v>
      </c>
      <c r="J999" s="78">
        <v>647</v>
      </c>
      <c r="K999" s="132" t="s">
        <v>20</v>
      </c>
      <c r="L999" s="132" t="s">
        <v>281</v>
      </c>
      <c r="M999" s="132" t="s">
        <v>267</v>
      </c>
      <c r="N999" s="133">
        <v>41911</v>
      </c>
      <c r="O999" s="134">
        <v>533</v>
      </c>
      <c r="P999" s="132" t="s">
        <v>151</v>
      </c>
      <c r="Q999" s="132" t="s">
        <v>277</v>
      </c>
      <c r="R999" s="132" t="s">
        <v>267</v>
      </c>
      <c r="S999" s="133">
        <v>41740</v>
      </c>
      <c r="T999" s="134">
        <v>936.2</v>
      </c>
      <c r="U999" s="132" t="s">
        <v>154</v>
      </c>
      <c r="V999" s="132" t="s">
        <v>187</v>
      </c>
      <c r="W999" s="132" t="s">
        <v>153</v>
      </c>
      <c r="X999" s="133">
        <v>41640</v>
      </c>
      <c r="Y999" s="134">
        <v>958</v>
      </c>
    </row>
    <row r="1000" spans="1:25" x14ac:dyDescent="0.25">
      <c r="A1000" s="92" t="s">
        <v>148</v>
      </c>
      <c r="B1000" s="12" t="s">
        <v>226</v>
      </c>
      <c r="C1000" s="12" t="s">
        <v>158</v>
      </c>
      <c r="D1000" s="80">
        <v>41749</v>
      </c>
      <c r="E1000" s="81">
        <v>930</v>
      </c>
      <c r="F1000" s="76" t="s">
        <v>150</v>
      </c>
      <c r="G1000" s="77" t="s">
        <v>160</v>
      </c>
      <c r="H1000" s="77" t="s">
        <v>153</v>
      </c>
      <c r="I1000" s="86">
        <v>41991</v>
      </c>
      <c r="J1000" s="78">
        <v>501</v>
      </c>
      <c r="K1000" s="132" t="s">
        <v>20</v>
      </c>
      <c r="L1000" s="132" t="s">
        <v>281</v>
      </c>
      <c r="M1000" s="132" t="s">
        <v>267</v>
      </c>
      <c r="N1000" s="133">
        <v>41913</v>
      </c>
      <c r="O1000" s="134">
        <v>545</v>
      </c>
      <c r="P1000" s="132" t="s">
        <v>151</v>
      </c>
      <c r="Q1000" s="132" t="s">
        <v>277</v>
      </c>
      <c r="R1000" s="132" t="s">
        <v>267</v>
      </c>
      <c r="S1000" s="133">
        <v>41745</v>
      </c>
      <c r="T1000" s="134">
        <v>849.7</v>
      </c>
      <c r="U1000" s="132" t="s">
        <v>154</v>
      </c>
      <c r="V1000" s="132" t="s">
        <v>187</v>
      </c>
      <c r="W1000" s="132" t="s">
        <v>153</v>
      </c>
      <c r="X1000" s="133">
        <v>41649</v>
      </c>
      <c r="Y1000" s="134">
        <v>930</v>
      </c>
    </row>
    <row r="1001" spans="1:25" x14ac:dyDescent="0.25">
      <c r="A1001" s="92" t="s">
        <v>148</v>
      </c>
      <c r="B1001" s="12" t="s">
        <v>226</v>
      </c>
      <c r="C1001" s="12" t="s">
        <v>158</v>
      </c>
      <c r="D1001" s="80">
        <v>41750</v>
      </c>
      <c r="E1001" s="81">
        <v>540</v>
      </c>
      <c r="F1001" s="76" t="s">
        <v>150</v>
      </c>
      <c r="G1001" s="77" t="s">
        <v>160</v>
      </c>
      <c r="H1001" s="77" t="s">
        <v>153</v>
      </c>
      <c r="I1001" s="86">
        <v>41995</v>
      </c>
      <c r="J1001" s="78">
        <v>886</v>
      </c>
      <c r="K1001" s="132" t="s">
        <v>20</v>
      </c>
      <c r="L1001" s="132" t="s">
        <v>281</v>
      </c>
      <c r="M1001" s="132" t="s">
        <v>267</v>
      </c>
      <c r="N1001" s="133">
        <v>41922</v>
      </c>
      <c r="O1001" s="134">
        <v>504</v>
      </c>
      <c r="P1001" s="132" t="s">
        <v>151</v>
      </c>
      <c r="Q1001" s="132" t="s">
        <v>277</v>
      </c>
      <c r="R1001" s="132" t="s">
        <v>267</v>
      </c>
      <c r="S1001" s="133">
        <v>41750</v>
      </c>
      <c r="T1001" s="134">
        <v>368.2</v>
      </c>
      <c r="U1001" s="132" t="s">
        <v>154</v>
      </c>
      <c r="V1001" s="132" t="s">
        <v>187</v>
      </c>
      <c r="W1001" s="132" t="s">
        <v>153</v>
      </c>
      <c r="X1001" s="133">
        <v>41652</v>
      </c>
      <c r="Y1001" s="134">
        <v>766</v>
      </c>
    </row>
    <row r="1002" spans="1:25" x14ac:dyDescent="0.25">
      <c r="A1002" s="92" t="s">
        <v>148</v>
      </c>
      <c r="B1002" s="12" t="s">
        <v>226</v>
      </c>
      <c r="C1002" s="12" t="s">
        <v>158</v>
      </c>
      <c r="D1002" s="80">
        <v>41751</v>
      </c>
      <c r="E1002" s="81">
        <v>770</v>
      </c>
      <c r="F1002" s="76" t="s">
        <v>150</v>
      </c>
      <c r="G1002" s="77" t="s">
        <v>160</v>
      </c>
      <c r="H1002" s="77" t="s">
        <v>153</v>
      </c>
      <c r="I1002" s="86">
        <v>42002</v>
      </c>
      <c r="J1002" s="78">
        <v>551</v>
      </c>
      <c r="K1002" s="132" t="s">
        <v>20</v>
      </c>
      <c r="L1002" s="132" t="s">
        <v>281</v>
      </c>
      <c r="M1002" s="132" t="s">
        <v>267</v>
      </c>
      <c r="N1002" s="133">
        <v>41926</v>
      </c>
      <c r="O1002" s="134">
        <v>317</v>
      </c>
      <c r="P1002" s="132" t="s">
        <v>151</v>
      </c>
      <c r="Q1002" s="132" t="s">
        <v>277</v>
      </c>
      <c r="R1002" s="132" t="s">
        <v>267</v>
      </c>
      <c r="S1002" s="133">
        <v>41915</v>
      </c>
      <c r="T1002" s="134">
        <v>169.1</v>
      </c>
      <c r="U1002" s="132" t="s">
        <v>154</v>
      </c>
      <c r="V1002" s="132" t="s">
        <v>187</v>
      </c>
      <c r="W1002" s="132" t="s">
        <v>153</v>
      </c>
      <c r="X1002" s="133">
        <v>41653</v>
      </c>
      <c r="Y1002" s="134">
        <v>840</v>
      </c>
    </row>
    <row r="1003" spans="1:25" x14ac:dyDescent="0.25">
      <c r="A1003" s="92" t="s">
        <v>148</v>
      </c>
      <c r="B1003" s="12" t="s">
        <v>226</v>
      </c>
      <c r="C1003" s="12" t="s">
        <v>158</v>
      </c>
      <c r="D1003" s="80">
        <v>41752</v>
      </c>
      <c r="E1003" s="81">
        <v>1120</v>
      </c>
      <c r="F1003" s="76" t="s">
        <v>150</v>
      </c>
      <c r="G1003" s="77" t="s">
        <v>161</v>
      </c>
      <c r="H1003" s="77" t="s">
        <v>153</v>
      </c>
      <c r="I1003" s="86">
        <v>41656</v>
      </c>
      <c r="J1003" s="78">
        <v>1050</v>
      </c>
      <c r="K1003" s="132" t="s">
        <v>20</v>
      </c>
      <c r="L1003" s="132" t="s">
        <v>281</v>
      </c>
      <c r="M1003" s="132" t="s">
        <v>267</v>
      </c>
      <c r="N1003" s="133">
        <v>41928</v>
      </c>
      <c r="O1003" s="134">
        <v>591</v>
      </c>
      <c r="P1003" s="132" t="s">
        <v>151</v>
      </c>
      <c r="Q1003" s="132" t="s">
        <v>277</v>
      </c>
      <c r="R1003" s="132" t="s">
        <v>267</v>
      </c>
      <c r="S1003" s="133">
        <v>41918</v>
      </c>
      <c r="T1003" s="134">
        <v>748.9</v>
      </c>
      <c r="U1003" s="132" t="s">
        <v>154</v>
      </c>
      <c r="V1003" s="132" t="s">
        <v>187</v>
      </c>
      <c r="W1003" s="132" t="s">
        <v>153</v>
      </c>
      <c r="X1003" s="133">
        <v>41654</v>
      </c>
      <c r="Y1003" s="134">
        <v>785</v>
      </c>
    </row>
    <row r="1004" spans="1:25" x14ac:dyDescent="0.25">
      <c r="A1004" s="92" t="s">
        <v>148</v>
      </c>
      <c r="B1004" s="12" t="s">
        <v>226</v>
      </c>
      <c r="C1004" s="12" t="s">
        <v>158</v>
      </c>
      <c r="D1004" s="80">
        <v>41753</v>
      </c>
      <c r="E1004" s="81">
        <v>250</v>
      </c>
      <c r="F1004" s="76" t="s">
        <v>150</v>
      </c>
      <c r="G1004" s="77" t="s">
        <v>161</v>
      </c>
      <c r="H1004" s="77" t="s">
        <v>153</v>
      </c>
      <c r="I1004" s="86">
        <v>41662</v>
      </c>
      <c r="J1004" s="78">
        <v>1459</v>
      </c>
      <c r="K1004" s="132" t="s">
        <v>20</v>
      </c>
      <c r="L1004" s="132" t="s">
        <v>281</v>
      </c>
      <c r="M1004" s="132" t="s">
        <v>267</v>
      </c>
      <c r="N1004" s="133">
        <v>41932</v>
      </c>
      <c r="O1004" s="134">
        <v>471</v>
      </c>
      <c r="P1004" s="132" t="s">
        <v>151</v>
      </c>
      <c r="Q1004" s="132" t="s">
        <v>277</v>
      </c>
      <c r="R1004" s="132" t="s">
        <v>267</v>
      </c>
      <c r="S1004" s="133">
        <v>41919</v>
      </c>
      <c r="T1004" s="134">
        <v>999.9</v>
      </c>
      <c r="U1004" s="132" t="s">
        <v>154</v>
      </c>
      <c r="V1004" s="132" t="s">
        <v>187</v>
      </c>
      <c r="W1004" s="132" t="s">
        <v>153</v>
      </c>
      <c r="X1004" s="133">
        <v>41655</v>
      </c>
      <c r="Y1004" s="134">
        <v>806</v>
      </c>
    </row>
    <row r="1005" spans="1:25" x14ac:dyDescent="0.25">
      <c r="A1005" s="92" t="s">
        <v>148</v>
      </c>
      <c r="B1005" s="12" t="s">
        <v>226</v>
      </c>
      <c r="C1005" s="12" t="s">
        <v>158</v>
      </c>
      <c r="D1005" s="80">
        <v>41754</v>
      </c>
      <c r="E1005" s="81">
        <v>800</v>
      </c>
      <c r="F1005" s="76" t="s">
        <v>150</v>
      </c>
      <c r="G1005" s="77" t="s">
        <v>161</v>
      </c>
      <c r="H1005" s="77" t="s">
        <v>153</v>
      </c>
      <c r="I1005" s="86">
        <v>41663</v>
      </c>
      <c r="J1005" s="78">
        <v>928</v>
      </c>
      <c r="K1005" s="132" t="s">
        <v>20</v>
      </c>
      <c r="L1005" s="132" t="s">
        <v>281</v>
      </c>
      <c r="M1005" s="132" t="s">
        <v>267</v>
      </c>
      <c r="N1005" s="133">
        <v>41950</v>
      </c>
      <c r="O1005" s="134">
        <v>556</v>
      </c>
      <c r="P1005" s="132" t="s">
        <v>151</v>
      </c>
      <c r="Q1005" s="132" t="s">
        <v>277</v>
      </c>
      <c r="R1005" s="132" t="s">
        <v>267</v>
      </c>
      <c r="S1005" s="133">
        <v>41925</v>
      </c>
      <c r="T1005" s="134">
        <v>586.79999999999995</v>
      </c>
      <c r="U1005" s="132" t="s">
        <v>154</v>
      </c>
      <c r="V1005" s="132" t="s">
        <v>187</v>
      </c>
      <c r="W1005" s="132" t="s">
        <v>153</v>
      </c>
      <c r="X1005" s="133">
        <v>41656</v>
      </c>
      <c r="Y1005" s="134">
        <v>562</v>
      </c>
    </row>
    <row r="1006" spans="1:25" x14ac:dyDescent="0.25">
      <c r="A1006" s="92" t="s">
        <v>148</v>
      </c>
      <c r="B1006" s="12" t="s">
        <v>226</v>
      </c>
      <c r="C1006" s="12" t="s">
        <v>158</v>
      </c>
      <c r="D1006" s="80">
        <v>41755</v>
      </c>
      <c r="E1006" s="81">
        <v>1163</v>
      </c>
      <c r="F1006" s="76" t="s">
        <v>150</v>
      </c>
      <c r="G1006" s="77" t="s">
        <v>161</v>
      </c>
      <c r="H1006" s="77" t="s">
        <v>153</v>
      </c>
      <c r="I1006" s="86">
        <v>41666</v>
      </c>
      <c r="J1006" s="78">
        <v>928</v>
      </c>
      <c r="K1006" s="132" t="s">
        <v>20</v>
      </c>
      <c r="L1006" s="132" t="s">
        <v>281</v>
      </c>
      <c r="M1006" s="132" t="s">
        <v>267</v>
      </c>
      <c r="N1006" s="133">
        <v>41952</v>
      </c>
      <c r="O1006" s="134">
        <v>1030</v>
      </c>
      <c r="P1006" s="132" t="s">
        <v>151</v>
      </c>
      <c r="Q1006" s="132" t="s">
        <v>277</v>
      </c>
      <c r="R1006" s="132" t="s">
        <v>267</v>
      </c>
      <c r="S1006" s="133">
        <v>41926</v>
      </c>
      <c r="T1006" s="134">
        <v>969.6</v>
      </c>
      <c r="U1006" s="132" t="s">
        <v>154</v>
      </c>
      <c r="V1006" s="132" t="s">
        <v>187</v>
      </c>
      <c r="W1006" s="132" t="s">
        <v>153</v>
      </c>
      <c r="X1006" s="133">
        <v>41656</v>
      </c>
      <c r="Y1006" s="134">
        <v>350</v>
      </c>
    </row>
    <row r="1007" spans="1:25" x14ac:dyDescent="0.25">
      <c r="A1007" s="92" t="s">
        <v>148</v>
      </c>
      <c r="B1007" s="12" t="s">
        <v>226</v>
      </c>
      <c r="C1007" s="12" t="s">
        <v>158</v>
      </c>
      <c r="D1007" s="80">
        <v>41756</v>
      </c>
      <c r="E1007" s="81">
        <v>921</v>
      </c>
      <c r="F1007" s="76" t="s">
        <v>150</v>
      </c>
      <c r="G1007" s="77" t="s">
        <v>161</v>
      </c>
      <c r="H1007" s="77" t="s">
        <v>153</v>
      </c>
      <c r="I1007" s="86">
        <v>41669</v>
      </c>
      <c r="J1007" s="78">
        <v>1204</v>
      </c>
      <c r="K1007" s="132" t="s">
        <v>20</v>
      </c>
      <c r="L1007" s="132" t="s">
        <v>281</v>
      </c>
      <c r="M1007" s="132" t="s">
        <v>267</v>
      </c>
      <c r="N1007" s="133">
        <v>41963</v>
      </c>
      <c r="O1007" s="134">
        <v>248</v>
      </c>
      <c r="P1007" s="132" t="s">
        <v>151</v>
      </c>
      <c r="Q1007" s="132" t="s">
        <v>277</v>
      </c>
      <c r="R1007" s="132" t="s">
        <v>267</v>
      </c>
      <c r="S1007" s="133">
        <v>41927</v>
      </c>
      <c r="T1007" s="134">
        <v>573.1</v>
      </c>
      <c r="U1007" s="132" t="s">
        <v>154</v>
      </c>
      <c r="V1007" s="132" t="s">
        <v>187</v>
      </c>
      <c r="W1007" s="132" t="s">
        <v>153</v>
      </c>
      <c r="X1007" s="133">
        <v>41657</v>
      </c>
      <c r="Y1007" s="134">
        <v>820</v>
      </c>
    </row>
    <row r="1008" spans="1:25" x14ac:dyDescent="0.25">
      <c r="A1008" s="92" t="s">
        <v>148</v>
      </c>
      <c r="B1008" s="12" t="s">
        <v>226</v>
      </c>
      <c r="C1008" s="12" t="s">
        <v>158</v>
      </c>
      <c r="D1008" s="80">
        <v>41757</v>
      </c>
      <c r="E1008" s="81">
        <v>470</v>
      </c>
      <c r="F1008" s="76" t="s">
        <v>150</v>
      </c>
      <c r="G1008" s="77" t="s">
        <v>161</v>
      </c>
      <c r="H1008" s="77" t="s">
        <v>153</v>
      </c>
      <c r="I1008" s="86">
        <v>41670</v>
      </c>
      <c r="J1008" s="78">
        <v>705</v>
      </c>
      <c r="K1008" s="132" t="s">
        <v>20</v>
      </c>
      <c r="L1008" s="132" t="s">
        <v>282</v>
      </c>
      <c r="M1008" s="132" t="s">
        <v>267</v>
      </c>
      <c r="N1008" s="133">
        <v>41827</v>
      </c>
      <c r="O1008" s="134">
        <v>312</v>
      </c>
      <c r="P1008" s="132" t="s">
        <v>151</v>
      </c>
      <c r="Q1008" s="132" t="s">
        <v>277</v>
      </c>
      <c r="R1008" s="132" t="s">
        <v>267</v>
      </c>
      <c r="S1008" s="133">
        <v>41928</v>
      </c>
      <c r="T1008" s="134">
        <v>1062.4000000000001</v>
      </c>
      <c r="U1008" s="132" t="s">
        <v>154</v>
      </c>
      <c r="V1008" s="132" t="s">
        <v>187</v>
      </c>
      <c r="W1008" s="132" t="s">
        <v>153</v>
      </c>
      <c r="X1008" s="133">
        <v>41658</v>
      </c>
      <c r="Y1008" s="134">
        <v>925</v>
      </c>
    </row>
    <row r="1009" spans="1:25" x14ac:dyDescent="0.25">
      <c r="A1009" s="92" t="s">
        <v>148</v>
      </c>
      <c r="B1009" s="12" t="s">
        <v>226</v>
      </c>
      <c r="C1009" s="12" t="s">
        <v>158</v>
      </c>
      <c r="D1009" s="80">
        <v>41758</v>
      </c>
      <c r="E1009" s="81">
        <v>720</v>
      </c>
      <c r="F1009" s="76" t="s">
        <v>150</v>
      </c>
      <c r="G1009" s="77" t="s">
        <v>161</v>
      </c>
      <c r="H1009" s="77" t="s">
        <v>153</v>
      </c>
      <c r="I1009" s="86">
        <v>41674</v>
      </c>
      <c r="J1009" s="78">
        <v>723</v>
      </c>
      <c r="K1009" s="132" t="s">
        <v>20</v>
      </c>
      <c r="L1009" s="132" t="s">
        <v>282</v>
      </c>
      <c r="M1009" s="132" t="s">
        <v>267</v>
      </c>
      <c r="N1009" s="133">
        <v>41843</v>
      </c>
      <c r="O1009" s="134">
        <v>516</v>
      </c>
      <c r="P1009" s="132" t="s">
        <v>151</v>
      </c>
      <c r="Q1009" s="132" t="s">
        <v>277</v>
      </c>
      <c r="R1009" s="132" t="s">
        <v>267</v>
      </c>
      <c r="S1009" s="133">
        <v>41934</v>
      </c>
      <c r="T1009" s="134">
        <v>92.6</v>
      </c>
      <c r="U1009" s="132" t="s">
        <v>154</v>
      </c>
      <c r="V1009" s="132" t="s">
        <v>187</v>
      </c>
      <c r="W1009" s="132" t="s">
        <v>153</v>
      </c>
      <c r="X1009" s="133">
        <v>41658</v>
      </c>
      <c r="Y1009" s="134">
        <v>622</v>
      </c>
    </row>
    <row r="1010" spans="1:25" x14ac:dyDescent="0.25">
      <c r="A1010" s="92" t="s">
        <v>148</v>
      </c>
      <c r="B1010" s="12" t="s">
        <v>226</v>
      </c>
      <c r="C1010" s="12" t="s">
        <v>158</v>
      </c>
      <c r="D1010" s="80">
        <v>41759</v>
      </c>
      <c r="E1010" s="81">
        <v>1000</v>
      </c>
      <c r="F1010" s="76" t="s">
        <v>150</v>
      </c>
      <c r="G1010" s="77" t="s">
        <v>161</v>
      </c>
      <c r="H1010" s="77" t="s">
        <v>153</v>
      </c>
      <c r="I1010" s="86">
        <v>41676</v>
      </c>
      <c r="J1010" s="78">
        <v>857</v>
      </c>
      <c r="K1010" s="132" t="s">
        <v>20</v>
      </c>
      <c r="L1010" s="132" t="s">
        <v>283</v>
      </c>
      <c r="M1010" s="132" t="s">
        <v>267</v>
      </c>
      <c r="N1010" s="133">
        <v>41669</v>
      </c>
      <c r="O1010" s="134">
        <v>608</v>
      </c>
      <c r="P1010" s="132" t="s">
        <v>151</v>
      </c>
      <c r="Q1010" s="132" t="s">
        <v>277</v>
      </c>
      <c r="R1010" s="132" t="s">
        <v>267</v>
      </c>
      <c r="S1010" s="133">
        <v>41935</v>
      </c>
      <c r="T1010" s="134">
        <v>553.5</v>
      </c>
      <c r="U1010" s="132" t="s">
        <v>154</v>
      </c>
      <c r="V1010" s="132" t="s">
        <v>187</v>
      </c>
      <c r="W1010" s="132" t="s">
        <v>153</v>
      </c>
      <c r="X1010" s="133">
        <v>41659</v>
      </c>
      <c r="Y1010" s="134">
        <v>609</v>
      </c>
    </row>
    <row r="1011" spans="1:25" x14ac:dyDescent="0.25">
      <c r="A1011" s="92" t="s">
        <v>148</v>
      </c>
      <c r="B1011" s="12" t="s">
        <v>226</v>
      </c>
      <c r="C1011" s="12" t="s">
        <v>158</v>
      </c>
      <c r="D1011" s="80">
        <v>41760</v>
      </c>
      <c r="E1011" s="81">
        <v>610</v>
      </c>
      <c r="F1011" s="76" t="s">
        <v>150</v>
      </c>
      <c r="G1011" s="77" t="s">
        <v>161</v>
      </c>
      <c r="H1011" s="77" t="s">
        <v>153</v>
      </c>
      <c r="I1011" s="86">
        <v>41677</v>
      </c>
      <c r="J1011" s="78">
        <v>868</v>
      </c>
      <c r="K1011" s="132" t="s">
        <v>20</v>
      </c>
      <c r="L1011" s="132" t="s">
        <v>283</v>
      </c>
      <c r="M1011" s="132" t="s">
        <v>267</v>
      </c>
      <c r="N1011" s="133">
        <v>41671</v>
      </c>
      <c r="O1011" s="134">
        <v>205</v>
      </c>
      <c r="P1011" s="132" t="s">
        <v>151</v>
      </c>
      <c r="Q1011" s="132" t="s">
        <v>277</v>
      </c>
      <c r="R1011" s="132" t="s">
        <v>267</v>
      </c>
      <c r="S1011" s="133">
        <v>41936</v>
      </c>
      <c r="T1011" s="134">
        <v>831.2</v>
      </c>
      <c r="U1011" s="132" t="s">
        <v>154</v>
      </c>
      <c r="V1011" s="132" t="s">
        <v>187</v>
      </c>
      <c r="W1011" s="132" t="s">
        <v>153</v>
      </c>
      <c r="X1011" s="133">
        <v>41660</v>
      </c>
      <c r="Y1011" s="134">
        <v>924</v>
      </c>
    </row>
    <row r="1012" spans="1:25" x14ac:dyDescent="0.25">
      <c r="A1012" s="92" t="s">
        <v>148</v>
      </c>
      <c r="B1012" s="12" t="s">
        <v>226</v>
      </c>
      <c r="C1012" s="12" t="s">
        <v>158</v>
      </c>
      <c r="D1012" s="80">
        <v>41761</v>
      </c>
      <c r="E1012" s="81">
        <v>750</v>
      </c>
      <c r="F1012" s="76" t="s">
        <v>150</v>
      </c>
      <c r="G1012" s="77" t="s">
        <v>161</v>
      </c>
      <c r="H1012" s="77" t="s">
        <v>153</v>
      </c>
      <c r="I1012" s="86">
        <v>41678</v>
      </c>
      <c r="J1012" s="78">
        <v>802</v>
      </c>
      <c r="K1012" s="132" t="s">
        <v>20</v>
      </c>
      <c r="L1012" s="132" t="s">
        <v>283</v>
      </c>
      <c r="M1012" s="132" t="s">
        <v>267</v>
      </c>
      <c r="N1012" s="133">
        <v>41673</v>
      </c>
      <c r="O1012" s="134">
        <v>734</v>
      </c>
      <c r="P1012" s="132" t="s">
        <v>151</v>
      </c>
      <c r="Q1012" s="132" t="s">
        <v>277</v>
      </c>
      <c r="R1012" s="132" t="s">
        <v>267</v>
      </c>
      <c r="S1012" s="133">
        <v>41954</v>
      </c>
      <c r="T1012" s="134">
        <v>410.1</v>
      </c>
      <c r="U1012" s="132" t="s">
        <v>154</v>
      </c>
      <c r="V1012" s="132" t="s">
        <v>187</v>
      </c>
      <c r="W1012" s="132" t="s">
        <v>153</v>
      </c>
      <c r="X1012" s="133">
        <v>41661</v>
      </c>
      <c r="Y1012" s="134">
        <v>1041</v>
      </c>
    </row>
    <row r="1013" spans="1:25" x14ac:dyDescent="0.25">
      <c r="A1013" s="92" t="s">
        <v>148</v>
      </c>
      <c r="B1013" s="12" t="s">
        <v>226</v>
      </c>
      <c r="C1013" s="12" t="s">
        <v>158</v>
      </c>
      <c r="D1013" s="80">
        <v>41763</v>
      </c>
      <c r="E1013" s="81">
        <v>725</v>
      </c>
      <c r="F1013" s="76" t="s">
        <v>150</v>
      </c>
      <c r="G1013" s="77" t="s">
        <v>161</v>
      </c>
      <c r="H1013" s="77" t="s">
        <v>153</v>
      </c>
      <c r="I1013" s="86">
        <v>41679</v>
      </c>
      <c r="J1013" s="78">
        <v>757</v>
      </c>
      <c r="K1013" s="132" t="s">
        <v>20</v>
      </c>
      <c r="L1013" s="132" t="s">
        <v>283</v>
      </c>
      <c r="M1013" s="132" t="s">
        <v>267</v>
      </c>
      <c r="N1013" s="133">
        <v>41690</v>
      </c>
      <c r="O1013" s="134">
        <v>381</v>
      </c>
      <c r="P1013" s="132" t="s">
        <v>151</v>
      </c>
      <c r="Q1013" s="132" t="s">
        <v>277</v>
      </c>
      <c r="R1013" s="132" t="s">
        <v>267</v>
      </c>
      <c r="S1013" s="133">
        <v>41955</v>
      </c>
      <c r="T1013" s="134">
        <v>647.9</v>
      </c>
      <c r="U1013" s="132" t="s">
        <v>154</v>
      </c>
      <c r="V1013" s="132" t="s">
        <v>187</v>
      </c>
      <c r="W1013" s="132" t="s">
        <v>153</v>
      </c>
      <c r="X1013" s="133">
        <v>41661</v>
      </c>
      <c r="Y1013" s="134">
        <v>455</v>
      </c>
    </row>
    <row r="1014" spans="1:25" x14ac:dyDescent="0.25">
      <c r="A1014" s="92" t="s">
        <v>148</v>
      </c>
      <c r="B1014" s="12" t="s">
        <v>226</v>
      </c>
      <c r="C1014" s="12" t="s">
        <v>158</v>
      </c>
      <c r="D1014" s="80">
        <v>41764</v>
      </c>
      <c r="E1014" s="81">
        <v>730</v>
      </c>
      <c r="F1014" s="76" t="s">
        <v>150</v>
      </c>
      <c r="G1014" s="77" t="s">
        <v>161</v>
      </c>
      <c r="H1014" s="77" t="s">
        <v>153</v>
      </c>
      <c r="I1014" s="86">
        <v>41681</v>
      </c>
      <c r="J1014" s="78">
        <v>784</v>
      </c>
      <c r="K1014" s="132" t="s">
        <v>20</v>
      </c>
      <c r="L1014" s="132" t="s">
        <v>283</v>
      </c>
      <c r="M1014" s="132" t="s">
        <v>267</v>
      </c>
      <c r="N1014" s="133">
        <v>41758</v>
      </c>
      <c r="O1014" s="134">
        <v>1517</v>
      </c>
      <c r="P1014" s="132" t="s">
        <v>151</v>
      </c>
      <c r="Q1014" s="132" t="s">
        <v>277</v>
      </c>
      <c r="R1014" s="132" t="s">
        <v>267</v>
      </c>
      <c r="S1014" s="133">
        <v>41957</v>
      </c>
      <c r="T1014" s="134">
        <v>487</v>
      </c>
      <c r="U1014" s="132" t="s">
        <v>154</v>
      </c>
      <c r="V1014" s="132" t="s">
        <v>187</v>
      </c>
      <c r="W1014" s="132" t="s">
        <v>153</v>
      </c>
      <c r="X1014" s="133">
        <v>41662</v>
      </c>
      <c r="Y1014" s="134">
        <v>1301</v>
      </c>
    </row>
    <row r="1015" spans="1:25" x14ac:dyDescent="0.25">
      <c r="A1015" s="92" t="s">
        <v>148</v>
      </c>
      <c r="B1015" s="12" t="s">
        <v>226</v>
      </c>
      <c r="C1015" s="12" t="s">
        <v>158</v>
      </c>
      <c r="D1015" s="80">
        <v>41765</v>
      </c>
      <c r="E1015" s="81">
        <v>720</v>
      </c>
      <c r="F1015" s="76" t="s">
        <v>150</v>
      </c>
      <c r="G1015" s="77" t="s">
        <v>161</v>
      </c>
      <c r="H1015" s="77" t="s">
        <v>153</v>
      </c>
      <c r="I1015" s="86">
        <v>41683</v>
      </c>
      <c r="J1015" s="78">
        <v>1296</v>
      </c>
      <c r="K1015" s="132" t="s">
        <v>20</v>
      </c>
      <c r="L1015" s="132" t="s">
        <v>283</v>
      </c>
      <c r="M1015" s="132" t="s">
        <v>267</v>
      </c>
      <c r="N1015" s="133">
        <v>41764</v>
      </c>
      <c r="O1015" s="134">
        <v>585</v>
      </c>
      <c r="P1015" s="132" t="s">
        <v>151</v>
      </c>
      <c r="Q1015" s="132" t="s">
        <v>277</v>
      </c>
      <c r="R1015" s="132" t="s">
        <v>267</v>
      </c>
      <c r="S1015" s="133">
        <v>41961</v>
      </c>
      <c r="T1015" s="134">
        <v>528.1</v>
      </c>
      <c r="U1015" s="132" t="s">
        <v>154</v>
      </c>
      <c r="V1015" s="132" t="s">
        <v>187</v>
      </c>
      <c r="W1015" s="132" t="s">
        <v>153</v>
      </c>
      <c r="X1015" s="133">
        <v>41663</v>
      </c>
      <c r="Y1015" s="134">
        <v>1380</v>
      </c>
    </row>
    <row r="1016" spans="1:25" x14ac:dyDescent="0.25">
      <c r="A1016" s="92" t="s">
        <v>148</v>
      </c>
      <c r="B1016" s="12" t="s">
        <v>226</v>
      </c>
      <c r="C1016" s="12" t="s">
        <v>158</v>
      </c>
      <c r="D1016" s="80">
        <v>41766</v>
      </c>
      <c r="E1016" s="81">
        <v>710</v>
      </c>
      <c r="F1016" s="76" t="s">
        <v>150</v>
      </c>
      <c r="G1016" s="77" t="s">
        <v>161</v>
      </c>
      <c r="H1016" s="77" t="s">
        <v>153</v>
      </c>
      <c r="I1016" s="86">
        <v>41687</v>
      </c>
      <c r="J1016" s="78">
        <v>571</v>
      </c>
      <c r="K1016" s="132" t="s">
        <v>20</v>
      </c>
      <c r="L1016" s="132" t="s">
        <v>283</v>
      </c>
      <c r="M1016" s="132" t="s">
        <v>267</v>
      </c>
      <c r="N1016" s="133">
        <v>41765</v>
      </c>
      <c r="O1016" s="134">
        <v>336</v>
      </c>
      <c r="P1016" s="132" t="s">
        <v>151</v>
      </c>
      <c r="Q1016" s="132" t="s">
        <v>278</v>
      </c>
      <c r="R1016" s="132" t="s">
        <v>267</v>
      </c>
      <c r="S1016" s="133">
        <v>41645</v>
      </c>
      <c r="T1016" s="134">
        <v>1026.8</v>
      </c>
      <c r="U1016" s="132" t="s">
        <v>154</v>
      </c>
      <c r="V1016" s="132" t="s">
        <v>187</v>
      </c>
      <c r="W1016" s="132" t="s">
        <v>153</v>
      </c>
      <c r="X1016" s="133">
        <v>41665</v>
      </c>
      <c r="Y1016" s="134">
        <v>852</v>
      </c>
    </row>
    <row r="1017" spans="1:25" x14ac:dyDescent="0.25">
      <c r="A1017" s="92" t="s">
        <v>148</v>
      </c>
      <c r="B1017" s="12" t="s">
        <v>226</v>
      </c>
      <c r="C1017" s="12" t="s">
        <v>158</v>
      </c>
      <c r="D1017" s="80">
        <v>41767</v>
      </c>
      <c r="E1017" s="81">
        <v>710</v>
      </c>
      <c r="F1017" s="76" t="s">
        <v>150</v>
      </c>
      <c r="G1017" s="77" t="s">
        <v>161</v>
      </c>
      <c r="H1017" s="77" t="s">
        <v>153</v>
      </c>
      <c r="I1017" s="86">
        <v>41689</v>
      </c>
      <c r="J1017" s="78">
        <v>1370</v>
      </c>
      <c r="K1017" s="132" t="s">
        <v>20</v>
      </c>
      <c r="L1017" s="132" t="s">
        <v>283</v>
      </c>
      <c r="M1017" s="132" t="s">
        <v>267</v>
      </c>
      <c r="N1017" s="133">
        <v>41811</v>
      </c>
      <c r="O1017" s="134">
        <v>926</v>
      </c>
      <c r="P1017" s="132" t="s">
        <v>151</v>
      </c>
      <c r="Q1017" s="132" t="s">
        <v>278</v>
      </c>
      <c r="R1017" s="132" t="s">
        <v>267</v>
      </c>
      <c r="S1017" s="133">
        <v>41646</v>
      </c>
      <c r="T1017" s="134">
        <v>617.5</v>
      </c>
      <c r="U1017" s="132" t="s">
        <v>154</v>
      </c>
      <c r="V1017" s="132" t="s">
        <v>187</v>
      </c>
      <c r="W1017" s="132" t="s">
        <v>153</v>
      </c>
      <c r="X1017" s="133">
        <v>41665</v>
      </c>
      <c r="Y1017" s="134">
        <v>405</v>
      </c>
    </row>
    <row r="1018" spans="1:25" x14ac:dyDescent="0.25">
      <c r="A1018" s="92" t="s">
        <v>148</v>
      </c>
      <c r="B1018" s="12" t="s">
        <v>226</v>
      </c>
      <c r="C1018" s="12" t="s">
        <v>158</v>
      </c>
      <c r="D1018" s="80">
        <v>41768</v>
      </c>
      <c r="E1018" s="81">
        <v>725</v>
      </c>
      <c r="F1018" s="76" t="s">
        <v>150</v>
      </c>
      <c r="G1018" s="77" t="s">
        <v>161</v>
      </c>
      <c r="H1018" s="77" t="s">
        <v>153</v>
      </c>
      <c r="I1018" s="86">
        <v>41690</v>
      </c>
      <c r="J1018" s="78">
        <v>706</v>
      </c>
      <c r="K1018" s="132" t="s">
        <v>20</v>
      </c>
      <c r="L1018" s="132" t="s">
        <v>283</v>
      </c>
      <c r="M1018" s="132" t="s">
        <v>267</v>
      </c>
      <c r="N1018" s="133">
        <v>41817</v>
      </c>
      <c r="O1018" s="134">
        <v>1244</v>
      </c>
      <c r="P1018" s="132" t="s">
        <v>151</v>
      </c>
      <c r="Q1018" s="132" t="s">
        <v>278</v>
      </c>
      <c r="R1018" s="132" t="s">
        <v>267</v>
      </c>
      <c r="S1018" s="133">
        <v>41677</v>
      </c>
      <c r="T1018" s="134">
        <v>558.4</v>
      </c>
      <c r="U1018" s="132" t="s">
        <v>154</v>
      </c>
      <c r="V1018" s="132" t="s">
        <v>187</v>
      </c>
      <c r="W1018" s="132" t="s">
        <v>153</v>
      </c>
      <c r="X1018" s="133">
        <v>41666</v>
      </c>
      <c r="Y1018" s="134">
        <v>1211</v>
      </c>
    </row>
    <row r="1019" spans="1:25" x14ac:dyDescent="0.25">
      <c r="A1019" s="92" t="s">
        <v>148</v>
      </c>
      <c r="B1019" s="12" t="s">
        <v>226</v>
      </c>
      <c r="C1019" s="12" t="s">
        <v>158</v>
      </c>
      <c r="D1019" s="80">
        <v>41769</v>
      </c>
      <c r="E1019" s="81">
        <v>518</v>
      </c>
      <c r="F1019" s="76" t="s">
        <v>150</v>
      </c>
      <c r="G1019" s="77" t="s">
        <v>161</v>
      </c>
      <c r="H1019" s="77" t="s">
        <v>153</v>
      </c>
      <c r="I1019" s="86">
        <v>41691</v>
      </c>
      <c r="J1019" s="78">
        <v>1221</v>
      </c>
      <c r="K1019" s="132" t="s">
        <v>20</v>
      </c>
      <c r="L1019" s="132" t="s">
        <v>283</v>
      </c>
      <c r="M1019" s="132" t="s">
        <v>267</v>
      </c>
      <c r="N1019" s="133">
        <v>41819</v>
      </c>
      <c r="O1019" s="134">
        <v>996</v>
      </c>
      <c r="P1019" s="132" t="s">
        <v>151</v>
      </c>
      <c r="Q1019" s="132" t="s">
        <v>278</v>
      </c>
      <c r="R1019" s="132" t="s">
        <v>267</v>
      </c>
      <c r="S1019" s="133">
        <v>41717</v>
      </c>
      <c r="T1019" s="134">
        <v>710.2</v>
      </c>
      <c r="U1019" s="132" t="s">
        <v>154</v>
      </c>
      <c r="V1019" s="132" t="s">
        <v>187</v>
      </c>
      <c r="W1019" s="132" t="s">
        <v>153</v>
      </c>
      <c r="X1019" s="133">
        <v>41667</v>
      </c>
      <c r="Y1019" s="134">
        <v>1400</v>
      </c>
    </row>
    <row r="1020" spans="1:25" x14ac:dyDescent="0.25">
      <c r="A1020" s="92" t="s">
        <v>148</v>
      </c>
      <c r="B1020" s="12" t="s">
        <v>226</v>
      </c>
      <c r="C1020" s="12" t="s">
        <v>158</v>
      </c>
      <c r="D1020" s="80">
        <v>41771</v>
      </c>
      <c r="E1020" s="81">
        <v>599</v>
      </c>
      <c r="F1020" s="76" t="s">
        <v>150</v>
      </c>
      <c r="G1020" s="77" t="s">
        <v>161</v>
      </c>
      <c r="H1020" s="77" t="s">
        <v>153</v>
      </c>
      <c r="I1020" s="86">
        <v>41694</v>
      </c>
      <c r="J1020" s="78">
        <v>724</v>
      </c>
      <c r="K1020" s="132" t="s">
        <v>20</v>
      </c>
      <c r="L1020" s="132" t="s">
        <v>283</v>
      </c>
      <c r="M1020" s="132" t="s">
        <v>267</v>
      </c>
      <c r="N1020" s="133">
        <v>41850</v>
      </c>
      <c r="O1020" s="134">
        <v>1498</v>
      </c>
      <c r="P1020" s="132" t="s">
        <v>151</v>
      </c>
      <c r="Q1020" s="132" t="s">
        <v>278</v>
      </c>
      <c r="R1020" s="132" t="s">
        <v>267</v>
      </c>
      <c r="S1020" s="133">
        <v>41718</v>
      </c>
      <c r="T1020" s="134">
        <v>211</v>
      </c>
      <c r="U1020" s="132" t="s">
        <v>154</v>
      </c>
      <c r="V1020" s="132" t="s">
        <v>187</v>
      </c>
      <c r="W1020" s="132" t="s">
        <v>153</v>
      </c>
      <c r="X1020" s="133">
        <v>41668</v>
      </c>
      <c r="Y1020" s="134">
        <v>1300</v>
      </c>
    </row>
    <row r="1021" spans="1:25" x14ac:dyDescent="0.25">
      <c r="A1021" s="92" t="s">
        <v>148</v>
      </c>
      <c r="B1021" s="12" t="s">
        <v>226</v>
      </c>
      <c r="C1021" s="12" t="s">
        <v>158</v>
      </c>
      <c r="D1021" s="80">
        <v>41771</v>
      </c>
      <c r="E1021" s="81">
        <v>625</v>
      </c>
      <c r="F1021" s="76" t="s">
        <v>150</v>
      </c>
      <c r="G1021" s="77" t="s">
        <v>161</v>
      </c>
      <c r="H1021" s="77" t="s">
        <v>153</v>
      </c>
      <c r="I1021" s="86">
        <v>41695</v>
      </c>
      <c r="J1021" s="78">
        <v>985</v>
      </c>
      <c r="K1021" s="132" t="s">
        <v>20</v>
      </c>
      <c r="L1021" s="132" t="s">
        <v>283</v>
      </c>
      <c r="M1021" s="132" t="s">
        <v>267</v>
      </c>
      <c r="N1021" s="133">
        <v>41891</v>
      </c>
      <c r="O1021" s="134">
        <v>383</v>
      </c>
      <c r="P1021" s="132" t="s">
        <v>151</v>
      </c>
      <c r="Q1021" s="132" t="s">
        <v>278</v>
      </c>
      <c r="R1021" s="132" t="s">
        <v>267</v>
      </c>
      <c r="S1021" s="133">
        <v>41719</v>
      </c>
      <c r="T1021" s="134">
        <v>791.5</v>
      </c>
      <c r="U1021" s="132" t="s">
        <v>154</v>
      </c>
      <c r="V1021" s="132" t="s">
        <v>187</v>
      </c>
      <c r="W1021" s="132" t="s">
        <v>153</v>
      </c>
      <c r="X1021" s="133">
        <v>41669</v>
      </c>
      <c r="Y1021" s="134">
        <v>1054</v>
      </c>
    </row>
    <row r="1022" spans="1:25" x14ac:dyDescent="0.25">
      <c r="A1022" s="92" t="s">
        <v>148</v>
      </c>
      <c r="B1022" s="12" t="s">
        <v>226</v>
      </c>
      <c r="C1022" s="12" t="s">
        <v>158</v>
      </c>
      <c r="D1022" s="80">
        <v>41772</v>
      </c>
      <c r="E1022" s="81">
        <v>1100</v>
      </c>
      <c r="F1022" s="76" t="s">
        <v>150</v>
      </c>
      <c r="G1022" s="77" t="s">
        <v>161</v>
      </c>
      <c r="H1022" s="77" t="s">
        <v>153</v>
      </c>
      <c r="I1022" s="86">
        <v>41697</v>
      </c>
      <c r="J1022" s="78">
        <v>1500</v>
      </c>
      <c r="K1022" s="132" t="s">
        <v>20</v>
      </c>
      <c r="L1022" s="132" t="s">
        <v>283</v>
      </c>
      <c r="M1022" s="132" t="s">
        <v>267</v>
      </c>
      <c r="N1022" s="133">
        <v>41895</v>
      </c>
      <c r="O1022" s="134">
        <v>442</v>
      </c>
      <c r="P1022" s="132" t="s">
        <v>151</v>
      </c>
      <c r="Q1022" s="132" t="s">
        <v>278</v>
      </c>
      <c r="R1022" s="132" t="s">
        <v>267</v>
      </c>
      <c r="S1022" s="133">
        <v>41722</v>
      </c>
      <c r="T1022" s="134">
        <v>851.7</v>
      </c>
      <c r="U1022" s="132" t="s">
        <v>154</v>
      </c>
      <c r="V1022" s="132" t="s">
        <v>187</v>
      </c>
      <c r="W1022" s="132" t="s">
        <v>153</v>
      </c>
      <c r="X1022" s="133">
        <v>41670</v>
      </c>
      <c r="Y1022" s="134">
        <v>638</v>
      </c>
    </row>
    <row r="1023" spans="1:25" x14ac:dyDescent="0.25">
      <c r="A1023" s="92" t="s">
        <v>148</v>
      </c>
      <c r="B1023" s="12" t="s">
        <v>226</v>
      </c>
      <c r="C1023" s="12" t="s">
        <v>158</v>
      </c>
      <c r="D1023" s="80">
        <v>41773</v>
      </c>
      <c r="E1023" s="81">
        <v>750</v>
      </c>
      <c r="F1023" s="76" t="s">
        <v>150</v>
      </c>
      <c r="G1023" s="77" t="s">
        <v>161</v>
      </c>
      <c r="H1023" s="77" t="s">
        <v>153</v>
      </c>
      <c r="I1023" s="86">
        <v>41701</v>
      </c>
      <c r="J1023" s="78">
        <v>872</v>
      </c>
      <c r="K1023" s="132" t="s">
        <v>20</v>
      </c>
      <c r="L1023" s="132" t="s">
        <v>283</v>
      </c>
      <c r="M1023" s="132" t="s">
        <v>267</v>
      </c>
      <c r="N1023" s="133">
        <v>41900</v>
      </c>
      <c r="O1023" s="134">
        <v>294</v>
      </c>
      <c r="P1023" s="132" t="s">
        <v>151</v>
      </c>
      <c r="Q1023" s="132" t="s">
        <v>278</v>
      </c>
      <c r="R1023" s="132" t="s">
        <v>267</v>
      </c>
      <c r="S1023" s="133">
        <v>41725</v>
      </c>
      <c r="T1023" s="134">
        <v>545.9</v>
      </c>
      <c r="U1023" s="132" t="s">
        <v>154</v>
      </c>
      <c r="V1023" s="132" t="s">
        <v>187</v>
      </c>
      <c r="W1023" s="132" t="s">
        <v>153</v>
      </c>
      <c r="X1023" s="133">
        <v>41670</v>
      </c>
      <c r="Y1023" s="134">
        <v>450</v>
      </c>
    </row>
    <row r="1024" spans="1:25" x14ac:dyDescent="0.25">
      <c r="A1024" s="92" t="s">
        <v>148</v>
      </c>
      <c r="B1024" s="12" t="s">
        <v>226</v>
      </c>
      <c r="C1024" s="12" t="s">
        <v>158</v>
      </c>
      <c r="D1024" s="80">
        <v>41774</v>
      </c>
      <c r="E1024" s="81">
        <v>730</v>
      </c>
      <c r="F1024" s="76" t="s">
        <v>150</v>
      </c>
      <c r="G1024" s="77" t="s">
        <v>161</v>
      </c>
      <c r="H1024" s="77" t="s">
        <v>153</v>
      </c>
      <c r="I1024" s="86">
        <v>41702</v>
      </c>
      <c r="J1024" s="78">
        <v>898</v>
      </c>
      <c r="K1024" s="132" t="s">
        <v>20</v>
      </c>
      <c r="L1024" s="132" t="s">
        <v>283</v>
      </c>
      <c r="M1024" s="132" t="s">
        <v>267</v>
      </c>
      <c r="N1024" s="133">
        <v>41920</v>
      </c>
      <c r="O1024" s="134">
        <v>466</v>
      </c>
      <c r="P1024" s="132" t="s">
        <v>151</v>
      </c>
      <c r="Q1024" s="132" t="s">
        <v>278</v>
      </c>
      <c r="R1024" s="132" t="s">
        <v>267</v>
      </c>
      <c r="S1024" s="133">
        <v>41726</v>
      </c>
      <c r="T1024" s="134">
        <v>726.4</v>
      </c>
      <c r="U1024" s="132" t="s">
        <v>154</v>
      </c>
      <c r="V1024" s="132" t="s">
        <v>187</v>
      </c>
      <c r="W1024" s="132" t="s">
        <v>153</v>
      </c>
      <c r="X1024" s="133">
        <v>41672</v>
      </c>
      <c r="Y1024" s="134">
        <v>671</v>
      </c>
    </row>
    <row r="1025" spans="1:25" x14ac:dyDescent="0.25">
      <c r="A1025" s="92" t="s">
        <v>148</v>
      </c>
      <c r="B1025" s="12" t="s">
        <v>226</v>
      </c>
      <c r="C1025" s="12" t="s">
        <v>158</v>
      </c>
      <c r="D1025" s="80">
        <v>41775</v>
      </c>
      <c r="E1025" s="81">
        <v>750</v>
      </c>
      <c r="F1025" s="76" t="s">
        <v>150</v>
      </c>
      <c r="G1025" s="77" t="s">
        <v>161</v>
      </c>
      <c r="H1025" s="77" t="s">
        <v>153</v>
      </c>
      <c r="I1025" s="86">
        <v>41715</v>
      </c>
      <c r="J1025" s="78">
        <v>999</v>
      </c>
      <c r="K1025" s="132" t="s">
        <v>20</v>
      </c>
      <c r="L1025" s="132" t="s">
        <v>283</v>
      </c>
      <c r="M1025" s="132" t="s">
        <v>267</v>
      </c>
      <c r="N1025" s="133">
        <v>41962</v>
      </c>
      <c r="O1025" s="134">
        <v>408</v>
      </c>
      <c r="P1025" s="132" t="s">
        <v>151</v>
      </c>
      <c r="Q1025" s="132" t="s">
        <v>278</v>
      </c>
      <c r="R1025" s="132" t="s">
        <v>267</v>
      </c>
      <c r="S1025" s="133">
        <v>41729</v>
      </c>
      <c r="T1025" s="134">
        <v>1073.4000000000001</v>
      </c>
      <c r="U1025" s="132" t="s">
        <v>154</v>
      </c>
      <c r="V1025" s="132" t="s">
        <v>187</v>
      </c>
      <c r="W1025" s="132" t="s">
        <v>153</v>
      </c>
      <c r="X1025" s="133">
        <v>41673</v>
      </c>
      <c r="Y1025" s="134">
        <v>970</v>
      </c>
    </row>
    <row r="1026" spans="1:25" x14ac:dyDescent="0.25">
      <c r="A1026" s="92" t="s">
        <v>148</v>
      </c>
      <c r="B1026" s="12" t="s">
        <v>226</v>
      </c>
      <c r="C1026" s="12" t="s">
        <v>158</v>
      </c>
      <c r="D1026" s="80">
        <v>41776</v>
      </c>
      <c r="E1026" s="81">
        <v>700</v>
      </c>
      <c r="F1026" s="76" t="s">
        <v>150</v>
      </c>
      <c r="G1026" s="77" t="s">
        <v>161</v>
      </c>
      <c r="H1026" s="77" t="s">
        <v>153</v>
      </c>
      <c r="I1026" s="86">
        <v>41716</v>
      </c>
      <c r="J1026" s="78">
        <v>1039</v>
      </c>
      <c r="K1026" s="132" t="s">
        <v>20</v>
      </c>
      <c r="L1026" s="132" t="s">
        <v>283</v>
      </c>
      <c r="M1026" s="132" t="s">
        <v>267</v>
      </c>
      <c r="N1026" s="133">
        <v>41978</v>
      </c>
      <c r="O1026" s="134">
        <v>243</v>
      </c>
      <c r="P1026" s="132" t="s">
        <v>151</v>
      </c>
      <c r="Q1026" s="132" t="s">
        <v>278</v>
      </c>
      <c r="R1026" s="132" t="s">
        <v>267</v>
      </c>
      <c r="S1026" s="133">
        <v>41730</v>
      </c>
      <c r="T1026" s="134">
        <v>797.5</v>
      </c>
      <c r="U1026" s="132" t="s">
        <v>154</v>
      </c>
      <c r="V1026" s="132" t="s">
        <v>187</v>
      </c>
      <c r="W1026" s="132" t="s">
        <v>153</v>
      </c>
      <c r="X1026" s="133">
        <v>41674</v>
      </c>
      <c r="Y1026" s="134">
        <v>1061</v>
      </c>
    </row>
    <row r="1027" spans="1:25" x14ac:dyDescent="0.25">
      <c r="A1027" s="92" t="s">
        <v>148</v>
      </c>
      <c r="B1027" s="12" t="s">
        <v>226</v>
      </c>
      <c r="C1027" s="12" t="s">
        <v>158</v>
      </c>
      <c r="D1027" s="80">
        <v>41777</v>
      </c>
      <c r="E1027" s="81">
        <v>700</v>
      </c>
      <c r="F1027" s="76" t="s">
        <v>150</v>
      </c>
      <c r="G1027" s="77" t="s">
        <v>161</v>
      </c>
      <c r="H1027" s="77" t="s">
        <v>153</v>
      </c>
      <c r="I1027" s="86">
        <v>41718</v>
      </c>
      <c r="J1027" s="78">
        <v>1170</v>
      </c>
      <c r="K1027" s="132" t="s">
        <v>20</v>
      </c>
      <c r="L1027" s="132" t="s">
        <v>283</v>
      </c>
      <c r="M1027" s="132" t="s">
        <v>267</v>
      </c>
      <c r="N1027" s="133">
        <v>42002</v>
      </c>
      <c r="O1027" s="134">
        <v>290</v>
      </c>
      <c r="P1027" s="132" t="s">
        <v>151</v>
      </c>
      <c r="Q1027" s="132" t="s">
        <v>278</v>
      </c>
      <c r="R1027" s="132" t="s">
        <v>267</v>
      </c>
      <c r="S1027" s="133">
        <v>41731</v>
      </c>
      <c r="T1027" s="134">
        <v>804.3</v>
      </c>
      <c r="U1027" s="132" t="s">
        <v>154</v>
      </c>
      <c r="V1027" s="132" t="s">
        <v>187</v>
      </c>
      <c r="W1027" s="132" t="s">
        <v>153</v>
      </c>
      <c r="X1027" s="133">
        <v>41675</v>
      </c>
      <c r="Y1027" s="134">
        <v>895</v>
      </c>
    </row>
    <row r="1028" spans="1:25" x14ac:dyDescent="0.25">
      <c r="A1028" s="92" t="s">
        <v>148</v>
      </c>
      <c r="B1028" s="12" t="s">
        <v>226</v>
      </c>
      <c r="C1028" s="12" t="s">
        <v>158</v>
      </c>
      <c r="D1028" s="80">
        <v>41778</v>
      </c>
      <c r="E1028" s="81">
        <v>675</v>
      </c>
      <c r="F1028" s="76" t="s">
        <v>150</v>
      </c>
      <c r="G1028" s="77" t="s">
        <v>161</v>
      </c>
      <c r="H1028" s="77" t="s">
        <v>153</v>
      </c>
      <c r="I1028" s="86">
        <v>41718</v>
      </c>
      <c r="J1028" s="78">
        <v>984</v>
      </c>
      <c r="K1028" s="132" t="s">
        <v>20</v>
      </c>
      <c r="L1028" s="132" t="s">
        <v>284</v>
      </c>
      <c r="M1028" s="132" t="s">
        <v>267</v>
      </c>
      <c r="N1028" s="133">
        <v>41684</v>
      </c>
      <c r="O1028" s="134">
        <v>567</v>
      </c>
      <c r="P1028" s="132" t="s">
        <v>151</v>
      </c>
      <c r="Q1028" s="132" t="s">
        <v>278</v>
      </c>
      <c r="R1028" s="132" t="s">
        <v>267</v>
      </c>
      <c r="S1028" s="133">
        <v>41739</v>
      </c>
      <c r="T1028" s="134">
        <v>131.30000000000001</v>
      </c>
      <c r="U1028" s="132" t="s">
        <v>154</v>
      </c>
      <c r="V1028" s="132" t="s">
        <v>187</v>
      </c>
      <c r="W1028" s="132" t="s">
        <v>153</v>
      </c>
      <c r="X1028" s="133">
        <v>41676</v>
      </c>
      <c r="Y1028" s="134">
        <v>1030</v>
      </c>
    </row>
    <row r="1029" spans="1:25" x14ac:dyDescent="0.25">
      <c r="A1029" s="92" t="s">
        <v>148</v>
      </c>
      <c r="B1029" s="12" t="s">
        <v>226</v>
      </c>
      <c r="C1029" s="12" t="s">
        <v>158</v>
      </c>
      <c r="D1029" s="80">
        <v>41779</v>
      </c>
      <c r="E1029" s="81">
        <v>730</v>
      </c>
      <c r="F1029" s="76" t="s">
        <v>150</v>
      </c>
      <c r="G1029" s="77" t="s">
        <v>161</v>
      </c>
      <c r="H1029" s="77" t="s">
        <v>153</v>
      </c>
      <c r="I1029" s="86">
        <v>41722</v>
      </c>
      <c r="J1029" s="78">
        <v>1304</v>
      </c>
      <c r="K1029" s="132" t="s">
        <v>20</v>
      </c>
      <c r="L1029" s="132" t="s">
        <v>284</v>
      </c>
      <c r="M1029" s="132" t="s">
        <v>267</v>
      </c>
      <c r="N1029" s="133">
        <v>41699</v>
      </c>
      <c r="O1029" s="134">
        <v>341</v>
      </c>
      <c r="P1029" s="132" t="s">
        <v>151</v>
      </c>
      <c r="Q1029" s="132" t="s">
        <v>278</v>
      </c>
      <c r="R1029" s="132" t="s">
        <v>267</v>
      </c>
      <c r="S1029" s="133">
        <v>41740</v>
      </c>
      <c r="T1029" s="134">
        <v>645.4</v>
      </c>
      <c r="U1029" s="132" t="s">
        <v>154</v>
      </c>
      <c r="V1029" s="132" t="s">
        <v>187</v>
      </c>
      <c r="W1029" s="132" t="s">
        <v>153</v>
      </c>
      <c r="X1029" s="133">
        <v>41677</v>
      </c>
      <c r="Y1029" s="134">
        <v>1010</v>
      </c>
    </row>
    <row r="1030" spans="1:25" x14ac:dyDescent="0.25">
      <c r="A1030" s="92" t="s">
        <v>148</v>
      </c>
      <c r="B1030" s="12" t="s">
        <v>226</v>
      </c>
      <c r="C1030" s="12" t="s">
        <v>158</v>
      </c>
      <c r="D1030" s="80">
        <v>41780</v>
      </c>
      <c r="E1030" s="81">
        <v>740</v>
      </c>
      <c r="F1030" s="76" t="s">
        <v>150</v>
      </c>
      <c r="G1030" s="77" t="s">
        <v>161</v>
      </c>
      <c r="H1030" s="77" t="s">
        <v>153</v>
      </c>
      <c r="I1030" s="86">
        <v>41724</v>
      </c>
      <c r="J1030" s="78">
        <v>868</v>
      </c>
      <c r="K1030" s="132" t="s">
        <v>20</v>
      </c>
      <c r="L1030" s="132" t="s">
        <v>284</v>
      </c>
      <c r="M1030" s="132" t="s">
        <v>267</v>
      </c>
      <c r="N1030" s="133">
        <v>41708</v>
      </c>
      <c r="O1030" s="134">
        <v>513</v>
      </c>
      <c r="P1030" s="132" t="s">
        <v>151</v>
      </c>
      <c r="Q1030" s="132" t="s">
        <v>278</v>
      </c>
      <c r="R1030" s="132" t="s">
        <v>267</v>
      </c>
      <c r="S1030" s="133">
        <v>41743</v>
      </c>
      <c r="T1030" s="134">
        <v>860.5</v>
      </c>
      <c r="U1030" s="132" t="s">
        <v>154</v>
      </c>
      <c r="V1030" s="132" t="s">
        <v>187</v>
      </c>
      <c r="W1030" s="132" t="s">
        <v>153</v>
      </c>
      <c r="X1030" s="133">
        <v>41678</v>
      </c>
      <c r="Y1030" s="134">
        <v>485</v>
      </c>
    </row>
    <row r="1031" spans="1:25" x14ac:dyDescent="0.25">
      <c r="A1031" s="92" t="s">
        <v>148</v>
      </c>
      <c r="B1031" s="12" t="s">
        <v>226</v>
      </c>
      <c r="C1031" s="12" t="s">
        <v>158</v>
      </c>
      <c r="D1031" s="80">
        <v>41781</v>
      </c>
      <c r="E1031" s="81">
        <v>830</v>
      </c>
      <c r="F1031" s="76" t="s">
        <v>150</v>
      </c>
      <c r="G1031" s="77" t="s">
        <v>161</v>
      </c>
      <c r="H1031" s="77" t="s">
        <v>153</v>
      </c>
      <c r="I1031" s="86">
        <v>41726</v>
      </c>
      <c r="J1031" s="78">
        <v>1118</v>
      </c>
      <c r="K1031" s="132" t="s">
        <v>20</v>
      </c>
      <c r="L1031" s="132" t="s">
        <v>284</v>
      </c>
      <c r="M1031" s="132" t="s">
        <v>267</v>
      </c>
      <c r="N1031" s="133">
        <v>41718</v>
      </c>
      <c r="O1031" s="134">
        <v>290</v>
      </c>
      <c r="P1031" s="132" t="s">
        <v>151</v>
      </c>
      <c r="Q1031" s="132" t="s">
        <v>278</v>
      </c>
      <c r="R1031" s="132" t="s">
        <v>267</v>
      </c>
      <c r="S1031" s="133">
        <v>41744</v>
      </c>
      <c r="T1031" s="134">
        <v>925.2</v>
      </c>
      <c r="U1031" s="132" t="s">
        <v>154</v>
      </c>
      <c r="V1031" s="132" t="s">
        <v>187</v>
      </c>
      <c r="W1031" s="132" t="s">
        <v>153</v>
      </c>
      <c r="X1031" s="133">
        <v>41678</v>
      </c>
      <c r="Y1031" s="134">
        <v>420</v>
      </c>
    </row>
    <row r="1032" spans="1:25" x14ac:dyDescent="0.25">
      <c r="A1032" s="92" t="s">
        <v>148</v>
      </c>
      <c r="B1032" s="12" t="s">
        <v>226</v>
      </c>
      <c r="C1032" s="12" t="s">
        <v>158</v>
      </c>
      <c r="D1032" s="80">
        <v>41782</v>
      </c>
      <c r="E1032" s="81">
        <v>730</v>
      </c>
      <c r="F1032" s="76" t="s">
        <v>150</v>
      </c>
      <c r="G1032" s="77" t="s">
        <v>161</v>
      </c>
      <c r="H1032" s="77" t="s">
        <v>153</v>
      </c>
      <c r="I1032" s="86">
        <v>41736</v>
      </c>
      <c r="J1032" s="78">
        <v>749</v>
      </c>
      <c r="K1032" s="132" t="s">
        <v>20</v>
      </c>
      <c r="L1032" s="132" t="s">
        <v>284</v>
      </c>
      <c r="M1032" s="132" t="s">
        <v>267</v>
      </c>
      <c r="N1032" s="133">
        <v>41806</v>
      </c>
      <c r="O1032" s="134">
        <v>308</v>
      </c>
      <c r="P1032" s="132" t="s">
        <v>151</v>
      </c>
      <c r="Q1032" s="132" t="s">
        <v>278</v>
      </c>
      <c r="R1032" s="132" t="s">
        <v>267</v>
      </c>
      <c r="S1032" s="133">
        <v>41745</v>
      </c>
      <c r="T1032" s="134">
        <v>894.2</v>
      </c>
      <c r="U1032" s="132" t="s">
        <v>154</v>
      </c>
      <c r="V1032" s="132" t="s">
        <v>187</v>
      </c>
      <c r="W1032" s="132" t="s">
        <v>153</v>
      </c>
      <c r="X1032" s="133">
        <v>41679</v>
      </c>
      <c r="Y1032" s="134">
        <v>495</v>
      </c>
    </row>
    <row r="1033" spans="1:25" x14ac:dyDescent="0.25">
      <c r="A1033" s="92" t="s">
        <v>148</v>
      </c>
      <c r="B1033" s="12" t="s">
        <v>226</v>
      </c>
      <c r="C1033" s="12" t="s">
        <v>158</v>
      </c>
      <c r="D1033" s="80">
        <v>41783</v>
      </c>
      <c r="E1033" s="81">
        <v>735</v>
      </c>
      <c r="F1033" s="76" t="s">
        <v>150</v>
      </c>
      <c r="G1033" s="77" t="s">
        <v>161</v>
      </c>
      <c r="H1033" s="77" t="s">
        <v>153</v>
      </c>
      <c r="I1033" s="86">
        <v>41744</v>
      </c>
      <c r="J1033" s="78">
        <v>651</v>
      </c>
      <c r="K1033" s="132" t="s">
        <v>20</v>
      </c>
      <c r="L1033" s="132" t="s">
        <v>284</v>
      </c>
      <c r="M1033" s="132" t="s">
        <v>267</v>
      </c>
      <c r="N1033" s="133">
        <v>41807</v>
      </c>
      <c r="O1033" s="134">
        <v>646</v>
      </c>
      <c r="P1033" s="132" t="s">
        <v>151</v>
      </c>
      <c r="Q1033" s="132" t="s">
        <v>278</v>
      </c>
      <c r="R1033" s="132" t="s">
        <v>267</v>
      </c>
      <c r="S1033" s="133">
        <v>41750</v>
      </c>
      <c r="T1033" s="134">
        <v>168</v>
      </c>
      <c r="U1033" s="132" t="s">
        <v>154</v>
      </c>
      <c r="V1033" s="132" t="s">
        <v>187</v>
      </c>
      <c r="W1033" s="132" t="s">
        <v>153</v>
      </c>
      <c r="X1033" s="133">
        <v>41680</v>
      </c>
      <c r="Y1033" s="134">
        <v>436</v>
      </c>
    </row>
    <row r="1034" spans="1:25" x14ac:dyDescent="0.25">
      <c r="A1034" s="92" t="s">
        <v>148</v>
      </c>
      <c r="B1034" s="12" t="s">
        <v>226</v>
      </c>
      <c r="C1034" s="12" t="s">
        <v>158</v>
      </c>
      <c r="D1034" s="80">
        <v>41784</v>
      </c>
      <c r="E1034" s="81">
        <v>710</v>
      </c>
      <c r="F1034" s="76" t="s">
        <v>150</v>
      </c>
      <c r="G1034" s="77" t="s">
        <v>161</v>
      </c>
      <c r="H1034" s="77" t="s">
        <v>153</v>
      </c>
      <c r="I1034" s="86">
        <v>41745</v>
      </c>
      <c r="J1034" s="78">
        <v>1082</v>
      </c>
      <c r="K1034" s="132" t="s">
        <v>20</v>
      </c>
      <c r="L1034" s="132" t="s">
        <v>284</v>
      </c>
      <c r="M1034" s="132" t="s">
        <v>267</v>
      </c>
      <c r="N1034" s="133">
        <v>41808</v>
      </c>
      <c r="O1034" s="134">
        <v>628</v>
      </c>
      <c r="P1034" s="132" t="s">
        <v>151</v>
      </c>
      <c r="Q1034" s="132" t="s">
        <v>278</v>
      </c>
      <c r="R1034" s="132" t="s">
        <v>267</v>
      </c>
      <c r="S1034" s="133">
        <v>41751</v>
      </c>
      <c r="T1034" s="134">
        <v>743.1</v>
      </c>
      <c r="U1034" s="132" t="s">
        <v>154</v>
      </c>
      <c r="V1034" s="132" t="s">
        <v>187</v>
      </c>
      <c r="W1034" s="132" t="s">
        <v>153</v>
      </c>
      <c r="X1034" s="133">
        <v>41680</v>
      </c>
      <c r="Y1034" s="134">
        <v>448</v>
      </c>
    </row>
    <row r="1035" spans="1:25" x14ac:dyDescent="0.25">
      <c r="A1035" s="92" t="s">
        <v>148</v>
      </c>
      <c r="B1035" s="12" t="s">
        <v>226</v>
      </c>
      <c r="C1035" s="12" t="s">
        <v>158</v>
      </c>
      <c r="D1035" s="80">
        <v>41785</v>
      </c>
      <c r="E1035" s="81">
        <v>770</v>
      </c>
      <c r="F1035" s="76" t="s">
        <v>150</v>
      </c>
      <c r="G1035" s="77" t="s">
        <v>161</v>
      </c>
      <c r="H1035" s="77" t="s">
        <v>153</v>
      </c>
      <c r="I1035" s="86">
        <v>41745</v>
      </c>
      <c r="J1035" s="78">
        <v>683</v>
      </c>
      <c r="K1035" s="132" t="s">
        <v>20</v>
      </c>
      <c r="L1035" s="132" t="s">
        <v>284</v>
      </c>
      <c r="M1035" s="132" t="s">
        <v>267</v>
      </c>
      <c r="N1035" s="133">
        <v>41809</v>
      </c>
      <c r="O1035" s="134">
        <v>640</v>
      </c>
      <c r="P1035" s="132" t="s">
        <v>151</v>
      </c>
      <c r="Q1035" s="132" t="s">
        <v>278</v>
      </c>
      <c r="R1035" s="132" t="s">
        <v>267</v>
      </c>
      <c r="S1035" s="133">
        <v>41752</v>
      </c>
      <c r="T1035" s="134">
        <v>882.2</v>
      </c>
      <c r="U1035" s="132" t="s">
        <v>154</v>
      </c>
      <c r="V1035" s="132" t="s">
        <v>187</v>
      </c>
      <c r="W1035" s="132" t="s">
        <v>153</v>
      </c>
      <c r="X1035" s="133">
        <v>41681</v>
      </c>
      <c r="Y1035" s="134">
        <v>775</v>
      </c>
    </row>
    <row r="1036" spans="1:25" x14ac:dyDescent="0.25">
      <c r="A1036" s="92" t="s">
        <v>148</v>
      </c>
      <c r="B1036" s="12" t="s">
        <v>226</v>
      </c>
      <c r="C1036" s="12" t="s">
        <v>158</v>
      </c>
      <c r="D1036" s="80">
        <v>41786</v>
      </c>
      <c r="E1036" s="81">
        <v>800</v>
      </c>
      <c r="F1036" s="76" t="s">
        <v>150</v>
      </c>
      <c r="G1036" s="77" t="s">
        <v>161</v>
      </c>
      <c r="H1036" s="77" t="s">
        <v>153</v>
      </c>
      <c r="I1036" s="86">
        <v>41747</v>
      </c>
      <c r="J1036" s="78">
        <v>1220</v>
      </c>
      <c r="K1036" s="132" t="s">
        <v>20</v>
      </c>
      <c r="L1036" s="132" t="s">
        <v>284</v>
      </c>
      <c r="M1036" s="132" t="s">
        <v>267</v>
      </c>
      <c r="N1036" s="133">
        <v>41814</v>
      </c>
      <c r="O1036" s="134">
        <v>235</v>
      </c>
      <c r="P1036" s="132" t="s">
        <v>151</v>
      </c>
      <c r="Q1036" s="132" t="s">
        <v>278</v>
      </c>
      <c r="R1036" s="132" t="s">
        <v>267</v>
      </c>
      <c r="S1036" s="133">
        <v>41757</v>
      </c>
      <c r="T1036" s="134">
        <v>100.1</v>
      </c>
      <c r="U1036" s="132" t="s">
        <v>154</v>
      </c>
      <c r="V1036" s="132" t="s">
        <v>187</v>
      </c>
      <c r="W1036" s="132" t="s">
        <v>153</v>
      </c>
      <c r="X1036" s="133">
        <v>41681</v>
      </c>
      <c r="Y1036" s="134">
        <v>380</v>
      </c>
    </row>
    <row r="1037" spans="1:25" x14ac:dyDescent="0.25">
      <c r="A1037" s="92" t="s">
        <v>148</v>
      </c>
      <c r="B1037" s="12" t="s">
        <v>226</v>
      </c>
      <c r="C1037" s="12" t="s">
        <v>158</v>
      </c>
      <c r="D1037" s="80">
        <v>41787</v>
      </c>
      <c r="E1037" s="81">
        <v>775</v>
      </c>
      <c r="F1037" s="76" t="s">
        <v>150</v>
      </c>
      <c r="G1037" s="77" t="s">
        <v>161</v>
      </c>
      <c r="H1037" s="77" t="s">
        <v>153</v>
      </c>
      <c r="I1037" s="86">
        <v>41751</v>
      </c>
      <c r="J1037" s="78">
        <v>928</v>
      </c>
      <c r="K1037" s="132" t="s">
        <v>20</v>
      </c>
      <c r="L1037" s="132" t="s">
        <v>284</v>
      </c>
      <c r="M1037" s="132" t="s">
        <v>267</v>
      </c>
      <c r="N1037" s="133">
        <v>41817</v>
      </c>
      <c r="O1037" s="134">
        <v>230</v>
      </c>
      <c r="P1037" s="132" t="s">
        <v>151</v>
      </c>
      <c r="Q1037" s="132" t="s">
        <v>278</v>
      </c>
      <c r="R1037" s="132" t="s">
        <v>267</v>
      </c>
      <c r="S1037" s="133">
        <v>41758</v>
      </c>
      <c r="T1037" s="134">
        <v>562.70000000000005</v>
      </c>
      <c r="U1037" s="132" t="s">
        <v>154</v>
      </c>
      <c r="V1037" s="132" t="s">
        <v>187</v>
      </c>
      <c r="W1037" s="132" t="s">
        <v>153</v>
      </c>
      <c r="X1037" s="133">
        <v>41682</v>
      </c>
      <c r="Y1037" s="134">
        <v>1245</v>
      </c>
    </row>
    <row r="1038" spans="1:25" x14ac:dyDescent="0.25">
      <c r="A1038" s="92" t="s">
        <v>148</v>
      </c>
      <c r="B1038" s="12" t="s">
        <v>226</v>
      </c>
      <c r="C1038" s="12" t="s">
        <v>158</v>
      </c>
      <c r="D1038" s="80">
        <v>41788</v>
      </c>
      <c r="E1038" s="81">
        <v>680</v>
      </c>
      <c r="F1038" s="76" t="s">
        <v>150</v>
      </c>
      <c r="G1038" s="77" t="s">
        <v>161</v>
      </c>
      <c r="H1038" s="77" t="s">
        <v>153</v>
      </c>
      <c r="I1038" s="86">
        <v>41753</v>
      </c>
      <c r="J1038" s="78">
        <v>1135</v>
      </c>
      <c r="K1038" s="132" t="s">
        <v>20</v>
      </c>
      <c r="L1038" s="132" t="s">
        <v>284</v>
      </c>
      <c r="M1038" s="132" t="s">
        <v>267</v>
      </c>
      <c r="N1038" s="133">
        <v>41820</v>
      </c>
      <c r="O1038" s="134">
        <v>509</v>
      </c>
      <c r="P1038" s="132" t="s">
        <v>151</v>
      </c>
      <c r="Q1038" s="132" t="s">
        <v>278</v>
      </c>
      <c r="R1038" s="132" t="s">
        <v>267</v>
      </c>
      <c r="S1038" s="133">
        <v>41762</v>
      </c>
      <c r="T1038" s="134">
        <v>568.9</v>
      </c>
      <c r="U1038" s="132" t="s">
        <v>154</v>
      </c>
      <c r="V1038" s="132" t="s">
        <v>187</v>
      </c>
      <c r="W1038" s="132" t="s">
        <v>153</v>
      </c>
      <c r="X1038" s="133">
        <v>41683</v>
      </c>
      <c r="Y1038" s="134">
        <v>792</v>
      </c>
    </row>
    <row r="1039" spans="1:25" x14ac:dyDescent="0.25">
      <c r="A1039" s="92" t="s">
        <v>148</v>
      </c>
      <c r="B1039" s="12" t="s">
        <v>226</v>
      </c>
      <c r="C1039" s="12" t="s">
        <v>158</v>
      </c>
      <c r="D1039" s="80">
        <v>41789</v>
      </c>
      <c r="E1039" s="81">
        <v>730</v>
      </c>
      <c r="F1039" s="76" t="s">
        <v>150</v>
      </c>
      <c r="G1039" s="77" t="s">
        <v>161</v>
      </c>
      <c r="H1039" s="77" t="s">
        <v>153</v>
      </c>
      <c r="I1039" s="86">
        <v>41753</v>
      </c>
      <c r="J1039" s="78">
        <v>1010</v>
      </c>
      <c r="K1039" s="132" t="s">
        <v>20</v>
      </c>
      <c r="L1039" s="132" t="s">
        <v>284</v>
      </c>
      <c r="M1039" s="132" t="s">
        <v>267</v>
      </c>
      <c r="N1039" s="133">
        <v>41822</v>
      </c>
      <c r="O1039" s="134">
        <v>275</v>
      </c>
      <c r="P1039" s="132" t="s">
        <v>151</v>
      </c>
      <c r="Q1039" s="132" t="s">
        <v>278</v>
      </c>
      <c r="R1039" s="132" t="s">
        <v>267</v>
      </c>
      <c r="S1039" s="133">
        <v>41763</v>
      </c>
      <c r="T1039" s="134">
        <v>622.9</v>
      </c>
      <c r="U1039" s="132" t="s">
        <v>154</v>
      </c>
      <c r="V1039" s="132" t="s">
        <v>187</v>
      </c>
      <c r="W1039" s="132" t="s">
        <v>153</v>
      </c>
      <c r="X1039" s="133">
        <v>41684</v>
      </c>
      <c r="Y1039" s="134">
        <v>1000</v>
      </c>
    </row>
    <row r="1040" spans="1:25" x14ac:dyDescent="0.25">
      <c r="A1040" s="92" t="s">
        <v>148</v>
      </c>
      <c r="B1040" s="12" t="s">
        <v>226</v>
      </c>
      <c r="C1040" s="12" t="s">
        <v>158</v>
      </c>
      <c r="D1040" s="80">
        <v>41790</v>
      </c>
      <c r="E1040" s="81">
        <v>775</v>
      </c>
      <c r="F1040" s="76" t="s">
        <v>150</v>
      </c>
      <c r="G1040" s="77" t="s">
        <v>161</v>
      </c>
      <c r="H1040" s="77" t="s">
        <v>153</v>
      </c>
      <c r="I1040" s="86">
        <v>41754</v>
      </c>
      <c r="J1040" s="78">
        <v>1023</v>
      </c>
      <c r="K1040" s="132" t="s">
        <v>20</v>
      </c>
      <c r="L1040" s="132" t="s">
        <v>284</v>
      </c>
      <c r="M1040" s="132" t="s">
        <v>267</v>
      </c>
      <c r="N1040" s="133">
        <v>41862</v>
      </c>
      <c r="O1040" s="134">
        <v>187</v>
      </c>
      <c r="P1040" s="132" t="s">
        <v>151</v>
      </c>
      <c r="Q1040" s="132" t="s">
        <v>278</v>
      </c>
      <c r="R1040" s="132" t="s">
        <v>267</v>
      </c>
      <c r="S1040" s="133">
        <v>41772</v>
      </c>
      <c r="T1040" s="134">
        <v>794.8</v>
      </c>
      <c r="U1040" s="132" t="s">
        <v>154</v>
      </c>
      <c r="V1040" s="132" t="s">
        <v>187</v>
      </c>
      <c r="W1040" s="132" t="s">
        <v>153</v>
      </c>
      <c r="X1040" s="133">
        <v>41687</v>
      </c>
      <c r="Y1040" s="134">
        <v>480</v>
      </c>
    </row>
    <row r="1041" spans="1:25" x14ac:dyDescent="0.25">
      <c r="A1041" s="92" t="s">
        <v>148</v>
      </c>
      <c r="B1041" s="12" t="s">
        <v>226</v>
      </c>
      <c r="C1041" s="12" t="s">
        <v>158</v>
      </c>
      <c r="D1041" s="80">
        <v>41791</v>
      </c>
      <c r="E1041" s="81">
        <v>701</v>
      </c>
      <c r="F1041" s="76" t="s">
        <v>150</v>
      </c>
      <c r="G1041" s="77" t="s">
        <v>161</v>
      </c>
      <c r="H1041" s="77" t="s">
        <v>153</v>
      </c>
      <c r="I1041" s="86">
        <v>41756</v>
      </c>
      <c r="J1041" s="78">
        <v>1090</v>
      </c>
      <c r="K1041" s="132" t="s">
        <v>20</v>
      </c>
      <c r="L1041" s="132" t="s">
        <v>284</v>
      </c>
      <c r="M1041" s="132" t="s">
        <v>267</v>
      </c>
      <c r="N1041" s="133">
        <v>41887</v>
      </c>
      <c r="O1041" s="134">
        <v>513</v>
      </c>
      <c r="P1041" s="132" t="s">
        <v>151</v>
      </c>
      <c r="Q1041" s="132" t="s">
        <v>278</v>
      </c>
      <c r="R1041" s="132" t="s">
        <v>267</v>
      </c>
      <c r="S1041" s="133">
        <v>41773</v>
      </c>
      <c r="T1041" s="134">
        <v>520.79999999999995</v>
      </c>
      <c r="U1041" s="132" t="s">
        <v>154</v>
      </c>
      <c r="V1041" s="132" t="s">
        <v>187</v>
      </c>
      <c r="W1041" s="132" t="s">
        <v>153</v>
      </c>
      <c r="X1041" s="133">
        <v>41688</v>
      </c>
      <c r="Y1041" s="134">
        <v>1065</v>
      </c>
    </row>
    <row r="1042" spans="1:25" x14ac:dyDescent="0.25">
      <c r="A1042" s="92" t="s">
        <v>148</v>
      </c>
      <c r="B1042" s="12" t="s">
        <v>226</v>
      </c>
      <c r="C1042" s="12" t="s">
        <v>158</v>
      </c>
      <c r="D1042" s="80">
        <v>41792</v>
      </c>
      <c r="E1042" s="81">
        <v>740</v>
      </c>
      <c r="F1042" s="76" t="s">
        <v>150</v>
      </c>
      <c r="G1042" s="77" t="s">
        <v>161</v>
      </c>
      <c r="H1042" s="77" t="s">
        <v>153</v>
      </c>
      <c r="I1042" s="86">
        <v>41756</v>
      </c>
      <c r="J1042" s="78">
        <v>742</v>
      </c>
      <c r="K1042" s="132" t="s">
        <v>20</v>
      </c>
      <c r="L1042" s="132" t="s">
        <v>284</v>
      </c>
      <c r="M1042" s="132" t="s">
        <v>267</v>
      </c>
      <c r="N1042" s="133">
        <v>41934</v>
      </c>
      <c r="O1042" s="134">
        <v>249</v>
      </c>
      <c r="P1042" s="132" t="s">
        <v>151</v>
      </c>
      <c r="Q1042" s="132" t="s">
        <v>278</v>
      </c>
      <c r="R1042" s="132" t="s">
        <v>267</v>
      </c>
      <c r="S1042" s="133">
        <v>41779</v>
      </c>
      <c r="T1042" s="134">
        <v>50.4</v>
      </c>
      <c r="U1042" s="132" t="s">
        <v>154</v>
      </c>
      <c r="V1042" s="132" t="s">
        <v>187</v>
      </c>
      <c r="W1042" s="132" t="s">
        <v>153</v>
      </c>
      <c r="X1042" s="133">
        <v>41689</v>
      </c>
      <c r="Y1042" s="134">
        <v>860</v>
      </c>
    </row>
    <row r="1043" spans="1:25" x14ac:dyDescent="0.25">
      <c r="A1043" s="92" t="s">
        <v>148</v>
      </c>
      <c r="B1043" s="12" t="s">
        <v>226</v>
      </c>
      <c r="C1043" s="12" t="s">
        <v>158</v>
      </c>
      <c r="D1043" s="80">
        <v>41793</v>
      </c>
      <c r="E1043" s="81">
        <v>800</v>
      </c>
      <c r="F1043" s="76" t="s">
        <v>150</v>
      </c>
      <c r="G1043" s="77" t="s">
        <v>161</v>
      </c>
      <c r="H1043" s="77" t="s">
        <v>153</v>
      </c>
      <c r="I1043" s="86">
        <v>41758</v>
      </c>
      <c r="J1043" s="78">
        <v>1181</v>
      </c>
      <c r="K1043" s="132" t="s">
        <v>20</v>
      </c>
      <c r="L1043" s="132" t="s">
        <v>284</v>
      </c>
      <c r="M1043" s="132" t="s">
        <v>267</v>
      </c>
      <c r="N1043" s="133">
        <v>41939</v>
      </c>
      <c r="O1043" s="134">
        <v>251</v>
      </c>
      <c r="P1043" s="132" t="s">
        <v>151</v>
      </c>
      <c r="Q1043" s="132" t="s">
        <v>278</v>
      </c>
      <c r="R1043" s="132" t="s">
        <v>267</v>
      </c>
      <c r="S1043" s="133">
        <v>41780</v>
      </c>
      <c r="T1043" s="134">
        <v>902</v>
      </c>
      <c r="U1043" s="132" t="s">
        <v>154</v>
      </c>
      <c r="V1043" s="132" t="s">
        <v>187</v>
      </c>
      <c r="W1043" s="132" t="s">
        <v>153</v>
      </c>
      <c r="X1043" s="133">
        <v>41690</v>
      </c>
      <c r="Y1043" s="134">
        <v>874</v>
      </c>
    </row>
    <row r="1044" spans="1:25" x14ac:dyDescent="0.25">
      <c r="A1044" s="92" t="s">
        <v>148</v>
      </c>
      <c r="B1044" s="12" t="s">
        <v>226</v>
      </c>
      <c r="C1044" s="12" t="s">
        <v>158</v>
      </c>
      <c r="D1044" s="80">
        <v>41794</v>
      </c>
      <c r="E1044" s="81">
        <v>602</v>
      </c>
      <c r="F1044" s="76" t="s">
        <v>150</v>
      </c>
      <c r="G1044" s="77" t="s">
        <v>161</v>
      </c>
      <c r="H1044" s="77" t="s">
        <v>153</v>
      </c>
      <c r="I1044" s="86">
        <v>41759</v>
      </c>
      <c r="J1044" s="78">
        <v>1134</v>
      </c>
      <c r="K1044" s="132" t="s">
        <v>20</v>
      </c>
      <c r="L1044" s="132" t="s">
        <v>284</v>
      </c>
      <c r="M1044" s="132" t="s">
        <v>267</v>
      </c>
      <c r="N1044" s="133">
        <v>41967</v>
      </c>
      <c r="O1044" s="134">
        <v>842</v>
      </c>
      <c r="P1044" s="132" t="s">
        <v>151</v>
      </c>
      <c r="Q1044" s="132" t="s">
        <v>278</v>
      </c>
      <c r="R1044" s="132" t="s">
        <v>267</v>
      </c>
      <c r="S1044" s="133">
        <v>41899</v>
      </c>
      <c r="T1044" s="134">
        <v>987.6</v>
      </c>
      <c r="U1044" s="132" t="s">
        <v>154</v>
      </c>
      <c r="V1044" s="132" t="s">
        <v>187</v>
      </c>
      <c r="W1044" s="132" t="s">
        <v>153</v>
      </c>
      <c r="X1044" s="133">
        <v>41691</v>
      </c>
      <c r="Y1044" s="134">
        <v>1050</v>
      </c>
    </row>
    <row r="1045" spans="1:25" x14ac:dyDescent="0.25">
      <c r="A1045" s="92" t="s">
        <v>148</v>
      </c>
      <c r="B1045" s="12" t="s">
        <v>226</v>
      </c>
      <c r="C1045" s="12" t="s">
        <v>158</v>
      </c>
      <c r="D1045" s="80">
        <v>41794</v>
      </c>
      <c r="E1045" s="81">
        <v>860</v>
      </c>
      <c r="F1045" s="76" t="s">
        <v>150</v>
      </c>
      <c r="G1045" s="77" t="s">
        <v>161</v>
      </c>
      <c r="H1045" s="77" t="s">
        <v>153</v>
      </c>
      <c r="I1045" s="86">
        <v>41759</v>
      </c>
      <c r="J1045" s="78">
        <v>575</v>
      </c>
      <c r="K1045" s="132" t="s">
        <v>20</v>
      </c>
      <c r="L1045" s="132" t="s">
        <v>285</v>
      </c>
      <c r="M1045" s="132" t="s">
        <v>267</v>
      </c>
      <c r="N1045" s="133">
        <v>41643</v>
      </c>
      <c r="O1045" s="134">
        <v>944</v>
      </c>
      <c r="P1045" s="132" t="s">
        <v>151</v>
      </c>
      <c r="Q1045" s="132" t="s">
        <v>278</v>
      </c>
      <c r="R1045" s="132" t="s">
        <v>267</v>
      </c>
      <c r="S1045" s="133">
        <v>41900</v>
      </c>
      <c r="T1045" s="134">
        <v>620.6</v>
      </c>
      <c r="U1045" s="132" t="s">
        <v>154</v>
      </c>
      <c r="V1045" s="132" t="s">
        <v>187</v>
      </c>
      <c r="W1045" s="132" t="s">
        <v>153</v>
      </c>
      <c r="X1045" s="133">
        <v>41694</v>
      </c>
      <c r="Y1045" s="134">
        <v>747</v>
      </c>
    </row>
    <row r="1046" spans="1:25" x14ac:dyDescent="0.25">
      <c r="A1046" s="92" t="s">
        <v>148</v>
      </c>
      <c r="B1046" s="12" t="s">
        <v>226</v>
      </c>
      <c r="C1046" s="12" t="s">
        <v>158</v>
      </c>
      <c r="D1046" s="80">
        <v>41796</v>
      </c>
      <c r="E1046" s="81">
        <v>701</v>
      </c>
      <c r="F1046" s="76" t="s">
        <v>150</v>
      </c>
      <c r="G1046" s="77" t="s">
        <v>161</v>
      </c>
      <c r="H1046" s="77" t="s">
        <v>153</v>
      </c>
      <c r="I1046" s="86">
        <v>41760</v>
      </c>
      <c r="J1046" s="78">
        <v>1135</v>
      </c>
      <c r="K1046" s="132" t="s">
        <v>20</v>
      </c>
      <c r="L1046" s="132" t="s">
        <v>285</v>
      </c>
      <c r="M1046" s="132" t="s">
        <v>267</v>
      </c>
      <c r="N1046" s="133">
        <v>41780</v>
      </c>
      <c r="O1046" s="134">
        <v>696</v>
      </c>
      <c r="P1046" s="132" t="s">
        <v>151</v>
      </c>
      <c r="Q1046" s="132" t="s">
        <v>278</v>
      </c>
      <c r="R1046" s="132" t="s">
        <v>267</v>
      </c>
      <c r="S1046" s="133">
        <v>41901</v>
      </c>
      <c r="T1046" s="134">
        <v>896</v>
      </c>
      <c r="U1046" s="132" t="s">
        <v>154</v>
      </c>
      <c r="V1046" s="132" t="s">
        <v>187</v>
      </c>
      <c r="W1046" s="132" t="s">
        <v>153</v>
      </c>
      <c r="X1046" s="133">
        <v>41695</v>
      </c>
      <c r="Y1046" s="134">
        <v>1001</v>
      </c>
    </row>
    <row r="1047" spans="1:25" x14ac:dyDescent="0.25">
      <c r="A1047" s="92" t="s">
        <v>148</v>
      </c>
      <c r="B1047" s="12" t="s">
        <v>226</v>
      </c>
      <c r="C1047" s="12" t="s">
        <v>158</v>
      </c>
      <c r="D1047" s="80">
        <v>41797</v>
      </c>
      <c r="E1047" s="81">
        <v>966</v>
      </c>
      <c r="F1047" s="76" t="s">
        <v>150</v>
      </c>
      <c r="G1047" s="77" t="s">
        <v>161</v>
      </c>
      <c r="H1047" s="77" t="s">
        <v>153</v>
      </c>
      <c r="I1047" s="86">
        <v>41764</v>
      </c>
      <c r="J1047" s="78">
        <v>1285</v>
      </c>
      <c r="K1047" s="132" t="s">
        <v>20</v>
      </c>
      <c r="L1047" s="132" t="s">
        <v>285</v>
      </c>
      <c r="M1047" s="132" t="s">
        <v>267</v>
      </c>
      <c r="N1047" s="133">
        <v>41782</v>
      </c>
      <c r="O1047" s="134">
        <v>979</v>
      </c>
      <c r="P1047" s="132" t="s">
        <v>151</v>
      </c>
      <c r="Q1047" s="132" t="s">
        <v>278</v>
      </c>
      <c r="R1047" s="132" t="s">
        <v>267</v>
      </c>
      <c r="S1047" s="133">
        <v>41906</v>
      </c>
      <c r="T1047" s="134">
        <v>624.1</v>
      </c>
      <c r="U1047" s="132" t="s">
        <v>154</v>
      </c>
      <c r="V1047" s="132" t="s">
        <v>187</v>
      </c>
      <c r="W1047" s="132" t="s">
        <v>153</v>
      </c>
      <c r="X1047" s="133">
        <v>41696</v>
      </c>
      <c r="Y1047" s="134">
        <v>1350</v>
      </c>
    </row>
    <row r="1048" spans="1:25" x14ac:dyDescent="0.25">
      <c r="A1048" s="92" t="s">
        <v>148</v>
      </c>
      <c r="B1048" s="12" t="s">
        <v>226</v>
      </c>
      <c r="C1048" s="12" t="s">
        <v>158</v>
      </c>
      <c r="D1048" s="80">
        <v>41799</v>
      </c>
      <c r="E1048" s="81">
        <v>520</v>
      </c>
      <c r="F1048" s="76" t="s">
        <v>150</v>
      </c>
      <c r="G1048" s="77" t="s">
        <v>161</v>
      </c>
      <c r="H1048" s="77" t="s">
        <v>153</v>
      </c>
      <c r="I1048" s="86">
        <v>41765</v>
      </c>
      <c r="J1048" s="78">
        <v>519</v>
      </c>
      <c r="K1048" s="132" t="s">
        <v>20</v>
      </c>
      <c r="L1048" s="132" t="s">
        <v>285</v>
      </c>
      <c r="M1048" s="132" t="s">
        <v>267</v>
      </c>
      <c r="N1048" s="133">
        <v>41823</v>
      </c>
      <c r="O1048" s="134">
        <v>562</v>
      </c>
      <c r="P1048" s="132" t="s">
        <v>151</v>
      </c>
      <c r="Q1048" s="132" t="s">
        <v>278</v>
      </c>
      <c r="R1048" s="132" t="s">
        <v>267</v>
      </c>
      <c r="S1048" s="133">
        <v>41907</v>
      </c>
      <c r="T1048" s="134">
        <v>662.3</v>
      </c>
      <c r="U1048" s="132" t="s">
        <v>154</v>
      </c>
      <c r="V1048" s="132" t="s">
        <v>187</v>
      </c>
      <c r="W1048" s="132" t="s">
        <v>153</v>
      </c>
      <c r="X1048" s="133">
        <v>41696</v>
      </c>
      <c r="Y1048" s="134">
        <v>400</v>
      </c>
    </row>
    <row r="1049" spans="1:25" x14ac:dyDescent="0.25">
      <c r="A1049" s="92" t="s">
        <v>148</v>
      </c>
      <c r="B1049" s="12" t="s">
        <v>226</v>
      </c>
      <c r="C1049" s="12" t="s">
        <v>158</v>
      </c>
      <c r="D1049" s="80">
        <v>41800</v>
      </c>
      <c r="E1049" s="81">
        <v>810</v>
      </c>
      <c r="F1049" s="76" t="s">
        <v>150</v>
      </c>
      <c r="G1049" s="77" t="s">
        <v>161</v>
      </c>
      <c r="H1049" s="77" t="s">
        <v>153</v>
      </c>
      <c r="I1049" s="86">
        <v>41766</v>
      </c>
      <c r="J1049" s="78">
        <v>710</v>
      </c>
      <c r="K1049" s="132" t="s">
        <v>20</v>
      </c>
      <c r="L1049" s="132" t="s">
        <v>285</v>
      </c>
      <c r="M1049" s="132" t="s">
        <v>267</v>
      </c>
      <c r="N1049" s="133">
        <v>41830</v>
      </c>
      <c r="O1049" s="134">
        <v>262</v>
      </c>
      <c r="P1049" s="132" t="s">
        <v>151</v>
      </c>
      <c r="Q1049" s="132" t="s">
        <v>278</v>
      </c>
      <c r="R1049" s="132" t="s">
        <v>267</v>
      </c>
      <c r="S1049" s="133">
        <v>41908</v>
      </c>
      <c r="T1049" s="134">
        <v>919.4</v>
      </c>
      <c r="U1049" s="132" t="s">
        <v>154</v>
      </c>
      <c r="V1049" s="132" t="s">
        <v>187</v>
      </c>
      <c r="W1049" s="132" t="s">
        <v>153</v>
      </c>
      <c r="X1049" s="133">
        <v>41697</v>
      </c>
      <c r="Y1049" s="134">
        <v>1190</v>
      </c>
    </row>
    <row r="1050" spans="1:25" x14ac:dyDescent="0.25">
      <c r="A1050" s="92" t="s">
        <v>148</v>
      </c>
      <c r="B1050" s="12" t="s">
        <v>226</v>
      </c>
      <c r="C1050" s="12" t="s">
        <v>158</v>
      </c>
      <c r="D1050" s="80">
        <v>41801</v>
      </c>
      <c r="E1050" s="81">
        <v>780</v>
      </c>
      <c r="F1050" s="76" t="s">
        <v>150</v>
      </c>
      <c r="G1050" s="77" t="s">
        <v>161</v>
      </c>
      <c r="H1050" s="77" t="s">
        <v>153</v>
      </c>
      <c r="I1050" s="86">
        <v>41767</v>
      </c>
      <c r="J1050" s="78">
        <v>686</v>
      </c>
      <c r="K1050" s="132" t="s">
        <v>20</v>
      </c>
      <c r="L1050" s="132" t="s">
        <v>285</v>
      </c>
      <c r="M1050" s="132" t="s">
        <v>267</v>
      </c>
      <c r="N1050" s="133">
        <v>41834</v>
      </c>
      <c r="O1050" s="134">
        <v>522</v>
      </c>
      <c r="P1050" s="132" t="s">
        <v>151</v>
      </c>
      <c r="Q1050" s="132" t="s">
        <v>278</v>
      </c>
      <c r="R1050" s="132" t="s">
        <v>267</v>
      </c>
      <c r="S1050" s="133">
        <v>41911</v>
      </c>
      <c r="T1050" s="134">
        <v>1019.8</v>
      </c>
      <c r="U1050" s="132" t="s">
        <v>154</v>
      </c>
      <c r="V1050" s="132" t="s">
        <v>187</v>
      </c>
      <c r="W1050" s="132" t="s">
        <v>153</v>
      </c>
      <c r="X1050" s="133">
        <v>41698</v>
      </c>
      <c r="Y1050" s="134">
        <v>1350</v>
      </c>
    </row>
    <row r="1051" spans="1:25" x14ac:dyDescent="0.25">
      <c r="A1051" s="92" t="s">
        <v>148</v>
      </c>
      <c r="B1051" s="12" t="s">
        <v>226</v>
      </c>
      <c r="C1051" s="12" t="s">
        <v>158</v>
      </c>
      <c r="D1051" s="80">
        <v>41802</v>
      </c>
      <c r="E1051" s="81">
        <v>790</v>
      </c>
      <c r="F1051" s="76" t="s">
        <v>150</v>
      </c>
      <c r="G1051" s="77" t="s">
        <v>161</v>
      </c>
      <c r="H1051" s="77" t="s">
        <v>153</v>
      </c>
      <c r="I1051" s="86">
        <v>41768</v>
      </c>
      <c r="J1051" s="78">
        <v>751</v>
      </c>
      <c r="K1051" s="132" t="s">
        <v>20</v>
      </c>
      <c r="L1051" s="132" t="s">
        <v>285</v>
      </c>
      <c r="M1051" s="132" t="s">
        <v>267</v>
      </c>
      <c r="N1051" s="133">
        <v>41838</v>
      </c>
      <c r="O1051" s="134">
        <v>276</v>
      </c>
      <c r="P1051" s="132" t="s">
        <v>151</v>
      </c>
      <c r="Q1051" s="132" t="s">
        <v>278</v>
      </c>
      <c r="R1051" s="132" t="s">
        <v>267</v>
      </c>
      <c r="S1051" s="133">
        <v>41912</v>
      </c>
      <c r="T1051" s="134">
        <v>441.2</v>
      </c>
      <c r="U1051" s="132" t="s">
        <v>154</v>
      </c>
      <c r="V1051" s="132" t="s">
        <v>187</v>
      </c>
      <c r="W1051" s="132" t="s">
        <v>153</v>
      </c>
      <c r="X1051" s="133">
        <v>41699</v>
      </c>
      <c r="Y1051" s="134">
        <v>710</v>
      </c>
    </row>
    <row r="1052" spans="1:25" x14ac:dyDescent="0.25">
      <c r="A1052" s="92" t="s">
        <v>148</v>
      </c>
      <c r="B1052" s="12" t="s">
        <v>226</v>
      </c>
      <c r="C1052" s="12" t="s">
        <v>158</v>
      </c>
      <c r="D1052" s="80">
        <v>41803</v>
      </c>
      <c r="E1052" s="81">
        <v>820</v>
      </c>
      <c r="F1052" s="76" t="s">
        <v>150</v>
      </c>
      <c r="G1052" s="77" t="s">
        <v>161</v>
      </c>
      <c r="H1052" s="77" t="s">
        <v>153</v>
      </c>
      <c r="I1052" s="86">
        <v>41769</v>
      </c>
      <c r="J1052" s="78">
        <v>581</v>
      </c>
      <c r="K1052" s="132" t="s">
        <v>20</v>
      </c>
      <c r="L1052" s="132" t="s">
        <v>285</v>
      </c>
      <c r="M1052" s="132" t="s">
        <v>267</v>
      </c>
      <c r="N1052" s="133">
        <v>41842</v>
      </c>
      <c r="O1052" s="134">
        <v>304</v>
      </c>
      <c r="P1052" s="132" t="s">
        <v>151</v>
      </c>
      <c r="Q1052" s="132" t="s">
        <v>278</v>
      </c>
      <c r="R1052" s="132" t="s">
        <v>267</v>
      </c>
      <c r="S1052" s="133">
        <v>41913</v>
      </c>
      <c r="T1052" s="134">
        <v>640.70000000000005</v>
      </c>
      <c r="U1052" s="132" t="s">
        <v>154</v>
      </c>
      <c r="V1052" s="132" t="s">
        <v>187</v>
      </c>
      <c r="W1052" s="132" t="s">
        <v>153</v>
      </c>
      <c r="X1052" s="133">
        <v>41700</v>
      </c>
      <c r="Y1052" s="134">
        <v>393</v>
      </c>
    </row>
    <row r="1053" spans="1:25" x14ac:dyDescent="0.25">
      <c r="A1053" s="92" t="s">
        <v>148</v>
      </c>
      <c r="B1053" s="12" t="s">
        <v>226</v>
      </c>
      <c r="C1053" s="12" t="s">
        <v>158</v>
      </c>
      <c r="D1053" s="80">
        <v>41804</v>
      </c>
      <c r="E1053" s="81">
        <v>1237</v>
      </c>
      <c r="F1053" s="76" t="s">
        <v>150</v>
      </c>
      <c r="G1053" s="77" t="s">
        <v>161</v>
      </c>
      <c r="H1053" s="77" t="s">
        <v>153</v>
      </c>
      <c r="I1053" s="86">
        <v>41770</v>
      </c>
      <c r="J1053" s="78">
        <v>732</v>
      </c>
      <c r="K1053" s="132" t="s">
        <v>20</v>
      </c>
      <c r="L1053" s="132" t="s">
        <v>285</v>
      </c>
      <c r="M1053" s="132" t="s">
        <v>267</v>
      </c>
      <c r="N1053" s="133">
        <v>41852</v>
      </c>
      <c r="O1053" s="134">
        <v>613</v>
      </c>
      <c r="P1053" s="132" t="s">
        <v>151</v>
      </c>
      <c r="Q1053" s="132" t="s">
        <v>278</v>
      </c>
      <c r="R1053" s="132" t="s">
        <v>267</v>
      </c>
      <c r="S1053" s="133">
        <v>41914</v>
      </c>
      <c r="T1053" s="134">
        <v>1006.6</v>
      </c>
      <c r="U1053" s="132" t="s">
        <v>154</v>
      </c>
      <c r="V1053" s="132" t="s">
        <v>187</v>
      </c>
      <c r="W1053" s="132" t="s">
        <v>153</v>
      </c>
      <c r="X1053" s="133">
        <v>41701</v>
      </c>
      <c r="Y1053" s="134">
        <v>920</v>
      </c>
    </row>
    <row r="1054" spans="1:25" x14ac:dyDescent="0.25">
      <c r="A1054" s="92" t="s">
        <v>148</v>
      </c>
      <c r="B1054" s="12" t="s">
        <v>226</v>
      </c>
      <c r="C1054" s="12" t="s">
        <v>158</v>
      </c>
      <c r="D1054" s="80">
        <v>41805</v>
      </c>
      <c r="E1054" s="81">
        <v>964</v>
      </c>
      <c r="F1054" s="76" t="s">
        <v>150</v>
      </c>
      <c r="G1054" s="77" t="s">
        <v>161</v>
      </c>
      <c r="H1054" s="77" t="s">
        <v>153</v>
      </c>
      <c r="I1054" s="86">
        <v>41771</v>
      </c>
      <c r="J1054" s="78">
        <v>810</v>
      </c>
      <c r="K1054" s="132" t="s">
        <v>20</v>
      </c>
      <c r="L1054" s="132" t="s">
        <v>285</v>
      </c>
      <c r="M1054" s="132" t="s">
        <v>267</v>
      </c>
      <c r="N1054" s="133">
        <v>41870</v>
      </c>
      <c r="O1054" s="134">
        <v>517</v>
      </c>
      <c r="P1054" s="132" t="s">
        <v>151</v>
      </c>
      <c r="Q1054" s="132" t="s">
        <v>278</v>
      </c>
      <c r="R1054" s="132" t="s">
        <v>267</v>
      </c>
      <c r="S1054" s="133">
        <v>41918</v>
      </c>
      <c r="T1054" s="134">
        <v>372.5</v>
      </c>
      <c r="U1054" s="132" t="s">
        <v>154</v>
      </c>
      <c r="V1054" s="132" t="s">
        <v>187</v>
      </c>
      <c r="W1054" s="132" t="s">
        <v>153</v>
      </c>
      <c r="X1054" s="133">
        <v>41702</v>
      </c>
      <c r="Y1054" s="134">
        <v>1035</v>
      </c>
    </row>
    <row r="1055" spans="1:25" x14ac:dyDescent="0.25">
      <c r="A1055" s="92" t="s">
        <v>148</v>
      </c>
      <c r="B1055" s="12" t="s">
        <v>226</v>
      </c>
      <c r="C1055" s="12" t="s">
        <v>158</v>
      </c>
      <c r="D1055" s="80">
        <v>41853</v>
      </c>
      <c r="E1055" s="81">
        <v>1377</v>
      </c>
      <c r="F1055" s="76" t="s">
        <v>150</v>
      </c>
      <c r="G1055" s="77" t="s">
        <v>161</v>
      </c>
      <c r="H1055" s="77" t="s">
        <v>153</v>
      </c>
      <c r="I1055" s="86">
        <v>41772</v>
      </c>
      <c r="J1055" s="78">
        <v>831</v>
      </c>
      <c r="K1055" s="132" t="s">
        <v>20</v>
      </c>
      <c r="L1055" s="132" t="s">
        <v>285</v>
      </c>
      <c r="M1055" s="132" t="s">
        <v>267</v>
      </c>
      <c r="N1055" s="133">
        <v>41872</v>
      </c>
      <c r="O1055" s="134">
        <v>561</v>
      </c>
      <c r="P1055" s="132" t="s">
        <v>151</v>
      </c>
      <c r="Q1055" s="132" t="s">
        <v>278</v>
      </c>
      <c r="R1055" s="132" t="s">
        <v>267</v>
      </c>
      <c r="S1055" s="133">
        <v>41920</v>
      </c>
      <c r="T1055" s="134">
        <v>120.5</v>
      </c>
      <c r="U1055" s="132" t="s">
        <v>154</v>
      </c>
      <c r="V1055" s="132" t="s">
        <v>187</v>
      </c>
      <c r="W1055" s="132" t="s">
        <v>153</v>
      </c>
      <c r="X1055" s="133">
        <v>41703</v>
      </c>
      <c r="Y1055" s="134">
        <v>1000</v>
      </c>
    </row>
    <row r="1056" spans="1:25" x14ac:dyDescent="0.25">
      <c r="A1056" s="92" t="s">
        <v>148</v>
      </c>
      <c r="B1056" s="12" t="s">
        <v>226</v>
      </c>
      <c r="C1056" s="12" t="s">
        <v>158</v>
      </c>
      <c r="D1056" s="80">
        <v>41854</v>
      </c>
      <c r="E1056" s="81">
        <v>1076</v>
      </c>
      <c r="F1056" s="76" t="s">
        <v>150</v>
      </c>
      <c r="G1056" s="77" t="s">
        <v>161</v>
      </c>
      <c r="H1056" s="77" t="s">
        <v>153</v>
      </c>
      <c r="I1056" s="86">
        <v>41773</v>
      </c>
      <c r="J1056" s="78">
        <v>470</v>
      </c>
      <c r="K1056" s="132" t="s">
        <v>20</v>
      </c>
      <c r="L1056" s="132" t="s">
        <v>285</v>
      </c>
      <c r="M1056" s="132" t="s">
        <v>267</v>
      </c>
      <c r="N1056" s="133">
        <v>41950</v>
      </c>
      <c r="O1056" s="134">
        <v>996</v>
      </c>
      <c r="P1056" s="132" t="s">
        <v>151</v>
      </c>
      <c r="Q1056" s="132" t="s">
        <v>278</v>
      </c>
      <c r="R1056" s="132" t="s">
        <v>267</v>
      </c>
      <c r="S1056" s="133">
        <v>41921</v>
      </c>
      <c r="T1056" s="134">
        <v>868.4</v>
      </c>
      <c r="U1056" s="132" t="s">
        <v>154</v>
      </c>
      <c r="V1056" s="132" t="s">
        <v>187</v>
      </c>
      <c r="W1056" s="132" t="s">
        <v>153</v>
      </c>
      <c r="X1056" s="133">
        <v>41704</v>
      </c>
      <c r="Y1056" s="134">
        <v>723</v>
      </c>
    </row>
    <row r="1057" spans="1:25" x14ac:dyDescent="0.25">
      <c r="A1057" s="92" t="s">
        <v>148</v>
      </c>
      <c r="B1057" s="12" t="s">
        <v>226</v>
      </c>
      <c r="C1057" s="12" t="s">
        <v>158</v>
      </c>
      <c r="D1057" s="80">
        <v>41855</v>
      </c>
      <c r="E1057" s="81">
        <v>530</v>
      </c>
      <c r="F1057" s="76" t="s">
        <v>150</v>
      </c>
      <c r="G1057" s="77" t="s">
        <v>161</v>
      </c>
      <c r="H1057" s="77" t="s">
        <v>153</v>
      </c>
      <c r="I1057" s="86">
        <v>41774</v>
      </c>
      <c r="J1057" s="78">
        <v>788</v>
      </c>
      <c r="K1057" s="132" t="s">
        <v>20</v>
      </c>
      <c r="L1057" s="132" t="s">
        <v>285</v>
      </c>
      <c r="M1057" s="132" t="s">
        <v>267</v>
      </c>
      <c r="N1057" s="133">
        <v>41959</v>
      </c>
      <c r="O1057" s="134">
        <v>1001</v>
      </c>
      <c r="P1057" s="132" t="s">
        <v>151</v>
      </c>
      <c r="Q1057" s="132" t="s">
        <v>278</v>
      </c>
      <c r="R1057" s="132" t="s">
        <v>267</v>
      </c>
      <c r="S1057" s="133">
        <v>41963</v>
      </c>
      <c r="T1057" s="134">
        <v>341.2</v>
      </c>
      <c r="U1057" s="132" t="s">
        <v>154</v>
      </c>
      <c r="V1057" s="132" t="s">
        <v>187</v>
      </c>
      <c r="W1057" s="132" t="s">
        <v>153</v>
      </c>
      <c r="X1057" s="133">
        <v>41709</v>
      </c>
      <c r="Y1057" s="134">
        <v>850</v>
      </c>
    </row>
    <row r="1058" spans="1:25" x14ac:dyDescent="0.25">
      <c r="A1058" s="92" t="s">
        <v>148</v>
      </c>
      <c r="B1058" s="12" t="s">
        <v>226</v>
      </c>
      <c r="C1058" s="12" t="s">
        <v>158</v>
      </c>
      <c r="D1058" s="80">
        <v>41856</v>
      </c>
      <c r="E1058" s="81">
        <v>820</v>
      </c>
      <c r="F1058" s="76" t="s">
        <v>150</v>
      </c>
      <c r="G1058" s="77" t="s">
        <v>161</v>
      </c>
      <c r="H1058" s="77" t="s">
        <v>153</v>
      </c>
      <c r="I1058" s="86">
        <v>41775</v>
      </c>
      <c r="J1058" s="78">
        <v>1191</v>
      </c>
      <c r="K1058" s="132" t="s">
        <v>20</v>
      </c>
      <c r="L1058" s="132" t="s">
        <v>286</v>
      </c>
      <c r="M1058" s="132" t="s">
        <v>267</v>
      </c>
      <c r="N1058" s="133">
        <v>41781</v>
      </c>
      <c r="O1058" s="134">
        <v>780</v>
      </c>
      <c r="P1058" s="132" t="s">
        <v>151</v>
      </c>
      <c r="Q1058" s="132" t="s">
        <v>278</v>
      </c>
      <c r="R1058" s="132" t="s">
        <v>267</v>
      </c>
      <c r="S1058" s="133">
        <v>41978</v>
      </c>
      <c r="T1058" s="134">
        <v>335.8</v>
      </c>
      <c r="U1058" s="132" t="s">
        <v>154</v>
      </c>
      <c r="V1058" s="132" t="s">
        <v>187</v>
      </c>
      <c r="W1058" s="132" t="s">
        <v>153</v>
      </c>
      <c r="X1058" s="133">
        <v>41844</v>
      </c>
      <c r="Y1058" s="134">
        <v>570</v>
      </c>
    </row>
    <row r="1059" spans="1:25" x14ac:dyDescent="0.25">
      <c r="A1059" s="92" t="s">
        <v>148</v>
      </c>
      <c r="B1059" s="12" t="s">
        <v>226</v>
      </c>
      <c r="C1059" s="12" t="s">
        <v>158</v>
      </c>
      <c r="D1059" s="80">
        <v>41857</v>
      </c>
      <c r="E1059" s="81">
        <v>950</v>
      </c>
      <c r="F1059" s="76" t="s">
        <v>150</v>
      </c>
      <c r="G1059" s="77" t="s">
        <v>161</v>
      </c>
      <c r="H1059" s="77" t="s">
        <v>153</v>
      </c>
      <c r="I1059" s="86">
        <v>41778</v>
      </c>
      <c r="J1059" s="78">
        <v>499</v>
      </c>
      <c r="K1059" s="132" t="s">
        <v>20</v>
      </c>
      <c r="L1059" s="132" t="s">
        <v>286</v>
      </c>
      <c r="M1059" s="132" t="s">
        <v>267</v>
      </c>
      <c r="N1059" s="133">
        <v>41854</v>
      </c>
      <c r="O1059" s="134">
        <v>1032</v>
      </c>
      <c r="P1059" s="132" t="s">
        <v>151</v>
      </c>
      <c r="Q1059" s="132" t="s">
        <v>279</v>
      </c>
      <c r="R1059" s="132" t="s">
        <v>267</v>
      </c>
      <c r="S1059" s="133">
        <v>41758</v>
      </c>
      <c r="T1059" s="134">
        <v>674.1</v>
      </c>
      <c r="U1059" s="132" t="s">
        <v>154</v>
      </c>
      <c r="V1059" s="132" t="s">
        <v>187</v>
      </c>
      <c r="W1059" s="132" t="s">
        <v>153</v>
      </c>
      <c r="X1059" s="133">
        <v>41845</v>
      </c>
      <c r="Y1059" s="134">
        <v>820</v>
      </c>
    </row>
    <row r="1060" spans="1:25" x14ac:dyDescent="0.25">
      <c r="A1060" s="92" t="s">
        <v>148</v>
      </c>
      <c r="B1060" s="12" t="s">
        <v>226</v>
      </c>
      <c r="C1060" s="12" t="s">
        <v>158</v>
      </c>
      <c r="D1060" s="80">
        <v>41858</v>
      </c>
      <c r="E1060" s="81">
        <v>780</v>
      </c>
      <c r="F1060" s="76" t="s">
        <v>150</v>
      </c>
      <c r="G1060" s="77" t="s">
        <v>161</v>
      </c>
      <c r="H1060" s="77" t="s">
        <v>153</v>
      </c>
      <c r="I1060" s="86">
        <v>41779</v>
      </c>
      <c r="J1060" s="78">
        <v>1224</v>
      </c>
      <c r="K1060" s="132" t="s">
        <v>20</v>
      </c>
      <c r="L1060" s="132" t="s">
        <v>286</v>
      </c>
      <c r="M1060" s="132" t="s">
        <v>267</v>
      </c>
      <c r="N1060" s="133">
        <v>41864</v>
      </c>
      <c r="O1060" s="134">
        <v>1001</v>
      </c>
      <c r="P1060" s="132" t="s">
        <v>151</v>
      </c>
      <c r="Q1060" s="132" t="s">
        <v>279</v>
      </c>
      <c r="R1060" s="132" t="s">
        <v>267</v>
      </c>
      <c r="S1060" s="133">
        <v>41761</v>
      </c>
      <c r="T1060" s="134">
        <v>107.1</v>
      </c>
      <c r="U1060" s="132" t="s">
        <v>154</v>
      </c>
      <c r="V1060" s="132" t="s">
        <v>187</v>
      </c>
      <c r="W1060" s="132" t="s">
        <v>153</v>
      </c>
      <c r="X1060" s="133">
        <v>41846</v>
      </c>
      <c r="Y1060" s="134">
        <v>511</v>
      </c>
    </row>
    <row r="1061" spans="1:25" x14ac:dyDescent="0.25">
      <c r="A1061" s="92" t="s">
        <v>148</v>
      </c>
      <c r="B1061" s="12" t="s">
        <v>226</v>
      </c>
      <c r="C1061" s="12" t="s">
        <v>158</v>
      </c>
      <c r="D1061" s="80">
        <v>41859</v>
      </c>
      <c r="E1061" s="81">
        <v>900</v>
      </c>
      <c r="F1061" s="76" t="s">
        <v>150</v>
      </c>
      <c r="G1061" s="77" t="s">
        <v>161</v>
      </c>
      <c r="H1061" s="77" t="s">
        <v>153</v>
      </c>
      <c r="I1061" s="86">
        <v>41780</v>
      </c>
      <c r="J1061" s="78">
        <v>542</v>
      </c>
      <c r="K1061" s="132" t="s">
        <v>20</v>
      </c>
      <c r="L1061" s="132" t="s">
        <v>286</v>
      </c>
      <c r="M1061" s="132" t="s">
        <v>267</v>
      </c>
      <c r="N1061" s="133">
        <v>41865</v>
      </c>
      <c r="O1061" s="134">
        <v>279</v>
      </c>
      <c r="P1061" s="132" t="s">
        <v>151</v>
      </c>
      <c r="Q1061" s="132" t="s">
        <v>279</v>
      </c>
      <c r="R1061" s="132" t="s">
        <v>267</v>
      </c>
      <c r="S1061" s="133">
        <v>41766</v>
      </c>
      <c r="T1061" s="134">
        <v>692.5</v>
      </c>
      <c r="U1061" s="132" t="s">
        <v>154</v>
      </c>
      <c r="V1061" s="132" t="s">
        <v>187</v>
      </c>
      <c r="W1061" s="132" t="s">
        <v>153</v>
      </c>
      <c r="X1061" s="133">
        <v>41847</v>
      </c>
      <c r="Y1061" s="134">
        <v>752</v>
      </c>
    </row>
    <row r="1062" spans="1:25" x14ac:dyDescent="0.25">
      <c r="A1062" s="92" t="s">
        <v>148</v>
      </c>
      <c r="B1062" s="12" t="s">
        <v>226</v>
      </c>
      <c r="C1062" s="12" t="s">
        <v>158</v>
      </c>
      <c r="D1062" s="80">
        <v>41860</v>
      </c>
      <c r="E1062" s="81">
        <v>650</v>
      </c>
      <c r="F1062" s="76" t="s">
        <v>150</v>
      </c>
      <c r="G1062" s="77" t="s">
        <v>161</v>
      </c>
      <c r="H1062" s="77" t="s">
        <v>153</v>
      </c>
      <c r="I1062" s="86">
        <v>41781</v>
      </c>
      <c r="J1062" s="78">
        <v>1310</v>
      </c>
      <c r="K1062" s="132" t="s">
        <v>20</v>
      </c>
      <c r="L1062" s="132" t="s">
        <v>286</v>
      </c>
      <c r="M1062" s="132" t="s">
        <v>267</v>
      </c>
      <c r="N1062" s="133">
        <v>41947</v>
      </c>
      <c r="O1062" s="134">
        <v>812</v>
      </c>
      <c r="P1062" s="132" t="s">
        <v>151</v>
      </c>
      <c r="Q1062" s="132" t="s">
        <v>279</v>
      </c>
      <c r="R1062" s="132" t="s">
        <v>267</v>
      </c>
      <c r="S1062" s="133">
        <v>41767</v>
      </c>
      <c r="T1062" s="134">
        <v>865.5</v>
      </c>
      <c r="U1062" s="132" t="s">
        <v>154</v>
      </c>
      <c r="V1062" s="132" t="s">
        <v>187</v>
      </c>
      <c r="W1062" s="132" t="s">
        <v>153</v>
      </c>
      <c r="X1062" s="133">
        <v>41847</v>
      </c>
      <c r="Y1062" s="134">
        <v>487</v>
      </c>
    </row>
    <row r="1063" spans="1:25" x14ac:dyDescent="0.25">
      <c r="A1063" s="92" t="s">
        <v>148</v>
      </c>
      <c r="B1063" s="12" t="s">
        <v>226</v>
      </c>
      <c r="C1063" s="12" t="s">
        <v>158</v>
      </c>
      <c r="D1063" s="80">
        <v>41861</v>
      </c>
      <c r="E1063" s="81">
        <v>1149</v>
      </c>
      <c r="F1063" s="76" t="s">
        <v>150</v>
      </c>
      <c r="G1063" s="77" t="s">
        <v>161</v>
      </c>
      <c r="H1063" s="77" t="s">
        <v>153</v>
      </c>
      <c r="I1063" s="86">
        <v>41787</v>
      </c>
      <c r="J1063" s="78">
        <v>620</v>
      </c>
      <c r="K1063" s="132" t="s">
        <v>20</v>
      </c>
      <c r="L1063" s="132" t="s">
        <v>286</v>
      </c>
      <c r="M1063" s="132" t="s">
        <v>267</v>
      </c>
      <c r="N1063" s="133">
        <v>41963</v>
      </c>
      <c r="O1063" s="134">
        <v>814</v>
      </c>
      <c r="P1063" s="132" t="s">
        <v>151</v>
      </c>
      <c r="Q1063" s="132" t="s">
        <v>279</v>
      </c>
      <c r="R1063" s="132" t="s">
        <v>267</v>
      </c>
      <c r="S1063" s="133">
        <v>41778</v>
      </c>
      <c r="T1063" s="134">
        <v>103.4</v>
      </c>
      <c r="U1063" s="132" t="s">
        <v>154</v>
      </c>
      <c r="V1063" s="132" t="s">
        <v>187</v>
      </c>
      <c r="W1063" s="132" t="s">
        <v>153</v>
      </c>
      <c r="X1063" s="133">
        <v>41847</v>
      </c>
      <c r="Y1063" s="134">
        <v>150</v>
      </c>
    </row>
    <row r="1064" spans="1:25" x14ac:dyDescent="0.25">
      <c r="A1064" s="92" t="s">
        <v>148</v>
      </c>
      <c r="B1064" s="12" t="s">
        <v>226</v>
      </c>
      <c r="C1064" s="12" t="s">
        <v>158</v>
      </c>
      <c r="D1064" s="80">
        <v>41862</v>
      </c>
      <c r="E1064" s="81">
        <v>620</v>
      </c>
      <c r="F1064" s="76" t="s">
        <v>150</v>
      </c>
      <c r="G1064" s="77" t="s">
        <v>161</v>
      </c>
      <c r="H1064" s="77" t="s">
        <v>153</v>
      </c>
      <c r="I1064" s="86">
        <v>41815</v>
      </c>
      <c r="J1064" s="78">
        <v>1314</v>
      </c>
      <c r="K1064" s="132" t="s">
        <v>20</v>
      </c>
      <c r="L1064" s="132" t="s">
        <v>287</v>
      </c>
      <c r="M1064" s="132" t="s">
        <v>267</v>
      </c>
      <c r="N1064" s="133">
        <v>41858</v>
      </c>
      <c r="O1064" s="134">
        <v>649</v>
      </c>
      <c r="P1064" s="132" t="s">
        <v>151</v>
      </c>
      <c r="Q1064" s="132" t="s">
        <v>279</v>
      </c>
      <c r="R1064" s="132" t="s">
        <v>267</v>
      </c>
      <c r="S1064" s="133">
        <v>41779</v>
      </c>
      <c r="T1064" s="134">
        <v>968.5</v>
      </c>
      <c r="U1064" s="132" t="s">
        <v>154</v>
      </c>
      <c r="V1064" s="132" t="s">
        <v>187</v>
      </c>
      <c r="W1064" s="132" t="s">
        <v>153</v>
      </c>
      <c r="X1064" s="133">
        <v>41848</v>
      </c>
      <c r="Y1064" s="134">
        <v>1142</v>
      </c>
    </row>
    <row r="1065" spans="1:25" x14ac:dyDescent="0.25">
      <c r="A1065" s="92" t="s">
        <v>148</v>
      </c>
      <c r="B1065" s="12" t="s">
        <v>226</v>
      </c>
      <c r="C1065" s="12" t="s">
        <v>158</v>
      </c>
      <c r="D1065" s="80">
        <v>41863</v>
      </c>
      <c r="E1065" s="81">
        <v>790</v>
      </c>
      <c r="F1065" s="76" t="s">
        <v>150</v>
      </c>
      <c r="G1065" s="77" t="s">
        <v>161</v>
      </c>
      <c r="H1065" s="77" t="s">
        <v>153</v>
      </c>
      <c r="I1065" s="86">
        <v>41815</v>
      </c>
      <c r="J1065" s="78">
        <v>959</v>
      </c>
      <c r="K1065" s="132" t="s">
        <v>20</v>
      </c>
      <c r="L1065" s="132" t="s">
        <v>287</v>
      </c>
      <c r="M1065" s="132" t="s">
        <v>267</v>
      </c>
      <c r="N1065" s="133">
        <v>41902</v>
      </c>
      <c r="O1065" s="134">
        <v>855</v>
      </c>
      <c r="P1065" s="132" t="s">
        <v>151</v>
      </c>
      <c r="Q1065" s="132" t="s">
        <v>279</v>
      </c>
      <c r="R1065" s="132" t="s">
        <v>267</v>
      </c>
      <c r="S1065" s="133">
        <v>41856</v>
      </c>
      <c r="T1065" s="134">
        <v>613.29999999999995</v>
      </c>
      <c r="U1065" s="132" t="s">
        <v>154</v>
      </c>
      <c r="V1065" s="132" t="s">
        <v>187</v>
      </c>
      <c r="W1065" s="132" t="s">
        <v>153</v>
      </c>
      <c r="X1065" s="133">
        <v>41849</v>
      </c>
      <c r="Y1065" s="134">
        <v>741</v>
      </c>
    </row>
    <row r="1066" spans="1:25" x14ac:dyDescent="0.25">
      <c r="A1066" s="92" t="s">
        <v>148</v>
      </c>
      <c r="B1066" s="12" t="s">
        <v>226</v>
      </c>
      <c r="C1066" s="12" t="s">
        <v>158</v>
      </c>
      <c r="D1066" s="80">
        <v>41865</v>
      </c>
      <c r="E1066" s="81">
        <v>1100</v>
      </c>
      <c r="F1066" s="76" t="s">
        <v>150</v>
      </c>
      <c r="G1066" s="77" t="s">
        <v>161</v>
      </c>
      <c r="H1066" s="77" t="s">
        <v>153</v>
      </c>
      <c r="I1066" s="86">
        <v>41817</v>
      </c>
      <c r="J1066" s="78">
        <v>1215</v>
      </c>
      <c r="K1066" s="132" t="s">
        <v>20</v>
      </c>
      <c r="L1066" s="132" t="s">
        <v>287</v>
      </c>
      <c r="M1066" s="132" t="s">
        <v>267</v>
      </c>
      <c r="N1066" s="133">
        <v>41907</v>
      </c>
      <c r="O1066" s="134">
        <v>698</v>
      </c>
      <c r="P1066" s="132" t="s">
        <v>151</v>
      </c>
      <c r="Q1066" s="132" t="s">
        <v>279</v>
      </c>
      <c r="R1066" s="132" t="s">
        <v>267</v>
      </c>
      <c r="S1066" s="133">
        <v>41857</v>
      </c>
      <c r="T1066" s="134">
        <v>604.5</v>
      </c>
      <c r="U1066" s="132" t="s">
        <v>154</v>
      </c>
      <c r="V1066" s="132" t="s">
        <v>187</v>
      </c>
      <c r="W1066" s="132" t="s">
        <v>153</v>
      </c>
      <c r="X1066" s="133">
        <v>41850</v>
      </c>
      <c r="Y1066" s="134">
        <v>1171</v>
      </c>
    </row>
    <row r="1067" spans="1:25" x14ac:dyDescent="0.25">
      <c r="A1067" s="92" t="s">
        <v>148</v>
      </c>
      <c r="B1067" s="12" t="s">
        <v>226</v>
      </c>
      <c r="C1067" s="12" t="s">
        <v>158</v>
      </c>
      <c r="D1067" s="80">
        <v>41866</v>
      </c>
      <c r="E1067" s="81">
        <v>975</v>
      </c>
      <c r="F1067" s="76" t="s">
        <v>150</v>
      </c>
      <c r="G1067" s="77" t="s">
        <v>161</v>
      </c>
      <c r="H1067" s="77" t="s">
        <v>153</v>
      </c>
      <c r="I1067" s="86">
        <v>41819</v>
      </c>
      <c r="J1067" s="78">
        <v>887</v>
      </c>
      <c r="K1067" s="132" t="s">
        <v>20</v>
      </c>
      <c r="L1067" s="132" t="s">
        <v>287</v>
      </c>
      <c r="M1067" s="132" t="s">
        <v>267</v>
      </c>
      <c r="N1067" s="133">
        <v>41946</v>
      </c>
      <c r="O1067" s="134">
        <v>1573</v>
      </c>
      <c r="P1067" s="132" t="s">
        <v>151</v>
      </c>
      <c r="Q1067" s="132" t="s">
        <v>279</v>
      </c>
      <c r="R1067" s="132" t="s">
        <v>267</v>
      </c>
      <c r="S1067" s="133">
        <v>41858</v>
      </c>
      <c r="T1067" s="134">
        <v>913.5</v>
      </c>
      <c r="U1067" s="132" t="s">
        <v>154</v>
      </c>
      <c r="V1067" s="132" t="s">
        <v>187</v>
      </c>
      <c r="W1067" s="132" t="s">
        <v>153</v>
      </c>
      <c r="X1067" s="133">
        <v>41851</v>
      </c>
      <c r="Y1067" s="134">
        <v>900</v>
      </c>
    </row>
    <row r="1068" spans="1:25" x14ac:dyDescent="0.25">
      <c r="A1068" s="92" t="s">
        <v>148</v>
      </c>
      <c r="B1068" s="12" t="s">
        <v>226</v>
      </c>
      <c r="C1068" s="12" t="s">
        <v>158</v>
      </c>
      <c r="D1068" s="80">
        <v>41867</v>
      </c>
      <c r="E1068" s="81">
        <v>1177</v>
      </c>
      <c r="F1068" s="76" t="s">
        <v>150</v>
      </c>
      <c r="G1068" s="77" t="s">
        <v>161</v>
      </c>
      <c r="H1068" s="77" t="s">
        <v>153</v>
      </c>
      <c r="I1068" s="86">
        <v>41821</v>
      </c>
      <c r="J1068" s="78">
        <v>1200</v>
      </c>
      <c r="K1068" s="132" t="s">
        <v>20</v>
      </c>
      <c r="L1068" s="132" t="s">
        <v>288</v>
      </c>
      <c r="M1068" s="132" t="s">
        <v>267</v>
      </c>
      <c r="N1068" s="133">
        <v>41701</v>
      </c>
      <c r="O1068" s="134">
        <v>510</v>
      </c>
      <c r="P1068" s="132" t="s">
        <v>151</v>
      </c>
      <c r="Q1068" s="132" t="s">
        <v>279</v>
      </c>
      <c r="R1068" s="132" t="s">
        <v>267</v>
      </c>
      <c r="S1068" s="133">
        <v>41863</v>
      </c>
      <c r="T1068" s="134">
        <v>545.9</v>
      </c>
      <c r="U1068" s="132" t="s">
        <v>154</v>
      </c>
      <c r="V1068" s="132" t="s">
        <v>187</v>
      </c>
      <c r="W1068" s="132" t="s">
        <v>153</v>
      </c>
      <c r="X1068" s="133">
        <v>41852</v>
      </c>
      <c r="Y1068" s="134">
        <v>1150</v>
      </c>
    </row>
    <row r="1069" spans="1:25" x14ac:dyDescent="0.25">
      <c r="A1069" s="92" t="s">
        <v>148</v>
      </c>
      <c r="B1069" s="12" t="s">
        <v>226</v>
      </c>
      <c r="C1069" s="12" t="s">
        <v>158</v>
      </c>
      <c r="D1069" s="80">
        <v>41869</v>
      </c>
      <c r="E1069" s="81">
        <v>1475</v>
      </c>
      <c r="F1069" s="76" t="s">
        <v>150</v>
      </c>
      <c r="G1069" s="77" t="s">
        <v>161</v>
      </c>
      <c r="H1069" s="77" t="s">
        <v>153</v>
      </c>
      <c r="I1069" s="86">
        <v>41822</v>
      </c>
      <c r="J1069" s="78">
        <v>803</v>
      </c>
      <c r="K1069" s="132" t="s">
        <v>20</v>
      </c>
      <c r="L1069" s="132" t="s">
        <v>288</v>
      </c>
      <c r="M1069" s="132" t="s">
        <v>267</v>
      </c>
      <c r="N1069" s="133">
        <v>41874</v>
      </c>
      <c r="O1069" s="134">
        <v>1144</v>
      </c>
      <c r="P1069" s="132" t="s">
        <v>151</v>
      </c>
      <c r="Q1069" s="132" t="s">
        <v>279</v>
      </c>
      <c r="R1069" s="132" t="s">
        <v>267</v>
      </c>
      <c r="S1069" s="133">
        <v>41864</v>
      </c>
      <c r="T1069" s="134">
        <v>615.70000000000005</v>
      </c>
      <c r="U1069" s="132" t="s">
        <v>154</v>
      </c>
      <c r="V1069" s="132" t="s">
        <v>187</v>
      </c>
      <c r="W1069" s="132" t="s">
        <v>153</v>
      </c>
      <c r="X1069" s="133">
        <v>41855</v>
      </c>
      <c r="Y1069" s="134">
        <v>1125</v>
      </c>
    </row>
    <row r="1070" spans="1:25" x14ac:dyDescent="0.25">
      <c r="A1070" s="92" t="s">
        <v>148</v>
      </c>
      <c r="B1070" s="12" t="s">
        <v>226</v>
      </c>
      <c r="C1070" s="12" t="s">
        <v>158</v>
      </c>
      <c r="D1070" s="80">
        <v>41870</v>
      </c>
      <c r="E1070" s="81">
        <v>800</v>
      </c>
      <c r="F1070" s="76" t="s">
        <v>150</v>
      </c>
      <c r="G1070" s="77" t="s">
        <v>161</v>
      </c>
      <c r="H1070" s="77" t="s">
        <v>153</v>
      </c>
      <c r="I1070" s="86">
        <v>41826</v>
      </c>
      <c r="J1070" s="78">
        <v>932</v>
      </c>
      <c r="K1070" s="132" t="s">
        <v>20</v>
      </c>
      <c r="L1070" s="132" t="s">
        <v>288</v>
      </c>
      <c r="M1070" s="132" t="s">
        <v>267</v>
      </c>
      <c r="N1070" s="133">
        <v>41891</v>
      </c>
      <c r="O1070" s="134">
        <v>677</v>
      </c>
      <c r="P1070" s="132" t="s">
        <v>151</v>
      </c>
      <c r="Q1070" s="132" t="s">
        <v>279</v>
      </c>
      <c r="R1070" s="132" t="s">
        <v>267</v>
      </c>
      <c r="S1070" s="133">
        <v>41865</v>
      </c>
      <c r="T1070" s="134">
        <v>907.4</v>
      </c>
      <c r="U1070" s="132" t="s">
        <v>154</v>
      </c>
      <c r="V1070" s="132" t="s">
        <v>187</v>
      </c>
      <c r="W1070" s="132" t="s">
        <v>153</v>
      </c>
      <c r="X1070" s="133">
        <v>41856</v>
      </c>
      <c r="Y1070" s="134">
        <v>1200</v>
      </c>
    </row>
    <row r="1071" spans="1:25" x14ac:dyDescent="0.25">
      <c r="A1071" s="92" t="s">
        <v>148</v>
      </c>
      <c r="B1071" s="12" t="s">
        <v>226</v>
      </c>
      <c r="C1071" s="12" t="s">
        <v>158</v>
      </c>
      <c r="D1071" s="80">
        <v>41871</v>
      </c>
      <c r="E1071" s="81">
        <v>800</v>
      </c>
      <c r="F1071" s="76" t="s">
        <v>150</v>
      </c>
      <c r="G1071" s="77" t="s">
        <v>161</v>
      </c>
      <c r="H1071" s="77" t="s">
        <v>153</v>
      </c>
      <c r="I1071" s="86">
        <v>41828</v>
      </c>
      <c r="J1071" s="78">
        <v>1046</v>
      </c>
      <c r="K1071" s="132" t="s">
        <v>20</v>
      </c>
      <c r="L1071" s="132" t="s">
        <v>288</v>
      </c>
      <c r="M1071" s="132" t="s">
        <v>267</v>
      </c>
      <c r="N1071" s="133">
        <v>41933</v>
      </c>
      <c r="O1071" s="134">
        <v>281</v>
      </c>
      <c r="P1071" s="132" t="s">
        <v>151</v>
      </c>
      <c r="Q1071" s="132" t="s">
        <v>279</v>
      </c>
      <c r="R1071" s="132" t="s">
        <v>267</v>
      </c>
      <c r="S1071" s="133">
        <v>41870</v>
      </c>
      <c r="T1071" s="134">
        <v>713.5</v>
      </c>
      <c r="U1071" s="132" t="s">
        <v>154</v>
      </c>
      <c r="V1071" s="132" t="s">
        <v>187</v>
      </c>
      <c r="W1071" s="132" t="s">
        <v>153</v>
      </c>
      <c r="X1071" s="133">
        <v>41857</v>
      </c>
      <c r="Y1071" s="134">
        <v>1112</v>
      </c>
    </row>
    <row r="1072" spans="1:25" x14ac:dyDescent="0.25">
      <c r="A1072" s="92" t="s">
        <v>148</v>
      </c>
      <c r="B1072" s="12" t="s">
        <v>226</v>
      </c>
      <c r="C1072" s="12" t="s">
        <v>158</v>
      </c>
      <c r="D1072" s="80">
        <v>41941</v>
      </c>
      <c r="E1072" s="81">
        <v>730</v>
      </c>
      <c r="F1072" s="76" t="s">
        <v>150</v>
      </c>
      <c r="G1072" s="77" t="s">
        <v>161</v>
      </c>
      <c r="H1072" s="77" t="s">
        <v>153</v>
      </c>
      <c r="I1072" s="86">
        <v>41830</v>
      </c>
      <c r="J1072" s="78">
        <v>561</v>
      </c>
      <c r="K1072" s="132" t="s">
        <v>20</v>
      </c>
      <c r="L1072" s="132" t="s">
        <v>288</v>
      </c>
      <c r="M1072" s="132" t="s">
        <v>267</v>
      </c>
      <c r="N1072" s="133">
        <v>41935</v>
      </c>
      <c r="O1072" s="134">
        <v>522</v>
      </c>
      <c r="P1072" s="132" t="s">
        <v>151</v>
      </c>
      <c r="Q1072" s="132" t="s">
        <v>279</v>
      </c>
      <c r="R1072" s="132" t="s">
        <v>267</v>
      </c>
      <c r="S1072" s="133">
        <v>41939</v>
      </c>
      <c r="T1072" s="134">
        <v>373</v>
      </c>
      <c r="U1072" s="132" t="s">
        <v>154</v>
      </c>
      <c r="V1072" s="132" t="s">
        <v>187</v>
      </c>
      <c r="W1072" s="132" t="s">
        <v>153</v>
      </c>
      <c r="X1072" s="133">
        <v>41858</v>
      </c>
      <c r="Y1072" s="134">
        <v>1133</v>
      </c>
    </row>
    <row r="1073" spans="1:25" x14ac:dyDescent="0.25">
      <c r="A1073" s="92" t="s">
        <v>148</v>
      </c>
      <c r="B1073" s="12" t="s">
        <v>226</v>
      </c>
      <c r="C1073" s="12" t="s">
        <v>158</v>
      </c>
      <c r="D1073" s="80">
        <v>41945</v>
      </c>
      <c r="E1073" s="81">
        <v>1600</v>
      </c>
      <c r="F1073" s="76" t="s">
        <v>150</v>
      </c>
      <c r="G1073" s="77" t="s">
        <v>161</v>
      </c>
      <c r="H1073" s="77" t="s">
        <v>153</v>
      </c>
      <c r="I1073" s="86">
        <v>41830</v>
      </c>
      <c r="J1073" s="78">
        <v>951</v>
      </c>
      <c r="K1073" s="132" t="s">
        <v>20</v>
      </c>
      <c r="L1073" s="132" t="s">
        <v>288</v>
      </c>
      <c r="M1073" s="132" t="s">
        <v>267</v>
      </c>
      <c r="N1073" s="133">
        <v>41940</v>
      </c>
      <c r="O1073" s="134">
        <v>537</v>
      </c>
      <c r="P1073" s="132" t="s">
        <v>151</v>
      </c>
      <c r="Q1073" s="132" t="s">
        <v>279</v>
      </c>
      <c r="R1073" s="132" t="s">
        <v>267</v>
      </c>
      <c r="S1073" s="133">
        <v>41943</v>
      </c>
      <c r="T1073" s="134">
        <v>867.5</v>
      </c>
      <c r="U1073" s="132" t="s">
        <v>154</v>
      </c>
      <c r="V1073" s="132" t="s">
        <v>187</v>
      </c>
      <c r="W1073" s="132" t="s">
        <v>153</v>
      </c>
      <c r="X1073" s="133">
        <v>41859</v>
      </c>
      <c r="Y1073" s="134">
        <v>820</v>
      </c>
    </row>
    <row r="1074" spans="1:25" x14ac:dyDescent="0.25">
      <c r="A1074" s="92" t="s">
        <v>148</v>
      </c>
      <c r="B1074" s="12" t="s">
        <v>226</v>
      </c>
      <c r="C1074" s="12" t="s">
        <v>158</v>
      </c>
      <c r="D1074" s="80">
        <v>41946</v>
      </c>
      <c r="E1074" s="81">
        <v>700</v>
      </c>
      <c r="F1074" s="76" t="s">
        <v>150</v>
      </c>
      <c r="G1074" s="77" t="s">
        <v>161</v>
      </c>
      <c r="H1074" s="77" t="s">
        <v>153</v>
      </c>
      <c r="I1074" s="86">
        <v>41836</v>
      </c>
      <c r="J1074" s="78">
        <v>844</v>
      </c>
      <c r="K1074" s="132" t="s">
        <v>20</v>
      </c>
      <c r="L1074" s="132" t="s">
        <v>288</v>
      </c>
      <c r="M1074" s="132" t="s">
        <v>267</v>
      </c>
      <c r="N1074" s="133">
        <v>41986</v>
      </c>
      <c r="O1074" s="134">
        <v>1389</v>
      </c>
      <c r="P1074" s="132" t="s">
        <v>151</v>
      </c>
      <c r="Q1074" s="132" t="s">
        <v>279</v>
      </c>
      <c r="R1074" s="132" t="s">
        <v>267</v>
      </c>
      <c r="S1074" s="133">
        <v>41944</v>
      </c>
      <c r="T1074" s="134">
        <v>574.20000000000005</v>
      </c>
      <c r="U1074" s="132" t="s">
        <v>154</v>
      </c>
      <c r="V1074" s="132" t="s">
        <v>187</v>
      </c>
      <c r="W1074" s="132" t="s">
        <v>153</v>
      </c>
      <c r="X1074" s="133">
        <v>41862</v>
      </c>
      <c r="Y1074" s="134">
        <v>811</v>
      </c>
    </row>
    <row r="1075" spans="1:25" x14ac:dyDescent="0.25">
      <c r="A1075" s="92" t="s">
        <v>148</v>
      </c>
      <c r="B1075" s="12" t="s">
        <v>226</v>
      </c>
      <c r="C1075" s="12" t="s">
        <v>158</v>
      </c>
      <c r="D1075" s="80">
        <v>41947</v>
      </c>
      <c r="E1075" s="81">
        <v>750</v>
      </c>
      <c r="F1075" s="76" t="s">
        <v>150</v>
      </c>
      <c r="G1075" s="77" t="s">
        <v>161</v>
      </c>
      <c r="H1075" s="77" t="s">
        <v>153</v>
      </c>
      <c r="I1075" s="86">
        <v>41840</v>
      </c>
      <c r="J1075" s="78">
        <v>732</v>
      </c>
      <c r="K1075" s="132" t="s">
        <v>20</v>
      </c>
      <c r="L1075" s="132" t="s">
        <v>289</v>
      </c>
      <c r="M1075" s="132" t="s">
        <v>267</v>
      </c>
      <c r="N1075" s="133">
        <v>41646</v>
      </c>
      <c r="O1075" s="134">
        <v>1391</v>
      </c>
      <c r="P1075" s="132" t="s">
        <v>151</v>
      </c>
      <c r="Q1075" s="132" t="s">
        <v>279</v>
      </c>
      <c r="R1075" s="132" t="s">
        <v>267</v>
      </c>
      <c r="S1075" s="133">
        <v>41948</v>
      </c>
      <c r="T1075" s="134">
        <v>656.3</v>
      </c>
      <c r="U1075" s="132" t="s">
        <v>154</v>
      </c>
      <c r="V1075" s="132" t="s">
        <v>187</v>
      </c>
      <c r="W1075" s="132" t="s">
        <v>153</v>
      </c>
      <c r="X1075" s="133">
        <v>41863</v>
      </c>
      <c r="Y1075" s="134">
        <v>925</v>
      </c>
    </row>
    <row r="1076" spans="1:25" x14ac:dyDescent="0.25">
      <c r="A1076" s="92" t="s">
        <v>148</v>
      </c>
      <c r="B1076" s="12" t="s">
        <v>226</v>
      </c>
      <c r="C1076" s="12" t="s">
        <v>158</v>
      </c>
      <c r="D1076" s="80">
        <v>41948</v>
      </c>
      <c r="E1076" s="81">
        <v>775</v>
      </c>
      <c r="F1076" s="76" t="s">
        <v>150</v>
      </c>
      <c r="G1076" s="77" t="s">
        <v>161</v>
      </c>
      <c r="H1076" s="77" t="s">
        <v>153</v>
      </c>
      <c r="I1076" s="86">
        <v>41842</v>
      </c>
      <c r="J1076" s="78">
        <v>903</v>
      </c>
      <c r="K1076" s="132" t="s">
        <v>20</v>
      </c>
      <c r="L1076" s="132" t="s">
        <v>289</v>
      </c>
      <c r="M1076" s="132" t="s">
        <v>267</v>
      </c>
      <c r="N1076" s="133">
        <v>41658</v>
      </c>
      <c r="O1076" s="134">
        <v>21</v>
      </c>
      <c r="P1076" s="132" t="s">
        <v>151</v>
      </c>
      <c r="Q1076" s="132" t="s">
        <v>279</v>
      </c>
      <c r="R1076" s="132" t="s">
        <v>267</v>
      </c>
      <c r="S1076" s="133">
        <v>41956</v>
      </c>
      <c r="T1076" s="134">
        <v>480.7</v>
      </c>
      <c r="U1076" s="132" t="s">
        <v>154</v>
      </c>
      <c r="V1076" s="132" t="s">
        <v>187</v>
      </c>
      <c r="W1076" s="132" t="s">
        <v>153</v>
      </c>
      <c r="X1076" s="133">
        <v>41864</v>
      </c>
      <c r="Y1076" s="134">
        <v>1151</v>
      </c>
    </row>
    <row r="1077" spans="1:25" x14ac:dyDescent="0.25">
      <c r="A1077" s="92" t="s">
        <v>148</v>
      </c>
      <c r="B1077" s="12" t="s">
        <v>226</v>
      </c>
      <c r="C1077" s="12" t="s">
        <v>158</v>
      </c>
      <c r="D1077" s="80">
        <v>41949</v>
      </c>
      <c r="E1077" s="81">
        <v>850</v>
      </c>
      <c r="F1077" s="76" t="s">
        <v>150</v>
      </c>
      <c r="G1077" s="77" t="s">
        <v>161</v>
      </c>
      <c r="H1077" s="77" t="s">
        <v>153</v>
      </c>
      <c r="I1077" s="86">
        <v>41846</v>
      </c>
      <c r="J1077" s="78">
        <v>690</v>
      </c>
      <c r="K1077" s="132" t="s">
        <v>20</v>
      </c>
      <c r="L1077" s="132" t="s">
        <v>289</v>
      </c>
      <c r="M1077" s="132" t="s">
        <v>267</v>
      </c>
      <c r="N1077" s="133">
        <v>41726</v>
      </c>
      <c r="O1077" s="134">
        <v>1069</v>
      </c>
      <c r="P1077" s="132" t="s">
        <v>151</v>
      </c>
      <c r="Q1077" s="132" t="s">
        <v>280</v>
      </c>
      <c r="R1077" s="132" t="s">
        <v>267</v>
      </c>
      <c r="S1077" s="133">
        <v>41649</v>
      </c>
      <c r="T1077" s="134">
        <v>576.6</v>
      </c>
      <c r="U1077" s="132" t="s">
        <v>154</v>
      </c>
      <c r="V1077" s="132" t="s">
        <v>187</v>
      </c>
      <c r="W1077" s="132" t="s">
        <v>153</v>
      </c>
      <c r="X1077" s="133">
        <v>41865</v>
      </c>
      <c r="Y1077" s="134">
        <v>860</v>
      </c>
    </row>
    <row r="1078" spans="1:25" x14ac:dyDescent="0.25">
      <c r="A1078" s="92" t="s">
        <v>148</v>
      </c>
      <c r="B1078" s="12" t="s">
        <v>226</v>
      </c>
      <c r="C1078" s="12" t="s">
        <v>158</v>
      </c>
      <c r="D1078" s="80">
        <v>41950</v>
      </c>
      <c r="E1078" s="81">
        <v>795</v>
      </c>
      <c r="F1078" s="76" t="s">
        <v>150</v>
      </c>
      <c r="G1078" s="77" t="s">
        <v>161</v>
      </c>
      <c r="H1078" s="77" t="s">
        <v>153</v>
      </c>
      <c r="I1078" s="86">
        <v>41846</v>
      </c>
      <c r="J1078" s="78">
        <v>1031</v>
      </c>
      <c r="K1078" s="132" t="s">
        <v>20</v>
      </c>
      <c r="L1078" s="132" t="s">
        <v>289</v>
      </c>
      <c r="M1078" s="132" t="s">
        <v>267</v>
      </c>
      <c r="N1078" s="133">
        <v>41737</v>
      </c>
      <c r="O1078" s="134">
        <v>763</v>
      </c>
      <c r="P1078" s="132" t="s">
        <v>151</v>
      </c>
      <c r="Q1078" s="132" t="s">
        <v>280</v>
      </c>
      <c r="R1078" s="132" t="s">
        <v>267</v>
      </c>
      <c r="S1078" s="133">
        <v>41652</v>
      </c>
      <c r="T1078" s="134">
        <v>371.7</v>
      </c>
      <c r="U1078" s="132" t="s">
        <v>154</v>
      </c>
      <c r="V1078" s="132" t="s">
        <v>187</v>
      </c>
      <c r="W1078" s="132" t="s">
        <v>153</v>
      </c>
      <c r="X1078" s="133">
        <v>41869</v>
      </c>
      <c r="Y1078" s="134">
        <v>450</v>
      </c>
    </row>
    <row r="1079" spans="1:25" x14ac:dyDescent="0.25">
      <c r="A1079" s="92" t="s">
        <v>148</v>
      </c>
      <c r="B1079" s="12" t="s">
        <v>226</v>
      </c>
      <c r="C1079" s="12" t="s">
        <v>158</v>
      </c>
      <c r="D1079" s="80">
        <v>41954</v>
      </c>
      <c r="E1079" s="81">
        <v>1250</v>
      </c>
      <c r="F1079" s="76" t="s">
        <v>150</v>
      </c>
      <c r="G1079" s="77" t="s">
        <v>161</v>
      </c>
      <c r="H1079" s="77" t="s">
        <v>153</v>
      </c>
      <c r="I1079" s="86">
        <v>41847</v>
      </c>
      <c r="J1079" s="78">
        <v>814</v>
      </c>
      <c r="K1079" s="132" t="s">
        <v>20</v>
      </c>
      <c r="L1079" s="132" t="s">
        <v>289</v>
      </c>
      <c r="M1079" s="132" t="s">
        <v>267</v>
      </c>
      <c r="N1079" s="133">
        <v>41739</v>
      </c>
      <c r="O1079" s="134">
        <v>257</v>
      </c>
      <c r="P1079" s="132" t="s">
        <v>151</v>
      </c>
      <c r="Q1079" s="132" t="s">
        <v>280</v>
      </c>
      <c r="R1079" s="132" t="s">
        <v>267</v>
      </c>
      <c r="S1079" s="133">
        <v>41689</v>
      </c>
      <c r="T1079" s="134">
        <v>319.8</v>
      </c>
      <c r="U1079" s="132" t="s">
        <v>154</v>
      </c>
      <c r="V1079" s="132" t="s">
        <v>187</v>
      </c>
      <c r="W1079" s="132" t="s">
        <v>153</v>
      </c>
      <c r="X1079" s="133">
        <v>41870</v>
      </c>
      <c r="Y1079" s="134">
        <v>915</v>
      </c>
    </row>
    <row r="1080" spans="1:25" x14ac:dyDescent="0.25">
      <c r="A1080" s="92" t="s">
        <v>148</v>
      </c>
      <c r="B1080" s="12" t="s">
        <v>226</v>
      </c>
      <c r="C1080" s="12" t="s">
        <v>158</v>
      </c>
      <c r="D1080" s="80">
        <v>41955</v>
      </c>
      <c r="E1080" s="81">
        <v>700</v>
      </c>
      <c r="F1080" s="76" t="s">
        <v>150</v>
      </c>
      <c r="G1080" s="77" t="s">
        <v>161</v>
      </c>
      <c r="H1080" s="77" t="s">
        <v>153</v>
      </c>
      <c r="I1080" s="86">
        <v>41849</v>
      </c>
      <c r="J1080" s="78">
        <v>1341</v>
      </c>
      <c r="K1080" s="132" t="s">
        <v>20</v>
      </c>
      <c r="L1080" s="132" t="s">
        <v>289</v>
      </c>
      <c r="M1080" s="132" t="s">
        <v>267</v>
      </c>
      <c r="N1080" s="133">
        <v>41743</v>
      </c>
      <c r="O1080" s="134">
        <v>985</v>
      </c>
      <c r="P1080" s="132" t="s">
        <v>151</v>
      </c>
      <c r="Q1080" s="132" t="s">
        <v>280</v>
      </c>
      <c r="R1080" s="132" t="s">
        <v>267</v>
      </c>
      <c r="S1080" s="133">
        <v>41690</v>
      </c>
      <c r="T1080" s="134">
        <v>961.6</v>
      </c>
      <c r="U1080" s="132" t="s">
        <v>154</v>
      </c>
      <c r="V1080" s="132" t="s">
        <v>187</v>
      </c>
      <c r="W1080" s="132" t="s">
        <v>153</v>
      </c>
      <c r="X1080" s="133">
        <v>41871</v>
      </c>
      <c r="Y1080" s="134">
        <v>850</v>
      </c>
    </row>
    <row r="1081" spans="1:25" x14ac:dyDescent="0.25">
      <c r="A1081" s="92" t="s">
        <v>148</v>
      </c>
      <c r="B1081" s="12" t="s">
        <v>226</v>
      </c>
      <c r="C1081" s="12" t="s">
        <v>158</v>
      </c>
      <c r="D1081" s="80">
        <v>41956</v>
      </c>
      <c r="E1081" s="81">
        <v>700</v>
      </c>
      <c r="F1081" s="76" t="s">
        <v>150</v>
      </c>
      <c r="G1081" s="77" t="s">
        <v>161</v>
      </c>
      <c r="H1081" s="77" t="s">
        <v>153</v>
      </c>
      <c r="I1081" s="86">
        <v>41850</v>
      </c>
      <c r="J1081" s="78">
        <v>493</v>
      </c>
      <c r="K1081" s="132" t="s">
        <v>20</v>
      </c>
      <c r="L1081" s="132" t="s">
        <v>289</v>
      </c>
      <c r="M1081" s="132" t="s">
        <v>267</v>
      </c>
      <c r="N1081" s="133">
        <v>41750</v>
      </c>
      <c r="O1081" s="134">
        <v>1502</v>
      </c>
      <c r="P1081" s="132" t="s">
        <v>151</v>
      </c>
      <c r="Q1081" s="132" t="s">
        <v>280</v>
      </c>
      <c r="R1081" s="132" t="s">
        <v>267</v>
      </c>
      <c r="S1081" s="133">
        <v>41691</v>
      </c>
      <c r="T1081" s="134">
        <v>348.4</v>
      </c>
      <c r="U1081" s="132" t="s">
        <v>154</v>
      </c>
      <c r="V1081" s="132" t="s">
        <v>187</v>
      </c>
      <c r="W1081" s="132" t="s">
        <v>153</v>
      </c>
      <c r="X1081" s="133">
        <v>41872</v>
      </c>
      <c r="Y1081" s="134">
        <v>550</v>
      </c>
    </row>
    <row r="1082" spans="1:25" x14ac:dyDescent="0.25">
      <c r="A1082" s="92" t="s">
        <v>148</v>
      </c>
      <c r="B1082" s="12" t="s">
        <v>226</v>
      </c>
      <c r="C1082" s="12" t="s">
        <v>158</v>
      </c>
      <c r="D1082" s="80">
        <v>41957</v>
      </c>
      <c r="E1082" s="81">
        <v>800</v>
      </c>
      <c r="F1082" s="76" t="s">
        <v>150</v>
      </c>
      <c r="G1082" s="77" t="s">
        <v>161</v>
      </c>
      <c r="H1082" s="77" t="s">
        <v>153</v>
      </c>
      <c r="I1082" s="86">
        <v>41850</v>
      </c>
      <c r="J1082" s="78">
        <v>730</v>
      </c>
      <c r="K1082" s="132" t="s">
        <v>20</v>
      </c>
      <c r="L1082" s="132" t="s">
        <v>289</v>
      </c>
      <c r="M1082" s="132" t="s">
        <v>267</v>
      </c>
      <c r="N1082" s="133">
        <v>41751</v>
      </c>
      <c r="O1082" s="134">
        <v>375</v>
      </c>
      <c r="P1082" s="132" t="s">
        <v>151</v>
      </c>
      <c r="Q1082" s="132" t="s">
        <v>280</v>
      </c>
      <c r="R1082" s="132" t="s">
        <v>267</v>
      </c>
      <c r="S1082" s="133">
        <v>41813</v>
      </c>
      <c r="T1082" s="134">
        <v>423.5</v>
      </c>
      <c r="U1082" s="132" t="s">
        <v>154</v>
      </c>
      <c r="V1082" s="132" t="s">
        <v>187</v>
      </c>
      <c r="W1082" s="132" t="s">
        <v>153</v>
      </c>
      <c r="X1082" s="133">
        <v>41873</v>
      </c>
      <c r="Y1082" s="134">
        <v>785</v>
      </c>
    </row>
    <row r="1083" spans="1:25" x14ac:dyDescent="0.25">
      <c r="A1083" s="92" t="s">
        <v>148</v>
      </c>
      <c r="B1083" s="12" t="s">
        <v>226</v>
      </c>
      <c r="C1083" s="12" t="s">
        <v>158</v>
      </c>
      <c r="D1083" s="80">
        <v>41958</v>
      </c>
      <c r="E1083" s="81">
        <v>633</v>
      </c>
      <c r="F1083" s="76" t="s">
        <v>150</v>
      </c>
      <c r="G1083" s="77" t="s">
        <v>161</v>
      </c>
      <c r="H1083" s="77" t="s">
        <v>153</v>
      </c>
      <c r="I1083" s="86">
        <v>41851</v>
      </c>
      <c r="J1083" s="78">
        <v>820</v>
      </c>
      <c r="K1083" s="132" t="s">
        <v>20</v>
      </c>
      <c r="L1083" s="132" t="s">
        <v>289</v>
      </c>
      <c r="M1083" s="132" t="s">
        <v>267</v>
      </c>
      <c r="N1083" s="133">
        <v>41761</v>
      </c>
      <c r="O1083" s="134">
        <v>353</v>
      </c>
      <c r="P1083" s="132" t="s">
        <v>151</v>
      </c>
      <c r="Q1083" s="132" t="s">
        <v>280</v>
      </c>
      <c r="R1083" s="132" t="s">
        <v>267</v>
      </c>
      <c r="S1083" s="133">
        <v>41817</v>
      </c>
      <c r="T1083" s="134">
        <v>901.2</v>
      </c>
      <c r="U1083" s="132" t="s">
        <v>154</v>
      </c>
      <c r="V1083" s="132" t="s">
        <v>187</v>
      </c>
      <c r="W1083" s="132" t="s">
        <v>153</v>
      </c>
      <c r="X1083" s="133">
        <v>41874</v>
      </c>
      <c r="Y1083" s="134">
        <v>472</v>
      </c>
    </row>
    <row r="1084" spans="1:25" x14ac:dyDescent="0.25">
      <c r="A1084" s="92" t="s">
        <v>148</v>
      </c>
      <c r="B1084" s="12" t="s">
        <v>226</v>
      </c>
      <c r="C1084" s="12" t="s">
        <v>158</v>
      </c>
      <c r="D1084" s="80">
        <v>41959</v>
      </c>
      <c r="E1084" s="81">
        <v>795</v>
      </c>
      <c r="F1084" s="76" t="s">
        <v>150</v>
      </c>
      <c r="G1084" s="77" t="s">
        <v>161</v>
      </c>
      <c r="H1084" s="77" t="s">
        <v>153</v>
      </c>
      <c r="I1084" s="86">
        <v>41858</v>
      </c>
      <c r="J1084" s="78">
        <v>552</v>
      </c>
      <c r="K1084" s="132" t="s">
        <v>20</v>
      </c>
      <c r="L1084" s="132" t="s">
        <v>289</v>
      </c>
      <c r="M1084" s="132" t="s">
        <v>267</v>
      </c>
      <c r="N1084" s="133">
        <v>41809</v>
      </c>
      <c r="O1084" s="134">
        <v>731</v>
      </c>
      <c r="P1084" s="132" t="s">
        <v>151</v>
      </c>
      <c r="Q1084" s="132" t="s">
        <v>280</v>
      </c>
      <c r="R1084" s="132" t="s">
        <v>267</v>
      </c>
      <c r="S1084" s="133">
        <v>41879</v>
      </c>
      <c r="T1084" s="134">
        <v>430.6</v>
      </c>
      <c r="U1084" s="132" t="s">
        <v>154</v>
      </c>
      <c r="V1084" s="132" t="s">
        <v>187</v>
      </c>
      <c r="W1084" s="132" t="s">
        <v>153</v>
      </c>
      <c r="X1084" s="133">
        <v>41874</v>
      </c>
      <c r="Y1084" s="134">
        <v>458</v>
      </c>
    </row>
    <row r="1085" spans="1:25" x14ac:dyDescent="0.25">
      <c r="A1085" s="92" t="s">
        <v>148</v>
      </c>
      <c r="B1085" s="12" t="s">
        <v>226</v>
      </c>
      <c r="C1085" s="12" t="s">
        <v>158</v>
      </c>
      <c r="D1085" s="80">
        <v>41960</v>
      </c>
      <c r="E1085" s="81">
        <v>710</v>
      </c>
      <c r="F1085" s="76" t="s">
        <v>150</v>
      </c>
      <c r="G1085" s="77" t="s">
        <v>161</v>
      </c>
      <c r="H1085" s="77" t="s">
        <v>153</v>
      </c>
      <c r="I1085" s="86">
        <v>41859</v>
      </c>
      <c r="J1085" s="78">
        <v>860</v>
      </c>
      <c r="K1085" s="132" t="s">
        <v>20</v>
      </c>
      <c r="L1085" s="132" t="s">
        <v>289</v>
      </c>
      <c r="M1085" s="132" t="s">
        <v>267</v>
      </c>
      <c r="N1085" s="133">
        <v>41810</v>
      </c>
      <c r="O1085" s="134">
        <v>754</v>
      </c>
      <c r="P1085" s="132" t="s">
        <v>151</v>
      </c>
      <c r="Q1085" s="132" t="s">
        <v>280</v>
      </c>
      <c r="R1085" s="132" t="s">
        <v>267</v>
      </c>
      <c r="S1085" s="133">
        <v>41880</v>
      </c>
      <c r="T1085" s="134">
        <v>498.5</v>
      </c>
      <c r="U1085" s="132" t="s">
        <v>154</v>
      </c>
      <c r="V1085" s="132" t="s">
        <v>187</v>
      </c>
      <c r="W1085" s="132" t="s">
        <v>153</v>
      </c>
      <c r="X1085" s="133">
        <v>41875</v>
      </c>
      <c r="Y1085" s="134">
        <v>616</v>
      </c>
    </row>
    <row r="1086" spans="1:25" x14ac:dyDescent="0.25">
      <c r="A1086" s="92" t="s">
        <v>148</v>
      </c>
      <c r="B1086" s="12" t="s">
        <v>226</v>
      </c>
      <c r="C1086" s="12" t="s">
        <v>158</v>
      </c>
      <c r="D1086" s="80">
        <v>41961</v>
      </c>
      <c r="E1086" s="81">
        <v>750</v>
      </c>
      <c r="F1086" s="76" t="s">
        <v>150</v>
      </c>
      <c r="G1086" s="77" t="s">
        <v>161</v>
      </c>
      <c r="H1086" s="77" t="s">
        <v>153</v>
      </c>
      <c r="I1086" s="86">
        <v>41863</v>
      </c>
      <c r="J1086" s="78">
        <v>823</v>
      </c>
      <c r="K1086" s="132" t="s">
        <v>20</v>
      </c>
      <c r="L1086" s="132" t="s">
        <v>289</v>
      </c>
      <c r="M1086" s="132" t="s">
        <v>267</v>
      </c>
      <c r="N1086" s="133">
        <v>41866</v>
      </c>
      <c r="O1086" s="134">
        <v>664</v>
      </c>
      <c r="P1086" s="132" t="s">
        <v>151</v>
      </c>
      <c r="Q1086" s="132" t="s">
        <v>280</v>
      </c>
      <c r="R1086" s="132" t="s">
        <v>267</v>
      </c>
      <c r="S1086" s="133">
        <v>41890</v>
      </c>
      <c r="T1086" s="134">
        <v>418.7</v>
      </c>
      <c r="U1086" s="132" t="s">
        <v>154</v>
      </c>
      <c r="V1086" s="132" t="s">
        <v>187</v>
      </c>
      <c r="W1086" s="132" t="s">
        <v>153</v>
      </c>
      <c r="X1086" s="133">
        <v>41876</v>
      </c>
      <c r="Y1086" s="134">
        <v>1164</v>
      </c>
    </row>
    <row r="1087" spans="1:25" x14ac:dyDescent="0.25">
      <c r="A1087" s="92" t="s">
        <v>148</v>
      </c>
      <c r="B1087" s="12" t="s">
        <v>226</v>
      </c>
      <c r="C1087" s="12" t="s">
        <v>158</v>
      </c>
      <c r="D1087" s="80">
        <v>41962</v>
      </c>
      <c r="E1087" s="81">
        <v>732</v>
      </c>
      <c r="F1087" s="76" t="s">
        <v>150</v>
      </c>
      <c r="G1087" s="77" t="s">
        <v>161</v>
      </c>
      <c r="H1087" s="77" t="s">
        <v>153</v>
      </c>
      <c r="I1087" s="86">
        <v>41863</v>
      </c>
      <c r="J1087" s="78">
        <v>900</v>
      </c>
      <c r="K1087" s="132" t="s">
        <v>20</v>
      </c>
      <c r="L1087" s="132" t="s">
        <v>290</v>
      </c>
      <c r="M1087" s="132" t="s">
        <v>267</v>
      </c>
      <c r="N1087" s="133">
        <v>41658</v>
      </c>
      <c r="O1087" s="134">
        <v>1114</v>
      </c>
      <c r="P1087" s="132" t="s">
        <v>151</v>
      </c>
      <c r="Q1087" s="132" t="s">
        <v>280</v>
      </c>
      <c r="R1087" s="132" t="s">
        <v>267</v>
      </c>
      <c r="S1087" s="133">
        <v>41891</v>
      </c>
      <c r="T1087" s="134">
        <v>475.9</v>
      </c>
      <c r="U1087" s="132" t="s">
        <v>154</v>
      </c>
      <c r="V1087" s="132" t="s">
        <v>187</v>
      </c>
      <c r="W1087" s="132" t="s">
        <v>153</v>
      </c>
      <c r="X1087" s="133">
        <v>41877</v>
      </c>
      <c r="Y1087" s="134">
        <v>1165</v>
      </c>
    </row>
    <row r="1088" spans="1:25" x14ac:dyDescent="0.25">
      <c r="A1088" s="92" t="s">
        <v>148</v>
      </c>
      <c r="B1088" s="12" t="s">
        <v>226</v>
      </c>
      <c r="C1088" s="12" t="s">
        <v>158</v>
      </c>
      <c r="D1088" s="80">
        <v>41963</v>
      </c>
      <c r="E1088" s="81">
        <v>725</v>
      </c>
      <c r="F1088" s="76" t="s">
        <v>150</v>
      </c>
      <c r="G1088" s="77" t="s">
        <v>161</v>
      </c>
      <c r="H1088" s="77" t="s">
        <v>153</v>
      </c>
      <c r="I1088" s="86">
        <v>41865</v>
      </c>
      <c r="J1088" s="78">
        <v>1151</v>
      </c>
      <c r="K1088" s="132" t="s">
        <v>20</v>
      </c>
      <c r="L1088" s="132" t="s">
        <v>290</v>
      </c>
      <c r="M1088" s="132" t="s">
        <v>267</v>
      </c>
      <c r="N1088" s="133">
        <v>41661</v>
      </c>
      <c r="O1088" s="134">
        <v>1510</v>
      </c>
      <c r="P1088" s="132" t="s">
        <v>151</v>
      </c>
      <c r="Q1088" s="132" t="s">
        <v>280</v>
      </c>
      <c r="R1088" s="132" t="s">
        <v>267</v>
      </c>
      <c r="S1088" s="133">
        <v>41893</v>
      </c>
      <c r="T1088" s="134">
        <v>837.3</v>
      </c>
      <c r="U1088" s="132" t="s">
        <v>154</v>
      </c>
      <c r="V1088" s="132" t="s">
        <v>187</v>
      </c>
      <c r="W1088" s="132" t="s">
        <v>153</v>
      </c>
      <c r="X1088" s="133">
        <v>41878</v>
      </c>
      <c r="Y1088" s="134">
        <v>1000</v>
      </c>
    </row>
    <row r="1089" spans="1:25" x14ac:dyDescent="0.25">
      <c r="A1089" s="92" t="s">
        <v>148</v>
      </c>
      <c r="B1089" s="12" t="s">
        <v>226</v>
      </c>
      <c r="C1089" s="12" t="s">
        <v>158</v>
      </c>
      <c r="D1089" s="80">
        <v>41976</v>
      </c>
      <c r="E1089" s="81">
        <v>770</v>
      </c>
      <c r="F1089" s="76" t="s">
        <v>150</v>
      </c>
      <c r="G1089" s="77" t="s">
        <v>161</v>
      </c>
      <c r="H1089" s="77" t="s">
        <v>153</v>
      </c>
      <c r="I1089" s="86">
        <v>41865</v>
      </c>
      <c r="J1089" s="78">
        <v>1144</v>
      </c>
      <c r="K1089" s="132" t="s">
        <v>20</v>
      </c>
      <c r="L1089" s="132" t="s">
        <v>290</v>
      </c>
      <c r="M1089" s="132" t="s">
        <v>267</v>
      </c>
      <c r="N1089" s="133">
        <v>41670</v>
      </c>
      <c r="O1089" s="134">
        <v>512</v>
      </c>
      <c r="P1089" s="132" t="s">
        <v>151</v>
      </c>
      <c r="Q1089" s="132" t="s">
        <v>280</v>
      </c>
      <c r="R1089" s="132" t="s">
        <v>267</v>
      </c>
      <c r="S1089" s="133">
        <v>41894</v>
      </c>
      <c r="T1089" s="134">
        <v>461.5</v>
      </c>
      <c r="U1089" s="132" t="s">
        <v>154</v>
      </c>
      <c r="V1089" s="132" t="s">
        <v>187</v>
      </c>
      <c r="W1089" s="132" t="s">
        <v>153</v>
      </c>
      <c r="X1089" s="133">
        <v>41879</v>
      </c>
      <c r="Y1089" s="134">
        <v>931</v>
      </c>
    </row>
    <row r="1090" spans="1:25" x14ac:dyDescent="0.25">
      <c r="A1090" s="92" t="s">
        <v>148</v>
      </c>
      <c r="B1090" s="12" t="s">
        <v>226</v>
      </c>
      <c r="C1090" s="12" t="s">
        <v>158</v>
      </c>
      <c r="D1090" s="80">
        <v>41977</v>
      </c>
      <c r="E1090" s="81">
        <v>740</v>
      </c>
      <c r="F1090" s="76" t="s">
        <v>150</v>
      </c>
      <c r="G1090" s="77" t="s">
        <v>161</v>
      </c>
      <c r="H1090" s="77" t="s">
        <v>153</v>
      </c>
      <c r="I1090" s="86">
        <v>41868</v>
      </c>
      <c r="J1090" s="78">
        <v>1047</v>
      </c>
      <c r="K1090" s="132" t="s">
        <v>20</v>
      </c>
      <c r="L1090" s="132" t="s">
        <v>290</v>
      </c>
      <c r="M1090" s="132" t="s">
        <v>267</v>
      </c>
      <c r="N1090" s="133">
        <v>41702</v>
      </c>
      <c r="O1090" s="134">
        <v>725</v>
      </c>
      <c r="P1090" s="132" t="s">
        <v>151</v>
      </c>
      <c r="Q1090" s="132" t="s">
        <v>280</v>
      </c>
      <c r="R1090" s="132" t="s">
        <v>267</v>
      </c>
      <c r="S1090" s="133">
        <v>41908</v>
      </c>
      <c r="T1090" s="134">
        <v>653.1</v>
      </c>
      <c r="U1090" s="132" t="s">
        <v>154</v>
      </c>
      <c r="V1090" s="132" t="s">
        <v>187</v>
      </c>
      <c r="W1090" s="132" t="s">
        <v>153</v>
      </c>
      <c r="X1090" s="133">
        <v>41880</v>
      </c>
      <c r="Y1090" s="134">
        <v>1167</v>
      </c>
    </row>
    <row r="1091" spans="1:25" x14ac:dyDescent="0.25">
      <c r="A1091" s="92" t="s">
        <v>148</v>
      </c>
      <c r="B1091" s="12" t="s">
        <v>226</v>
      </c>
      <c r="C1091" s="12" t="s">
        <v>158</v>
      </c>
      <c r="D1091" s="80">
        <v>41979</v>
      </c>
      <c r="E1091" s="81">
        <v>625</v>
      </c>
      <c r="F1091" s="76" t="s">
        <v>150</v>
      </c>
      <c r="G1091" s="77" t="s">
        <v>161</v>
      </c>
      <c r="H1091" s="77" t="s">
        <v>153</v>
      </c>
      <c r="I1091" s="86">
        <v>41868</v>
      </c>
      <c r="J1091" s="78">
        <v>967</v>
      </c>
      <c r="K1091" s="132" t="s">
        <v>20</v>
      </c>
      <c r="L1091" s="132" t="s">
        <v>290</v>
      </c>
      <c r="M1091" s="132" t="s">
        <v>267</v>
      </c>
      <c r="N1091" s="133">
        <v>41704</v>
      </c>
      <c r="O1091" s="134">
        <v>463</v>
      </c>
      <c r="P1091" s="132" t="s">
        <v>151</v>
      </c>
      <c r="Q1091" s="132" t="s">
        <v>280</v>
      </c>
      <c r="R1091" s="132" t="s">
        <v>267</v>
      </c>
      <c r="S1091" s="133">
        <v>41911</v>
      </c>
      <c r="T1091" s="134">
        <v>600.70000000000005</v>
      </c>
      <c r="U1091" s="132" t="s">
        <v>154</v>
      </c>
      <c r="V1091" s="132" t="s">
        <v>187</v>
      </c>
      <c r="W1091" s="132" t="s">
        <v>153</v>
      </c>
      <c r="X1091" s="133">
        <v>41881</v>
      </c>
      <c r="Y1091" s="134">
        <v>508</v>
      </c>
    </row>
    <row r="1092" spans="1:25" x14ac:dyDescent="0.25">
      <c r="A1092" s="92" t="s">
        <v>148</v>
      </c>
      <c r="B1092" s="12" t="s">
        <v>226</v>
      </c>
      <c r="C1092" s="12" t="s">
        <v>158</v>
      </c>
      <c r="D1092" s="80">
        <v>41980</v>
      </c>
      <c r="E1092" s="81">
        <v>750</v>
      </c>
      <c r="F1092" s="76" t="s">
        <v>150</v>
      </c>
      <c r="G1092" s="77" t="s">
        <v>161</v>
      </c>
      <c r="H1092" s="77" t="s">
        <v>153</v>
      </c>
      <c r="I1092" s="86">
        <v>41869</v>
      </c>
      <c r="J1092" s="78">
        <v>993</v>
      </c>
      <c r="K1092" s="132" t="s">
        <v>20</v>
      </c>
      <c r="L1092" s="132" t="s">
        <v>290</v>
      </c>
      <c r="M1092" s="132" t="s">
        <v>267</v>
      </c>
      <c r="N1092" s="133">
        <v>41709</v>
      </c>
      <c r="O1092" s="134">
        <v>718</v>
      </c>
      <c r="P1092" s="132" t="s">
        <v>151</v>
      </c>
      <c r="Q1092" s="132" t="s">
        <v>280</v>
      </c>
      <c r="R1092" s="132" t="s">
        <v>267</v>
      </c>
      <c r="S1092" s="133">
        <v>41911</v>
      </c>
      <c r="T1092" s="134">
        <v>456</v>
      </c>
      <c r="U1092" s="132" t="s">
        <v>154</v>
      </c>
      <c r="V1092" s="132" t="s">
        <v>187</v>
      </c>
      <c r="W1092" s="132" t="s">
        <v>153</v>
      </c>
      <c r="X1092" s="133">
        <v>41881</v>
      </c>
      <c r="Y1092" s="134">
        <v>350</v>
      </c>
    </row>
    <row r="1093" spans="1:25" x14ac:dyDescent="0.25">
      <c r="A1093" s="92" t="s">
        <v>148</v>
      </c>
      <c r="B1093" s="12" t="s">
        <v>226</v>
      </c>
      <c r="C1093" s="12" t="s">
        <v>158</v>
      </c>
      <c r="D1093" s="80">
        <v>41981</v>
      </c>
      <c r="E1093" s="81">
        <v>600</v>
      </c>
      <c r="F1093" s="76" t="s">
        <v>150</v>
      </c>
      <c r="G1093" s="77" t="s">
        <v>161</v>
      </c>
      <c r="H1093" s="77" t="s">
        <v>153</v>
      </c>
      <c r="I1093" s="86">
        <v>41870</v>
      </c>
      <c r="J1093" s="78">
        <v>1127</v>
      </c>
      <c r="K1093" s="132" t="s">
        <v>20</v>
      </c>
      <c r="L1093" s="132" t="s">
        <v>290</v>
      </c>
      <c r="M1093" s="132" t="s">
        <v>267</v>
      </c>
      <c r="N1093" s="133">
        <v>41752</v>
      </c>
      <c r="O1093" s="134">
        <v>320</v>
      </c>
      <c r="P1093" s="132" t="s">
        <v>151</v>
      </c>
      <c r="Q1093" s="132" t="s">
        <v>280</v>
      </c>
      <c r="R1093" s="132" t="s">
        <v>267</v>
      </c>
      <c r="S1093" s="133">
        <v>41912</v>
      </c>
      <c r="T1093" s="134">
        <v>533.5</v>
      </c>
      <c r="U1093" s="132" t="s">
        <v>154</v>
      </c>
      <c r="V1093" s="132" t="s">
        <v>187</v>
      </c>
      <c r="W1093" s="132" t="s">
        <v>153</v>
      </c>
      <c r="X1093" s="133">
        <v>41882</v>
      </c>
      <c r="Y1093" s="134">
        <v>875</v>
      </c>
    </row>
    <row r="1094" spans="1:25" x14ac:dyDescent="0.25">
      <c r="A1094" s="92" t="s">
        <v>148</v>
      </c>
      <c r="B1094" s="12" t="s">
        <v>226</v>
      </c>
      <c r="C1094" s="12" t="s">
        <v>158</v>
      </c>
      <c r="D1094" s="80">
        <v>41982</v>
      </c>
      <c r="E1094" s="81">
        <v>800</v>
      </c>
      <c r="F1094" s="76" t="s">
        <v>150</v>
      </c>
      <c r="G1094" s="77" t="s">
        <v>161</v>
      </c>
      <c r="H1094" s="77" t="s">
        <v>153</v>
      </c>
      <c r="I1094" s="86">
        <v>41871</v>
      </c>
      <c r="J1094" s="78">
        <v>1046</v>
      </c>
      <c r="K1094" s="132" t="s">
        <v>20</v>
      </c>
      <c r="L1094" s="132" t="s">
        <v>290</v>
      </c>
      <c r="M1094" s="132" t="s">
        <v>267</v>
      </c>
      <c r="N1094" s="133">
        <v>41815</v>
      </c>
      <c r="O1094" s="134">
        <v>1390</v>
      </c>
      <c r="P1094" s="132" t="s">
        <v>151</v>
      </c>
      <c r="Q1094" s="132" t="s">
        <v>280</v>
      </c>
      <c r="R1094" s="132" t="s">
        <v>267</v>
      </c>
      <c r="S1094" s="133">
        <v>41913</v>
      </c>
      <c r="T1094" s="134">
        <v>525</v>
      </c>
      <c r="U1094" s="132" t="s">
        <v>154</v>
      </c>
      <c r="V1094" s="132" t="s">
        <v>187</v>
      </c>
      <c r="W1094" s="132" t="s">
        <v>153</v>
      </c>
      <c r="X1094" s="133">
        <v>41882</v>
      </c>
      <c r="Y1094" s="134">
        <v>565</v>
      </c>
    </row>
    <row r="1095" spans="1:25" x14ac:dyDescent="0.25">
      <c r="A1095" s="92" t="s">
        <v>148</v>
      </c>
      <c r="B1095" s="12" t="s">
        <v>226</v>
      </c>
      <c r="C1095" s="12" t="s">
        <v>158</v>
      </c>
      <c r="D1095" s="80">
        <v>41983</v>
      </c>
      <c r="E1095" s="81">
        <v>700</v>
      </c>
      <c r="F1095" s="76" t="s">
        <v>150</v>
      </c>
      <c r="G1095" s="77" t="s">
        <v>161</v>
      </c>
      <c r="H1095" s="77" t="s">
        <v>153</v>
      </c>
      <c r="I1095" s="86">
        <v>41872</v>
      </c>
      <c r="J1095" s="78">
        <v>938</v>
      </c>
      <c r="K1095" s="132" t="s">
        <v>20</v>
      </c>
      <c r="L1095" s="132" t="s">
        <v>290</v>
      </c>
      <c r="M1095" s="132" t="s">
        <v>267</v>
      </c>
      <c r="N1095" s="133">
        <v>41821</v>
      </c>
      <c r="O1095" s="134">
        <v>288</v>
      </c>
      <c r="P1095" s="132" t="s">
        <v>151</v>
      </c>
      <c r="Q1095" s="132" t="s">
        <v>280</v>
      </c>
      <c r="R1095" s="132" t="s">
        <v>267</v>
      </c>
      <c r="S1095" s="133">
        <v>41921</v>
      </c>
      <c r="T1095" s="134">
        <v>455.5</v>
      </c>
      <c r="U1095" s="132" t="s">
        <v>154</v>
      </c>
      <c r="V1095" s="132" t="s">
        <v>187</v>
      </c>
      <c r="W1095" s="132" t="s">
        <v>153</v>
      </c>
      <c r="X1095" s="133">
        <v>41883</v>
      </c>
      <c r="Y1095" s="134">
        <v>400</v>
      </c>
    </row>
    <row r="1096" spans="1:25" x14ac:dyDescent="0.25">
      <c r="A1096" s="92" t="s">
        <v>148</v>
      </c>
      <c r="B1096" s="12" t="s">
        <v>226</v>
      </c>
      <c r="C1096" s="12" t="s">
        <v>158</v>
      </c>
      <c r="D1096" s="80">
        <v>41984</v>
      </c>
      <c r="E1096" s="81">
        <v>675</v>
      </c>
      <c r="F1096" s="76" t="s">
        <v>150</v>
      </c>
      <c r="G1096" s="77" t="s">
        <v>161</v>
      </c>
      <c r="H1096" s="77" t="s">
        <v>153</v>
      </c>
      <c r="I1096" s="86">
        <v>41887</v>
      </c>
      <c r="J1096" s="78">
        <v>1022</v>
      </c>
      <c r="K1096" s="132" t="s">
        <v>20</v>
      </c>
      <c r="L1096" s="132" t="s">
        <v>290</v>
      </c>
      <c r="M1096" s="132" t="s">
        <v>267</v>
      </c>
      <c r="N1096" s="133">
        <v>41848</v>
      </c>
      <c r="O1096" s="134">
        <v>1056</v>
      </c>
      <c r="P1096" s="132" t="s">
        <v>151</v>
      </c>
      <c r="Q1096" s="132" t="s">
        <v>280</v>
      </c>
      <c r="R1096" s="132" t="s">
        <v>267</v>
      </c>
      <c r="S1096" s="133">
        <v>41934</v>
      </c>
      <c r="T1096" s="134">
        <v>280.10000000000002</v>
      </c>
      <c r="U1096" s="132" t="s">
        <v>154</v>
      </c>
      <c r="V1096" s="132" t="s">
        <v>187</v>
      </c>
      <c r="W1096" s="132" t="s">
        <v>153</v>
      </c>
      <c r="X1096" s="133">
        <v>41883</v>
      </c>
      <c r="Y1096" s="134">
        <v>868</v>
      </c>
    </row>
    <row r="1097" spans="1:25" x14ac:dyDescent="0.25">
      <c r="A1097" s="92" t="s">
        <v>148</v>
      </c>
      <c r="B1097" s="12" t="s">
        <v>226</v>
      </c>
      <c r="C1097" s="12" t="s">
        <v>158</v>
      </c>
      <c r="D1097" s="80">
        <v>41985</v>
      </c>
      <c r="E1097" s="81">
        <v>800</v>
      </c>
      <c r="F1097" s="76" t="s">
        <v>150</v>
      </c>
      <c r="G1097" s="77" t="s">
        <v>161</v>
      </c>
      <c r="H1097" s="77" t="s">
        <v>153</v>
      </c>
      <c r="I1097" s="86">
        <v>41889</v>
      </c>
      <c r="J1097" s="78">
        <v>739</v>
      </c>
      <c r="K1097" s="132" t="s">
        <v>20</v>
      </c>
      <c r="L1097" s="132" t="s">
        <v>290</v>
      </c>
      <c r="M1097" s="132" t="s">
        <v>267</v>
      </c>
      <c r="N1097" s="133">
        <v>41903</v>
      </c>
      <c r="O1097" s="134">
        <v>1085</v>
      </c>
      <c r="P1097" s="132" t="s">
        <v>151</v>
      </c>
      <c r="Q1097" s="132" t="s">
        <v>280</v>
      </c>
      <c r="R1097" s="132" t="s">
        <v>267</v>
      </c>
      <c r="S1097" s="133">
        <v>41935</v>
      </c>
      <c r="T1097" s="134">
        <v>318.8</v>
      </c>
      <c r="U1097" s="132" t="s">
        <v>154</v>
      </c>
      <c r="V1097" s="132" t="s">
        <v>187</v>
      </c>
      <c r="W1097" s="132" t="s">
        <v>153</v>
      </c>
      <c r="X1097" s="133">
        <v>41884</v>
      </c>
      <c r="Y1097" s="134">
        <v>1124</v>
      </c>
    </row>
    <row r="1098" spans="1:25" x14ac:dyDescent="0.25">
      <c r="A1098" s="92" t="s">
        <v>148</v>
      </c>
      <c r="B1098" s="12" t="s">
        <v>226</v>
      </c>
      <c r="C1098" s="12" t="s">
        <v>158</v>
      </c>
      <c r="D1098" s="80">
        <v>41986</v>
      </c>
      <c r="E1098" s="81">
        <v>800</v>
      </c>
      <c r="F1098" s="76" t="s">
        <v>150</v>
      </c>
      <c r="G1098" s="77" t="s">
        <v>161</v>
      </c>
      <c r="H1098" s="77" t="s">
        <v>153</v>
      </c>
      <c r="I1098" s="86">
        <v>41890</v>
      </c>
      <c r="J1098" s="78">
        <v>677</v>
      </c>
      <c r="K1098" s="132" t="s">
        <v>20</v>
      </c>
      <c r="L1098" s="132" t="s">
        <v>290</v>
      </c>
      <c r="M1098" s="132" t="s">
        <v>267</v>
      </c>
      <c r="N1098" s="133">
        <v>41923</v>
      </c>
      <c r="O1098" s="134">
        <v>24</v>
      </c>
      <c r="P1098" s="132" t="s">
        <v>151</v>
      </c>
      <c r="Q1098" s="132" t="s">
        <v>280</v>
      </c>
      <c r="R1098" s="132" t="s">
        <v>267</v>
      </c>
      <c r="S1098" s="133">
        <v>41936</v>
      </c>
      <c r="T1098" s="134">
        <v>470.9</v>
      </c>
      <c r="U1098" s="132" t="s">
        <v>154</v>
      </c>
      <c r="V1098" s="132" t="s">
        <v>187</v>
      </c>
      <c r="W1098" s="132" t="s">
        <v>153</v>
      </c>
      <c r="X1098" s="133">
        <v>41884</v>
      </c>
      <c r="Y1098" s="134">
        <v>220</v>
      </c>
    </row>
    <row r="1099" spans="1:25" x14ac:dyDescent="0.25">
      <c r="A1099" s="92" t="s">
        <v>148</v>
      </c>
      <c r="B1099" s="12" t="s">
        <v>226</v>
      </c>
      <c r="C1099" s="12" t="s">
        <v>158</v>
      </c>
      <c r="D1099" s="80">
        <v>41991</v>
      </c>
      <c r="E1099" s="81">
        <v>1274</v>
      </c>
      <c r="F1099" s="76" t="s">
        <v>150</v>
      </c>
      <c r="G1099" s="77" t="s">
        <v>161</v>
      </c>
      <c r="H1099" s="77" t="s">
        <v>153</v>
      </c>
      <c r="I1099" s="86">
        <v>41898</v>
      </c>
      <c r="J1099" s="78">
        <v>876</v>
      </c>
      <c r="K1099" s="132" t="s">
        <v>20</v>
      </c>
      <c r="L1099" s="132" t="s">
        <v>291</v>
      </c>
      <c r="M1099" s="132" t="s">
        <v>267</v>
      </c>
      <c r="N1099" s="133">
        <v>41828</v>
      </c>
      <c r="O1099" s="134">
        <v>947</v>
      </c>
      <c r="P1099" s="132" t="s">
        <v>151</v>
      </c>
      <c r="Q1099" s="132" t="s">
        <v>280</v>
      </c>
      <c r="R1099" s="132" t="s">
        <v>267</v>
      </c>
      <c r="S1099" s="133">
        <v>41961</v>
      </c>
      <c r="T1099" s="134">
        <v>723.4</v>
      </c>
      <c r="U1099" s="132" t="s">
        <v>154</v>
      </c>
      <c r="V1099" s="132" t="s">
        <v>187</v>
      </c>
      <c r="W1099" s="132" t="s">
        <v>153</v>
      </c>
      <c r="X1099" s="133">
        <v>41885</v>
      </c>
      <c r="Y1099" s="134">
        <v>1151</v>
      </c>
    </row>
    <row r="1100" spans="1:25" x14ac:dyDescent="0.25">
      <c r="A1100" s="92" t="s">
        <v>148</v>
      </c>
      <c r="B1100" s="12" t="s">
        <v>226</v>
      </c>
      <c r="C1100" s="12" t="s">
        <v>158</v>
      </c>
      <c r="D1100" s="80">
        <v>41993</v>
      </c>
      <c r="E1100" s="81">
        <v>757</v>
      </c>
      <c r="F1100" s="76" t="s">
        <v>150</v>
      </c>
      <c r="G1100" s="77" t="s">
        <v>161</v>
      </c>
      <c r="H1100" s="77" t="s">
        <v>153</v>
      </c>
      <c r="I1100" s="86">
        <v>41899</v>
      </c>
      <c r="J1100" s="78">
        <v>523</v>
      </c>
      <c r="K1100" s="132" t="s">
        <v>20</v>
      </c>
      <c r="L1100" s="132" t="s">
        <v>291</v>
      </c>
      <c r="M1100" s="132" t="s">
        <v>267</v>
      </c>
      <c r="N1100" s="133">
        <v>41877</v>
      </c>
      <c r="O1100" s="134">
        <v>932</v>
      </c>
      <c r="P1100" s="132" t="s">
        <v>151</v>
      </c>
      <c r="Q1100" s="132" t="s">
        <v>281</v>
      </c>
      <c r="R1100" s="132" t="s">
        <v>267</v>
      </c>
      <c r="S1100" s="133">
        <v>41641</v>
      </c>
      <c r="T1100" s="134">
        <v>768.4</v>
      </c>
      <c r="U1100" s="132" t="s">
        <v>154</v>
      </c>
      <c r="V1100" s="132" t="s">
        <v>187</v>
      </c>
      <c r="W1100" s="132" t="s">
        <v>153</v>
      </c>
      <c r="X1100" s="133">
        <v>41886</v>
      </c>
      <c r="Y1100" s="134">
        <v>890</v>
      </c>
    </row>
    <row r="1101" spans="1:25" x14ac:dyDescent="0.25">
      <c r="A1101" s="92" t="s">
        <v>148</v>
      </c>
      <c r="B1101" s="12" t="s">
        <v>226</v>
      </c>
      <c r="C1101" s="12" t="s">
        <v>158</v>
      </c>
      <c r="D1101" s="80">
        <v>41993</v>
      </c>
      <c r="E1101" s="81">
        <v>763</v>
      </c>
      <c r="F1101" s="76" t="s">
        <v>150</v>
      </c>
      <c r="G1101" s="77" t="s">
        <v>161</v>
      </c>
      <c r="H1101" s="77" t="s">
        <v>153</v>
      </c>
      <c r="I1101" s="86">
        <v>41900</v>
      </c>
      <c r="J1101" s="78">
        <v>632</v>
      </c>
      <c r="K1101" s="132" t="s">
        <v>20</v>
      </c>
      <c r="L1101" s="132" t="s">
        <v>291</v>
      </c>
      <c r="M1101" s="132" t="s">
        <v>267</v>
      </c>
      <c r="N1101" s="133">
        <v>41917</v>
      </c>
      <c r="O1101" s="134">
        <v>844</v>
      </c>
      <c r="P1101" s="132" t="s">
        <v>151</v>
      </c>
      <c r="Q1101" s="132" t="s">
        <v>281</v>
      </c>
      <c r="R1101" s="132" t="s">
        <v>267</v>
      </c>
      <c r="S1101" s="133">
        <v>41642</v>
      </c>
      <c r="T1101" s="134">
        <v>496.6</v>
      </c>
      <c r="U1101" s="132" t="s">
        <v>154</v>
      </c>
      <c r="V1101" s="132" t="s">
        <v>187</v>
      </c>
      <c r="W1101" s="132" t="s">
        <v>153</v>
      </c>
      <c r="X1101" s="133">
        <v>41887</v>
      </c>
      <c r="Y1101" s="134">
        <v>850</v>
      </c>
    </row>
    <row r="1102" spans="1:25" x14ac:dyDescent="0.25">
      <c r="A1102" s="92" t="s">
        <v>148</v>
      </c>
      <c r="B1102" s="12" t="s">
        <v>226</v>
      </c>
      <c r="C1102" s="12" t="s">
        <v>158</v>
      </c>
      <c r="D1102" s="80">
        <v>41994</v>
      </c>
      <c r="E1102" s="81">
        <v>622</v>
      </c>
      <c r="F1102" s="76" t="s">
        <v>150</v>
      </c>
      <c r="G1102" s="77" t="s">
        <v>161</v>
      </c>
      <c r="H1102" s="77" t="s">
        <v>153</v>
      </c>
      <c r="I1102" s="86">
        <v>41901</v>
      </c>
      <c r="J1102" s="78">
        <v>685</v>
      </c>
      <c r="K1102" s="132" t="s">
        <v>20</v>
      </c>
      <c r="L1102" s="132" t="s">
        <v>291</v>
      </c>
      <c r="M1102" s="132" t="s">
        <v>267</v>
      </c>
      <c r="N1102" s="133">
        <v>41961</v>
      </c>
      <c r="O1102" s="134">
        <v>266</v>
      </c>
      <c r="P1102" s="132" t="s">
        <v>151</v>
      </c>
      <c r="Q1102" s="132" t="s">
        <v>281</v>
      </c>
      <c r="R1102" s="132" t="s">
        <v>267</v>
      </c>
      <c r="S1102" s="133">
        <v>41653</v>
      </c>
      <c r="T1102" s="134">
        <v>1060.5999999999999</v>
      </c>
      <c r="U1102" s="132" t="s">
        <v>154</v>
      </c>
      <c r="V1102" s="132" t="s">
        <v>187</v>
      </c>
      <c r="W1102" s="132" t="s">
        <v>153</v>
      </c>
      <c r="X1102" s="133">
        <v>41890</v>
      </c>
      <c r="Y1102" s="134">
        <v>728</v>
      </c>
    </row>
    <row r="1103" spans="1:25" x14ac:dyDescent="0.25">
      <c r="A1103" s="92" t="s">
        <v>148</v>
      </c>
      <c r="B1103" s="12" t="s">
        <v>226</v>
      </c>
      <c r="C1103" s="12" t="s">
        <v>158</v>
      </c>
      <c r="D1103" s="80">
        <v>41995</v>
      </c>
      <c r="E1103" s="81">
        <v>815</v>
      </c>
      <c r="F1103" s="76" t="s">
        <v>150</v>
      </c>
      <c r="G1103" s="77" t="s">
        <v>161</v>
      </c>
      <c r="H1103" s="77" t="s">
        <v>153</v>
      </c>
      <c r="I1103" s="86">
        <v>41903</v>
      </c>
      <c r="J1103" s="78">
        <v>1026</v>
      </c>
      <c r="K1103" s="132" t="s">
        <v>20</v>
      </c>
      <c r="L1103" s="132" t="s">
        <v>291</v>
      </c>
      <c r="M1103" s="132" t="s">
        <v>267</v>
      </c>
      <c r="N1103" s="133">
        <v>41967</v>
      </c>
      <c r="O1103" s="134">
        <v>494</v>
      </c>
      <c r="P1103" s="132" t="s">
        <v>151</v>
      </c>
      <c r="Q1103" s="132" t="s">
        <v>281</v>
      </c>
      <c r="R1103" s="132" t="s">
        <v>267</v>
      </c>
      <c r="S1103" s="133">
        <v>41654</v>
      </c>
      <c r="T1103" s="134">
        <v>680.3</v>
      </c>
      <c r="U1103" s="132" t="s">
        <v>154</v>
      </c>
      <c r="V1103" s="132" t="s">
        <v>187</v>
      </c>
      <c r="W1103" s="132" t="s">
        <v>153</v>
      </c>
      <c r="X1103" s="133">
        <v>41891</v>
      </c>
      <c r="Y1103" s="134">
        <v>420</v>
      </c>
    </row>
    <row r="1104" spans="1:25" x14ac:dyDescent="0.25">
      <c r="A1104" s="92" t="s">
        <v>148</v>
      </c>
      <c r="B1104" s="12" t="s">
        <v>226</v>
      </c>
      <c r="C1104" s="12" t="s">
        <v>158</v>
      </c>
      <c r="D1104" s="80">
        <v>41996</v>
      </c>
      <c r="E1104" s="81">
        <v>800</v>
      </c>
      <c r="F1104" s="76" t="s">
        <v>150</v>
      </c>
      <c r="G1104" s="77" t="s">
        <v>161</v>
      </c>
      <c r="H1104" s="77" t="s">
        <v>153</v>
      </c>
      <c r="I1104" s="86">
        <v>41904</v>
      </c>
      <c r="J1104" s="78">
        <v>701</v>
      </c>
      <c r="K1104" s="132" t="s">
        <v>20</v>
      </c>
      <c r="L1104" s="132" t="s">
        <v>291</v>
      </c>
      <c r="M1104" s="132" t="s">
        <v>267</v>
      </c>
      <c r="N1104" s="133">
        <v>41976</v>
      </c>
      <c r="O1104" s="134">
        <v>432</v>
      </c>
      <c r="P1104" s="132" t="s">
        <v>151</v>
      </c>
      <c r="Q1104" s="132" t="s">
        <v>281</v>
      </c>
      <c r="R1104" s="132" t="s">
        <v>267</v>
      </c>
      <c r="S1104" s="133">
        <v>41680</v>
      </c>
      <c r="T1104" s="134">
        <v>627.5</v>
      </c>
      <c r="U1104" s="132" t="s">
        <v>154</v>
      </c>
      <c r="V1104" s="132" t="s">
        <v>187</v>
      </c>
      <c r="W1104" s="132" t="s">
        <v>153</v>
      </c>
      <c r="X1104" s="133">
        <v>41893</v>
      </c>
      <c r="Y1104" s="134">
        <v>444</v>
      </c>
    </row>
    <row r="1105" spans="1:25" x14ac:dyDescent="0.25">
      <c r="A1105" s="92" t="s">
        <v>148</v>
      </c>
      <c r="B1105" s="12" t="s">
        <v>226</v>
      </c>
      <c r="C1105" s="12" t="s">
        <v>158</v>
      </c>
      <c r="D1105" s="80">
        <v>41997</v>
      </c>
      <c r="E1105" s="81">
        <v>700</v>
      </c>
      <c r="F1105" s="76" t="s">
        <v>150</v>
      </c>
      <c r="G1105" s="77" t="s">
        <v>161</v>
      </c>
      <c r="H1105" s="77" t="s">
        <v>153</v>
      </c>
      <c r="I1105" s="86">
        <v>41905</v>
      </c>
      <c r="J1105" s="78">
        <v>703</v>
      </c>
      <c r="K1105" s="132" t="s">
        <v>20</v>
      </c>
      <c r="L1105" s="132" t="s">
        <v>291</v>
      </c>
      <c r="M1105" s="132" t="s">
        <v>267</v>
      </c>
      <c r="N1105" s="133">
        <v>41977</v>
      </c>
      <c r="O1105" s="134">
        <v>457</v>
      </c>
      <c r="P1105" s="132" t="s">
        <v>151</v>
      </c>
      <c r="Q1105" s="132" t="s">
        <v>281</v>
      </c>
      <c r="R1105" s="132" t="s">
        <v>267</v>
      </c>
      <c r="S1105" s="133">
        <v>41681</v>
      </c>
      <c r="T1105" s="134">
        <v>1078.7</v>
      </c>
      <c r="U1105" s="132" t="s">
        <v>154</v>
      </c>
      <c r="V1105" s="132" t="s">
        <v>187</v>
      </c>
      <c r="W1105" s="132" t="s">
        <v>153</v>
      </c>
      <c r="X1105" s="133">
        <v>41927</v>
      </c>
      <c r="Y1105" s="134">
        <v>1505</v>
      </c>
    </row>
    <row r="1106" spans="1:25" x14ac:dyDescent="0.25">
      <c r="A1106" s="92" t="s">
        <v>148</v>
      </c>
      <c r="B1106" s="12" t="s">
        <v>226</v>
      </c>
      <c r="C1106" s="12" t="s">
        <v>158</v>
      </c>
      <c r="D1106" s="80">
        <v>41998</v>
      </c>
      <c r="E1106" s="81">
        <v>495</v>
      </c>
      <c r="F1106" s="76" t="s">
        <v>150</v>
      </c>
      <c r="G1106" s="77" t="s">
        <v>161</v>
      </c>
      <c r="H1106" s="77" t="s">
        <v>153</v>
      </c>
      <c r="I1106" s="86">
        <v>41906</v>
      </c>
      <c r="J1106" s="78">
        <v>578</v>
      </c>
      <c r="K1106" s="132" t="s">
        <v>20</v>
      </c>
      <c r="L1106" s="132" t="s">
        <v>291</v>
      </c>
      <c r="M1106" s="132" t="s">
        <v>267</v>
      </c>
      <c r="N1106" s="133">
        <v>41982</v>
      </c>
      <c r="O1106" s="134">
        <v>497</v>
      </c>
      <c r="P1106" s="132" t="s">
        <v>151</v>
      </c>
      <c r="Q1106" s="132" t="s">
        <v>281</v>
      </c>
      <c r="R1106" s="132" t="s">
        <v>267</v>
      </c>
      <c r="S1106" s="133">
        <v>41943</v>
      </c>
      <c r="T1106" s="134">
        <v>324.60000000000002</v>
      </c>
      <c r="U1106" s="132" t="s">
        <v>154</v>
      </c>
      <c r="V1106" s="132" t="s">
        <v>187</v>
      </c>
      <c r="W1106" s="132" t="s">
        <v>153</v>
      </c>
      <c r="X1106" s="133">
        <v>41947</v>
      </c>
      <c r="Y1106" s="134">
        <v>205</v>
      </c>
    </row>
    <row r="1107" spans="1:25" x14ac:dyDescent="0.25">
      <c r="A1107" s="92" t="s">
        <v>148</v>
      </c>
      <c r="B1107" s="12" t="s">
        <v>226</v>
      </c>
      <c r="C1107" s="12" t="s">
        <v>158</v>
      </c>
      <c r="D1107" s="80">
        <v>41999</v>
      </c>
      <c r="E1107" s="81">
        <v>741</v>
      </c>
      <c r="F1107" s="76" t="s">
        <v>150</v>
      </c>
      <c r="G1107" s="77" t="s">
        <v>161</v>
      </c>
      <c r="H1107" s="77" t="s">
        <v>153</v>
      </c>
      <c r="I1107" s="86">
        <v>41907</v>
      </c>
      <c r="J1107" s="78">
        <v>738</v>
      </c>
      <c r="K1107" s="132" t="s">
        <v>20</v>
      </c>
      <c r="L1107" s="132" t="s">
        <v>291</v>
      </c>
      <c r="M1107" s="132" t="s">
        <v>267</v>
      </c>
      <c r="N1107" s="133">
        <v>41985</v>
      </c>
      <c r="O1107" s="134">
        <v>434</v>
      </c>
      <c r="P1107" s="132" t="s">
        <v>151</v>
      </c>
      <c r="Q1107" s="132" t="s">
        <v>281</v>
      </c>
      <c r="R1107" s="132" t="s">
        <v>267</v>
      </c>
      <c r="S1107" s="133">
        <v>41955</v>
      </c>
      <c r="T1107" s="134">
        <v>481.2</v>
      </c>
      <c r="U1107" s="132" t="s">
        <v>154</v>
      </c>
      <c r="V1107" s="132" t="s">
        <v>187</v>
      </c>
      <c r="W1107" s="132" t="s">
        <v>153</v>
      </c>
      <c r="X1107" s="133">
        <v>41947</v>
      </c>
      <c r="Y1107" s="134">
        <v>550</v>
      </c>
    </row>
    <row r="1108" spans="1:25" x14ac:dyDescent="0.25">
      <c r="A1108" s="92" t="s">
        <v>148</v>
      </c>
      <c r="B1108" s="12" t="s">
        <v>226</v>
      </c>
      <c r="C1108" s="12" t="s">
        <v>158</v>
      </c>
      <c r="D1108" s="80">
        <v>42000</v>
      </c>
      <c r="E1108" s="81">
        <v>500</v>
      </c>
      <c r="F1108" s="76" t="s">
        <v>150</v>
      </c>
      <c r="G1108" s="77" t="s">
        <v>161</v>
      </c>
      <c r="H1108" s="77" t="s">
        <v>153</v>
      </c>
      <c r="I1108" s="86">
        <v>41908</v>
      </c>
      <c r="J1108" s="78">
        <v>659</v>
      </c>
      <c r="K1108" s="132" t="s">
        <v>20</v>
      </c>
      <c r="L1108" s="132" t="s">
        <v>292</v>
      </c>
      <c r="M1108" s="132" t="s">
        <v>267</v>
      </c>
      <c r="N1108" s="133">
        <v>41699</v>
      </c>
      <c r="O1108" s="134">
        <v>814</v>
      </c>
      <c r="P1108" s="132" t="s">
        <v>151</v>
      </c>
      <c r="Q1108" s="132" t="s">
        <v>281</v>
      </c>
      <c r="R1108" s="132" t="s">
        <v>267</v>
      </c>
      <c r="S1108" s="133">
        <v>41976</v>
      </c>
      <c r="T1108" s="134">
        <v>943.8</v>
      </c>
      <c r="U1108" s="132" t="s">
        <v>154</v>
      </c>
      <c r="V1108" s="132" t="s">
        <v>187</v>
      </c>
      <c r="W1108" s="132" t="s">
        <v>153</v>
      </c>
      <c r="X1108" s="133">
        <v>41948</v>
      </c>
      <c r="Y1108" s="134">
        <v>970</v>
      </c>
    </row>
    <row r="1109" spans="1:25" x14ac:dyDescent="0.25">
      <c r="A1109" s="92" t="s">
        <v>148</v>
      </c>
      <c r="B1109" s="12" t="s">
        <v>226</v>
      </c>
      <c r="C1109" s="12" t="s">
        <v>158</v>
      </c>
      <c r="D1109" s="80">
        <v>42001</v>
      </c>
      <c r="E1109" s="81">
        <v>750</v>
      </c>
      <c r="F1109" s="76" t="s">
        <v>150</v>
      </c>
      <c r="G1109" s="77" t="s">
        <v>161</v>
      </c>
      <c r="H1109" s="77" t="s">
        <v>153</v>
      </c>
      <c r="I1109" s="86">
        <v>41909</v>
      </c>
      <c r="J1109" s="78">
        <v>677</v>
      </c>
      <c r="K1109" s="132" t="s">
        <v>20</v>
      </c>
      <c r="L1109" s="132" t="s">
        <v>292</v>
      </c>
      <c r="M1109" s="132" t="s">
        <v>267</v>
      </c>
      <c r="N1109" s="133">
        <v>41701</v>
      </c>
      <c r="O1109" s="134">
        <v>526</v>
      </c>
      <c r="P1109" s="132" t="s">
        <v>151</v>
      </c>
      <c r="Q1109" s="132" t="s">
        <v>281</v>
      </c>
      <c r="R1109" s="132" t="s">
        <v>267</v>
      </c>
      <c r="S1109" s="133">
        <v>41977</v>
      </c>
      <c r="T1109" s="134">
        <v>573.79999999999995</v>
      </c>
      <c r="U1109" s="132" t="s">
        <v>154</v>
      </c>
      <c r="V1109" s="132" t="s">
        <v>187</v>
      </c>
      <c r="W1109" s="132" t="s">
        <v>153</v>
      </c>
      <c r="X1109" s="133">
        <v>41949</v>
      </c>
      <c r="Y1109" s="134">
        <v>920</v>
      </c>
    </row>
    <row r="1110" spans="1:25" x14ac:dyDescent="0.25">
      <c r="A1110" s="92" t="s">
        <v>148</v>
      </c>
      <c r="B1110" s="12" t="s">
        <v>226</v>
      </c>
      <c r="C1110" s="12" t="s">
        <v>158</v>
      </c>
      <c r="D1110" s="80">
        <v>42002</v>
      </c>
      <c r="E1110" s="81">
        <v>790</v>
      </c>
      <c r="F1110" s="76" t="s">
        <v>150</v>
      </c>
      <c r="G1110" s="77" t="s">
        <v>161</v>
      </c>
      <c r="H1110" s="77" t="s">
        <v>153</v>
      </c>
      <c r="I1110" s="86">
        <v>41910</v>
      </c>
      <c r="J1110" s="78">
        <v>601</v>
      </c>
      <c r="K1110" s="132" t="s">
        <v>20</v>
      </c>
      <c r="L1110" s="132" t="s">
        <v>292</v>
      </c>
      <c r="M1110" s="132" t="s">
        <v>267</v>
      </c>
      <c r="N1110" s="133">
        <v>41703</v>
      </c>
      <c r="O1110" s="134">
        <v>1084</v>
      </c>
      <c r="P1110" s="132" t="s">
        <v>151</v>
      </c>
      <c r="Q1110" s="132" t="s">
        <v>281</v>
      </c>
      <c r="R1110" s="132" t="s">
        <v>267</v>
      </c>
      <c r="S1110" s="133">
        <v>41978</v>
      </c>
      <c r="T1110" s="134">
        <v>851.7</v>
      </c>
      <c r="U1110" s="132" t="s">
        <v>154</v>
      </c>
      <c r="V1110" s="132" t="s">
        <v>187</v>
      </c>
      <c r="W1110" s="132" t="s">
        <v>153</v>
      </c>
      <c r="X1110" s="133">
        <v>41950</v>
      </c>
      <c r="Y1110" s="134">
        <v>900</v>
      </c>
    </row>
    <row r="1111" spans="1:25" x14ac:dyDescent="0.25">
      <c r="A1111" s="92" t="s">
        <v>148</v>
      </c>
      <c r="B1111" s="12" t="s">
        <v>227</v>
      </c>
      <c r="C1111" s="12" t="s">
        <v>158</v>
      </c>
      <c r="D1111" s="80">
        <v>41691</v>
      </c>
      <c r="E1111" s="81">
        <v>1450</v>
      </c>
      <c r="F1111" s="76" t="s">
        <v>150</v>
      </c>
      <c r="G1111" s="77" t="s">
        <v>161</v>
      </c>
      <c r="H1111" s="77" t="s">
        <v>153</v>
      </c>
      <c r="I1111" s="86">
        <v>41911</v>
      </c>
      <c r="J1111" s="78">
        <v>755</v>
      </c>
      <c r="K1111" s="132" t="s">
        <v>20</v>
      </c>
      <c r="L1111" s="132" t="s">
        <v>292</v>
      </c>
      <c r="M1111" s="132" t="s">
        <v>267</v>
      </c>
      <c r="N1111" s="133">
        <v>41715</v>
      </c>
      <c r="O1111" s="134">
        <v>313</v>
      </c>
      <c r="P1111" s="132" t="s">
        <v>151</v>
      </c>
      <c r="Q1111" s="132" t="s">
        <v>281</v>
      </c>
      <c r="R1111" s="132" t="s">
        <v>267</v>
      </c>
      <c r="S1111" s="133">
        <v>41981</v>
      </c>
      <c r="T1111" s="134">
        <v>479.7</v>
      </c>
      <c r="U1111" s="132" t="s">
        <v>154</v>
      </c>
      <c r="V1111" s="132" t="s">
        <v>187</v>
      </c>
      <c r="W1111" s="132" t="s">
        <v>153</v>
      </c>
      <c r="X1111" s="133">
        <v>41952</v>
      </c>
      <c r="Y1111" s="134">
        <v>789</v>
      </c>
    </row>
    <row r="1112" spans="1:25" x14ac:dyDescent="0.25">
      <c r="A1112" s="92" t="s">
        <v>148</v>
      </c>
      <c r="B1112" s="12" t="s">
        <v>227</v>
      </c>
      <c r="C1112" s="12" t="s">
        <v>158</v>
      </c>
      <c r="D1112" s="80">
        <v>41692</v>
      </c>
      <c r="E1112" s="81">
        <v>699</v>
      </c>
      <c r="F1112" s="76" t="s">
        <v>150</v>
      </c>
      <c r="G1112" s="77" t="s">
        <v>161</v>
      </c>
      <c r="H1112" s="77" t="s">
        <v>153</v>
      </c>
      <c r="I1112" s="86">
        <v>41912</v>
      </c>
      <c r="J1112" s="78">
        <v>1147</v>
      </c>
      <c r="K1112" s="132" t="s">
        <v>20</v>
      </c>
      <c r="L1112" s="132" t="s">
        <v>292</v>
      </c>
      <c r="M1112" s="132" t="s">
        <v>267</v>
      </c>
      <c r="N1112" s="133">
        <v>41730</v>
      </c>
      <c r="O1112" s="134">
        <v>1138</v>
      </c>
      <c r="P1112" s="132" t="s">
        <v>151</v>
      </c>
      <c r="Q1112" s="132" t="s">
        <v>281</v>
      </c>
      <c r="R1112" s="132" t="s">
        <v>267</v>
      </c>
      <c r="S1112" s="133">
        <v>41983</v>
      </c>
      <c r="T1112" s="134">
        <v>1152.3</v>
      </c>
      <c r="U1112" s="132" t="s">
        <v>154</v>
      </c>
      <c r="V1112" s="132" t="s">
        <v>187</v>
      </c>
      <c r="W1112" s="132" t="s">
        <v>153</v>
      </c>
      <c r="X1112" s="133">
        <v>41953</v>
      </c>
      <c r="Y1112" s="134">
        <v>1090</v>
      </c>
    </row>
    <row r="1113" spans="1:25" x14ac:dyDescent="0.25">
      <c r="A1113" s="92" t="s">
        <v>148</v>
      </c>
      <c r="B1113" s="12" t="s">
        <v>227</v>
      </c>
      <c r="C1113" s="12" t="s">
        <v>158</v>
      </c>
      <c r="D1113" s="80">
        <v>41693</v>
      </c>
      <c r="E1113" s="81">
        <v>800</v>
      </c>
      <c r="F1113" s="76" t="s">
        <v>150</v>
      </c>
      <c r="G1113" s="77" t="s">
        <v>161</v>
      </c>
      <c r="H1113" s="77" t="s">
        <v>153</v>
      </c>
      <c r="I1113" s="86">
        <v>41913</v>
      </c>
      <c r="J1113" s="78">
        <v>937</v>
      </c>
      <c r="K1113" s="132" t="s">
        <v>20</v>
      </c>
      <c r="L1113" s="132" t="s">
        <v>292</v>
      </c>
      <c r="M1113" s="132" t="s">
        <v>267</v>
      </c>
      <c r="N1113" s="133">
        <v>41740</v>
      </c>
      <c r="O1113" s="134">
        <v>297</v>
      </c>
      <c r="P1113" s="132" t="s">
        <v>151</v>
      </c>
      <c r="Q1113" s="132" t="s">
        <v>281</v>
      </c>
      <c r="R1113" s="132" t="s">
        <v>267</v>
      </c>
      <c r="S1113" s="133">
        <v>41984</v>
      </c>
      <c r="T1113" s="134">
        <v>545.70000000000005</v>
      </c>
      <c r="U1113" s="132" t="s">
        <v>154</v>
      </c>
      <c r="V1113" s="132" t="s">
        <v>187</v>
      </c>
      <c r="W1113" s="132" t="s">
        <v>153</v>
      </c>
      <c r="X1113" s="133">
        <v>41954</v>
      </c>
      <c r="Y1113" s="134">
        <v>1206</v>
      </c>
    </row>
    <row r="1114" spans="1:25" x14ac:dyDescent="0.25">
      <c r="A1114" s="92" t="s">
        <v>148</v>
      </c>
      <c r="B1114" s="12" t="s">
        <v>227</v>
      </c>
      <c r="C1114" s="12" t="s">
        <v>158</v>
      </c>
      <c r="D1114" s="80">
        <v>41694</v>
      </c>
      <c r="E1114" s="81">
        <v>920</v>
      </c>
      <c r="F1114" s="76" t="s">
        <v>150</v>
      </c>
      <c r="G1114" s="77" t="s">
        <v>161</v>
      </c>
      <c r="H1114" s="77" t="s">
        <v>153</v>
      </c>
      <c r="I1114" s="86">
        <v>41919</v>
      </c>
      <c r="J1114" s="78">
        <v>650</v>
      </c>
      <c r="K1114" s="132" t="s">
        <v>20</v>
      </c>
      <c r="L1114" s="132" t="s">
        <v>292</v>
      </c>
      <c r="M1114" s="132" t="s">
        <v>267</v>
      </c>
      <c r="N1114" s="133">
        <v>41753</v>
      </c>
      <c r="O1114" s="134">
        <v>278</v>
      </c>
      <c r="P1114" s="132" t="s">
        <v>151</v>
      </c>
      <c r="Q1114" s="132" t="s">
        <v>282</v>
      </c>
      <c r="R1114" s="132" t="s">
        <v>267</v>
      </c>
      <c r="S1114" s="133">
        <v>41858</v>
      </c>
      <c r="T1114" s="134">
        <v>837.7</v>
      </c>
      <c r="U1114" s="132" t="s">
        <v>154</v>
      </c>
      <c r="V1114" s="132" t="s">
        <v>187</v>
      </c>
      <c r="W1114" s="132" t="s">
        <v>153</v>
      </c>
      <c r="X1114" s="133">
        <v>41955</v>
      </c>
      <c r="Y1114" s="134">
        <v>1030</v>
      </c>
    </row>
    <row r="1115" spans="1:25" x14ac:dyDescent="0.25">
      <c r="A1115" s="92" t="s">
        <v>148</v>
      </c>
      <c r="B1115" s="12" t="s">
        <v>227</v>
      </c>
      <c r="C1115" s="12" t="s">
        <v>158</v>
      </c>
      <c r="D1115" s="80">
        <v>41695</v>
      </c>
      <c r="E1115" s="81">
        <v>1400</v>
      </c>
      <c r="F1115" s="76" t="s">
        <v>150</v>
      </c>
      <c r="G1115" s="77" t="s">
        <v>181</v>
      </c>
      <c r="H1115" s="77" t="s">
        <v>153</v>
      </c>
      <c r="I1115" s="86">
        <v>41667</v>
      </c>
      <c r="J1115" s="78">
        <v>512</v>
      </c>
      <c r="K1115" s="132" t="s">
        <v>20</v>
      </c>
      <c r="L1115" s="132" t="s">
        <v>292</v>
      </c>
      <c r="M1115" s="132" t="s">
        <v>267</v>
      </c>
      <c r="N1115" s="133">
        <v>41761</v>
      </c>
      <c r="O1115" s="134">
        <v>679</v>
      </c>
      <c r="P1115" s="132" t="s">
        <v>151</v>
      </c>
      <c r="Q1115" s="132" t="s">
        <v>282</v>
      </c>
      <c r="R1115" s="132" t="s">
        <v>267</v>
      </c>
      <c r="S1115" s="133">
        <v>41859</v>
      </c>
      <c r="T1115" s="134">
        <v>608.5</v>
      </c>
      <c r="U1115" s="132" t="s">
        <v>154</v>
      </c>
      <c r="V1115" s="132" t="s">
        <v>187</v>
      </c>
      <c r="W1115" s="132" t="s">
        <v>153</v>
      </c>
      <c r="X1115" s="133">
        <v>41956</v>
      </c>
      <c r="Y1115" s="134">
        <v>800</v>
      </c>
    </row>
    <row r="1116" spans="1:25" x14ac:dyDescent="0.25">
      <c r="A1116" s="92" t="s">
        <v>148</v>
      </c>
      <c r="B1116" s="12" t="s">
        <v>227</v>
      </c>
      <c r="C1116" s="12" t="s">
        <v>158</v>
      </c>
      <c r="D1116" s="80">
        <v>41696</v>
      </c>
      <c r="E1116" s="81">
        <v>650</v>
      </c>
      <c r="F1116" s="76" t="s">
        <v>150</v>
      </c>
      <c r="G1116" s="77" t="s">
        <v>181</v>
      </c>
      <c r="H1116" s="77" t="s">
        <v>153</v>
      </c>
      <c r="I1116" s="86">
        <v>41669</v>
      </c>
      <c r="J1116" s="78">
        <v>589</v>
      </c>
      <c r="K1116" s="132" t="s">
        <v>20</v>
      </c>
      <c r="L1116" s="132" t="s">
        <v>292</v>
      </c>
      <c r="M1116" s="132" t="s">
        <v>267</v>
      </c>
      <c r="N1116" s="133">
        <v>41772</v>
      </c>
      <c r="O1116" s="134">
        <v>381</v>
      </c>
      <c r="P1116" s="132" t="s">
        <v>151</v>
      </c>
      <c r="Q1116" s="132" t="s">
        <v>282</v>
      </c>
      <c r="R1116" s="132" t="s">
        <v>267</v>
      </c>
      <c r="S1116" s="133">
        <v>41862</v>
      </c>
      <c r="T1116" s="134">
        <v>941.8</v>
      </c>
      <c r="U1116" s="132" t="s">
        <v>154</v>
      </c>
      <c r="V1116" s="132" t="s">
        <v>187</v>
      </c>
      <c r="W1116" s="132" t="s">
        <v>153</v>
      </c>
      <c r="X1116" s="133">
        <v>41957</v>
      </c>
      <c r="Y1116" s="134">
        <v>921</v>
      </c>
    </row>
    <row r="1117" spans="1:25" x14ac:dyDescent="0.25">
      <c r="A1117" s="92" t="s">
        <v>148</v>
      </c>
      <c r="B1117" s="12" t="s">
        <v>227</v>
      </c>
      <c r="C1117" s="12" t="s">
        <v>158</v>
      </c>
      <c r="D1117" s="80">
        <v>41697</v>
      </c>
      <c r="E1117" s="81">
        <v>760</v>
      </c>
      <c r="F1117" s="76" t="s">
        <v>150</v>
      </c>
      <c r="G1117" s="77" t="s">
        <v>181</v>
      </c>
      <c r="H1117" s="77" t="s">
        <v>153</v>
      </c>
      <c r="I1117" s="86">
        <v>41669</v>
      </c>
      <c r="J1117" s="78">
        <v>784</v>
      </c>
      <c r="K1117" s="132" t="s">
        <v>20</v>
      </c>
      <c r="L1117" s="132" t="s">
        <v>292</v>
      </c>
      <c r="M1117" s="132" t="s">
        <v>267</v>
      </c>
      <c r="N1117" s="133">
        <v>41780</v>
      </c>
      <c r="O1117" s="134">
        <v>603</v>
      </c>
      <c r="P1117" s="132" t="s">
        <v>151</v>
      </c>
      <c r="Q1117" s="132" t="s">
        <v>282</v>
      </c>
      <c r="R1117" s="132" t="s">
        <v>267</v>
      </c>
      <c r="S1117" s="133">
        <v>41897</v>
      </c>
      <c r="T1117" s="134">
        <v>104.5</v>
      </c>
      <c r="U1117" s="132" t="s">
        <v>154</v>
      </c>
      <c r="V1117" s="132" t="s">
        <v>187</v>
      </c>
      <c r="W1117" s="132" t="s">
        <v>153</v>
      </c>
      <c r="X1117" s="133">
        <v>41978</v>
      </c>
      <c r="Y1117" s="134">
        <v>300</v>
      </c>
    </row>
    <row r="1118" spans="1:25" x14ac:dyDescent="0.25">
      <c r="A1118" s="92" t="s">
        <v>148</v>
      </c>
      <c r="B1118" s="12" t="s">
        <v>227</v>
      </c>
      <c r="C1118" s="12" t="s">
        <v>158</v>
      </c>
      <c r="D1118" s="80">
        <v>41702</v>
      </c>
      <c r="E1118" s="81">
        <v>1600</v>
      </c>
      <c r="F1118" s="76" t="s">
        <v>150</v>
      </c>
      <c r="G1118" s="77" t="s">
        <v>181</v>
      </c>
      <c r="H1118" s="77" t="s">
        <v>153</v>
      </c>
      <c r="I1118" s="86">
        <v>41670</v>
      </c>
      <c r="J1118" s="78">
        <v>1047</v>
      </c>
      <c r="K1118" s="132" t="s">
        <v>20</v>
      </c>
      <c r="L1118" s="132" t="s">
        <v>292</v>
      </c>
      <c r="M1118" s="132" t="s">
        <v>267</v>
      </c>
      <c r="N1118" s="133">
        <v>41782</v>
      </c>
      <c r="O1118" s="134">
        <v>595</v>
      </c>
      <c r="P1118" s="132" t="s">
        <v>151</v>
      </c>
      <c r="Q1118" s="132" t="s">
        <v>282</v>
      </c>
      <c r="R1118" s="132" t="s">
        <v>267</v>
      </c>
      <c r="S1118" s="133">
        <v>41898</v>
      </c>
      <c r="T1118" s="134">
        <v>601.70000000000005</v>
      </c>
      <c r="U1118" s="132" t="s">
        <v>154</v>
      </c>
      <c r="V1118" s="132" t="s">
        <v>187</v>
      </c>
      <c r="W1118" s="132" t="s">
        <v>153</v>
      </c>
      <c r="X1118" s="133">
        <v>41981</v>
      </c>
      <c r="Y1118" s="134">
        <v>831</v>
      </c>
    </row>
    <row r="1119" spans="1:25" x14ac:dyDescent="0.25">
      <c r="A1119" s="92" t="s">
        <v>148</v>
      </c>
      <c r="B1119" s="12" t="s">
        <v>227</v>
      </c>
      <c r="C1119" s="12" t="s">
        <v>158</v>
      </c>
      <c r="D1119" s="80">
        <v>41705</v>
      </c>
      <c r="E1119" s="81">
        <v>1400</v>
      </c>
      <c r="F1119" s="76" t="s">
        <v>150</v>
      </c>
      <c r="G1119" s="77" t="s">
        <v>181</v>
      </c>
      <c r="H1119" s="77" t="s">
        <v>153</v>
      </c>
      <c r="I1119" s="86">
        <v>41671</v>
      </c>
      <c r="J1119" s="78">
        <v>945</v>
      </c>
      <c r="K1119" s="132" t="s">
        <v>20</v>
      </c>
      <c r="L1119" s="132" t="s">
        <v>292</v>
      </c>
      <c r="M1119" s="132" t="s">
        <v>267</v>
      </c>
      <c r="N1119" s="133">
        <v>41810</v>
      </c>
      <c r="O1119" s="134">
        <v>673</v>
      </c>
      <c r="P1119" s="132" t="s">
        <v>151</v>
      </c>
      <c r="Q1119" s="132" t="s">
        <v>282</v>
      </c>
      <c r="R1119" s="132" t="s">
        <v>267</v>
      </c>
      <c r="S1119" s="133">
        <v>41906</v>
      </c>
      <c r="T1119" s="134">
        <v>414</v>
      </c>
      <c r="U1119" s="132" t="s">
        <v>154</v>
      </c>
      <c r="V1119" s="132" t="s">
        <v>187</v>
      </c>
      <c r="W1119" s="132" t="s">
        <v>153</v>
      </c>
      <c r="X1119" s="133">
        <v>41982</v>
      </c>
      <c r="Y1119" s="134">
        <v>1000</v>
      </c>
    </row>
    <row r="1120" spans="1:25" x14ac:dyDescent="0.25">
      <c r="A1120" s="92" t="s">
        <v>148</v>
      </c>
      <c r="B1120" s="12" t="s">
        <v>227</v>
      </c>
      <c r="C1120" s="12" t="s">
        <v>158</v>
      </c>
      <c r="D1120" s="80">
        <v>41795</v>
      </c>
      <c r="E1120" s="81">
        <v>870</v>
      </c>
      <c r="F1120" s="76" t="s">
        <v>150</v>
      </c>
      <c r="G1120" s="77" t="s">
        <v>181</v>
      </c>
      <c r="H1120" s="77" t="s">
        <v>153</v>
      </c>
      <c r="I1120" s="86">
        <v>41672</v>
      </c>
      <c r="J1120" s="78">
        <v>1072</v>
      </c>
      <c r="K1120" s="132" t="s">
        <v>20</v>
      </c>
      <c r="L1120" s="132" t="s">
        <v>292</v>
      </c>
      <c r="M1120" s="132" t="s">
        <v>267</v>
      </c>
      <c r="N1120" s="133">
        <v>41817</v>
      </c>
      <c r="O1120" s="134">
        <v>1354</v>
      </c>
      <c r="P1120" s="132" t="s">
        <v>151</v>
      </c>
      <c r="Q1120" s="132" t="s">
        <v>282</v>
      </c>
      <c r="R1120" s="132" t="s">
        <v>267</v>
      </c>
      <c r="S1120" s="133">
        <v>41912</v>
      </c>
      <c r="T1120" s="134">
        <v>903.2</v>
      </c>
      <c r="U1120" s="132" t="s">
        <v>154</v>
      </c>
      <c r="V1120" s="132" t="s">
        <v>187</v>
      </c>
      <c r="W1120" s="132" t="s">
        <v>153</v>
      </c>
      <c r="X1120" s="133">
        <v>41983</v>
      </c>
      <c r="Y1120" s="134">
        <v>648</v>
      </c>
    </row>
    <row r="1121" spans="1:25" x14ac:dyDescent="0.25">
      <c r="A1121" s="92" t="s">
        <v>148</v>
      </c>
      <c r="B1121" s="12" t="s">
        <v>227</v>
      </c>
      <c r="C1121" s="12" t="s">
        <v>158</v>
      </c>
      <c r="D1121" s="80">
        <v>41797</v>
      </c>
      <c r="E1121" s="81">
        <v>843</v>
      </c>
      <c r="F1121" s="76" t="s">
        <v>150</v>
      </c>
      <c r="G1121" s="77" t="s">
        <v>181</v>
      </c>
      <c r="H1121" s="77" t="s">
        <v>153</v>
      </c>
      <c r="I1121" s="86">
        <v>41673</v>
      </c>
      <c r="J1121" s="78">
        <v>1108</v>
      </c>
      <c r="K1121" s="132" t="s">
        <v>20</v>
      </c>
      <c r="L1121" s="132" t="s">
        <v>292</v>
      </c>
      <c r="M1121" s="132" t="s">
        <v>267</v>
      </c>
      <c r="N1121" s="133">
        <v>41881</v>
      </c>
      <c r="O1121" s="134">
        <v>1514</v>
      </c>
      <c r="P1121" s="132" t="s">
        <v>151</v>
      </c>
      <c r="Q1121" s="132" t="s">
        <v>282</v>
      </c>
      <c r="R1121" s="132" t="s">
        <v>267</v>
      </c>
      <c r="S1121" s="133">
        <v>41913</v>
      </c>
      <c r="T1121" s="134">
        <v>405.8</v>
      </c>
      <c r="U1121" s="132" t="s">
        <v>154</v>
      </c>
      <c r="V1121" s="132" t="s">
        <v>187</v>
      </c>
      <c r="W1121" s="132" t="s">
        <v>153</v>
      </c>
      <c r="X1121" s="133">
        <v>41984</v>
      </c>
      <c r="Y1121" s="134">
        <v>801</v>
      </c>
    </row>
    <row r="1122" spans="1:25" x14ac:dyDescent="0.25">
      <c r="A1122" s="92" t="s">
        <v>148</v>
      </c>
      <c r="B1122" s="12" t="s">
        <v>227</v>
      </c>
      <c r="C1122" s="12" t="s">
        <v>158</v>
      </c>
      <c r="D1122" s="80">
        <v>41798</v>
      </c>
      <c r="E1122" s="81">
        <v>640</v>
      </c>
      <c r="F1122" s="76" t="s">
        <v>150</v>
      </c>
      <c r="G1122" s="77" t="s">
        <v>181</v>
      </c>
      <c r="H1122" s="77" t="s">
        <v>153</v>
      </c>
      <c r="I1122" s="86">
        <v>41675</v>
      </c>
      <c r="J1122" s="78">
        <v>1231</v>
      </c>
      <c r="K1122" s="132" t="s">
        <v>20</v>
      </c>
      <c r="L1122" s="132" t="s">
        <v>292</v>
      </c>
      <c r="M1122" s="132" t="s">
        <v>267</v>
      </c>
      <c r="N1122" s="133">
        <v>41916</v>
      </c>
      <c r="O1122" s="134">
        <v>1080</v>
      </c>
      <c r="P1122" s="132" t="s">
        <v>151</v>
      </c>
      <c r="Q1122" s="132" t="s">
        <v>282</v>
      </c>
      <c r="R1122" s="132" t="s">
        <v>267</v>
      </c>
      <c r="S1122" s="133">
        <v>41914</v>
      </c>
      <c r="T1122" s="134">
        <v>592.1</v>
      </c>
      <c r="U1122" s="132" t="s">
        <v>154</v>
      </c>
      <c r="V1122" s="132" t="s">
        <v>187</v>
      </c>
      <c r="W1122" s="132" t="s">
        <v>153</v>
      </c>
      <c r="X1122" s="133">
        <v>41985</v>
      </c>
      <c r="Y1122" s="134">
        <v>1000</v>
      </c>
    </row>
    <row r="1123" spans="1:25" x14ac:dyDescent="0.25">
      <c r="A1123" s="92" t="s">
        <v>148</v>
      </c>
      <c r="B1123" s="12" t="s">
        <v>227</v>
      </c>
      <c r="C1123" s="12" t="s">
        <v>158</v>
      </c>
      <c r="D1123" s="80">
        <v>41799</v>
      </c>
      <c r="E1123" s="81">
        <v>851</v>
      </c>
      <c r="F1123" s="76" t="s">
        <v>150</v>
      </c>
      <c r="G1123" s="77" t="s">
        <v>181</v>
      </c>
      <c r="H1123" s="77" t="s">
        <v>153</v>
      </c>
      <c r="I1123" s="86">
        <v>41676</v>
      </c>
      <c r="J1123" s="78">
        <v>1018</v>
      </c>
      <c r="K1123" s="132" t="s">
        <v>20</v>
      </c>
      <c r="L1123" s="132" t="s">
        <v>293</v>
      </c>
      <c r="M1123" s="132" t="s">
        <v>267</v>
      </c>
      <c r="N1123" s="133">
        <v>41991</v>
      </c>
      <c r="O1123" s="134">
        <v>976</v>
      </c>
      <c r="P1123" s="132" t="s">
        <v>151</v>
      </c>
      <c r="Q1123" s="132" t="s">
        <v>282</v>
      </c>
      <c r="R1123" s="132" t="s">
        <v>267</v>
      </c>
      <c r="S1123" s="133">
        <v>41915</v>
      </c>
      <c r="T1123" s="134">
        <v>530</v>
      </c>
      <c r="U1123" s="132" t="s">
        <v>154</v>
      </c>
      <c r="V1123" s="132" t="s">
        <v>187</v>
      </c>
      <c r="W1123" s="132" t="s">
        <v>153</v>
      </c>
      <c r="X1123" s="133">
        <v>41988</v>
      </c>
      <c r="Y1123" s="134">
        <v>372</v>
      </c>
    </row>
    <row r="1124" spans="1:25" x14ac:dyDescent="0.25">
      <c r="A1124" s="92" t="s">
        <v>148</v>
      </c>
      <c r="B1124" s="12" t="s">
        <v>227</v>
      </c>
      <c r="C1124" s="12" t="s">
        <v>158</v>
      </c>
      <c r="D1124" s="80">
        <v>41800</v>
      </c>
      <c r="E1124" s="81">
        <v>870</v>
      </c>
      <c r="F1124" s="76" t="s">
        <v>150</v>
      </c>
      <c r="G1124" s="77" t="s">
        <v>181</v>
      </c>
      <c r="H1124" s="77" t="s">
        <v>153</v>
      </c>
      <c r="I1124" s="86">
        <v>41702</v>
      </c>
      <c r="J1124" s="78">
        <v>731</v>
      </c>
      <c r="K1124" s="132" t="s">
        <v>20</v>
      </c>
      <c r="L1124" s="132" t="s">
        <v>294</v>
      </c>
      <c r="M1124" s="132" t="s">
        <v>267</v>
      </c>
      <c r="N1124" s="133">
        <v>41671</v>
      </c>
      <c r="O1124" s="134">
        <v>446</v>
      </c>
      <c r="P1124" s="132" t="s">
        <v>151</v>
      </c>
      <c r="Q1124" s="132" t="s">
        <v>282</v>
      </c>
      <c r="R1124" s="132" t="s">
        <v>267</v>
      </c>
      <c r="S1124" s="133">
        <v>41918</v>
      </c>
      <c r="T1124" s="134">
        <v>522.20000000000005</v>
      </c>
      <c r="U1124" s="132" t="s">
        <v>154</v>
      </c>
      <c r="V1124" s="132" t="s">
        <v>187</v>
      </c>
      <c r="W1124" s="132" t="s">
        <v>153</v>
      </c>
      <c r="X1124" s="133">
        <v>41989</v>
      </c>
      <c r="Y1124" s="134">
        <v>784</v>
      </c>
    </row>
    <row r="1125" spans="1:25" x14ac:dyDescent="0.25">
      <c r="A1125" s="92" t="s">
        <v>148</v>
      </c>
      <c r="B1125" s="12" t="s">
        <v>227</v>
      </c>
      <c r="C1125" s="12" t="s">
        <v>158</v>
      </c>
      <c r="D1125" s="80">
        <v>41801</v>
      </c>
      <c r="E1125" s="81">
        <v>875</v>
      </c>
      <c r="F1125" s="76" t="s">
        <v>150</v>
      </c>
      <c r="G1125" s="77" t="s">
        <v>181</v>
      </c>
      <c r="H1125" s="77" t="s">
        <v>153</v>
      </c>
      <c r="I1125" s="86">
        <v>41703</v>
      </c>
      <c r="J1125" s="78">
        <v>496</v>
      </c>
      <c r="K1125" s="132" t="s">
        <v>20</v>
      </c>
      <c r="L1125" s="132" t="s">
        <v>294</v>
      </c>
      <c r="M1125" s="132" t="s">
        <v>267</v>
      </c>
      <c r="N1125" s="133">
        <v>41673</v>
      </c>
      <c r="O1125" s="134">
        <v>764</v>
      </c>
      <c r="P1125" s="132" t="s">
        <v>151</v>
      </c>
      <c r="Q1125" s="132" t="s">
        <v>282</v>
      </c>
      <c r="R1125" s="132" t="s">
        <v>267</v>
      </c>
      <c r="S1125" s="133">
        <v>41919</v>
      </c>
      <c r="T1125" s="134">
        <v>864.9</v>
      </c>
      <c r="U1125" s="132" t="s">
        <v>154</v>
      </c>
      <c r="V1125" s="132" t="s">
        <v>187</v>
      </c>
      <c r="W1125" s="132" t="s">
        <v>153</v>
      </c>
      <c r="X1125" s="133">
        <v>41990</v>
      </c>
      <c r="Y1125" s="134">
        <v>863</v>
      </c>
    </row>
    <row r="1126" spans="1:25" x14ac:dyDescent="0.25">
      <c r="A1126" s="92" t="s">
        <v>148</v>
      </c>
      <c r="B1126" s="12" t="s">
        <v>227</v>
      </c>
      <c r="C1126" s="12" t="s">
        <v>158</v>
      </c>
      <c r="D1126" s="80">
        <v>41802</v>
      </c>
      <c r="E1126" s="81">
        <v>375</v>
      </c>
      <c r="F1126" s="76" t="s">
        <v>150</v>
      </c>
      <c r="G1126" s="77" t="s">
        <v>181</v>
      </c>
      <c r="H1126" s="77" t="s">
        <v>153</v>
      </c>
      <c r="I1126" s="86">
        <v>41720</v>
      </c>
      <c r="J1126" s="78">
        <v>814</v>
      </c>
      <c r="K1126" s="132" t="s">
        <v>20</v>
      </c>
      <c r="L1126" s="132" t="s">
        <v>294</v>
      </c>
      <c r="M1126" s="132" t="s">
        <v>267</v>
      </c>
      <c r="N1126" s="133">
        <v>41705</v>
      </c>
      <c r="O1126" s="134">
        <v>403</v>
      </c>
      <c r="P1126" s="132" t="s">
        <v>151</v>
      </c>
      <c r="Q1126" s="132" t="s">
        <v>282</v>
      </c>
      <c r="R1126" s="132" t="s">
        <v>267</v>
      </c>
      <c r="S1126" s="133">
        <v>41920</v>
      </c>
      <c r="T1126" s="134">
        <v>742.5</v>
      </c>
      <c r="U1126" s="132" t="s">
        <v>154</v>
      </c>
      <c r="V1126" s="132" t="s">
        <v>187</v>
      </c>
      <c r="W1126" s="132" t="s">
        <v>153</v>
      </c>
      <c r="X1126" s="133">
        <v>41991</v>
      </c>
      <c r="Y1126" s="134">
        <v>720</v>
      </c>
    </row>
    <row r="1127" spans="1:25" x14ac:dyDescent="0.25">
      <c r="A1127" s="92" t="s">
        <v>148</v>
      </c>
      <c r="B1127" s="12" t="s">
        <v>227</v>
      </c>
      <c r="C1127" s="12" t="s">
        <v>158</v>
      </c>
      <c r="D1127" s="80">
        <v>41803</v>
      </c>
      <c r="E1127" s="81">
        <v>820</v>
      </c>
      <c r="F1127" s="76" t="s">
        <v>150</v>
      </c>
      <c r="G1127" s="77" t="s">
        <v>181</v>
      </c>
      <c r="H1127" s="77" t="s">
        <v>153</v>
      </c>
      <c r="I1127" s="86">
        <v>41721</v>
      </c>
      <c r="J1127" s="78">
        <v>1264</v>
      </c>
      <c r="K1127" s="132" t="s">
        <v>20</v>
      </c>
      <c r="L1127" s="132" t="s">
        <v>294</v>
      </c>
      <c r="M1127" s="132" t="s">
        <v>267</v>
      </c>
      <c r="N1127" s="133">
        <v>41709</v>
      </c>
      <c r="O1127" s="134">
        <v>265</v>
      </c>
      <c r="P1127" s="132" t="s">
        <v>151</v>
      </c>
      <c r="Q1127" s="132" t="s">
        <v>282</v>
      </c>
      <c r="R1127" s="132" t="s">
        <v>267</v>
      </c>
      <c r="S1127" s="133">
        <v>41921</v>
      </c>
      <c r="T1127" s="134">
        <v>800</v>
      </c>
      <c r="U1127" s="132" t="s">
        <v>154</v>
      </c>
      <c r="V1127" s="132" t="s">
        <v>187</v>
      </c>
      <c r="W1127" s="132" t="s">
        <v>153</v>
      </c>
      <c r="X1127" s="133">
        <v>41992</v>
      </c>
      <c r="Y1127" s="134">
        <v>712</v>
      </c>
    </row>
    <row r="1128" spans="1:25" x14ac:dyDescent="0.25">
      <c r="A1128" s="92" t="s">
        <v>148</v>
      </c>
      <c r="B1128" s="12" t="s">
        <v>227</v>
      </c>
      <c r="C1128" s="12" t="s">
        <v>158</v>
      </c>
      <c r="D1128" s="80">
        <v>41842</v>
      </c>
      <c r="E1128" s="81">
        <v>1260</v>
      </c>
      <c r="F1128" s="76" t="s">
        <v>150</v>
      </c>
      <c r="G1128" s="77" t="s">
        <v>181</v>
      </c>
      <c r="H1128" s="77" t="s">
        <v>153</v>
      </c>
      <c r="I1128" s="86">
        <v>41723</v>
      </c>
      <c r="J1128" s="78">
        <v>1245</v>
      </c>
      <c r="K1128" s="132" t="s">
        <v>20</v>
      </c>
      <c r="L1128" s="132" t="s">
        <v>294</v>
      </c>
      <c r="M1128" s="132" t="s">
        <v>267</v>
      </c>
      <c r="N1128" s="133">
        <v>41799</v>
      </c>
      <c r="O1128" s="134">
        <v>1014</v>
      </c>
      <c r="P1128" s="132" t="s">
        <v>151</v>
      </c>
      <c r="Q1128" s="132" t="s">
        <v>282</v>
      </c>
      <c r="R1128" s="132" t="s">
        <v>267</v>
      </c>
      <c r="S1128" s="133">
        <v>41922</v>
      </c>
      <c r="T1128" s="134">
        <v>781.3</v>
      </c>
      <c r="U1128" s="132" t="s">
        <v>154</v>
      </c>
      <c r="V1128" s="132" t="s">
        <v>187</v>
      </c>
      <c r="W1128" s="132" t="s">
        <v>153</v>
      </c>
      <c r="X1128" s="133">
        <v>41995</v>
      </c>
      <c r="Y1128" s="134">
        <v>970</v>
      </c>
    </row>
    <row r="1129" spans="1:25" x14ac:dyDescent="0.25">
      <c r="A1129" s="92" t="s">
        <v>148</v>
      </c>
      <c r="B1129" s="12" t="s">
        <v>227</v>
      </c>
      <c r="C1129" s="12" t="s">
        <v>158</v>
      </c>
      <c r="D1129" s="80">
        <v>41843</v>
      </c>
      <c r="E1129" s="81">
        <v>810</v>
      </c>
      <c r="F1129" s="76" t="s">
        <v>150</v>
      </c>
      <c r="G1129" s="77" t="s">
        <v>181</v>
      </c>
      <c r="H1129" s="77" t="s">
        <v>153</v>
      </c>
      <c r="I1129" s="86">
        <v>41728</v>
      </c>
      <c r="J1129" s="78">
        <v>1008</v>
      </c>
      <c r="K1129" s="132" t="s">
        <v>20</v>
      </c>
      <c r="L1129" s="132" t="s">
        <v>294</v>
      </c>
      <c r="M1129" s="132" t="s">
        <v>267</v>
      </c>
      <c r="N1129" s="133">
        <v>41936</v>
      </c>
      <c r="O1129" s="134">
        <v>533</v>
      </c>
      <c r="P1129" s="132" t="s">
        <v>151</v>
      </c>
      <c r="Q1129" s="132" t="s">
        <v>282</v>
      </c>
      <c r="R1129" s="132" t="s">
        <v>267</v>
      </c>
      <c r="S1129" s="133">
        <v>41935</v>
      </c>
      <c r="T1129" s="134">
        <v>415.1</v>
      </c>
      <c r="U1129" s="132" t="s">
        <v>154</v>
      </c>
      <c r="V1129" s="132" t="s">
        <v>187</v>
      </c>
      <c r="W1129" s="132" t="s">
        <v>153</v>
      </c>
      <c r="X1129" s="133">
        <v>41996</v>
      </c>
      <c r="Y1129" s="134">
        <v>764</v>
      </c>
    </row>
    <row r="1130" spans="1:25" x14ac:dyDescent="0.25">
      <c r="A1130" s="92" t="s">
        <v>148</v>
      </c>
      <c r="B1130" s="12" t="s">
        <v>227</v>
      </c>
      <c r="C1130" s="12" t="s">
        <v>158</v>
      </c>
      <c r="D1130" s="80">
        <v>41844</v>
      </c>
      <c r="E1130" s="81">
        <v>842</v>
      </c>
      <c r="F1130" s="76" t="s">
        <v>150</v>
      </c>
      <c r="G1130" s="77" t="s">
        <v>181</v>
      </c>
      <c r="H1130" s="77" t="s">
        <v>153</v>
      </c>
      <c r="I1130" s="86">
        <v>41730</v>
      </c>
      <c r="J1130" s="78">
        <v>991</v>
      </c>
      <c r="K1130" s="132" t="s">
        <v>20</v>
      </c>
      <c r="L1130" s="132" t="s">
        <v>294</v>
      </c>
      <c r="M1130" s="132" t="s">
        <v>267</v>
      </c>
      <c r="N1130" s="133">
        <v>41953</v>
      </c>
      <c r="O1130" s="134">
        <v>757</v>
      </c>
      <c r="P1130" s="132" t="s">
        <v>151</v>
      </c>
      <c r="Q1130" s="132" t="s">
        <v>282</v>
      </c>
      <c r="R1130" s="132" t="s">
        <v>267</v>
      </c>
      <c r="S1130" s="133">
        <v>41942</v>
      </c>
      <c r="T1130" s="134">
        <v>185.6</v>
      </c>
      <c r="U1130" s="132" t="s">
        <v>154</v>
      </c>
      <c r="V1130" s="132" t="s">
        <v>187</v>
      </c>
      <c r="W1130" s="132" t="s">
        <v>153</v>
      </c>
      <c r="X1130" s="133">
        <v>41997</v>
      </c>
      <c r="Y1130" s="134">
        <v>975</v>
      </c>
    </row>
    <row r="1131" spans="1:25" x14ac:dyDescent="0.25">
      <c r="A1131" s="92" t="s">
        <v>148</v>
      </c>
      <c r="B1131" s="12" t="s">
        <v>227</v>
      </c>
      <c r="C1131" s="12" t="s">
        <v>158</v>
      </c>
      <c r="D1131" s="80">
        <v>41847</v>
      </c>
      <c r="E1131" s="81">
        <v>1400</v>
      </c>
      <c r="F1131" s="76" t="s">
        <v>150</v>
      </c>
      <c r="G1131" s="77" t="s">
        <v>181</v>
      </c>
      <c r="H1131" s="77" t="s">
        <v>153</v>
      </c>
      <c r="I1131" s="86">
        <v>41731</v>
      </c>
      <c r="J1131" s="78">
        <v>808</v>
      </c>
      <c r="K1131" s="132" t="s">
        <v>20</v>
      </c>
      <c r="L1131" s="132" t="s">
        <v>294</v>
      </c>
      <c r="M1131" s="132" t="s">
        <v>267</v>
      </c>
      <c r="N1131" s="133">
        <v>41969</v>
      </c>
      <c r="O1131" s="134">
        <v>475</v>
      </c>
      <c r="P1131" s="132" t="s">
        <v>151</v>
      </c>
      <c r="Q1131" s="132" t="s">
        <v>282</v>
      </c>
      <c r="R1131" s="132" t="s">
        <v>267</v>
      </c>
      <c r="S1131" s="133">
        <v>41943</v>
      </c>
      <c r="T1131" s="134">
        <v>529.20000000000005</v>
      </c>
      <c r="U1131" s="132" t="s">
        <v>154</v>
      </c>
      <c r="V1131" s="132" t="s">
        <v>188</v>
      </c>
      <c r="W1131" s="132" t="s">
        <v>153</v>
      </c>
      <c r="X1131" s="133">
        <v>41808</v>
      </c>
      <c r="Y1131" s="134">
        <v>480</v>
      </c>
    </row>
    <row r="1132" spans="1:25" x14ac:dyDescent="0.25">
      <c r="A1132" s="92" t="s">
        <v>148</v>
      </c>
      <c r="B1132" s="12" t="s">
        <v>227</v>
      </c>
      <c r="C1132" s="12" t="s">
        <v>158</v>
      </c>
      <c r="D1132" s="80">
        <v>41850</v>
      </c>
      <c r="E1132" s="81">
        <v>1120</v>
      </c>
      <c r="F1132" s="76" t="s">
        <v>150</v>
      </c>
      <c r="G1132" s="77" t="s">
        <v>181</v>
      </c>
      <c r="H1132" s="77" t="s">
        <v>153</v>
      </c>
      <c r="I1132" s="86">
        <v>41733</v>
      </c>
      <c r="J1132" s="78">
        <v>733</v>
      </c>
      <c r="K1132" s="132" t="s">
        <v>20</v>
      </c>
      <c r="L1132" s="132" t="s">
        <v>294</v>
      </c>
      <c r="M1132" s="132" t="s">
        <v>267</v>
      </c>
      <c r="N1132" s="133">
        <v>41975</v>
      </c>
      <c r="O1132" s="134">
        <v>455</v>
      </c>
      <c r="P1132" s="132" t="s">
        <v>151</v>
      </c>
      <c r="Q1132" s="132" t="s">
        <v>282</v>
      </c>
      <c r="R1132" s="132" t="s">
        <v>267</v>
      </c>
      <c r="S1132" s="133">
        <v>41975</v>
      </c>
      <c r="T1132" s="134">
        <v>841.5</v>
      </c>
      <c r="U1132" s="132" t="s">
        <v>154</v>
      </c>
      <c r="V1132" s="132" t="s">
        <v>188</v>
      </c>
      <c r="W1132" s="132" t="s">
        <v>153</v>
      </c>
      <c r="X1132" s="133">
        <v>41809</v>
      </c>
      <c r="Y1132" s="134">
        <v>1070</v>
      </c>
    </row>
    <row r="1133" spans="1:25" x14ac:dyDescent="0.25">
      <c r="A1133" s="92" t="s">
        <v>148</v>
      </c>
      <c r="B1133" s="12" t="s">
        <v>227</v>
      </c>
      <c r="C1133" s="12" t="s">
        <v>158</v>
      </c>
      <c r="D1133" s="80">
        <v>41852</v>
      </c>
      <c r="E1133" s="81">
        <v>1100</v>
      </c>
      <c r="F1133" s="76" t="s">
        <v>150</v>
      </c>
      <c r="G1133" s="77" t="s">
        <v>181</v>
      </c>
      <c r="H1133" s="77" t="s">
        <v>153</v>
      </c>
      <c r="I1133" s="86">
        <v>41736</v>
      </c>
      <c r="J1133" s="78">
        <v>1064</v>
      </c>
      <c r="K1133" s="132" t="s">
        <v>20</v>
      </c>
      <c r="L1133" s="132" t="s">
        <v>294</v>
      </c>
      <c r="M1133" s="132" t="s">
        <v>267</v>
      </c>
      <c r="N1133" s="133">
        <v>41981</v>
      </c>
      <c r="O1133" s="134">
        <v>478</v>
      </c>
      <c r="P1133" s="132" t="s">
        <v>151</v>
      </c>
      <c r="Q1133" s="132" t="s">
        <v>282</v>
      </c>
      <c r="R1133" s="132" t="s">
        <v>267</v>
      </c>
      <c r="S1133" s="133">
        <v>41977</v>
      </c>
      <c r="T1133" s="134">
        <v>1108.3</v>
      </c>
      <c r="U1133" s="132" t="s">
        <v>154</v>
      </c>
      <c r="V1133" s="132" t="s">
        <v>188</v>
      </c>
      <c r="W1133" s="132" t="s">
        <v>153</v>
      </c>
      <c r="X1133" s="133">
        <v>41810</v>
      </c>
      <c r="Y1133" s="134">
        <v>870</v>
      </c>
    </row>
    <row r="1134" spans="1:25" x14ac:dyDescent="0.25">
      <c r="A1134" s="92" t="s">
        <v>148</v>
      </c>
      <c r="B1134" s="12" t="s">
        <v>227</v>
      </c>
      <c r="C1134" s="12" t="s">
        <v>158</v>
      </c>
      <c r="D1134" s="80">
        <v>41853</v>
      </c>
      <c r="E1134" s="81">
        <v>1501</v>
      </c>
      <c r="F1134" s="76" t="s">
        <v>150</v>
      </c>
      <c r="G1134" s="77" t="s">
        <v>181</v>
      </c>
      <c r="H1134" s="77" t="s">
        <v>153</v>
      </c>
      <c r="I1134" s="86">
        <v>41738</v>
      </c>
      <c r="J1134" s="78">
        <v>689</v>
      </c>
      <c r="K1134" s="132" t="s">
        <v>20</v>
      </c>
      <c r="L1134" s="132" t="s">
        <v>294</v>
      </c>
      <c r="M1134" s="132" t="s">
        <v>267</v>
      </c>
      <c r="N1134" s="133">
        <v>41989</v>
      </c>
      <c r="O1134" s="134">
        <v>456</v>
      </c>
      <c r="P1134" s="132" t="s">
        <v>151</v>
      </c>
      <c r="Q1134" s="132" t="s">
        <v>282</v>
      </c>
      <c r="R1134" s="132" t="s">
        <v>267</v>
      </c>
      <c r="S1134" s="133">
        <v>41978</v>
      </c>
      <c r="T1134" s="134">
        <v>606.20000000000005</v>
      </c>
      <c r="U1134" s="132" t="s">
        <v>154</v>
      </c>
      <c r="V1134" s="132" t="s">
        <v>188</v>
      </c>
      <c r="W1134" s="132" t="s">
        <v>153</v>
      </c>
      <c r="X1134" s="133">
        <v>41811</v>
      </c>
      <c r="Y1134" s="134">
        <v>716</v>
      </c>
    </row>
    <row r="1135" spans="1:25" x14ac:dyDescent="0.25">
      <c r="A1135" s="92" t="s">
        <v>148</v>
      </c>
      <c r="B1135" s="12" t="s">
        <v>227</v>
      </c>
      <c r="C1135" s="12" t="s">
        <v>158</v>
      </c>
      <c r="D1135" s="80">
        <v>41854</v>
      </c>
      <c r="E1135" s="81">
        <v>800</v>
      </c>
      <c r="F1135" s="76" t="s">
        <v>150</v>
      </c>
      <c r="G1135" s="77" t="s">
        <v>181</v>
      </c>
      <c r="H1135" s="77" t="s">
        <v>153</v>
      </c>
      <c r="I1135" s="86">
        <v>41739</v>
      </c>
      <c r="J1135" s="78">
        <v>584</v>
      </c>
      <c r="K1135" s="132" t="s">
        <v>20</v>
      </c>
      <c r="L1135" s="132" t="s">
        <v>294</v>
      </c>
      <c r="M1135" s="132" t="s">
        <v>267</v>
      </c>
      <c r="N1135" s="133">
        <v>41991</v>
      </c>
      <c r="O1135" s="134">
        <v>233</v>
      </c>
      <c r="P1135" s="132" t="s">
        <v>151</v>
      </c>
      <c r="Q1135" s="132" t="s">
        <v>282</v>
      </c>
      <c r="R1135" s="132" t="s">
        <v>267</v>
      </c>
      <c r="S1135" s="133">
        <v>41981</v>
      </c>
      <c r="T1135" s="134">
        <v>913.2</v>
      </c>
      <c r="U1135" s="132" t="s">
        <v>154</v>
      </c>
      <c r="V1135" s="132" t="s">
        <v>188</v>
      </c>
      <c r="W1135" s="132" t="s">
        <v>153</v>
      </c>
      <c r="X1135" s="133">
        <v>41811</v>
      </c>
      <c r="Y1135" s="134">
        <v>450</v>
      </c>
    </row>
    <row r="1136" spans="1:25" x14ac:dyDescent="0.25">
      <c r="A1136" s="92" t="s">
        <v>148</v>
      </c>
      <c r="B1136" s="12" t="s">
        <v>228</v>
      </c>
      <c r="C1136" s="12" t="s">
        <v>158</v>
      </c>
      <c r="D1136" s="80">
        <v>41688</v>
      </c>
      <c r="E1136" s="81">
        <v>1370</v>
      </c>
      <c r="F1136" s="76" t="s">
        <v>150</v>
      </c>
      <c r="G1136" s="77" t="s">
        <v>181</v>
      </c>
      <c r="H1136" s="77" t="s">
        <v>153</v>
      </c>
      <c r="I1136" s="86">
        <v>41743</v>
      </c>
      <c r="J1136" s="78">
        <v>909</v>
      </c>
      <c r="K1136" s="132" t="s">
        <v>20</v>
      </c>
      <c r="L1136" s="132" t="s">
        <v>294</v>
      </c>
      <c r="M1136" s="132" t="s">
        <v>267</v>
      </c>
      <c r="N1136" s="133">
        <v>41997</v>
      </c>
      <c r="O1136" s="134">
        <v>402</v>
      </c>
      <c r="P1136" s="132" t="s">
        <v>151</v>
      </c>
      <c r="Q1136" s="132" t="s">
        <v>282</v>
      </c>
      <c r="R1136" s="132" t="s">
        <v>267</v>
      </c>
      <c r="S1136" s="133">
        <v>41982</v>
      </c>
      <c r="T1136" s="134">
        <v>412.2</v>
      </c>
      <c r="U1136" s="132" t="s">
        <v>154</v>
      </c>
      <c r="V1136" s="132" t="s">
        <v>188</v>
      </c>
      <c r="W1136" s="132" t="s">
        <v>153</v>
      </c>
      <c r="X1136" s="133">
        <v>41812</v>
      </c>
      <c r="Y1136" s="134">
        <v>560</v>
      </c>
    </row>
    <row r="1137" spans="1:25" x14ac:dyDescent="0.25">
      <c r="A1137" s="92" t="s">
        <v>148</v>
      </c>
      <c r="B1137" s="12" t="s">
        <v>228</v>
      </c>
      <c r="C1137" s="12" t="s">
        <v>158</v>
      </c>
      <c r="D1137" s="80">
        <v>41688</v>
      </c>
      <c r="E1137" s="81">
        <v>500</v>
      </c>
      <c r="F1137" s="76" t="s">
        <v>150</v>
      </c>
      <c r="G1137" s="77" t="s">
        <v>181</v>
      </c>
      <c r="H1137" s="77" t="s">
        <v>153</v>
      </c>
      <c r="I1137" s="86">
        <v>41744</v>
      </c>
      <c r="J1137" s="78">
        <v>1110</v>
      </c>
      <c r="K1137" s="132" t="s">
        <v>20</v>
      </c>
      <c r="L1137" s="132" t="s">
        <v>294</v>
      </c>
      <c r="M1137" s="132" t="s">
        <v>267</v>
      </c>
      <c r="N1137" s="133">
        <v>41999</v>
      </c>
      <c r="O1137" s="134">
        <v>587</v>
      </c>
      <c r="P1137" s="132" t="s">
        <v>151</v>
      </c>
      <c r="Q1137" s="132" t="s">
        <v>282</v>
      </c>
      <c r="R1137" s="132" t="s">
        <v>267</v>
      </c>
      <c r="S1137" s="133">
        <v>41990</v>
      </c>
      <c r="T1137" s="134">
        <v>651.6</v>
      </c>
      <c r="U1137" s="132" t="s">
        <v>154</v>
      </c>
      <c r="V1137" s="132" t="s">
        <v>188</v>
      </c>
      <c r="W1137" s="132" t="s">
        <v>153</v>
      </c>
      <c r="X1137" s="133">
        <v>41812</v>
      </c>
      <c r="Y1137" s="134">
        <v>699</v>
      </c>
    </row>
    <row r="1138" spans="1:25" x14ac:dyDescent="0.25">
      <c r="A1138" s="92" t="s">
        <v>148</v>
      </c>
      <c r="B1138" s="12" t="s">
        <v>228</v>
      </c>
      <c r="C1138" s="12" t="s">
        <v>158</v>
      </c>
      <c r="D1138" s="80">
        <v>41689</v>
      </c>
      <c r="E1138" s="81">
        <v>778</v>
      </c>
      <c r="F1138" s="76" t="s">
        <v>150</v>
      </c>
      <c r="G1138" s="77" t="s">
        <v>181</v>
      </c>
      <c r="H1138" s="77" t="s">
        <v>153</v>
      </c>
      <c r="I1138" s="86">
        <v>41744</v>
      </c>
      <c r="J1138" s="78">
        <v>710</v>
      </c>
      <c r="K1138" s="132" t="s">
        <v>20</v>
      </c>
      <c r="L1138" s="132" t="s">
        <v>295</v>
      </c>
      <c r="M1138" s="132" t="s">
        <v>267</v>
      </c>
      <c r="N1138" s="133">
        <v>41822</v>
      </c>
      <c r="O1138" s="134">
        <v>1085</v>
      </c>
      <c r="P1138" s="132" t="s">
        <v>151</v>
      </c>
      <c r="Q1138" s="132" t="s">
        <v>282</v>
      </c>
      <c r="R1138" s="132" t="s">
        <v>267</v>
      </c>
      <c r="S1138" s="133">
        <v>41992</v>
      </c>
      <c r="T1138" s="134">
        <v>1145.4000000000001</v>
      </c>
      <c r="U1138" s="132" t="s">
        <v>154</v>
      </c>
      <c r="V1138" s="132" t="s">
        <v>188</v>
      </c>
      <c r="W1138" s="132" t="s">
        <v>153</v>
      </c>
      <c r="X1138" s="133">
        <v>41813</v>
      </c>
      <c r="Y1138" s="134">
        <v>1130</v>
      </c>
    </row>
    <row r="1139" spans="1:25" x14ac:dyDescent="0.25">
      <c r="A1139" s="92" t="s">
        <v>148</v>
      </c>
      <c r="B1139" s="12" t="s">
        <v>228</v>
      </c>
      <c r="C1139" s="12" t="s">
        <v>158</v>
      </c>
      <c r="D1139" s="80">
        <v>41690</v>
      </c>
      <c r="E1139" s="81">
        <v>700</v>
      </c>
      <c r="F1139" s="76" t="s">
        <v>150</v>
      </c>
      <c r="G1139" s="77" t="s">
        <v>181</v>
      </c>
      <c r="H1139" s="77" t="s">
        <v>153</v>
      </c>
      <c r="I1139" s="86">
        <v>41746</v>
      </c>
      <c r="J1139" s="78">
        <v>1175</v>
      </c>
      <c r="K1139" s="132" t="s">
        <v>20</v>
      </c>
      <c r="L1139" s="132" t="s">
        <v>295</v>
      </c>
      <c r="M1139" s="132" t="s">
        <v>267</v>
      </c>
      <c r="N1139" s="133">
        <v>41869</v>
      </c>
      <c r="O1139" s="134">
        <v>1115</v>
      </c>
      <c r="P1139" s="132" t="s">
        <v>151</v>
      </c>
      <c r="Q1139" s="132" t="s">
        <v>282</v>
      </c>
      <c r="R1139" s="132" t="s">
        <v>267</v>
      </c>
      <c r="S1139" s="133">
        <v>42002</v>
      </c>
      <c r="T1139" s="134">
        <v>658.9</v>
      </c>
      <c r="U1139" s="132" t="s">
        <v>154</v>
      </c>
      <c r="V1139" s="132" t="s">
        <v>188</v>
      </c>
      <c r="W1139" s="132" t="s">
        <v>153</v>
      </c>
      <c r="X1139" s="133">
        <v>41814</v>
      </c>
      <c r="Y1139" s="134">
        <v>1000</v>
      </c>
    </row>
    <row r="1140" spans="1:25" x14ac:dyDescent="0.25">
      <c r="A1140" s="92" t="s">
        <v>148</v>
      </c>
      <c r="B1140" s="12" t="s">
        <v>228</v>
      </c>
      <c r="C1140" s="12" t="s">
        <v>158</v>
      </c>
      <c r="D1140" s="80">
        <v>41691</v>
      </c>
      <c r="E1140" s="81">
        <v>730</v>
      </c>
      <c r="F1140" s="76" t="s">
        <v>150</v>
      </c>
      <c r="G1140" s="77" t="s">
        <v>181</v>
      </c>
      <c r="H1140" s="77" t="s">
        <v>153</v>
      </c>
      <c r="I1140" s="86">
        <v>41750</v>
      </c>
      <c r="J1140" s="78">
        <v>521</v>
      </c>
      <c r="K1140" s="132" t="s">
        <v>20</v>
      </c>
      <c r="L1140" s="132" t="s">
        <v>295</v>
      </c>
      <c r="M1140" s="132" t="s">
        <v>267</v>
      </c>
      <c r="N1140" s="133">
        <v>41916</v>
      </c>
      <c r="O1140" s="134">
        <v>1278</v>
      </c>
      <c r="P1140" s="132" t="s">
        <v>151</v>
      </c>
      <c r="Q1140" s="132" t="s">
        <v>283</v>
      </c>
      <c r="R1140" s="132" t="s">
        <v>267</v>
      </c>
      <c r="S1140" s="133">
        <v>41635</v>
      </c>
      <c r="T1140" s="134">
        <v>762.8</v>
      </c>
      <c r="U1140" s="132" t="s">
        <v>154</v>
      </c>
      <c r="V1140" s="132" t="s">
        <v>188</v>
      </c>
      <c r="W1140" s="132" t="s">
        <v>153</v>
      </c>
      <c r="X1140" s="133">
        <v>41815</v>
      </c>
      <c r="Y1140" s="134">
        <v>802</v>
      </c>
    </row>
    <row r="1141" spans="1:25" x14ac:dyDescent="0.25">
      <c r="A1141" s="92" t="s">
        <v>148</v>
      </c>
      <c r="B1141" s="12" t="s">
        <v>228</v>
      </c>
      <c r="C1141" s="12" t="s">
        <v>158</v>
      </c>
      <c r="D1141" s="80">
        <v>41692</v>
      </c>
      <c r="E1141" s="81">
        <v>770</v>
      </c>
      <c r="F1141" s="76" t="s">
        <v>150</v>
      </c>
      <c r="G1141" s="77" t="s">
        <v>181</v>
      </c>
      <c r="H1141" s="77" t="s">
        <v>153</v>
      </c>
      <c r="I1141" s="86">
        <v>41751</v>
      </c>
      <c r="J1141" s="78">
        <v>456</v>
      </c>
      <c r="K1141" s="132" t="s">
        <v>20</v>
      </c>
      <c r="L1141" s="132" t="s">
        <v>295</v>
      </c>
      <c r="M1141" s="132" t="s">
        <v>267</v>
      </c>
      <c r="N1141" s="133">
        <v>41936</v>
      </c>
      <c r="O1141" s="134">
        <v>871</v>
      </c>
      <c r="P1141" s="132" t="s">
        <v>151</v>
      </c>
      <c r="Q1141" s="132" t="s">
        <v>283</v>
      </c>
      <c r="R1141" s="132" t="s">
        <v>267</v>
      </c>
      <c r="S1141" s="133">
        <v>41638</v>
      </c>
      <c r="T1141" s="134">
        <v>863.7</v>
      </c>
      <c r="U1141" s="132" t="s">
        <v>154</v>
      </c>
      <c r="V1141" s="132" t="s">
        <v>188</v>
      </c>
      <c r="W1141" s="132" t="s">
        <v>153</v>
      </c>
      <c r="X1141" s="133">
        <v>41816</v>
      </c>
      <c r="Y1141" s="134">
        <v>920</v>
      </c>
    </row>
    <row r="1142" spans="1:25" x14ac:dyDescent="0.25">
      <c r="A1142" s="92" t="s">
        <v>148</v>
      </c>
      <c r="B1142" s="12" t="s">
        <v>228</v>
      </c>
      <c r="C1142" s="12" t="s">
        <v>158</v>
      </c>
      <c r="D1142" s="80">
        <v>41693</v>
      </c>
      <c r="E1142" s="81">
        <v>700</v>
      </c>
      <c r="F1142" s="76" t="s">
        <v>150</v>
      </c>
      <c r="G1142" s="77" t="s">
        <v>181</v>
      </c>
      <c r="H1142" s="77" t="s">
        <v>153</v>
      </c>
      <c r="I1142" s="86">
        <v>41754</v>
      </c>
      <c r="J1142" s="78">
        <v>1054</v>
      </c>
      <c r="K1142" s="132" t="s">
        <v>20</v>
      </c>
      <c r="L1142" s="132" t="s">
        <v>295</v>
      </c>
      <c r="M1142" s="132" t="s">
        <v>267</v>
      </c>
      <c r="N1142" s="133">
        <v>41953</v>
      </c>
      <c r="O1142" s="134">
        <v>1057</v>
      </c>
      <c r="P1142" s="132" t="s">
        <v>151</v>
      </c>
      <c r="Q1142" s="132" t="s">
        <v>283</v>
      </c>
      <c r="R1142" s="132" t="s">
        <v>267</v>
      </c>
      <c r="S1142" s="133">
        <v>41652</v>
      </c>
      <c r="T1142" s="134">
        <v>532.20000000000005</v>
      </c>
      <c r="U1142" s="132" t="s">
        <v>154</v>
      </c>
      <c r="V1142" s="132" t="s">
        <v>188</v>
      </c>
      <c r="W1142" s="132" t="s">
        <v>153</v>
      </c>
      <c r="X1142" s="133">
        <v>41817</v>
      </c>
      <c r="Y1142" s="134">
        <v>821</v>
      </c>
    </row>
    <row r="1143" spans="1:25" x14ac:dyDescent="0.25">
      <c r="A1143" s="92" t="s">
        <v>148</v>
      </c>
      <c r="B1143" s="12" t="s">
        <v>228</v>
      </c>
      <c r="C1143" s="12" t="s">
        <v>158</v>
      </c>
      <c r="D1143" s="80">
        <v>41694</v>
      </c>
      <c r="E1143" s="81">
        <v>470</v>
      </c>
      <c r="F1143" s="76" t="s">
        <v>150</v>
      </c>
      <c r="G1143" s="77" t="s">
        <v>181</v>
      </c>
      <c r="H1143" s="77" t="s">
        <v>153</v>
      </c>
      <c r="I1143" s="86">
        <v>41755</v>
      </c>
      <c r="J1143" s="78">
        <v>1074</v>
      </c>
      <c r="K1143" s="132" t="s">
        <v>20</v>
      </c>
      <c r="L1143" s="132" t="s">
        <v>295</v>
      </c>
      <c r="M1143" s="132" t="s">
        <v>267</v>
      </c>
      <c r="N1143" s="133">
        <v>41968</v>
      </c>
      <c r="O1143" s="134">
        <v>1029</v>
      </c>
      <c r="P1143" s="132" t="s">
        <v>151</v>
      </c>
      <c r="Q1143" s="132" t="s">
        <v>283</v>
      </c>
      <c r="R1143" s="132" t="s">
        <v>267</v>
      </c>
      <c r="S1143" s="133">
        <v>41653</v>
      </c>
      <c r="T1143" s="134">
        <v>363</v>
      </c>
      <c r="U1143" s="132" t="s">
        <v>154</v>
      </c>
      <c r="V1143" s="132" t="s">
        <v>188</v>
      </c>
      <c r="W1143" s="132" t="s">
        <v>153</v>
      </c>
      <c r="X1143" s="133">
        <v>41818</v>
      </c>
      <c r="Y1143" s="134">
        <v>629</v>
      </c>
    </row>
    <row r="1144" spans="1:25" x14ac:dyDescent="0.25">
      <c r="A1144" s="92" t="s">
        <v>148</v>
      </c>
      <c r="B1144" s="12" t="s">
        <v>228</v>
      </c>
      <c r="C1144" s="12" t="s">
        <v>158</v>
      </c>
      <c r="D1144" s="80">
        <v>41695</v>
      </c>
      <c r="E1144" s="81">
        <v>840</v>
      </c>
      <c r="F1144" s="76" t="s">
        <v>150</v>
      </c>
      <c r="G1144" s="77" t="s">
        <v>181</v>
      </c>
      <c r="H1144" s="77" t="s">
        <v>153</v>
      </c>
      <c r="I1144" s="86">
        <v>41757</v>
      </c>
      <c r="J1144" s="78">
        <v>766</v>
      </c>
      <c r="K1144" s="132" t="s">
        <v>20</v>
      </c>
      <c r="L1144" s="132" t="s">
        <v>296</v>
      </c>
      <c r="M1144" s="132" t="s">
        <v>267</v>
      </c>
      <c r="N1144" s="133">
        <v>41666</v>
      </c>
      <c r="O1144" s="134">
        <v>1217</v>
      </c>
      <c r="P1144" s="132" t="s">
        <v>151</v>
      </c>
      <c r="Q1144" s="132" t="s">
        <v>283</v>
      </c>
      <c r="R1144" s="132" t="s">
        <v>267</v>
      </c>
      <c r="S1144" s="133">
        <v>41662</v>
      </c>
      <c r="T1144" s="134">
        <v>1536.4</v>
      </c>
      <c r="U1144" s="132" t="s">
        <v>154</v>
      </c>
      <c r="V1144" s="132" t="s">
        <v>188</v>
      </c>
      <c r="W1144" s="132" t="s">
        <v>153</v>
      </c>
      <c r="X1144" s="133">
        <v>41819</v>
      </c>
      <c r="Y1144" s="134">
        <v>688</v>
      </c>
    </row>
    <row r="1145" spans="1:25" x14ac:dyDescent="0.25">
      <c r="A1145" s="92" t="s">
        <v>148</v>
      </c>
      <c r="B1145" s="12" t="s">
        <v>228</v>
      </c>
      <c r="C1145" s="12" t="s">
        <v>158</v>
      </c>
      <c r="D1145" s="80">
        <v>41696</v>
      </c>
      <c r="E1145" s="81">
        <v>820</v>
      </c>
      <c r="F1145" s="76" t="s">
        <v>150</v>
      </c>
      <c r="G1145" s="77" t="s">
        <v>181</v>
      </c>
      <c r="H1145" s="77" t="s">
        <v>153</v>
      </c>
      <c r="I1145" s="86">
        <v>41759</v>
      </c>
      <c r="J1145" s="78">
        <v>770</v>
      </c>
      <c r="K1145" s="132" t="s">
        <v>20</v>
      </c>
      <c r="L1145" s="132" t="s">
        <v>296</v>
      </c>
      <c r="M1145" s="132" t="s">
        <v>267</v>
      </c>
      <c r="N1145" s="133">
        <v>41668</v>
      </c>
      <c r="O1145" s="134">
        <v>1134</v>
      </c>
      <c r="P1145" s="132" t="s">
        <v>151</v>
      </c>
      <c r="Q1145" s="132" t="s">
        <v>283</v>
      </c>
      <c r="R1145" s="132" t="s">
        <v>267</v>
      </c>
      <c r="S1145" s="133">
        <v>41663</v>
      </c>
      <c r="T1145" s="134">
        <v>498.8</v>
      </c>
      <c r="U1145" s="132" t="s">
        <v>154</v>
      </c>
      <c r="V1145" s="132" t="s">
        <v>188</v>
      </c>
      <c r="W1145" s="132" t="s">
        <v>153</v>
      </c>
      <c r="X1145" s="133">
        <v>41819</v>
      </c>
      <c r="Y1145" s="134">
        <v>378</v>
      </c>
    </row>
    <row r="1146" spans="1:25" x14ac:dyDescent="0.25">
      <c r="A1146" s="92" t="s">
        <v>148</v>
      </c>
      <c r="B1146" s="12" t="s">
        <v>228</v>
      </c>
      <c r="C1146" s="12" t="s">
        <v>158</v>
      </c>
      <c r="D1146" s="80">
        <v>41697</v>
      </c>
      <c r="E1146" s="81">
        <v>850</v>
      </c>
      <c r="F1146" s="76" t="s">
        <v>150</v>
      </c>
      <c r="G1146" s="77" t="s">
        <v>181</v>
      </c>
      <c r="H1146" s="77" t="s">
        <v>153</v>
      </c>
      <c r="I1146" s="86">
        <v>41760</v>
      </c>
      <c r="J1146" s="78">
        <v>749</v>
      </c>
      <c r="K1146" s="132" t="s">
        <v>20</v>
      </c>
      <c r="L1146" s="132" t="s">
        <v>296</v>
      </c>
      <c r="M1146" s="132" t="s">
        <v>267</v>
      </c>
      <c r="N1146" s="133">
        <v>41670</v>
      </c>
      <c r="O1146" s="134">
        <v>1085</v>
      </c>
      <c r="P1146" s="132" t="s">
        <v>151</v>
      </c>
      <c r="Q1146" s="132" t="s">
        <v>283</v>
      </c>
      <c r="R1146" s="132" t="s">
        <v>267</v>
      </c>
      <c r="S1146" s="133">
        <v>41666</v>
      </c>
      <c r="T1146" s="134">
        <v>383.3</v>
      </c>
      <c r="U1146" s="132" t="s">
        <v>154</v>
      </c>
      <c r="V1146" s="132" t="s">
        <v>188</v>
      </c>
      <c r="W1146" s="132" t="s">
        <v>153</v>
      </c>
      <c r="X1146" s="133">
        <v>41819</v>
      </c>
      <c r="Y1146" s="134">
        <v>280</v>
      </c>
    </row>
    <row r="1147" spans="1:25" x14ac:dyDescent="0.25">
      <c r="A1147" s="92" t="s">
        <v>148</v>
      </c>
      <c r="B1147" s="12" t="s">
        <v>228</v>
      </c>
      <c r="C1147" s="12" t="s">
        <v>158</v>
      </c>
      <c r="D1147" s="80">
        <v>41698</v>
      </c>
      <c r="E1147" s="81">
        <v>821</v>
      </c>
      <c r="F1147" s="76" t="s">
        <v>150</v>
      </c>
      <c r="G1147" s="77" t="s">
        <v>181</v>
      </c>
      <c r="H1147" s="77" t="s">
        <v>153</v>
      </c>
      <c r="I1147" s="86">
        <v>41765</v>
      </c>
      <c r="J1147" s="78">
        <v>1142</v>
      </c>
      <c r="K1147" s="132" t="s">
        <v>20</v>
      </c>
      <c r="L1147" s="132" t="s">
        <v>296</v>
      </c>
      <c r="M1147" s="132" t="s">
        <v>267</v>
      </c>
      <c r="N1147" s="133">
        <v>41689</v>
      </c>
      <c r="O1147" s="134">
        <v>1012</v>
      </c>
      <c r="P1147" s="132" t="s">
        <v>151</v>
      </c>
      <c r="Q1147" s="132" t="s">
        <v>283</v>
      </c>
      <c r="R1147" s="132" t="s">
        <v>267</v>
      </c>
      <c r="S1147" s="133">
        <v>41702</v>
      </c>
      <c r="T1147" s="134">
        <v>384.4</v>
      </c>
      <c r="U1147" s="132" t="s">
        <v>154</v>
      </c>
      <c r="V1147" s="132" t="s">
        <v>188</v>
      </c>
      <c r="W1147" s="132" t="s">
        <v>153</v>
      </c>
      <c r="X1147" s="133">
        <v>41820</v>
      </c>
      <c r="Y1147" s="134">
        <v>1229</v>
      </c>
    </row>
    <row r="1148" spans="1:25" x14ac:dyDescent="0.25">
      <c r="A1148" s="92" t="s">
        <v>148</v>
      </c>
      <c r="B1148" s="12" t="s">
        <v>228</v>
      </c>
      <c r="C1148" s="12" t="s">
        <v>158</v>
      </c>
      <c r="D1148" s="80">
        <v>41699</v>
      </c>
      <c r="E1148" s="81">
        <v>800</v>
      </c>
      <c r="F1148" s="76" t="s">
        <v>150</v>
      </c>
      <c r="G1148" s="77" t="s">
        <v>181</v>
      </c>
      <c r="H1148" s="77" t="s">
        <v>153</v>
      </c>
      <c r="I1148" s="86">
        <v>41765</v>
      </c>
      <c r="J1148" s="78">
        <v>901</v>
      </c>
      <c r="K1148" s="132" t="s">
        <v>20</v>
      </c>
      <c r="L1148" s="132" t="s">
        <v>296</v>
      </c>
      <c r="M1148" s="132" t="s">
        <v>267</v>
      </c>
      <c r="N1148" s="133">
        <v>41719</v>
      </c>
      <c r="O1148" s="134">
        <v>847</v>
      </c>
      <c r="P1148" s="132" t="s">
        <v>151</v>
      </c>
      <c r="Q1148" s="132" t="s">
        <v>283</v>
      </c>
      <c r="R1148" s="132" t="s">
        <v>267</v>
      </c>
      <c r="S1148" s="133">
        <v>41703</v>
      </c>
      <c r="T1148" s="134">
        <v>558.5</v>
      </c>
      <c r="U1148" s="132" t="s">
        <v>154</v>
      </c>
      <c r="V1148" s="132" t="s">
        <v>188</v>
      </c>
      <c r="W1148" s="132" t="s">
        <v>153</v>
      </c>
      <c r="X1148" s="133">
        <v>41821</v>
      </c>
      <c r="Y1148" s="134">
        <v>1300</v>
      </c>
    </row>
    <row r="1149" spans="1:25" x14ac:dyDescent="0.25">
      <c r="A1149" s="92" t="s">
        <v>148</v>
      </c>
      <c r="B1149" s="12" t="s">
        <v>228</v>
      </c>
      <c r="C1149" s="12" t="s">
        <v>158</v>
      </c>
      <c r="D1149" s="80">
        <v>41700</v>
      </c>
      <c r="E1149" s="81">
        <v>830</v>
      </c>
      <c r="F1149" s="76" t="s">
        <v>150</v>
      </c>
      <c r="G1149" s="77" t="s">
        <v>181</v>
      </c>
      <c r="H1149" s="77" t="s">
        <v>153</v>
      </c>
      <c r="I1149" s="86">
        <v>41766</v>
      </c>
      <c r="J1149" s="78">
        <v>1141</v>
      </c>
      <c r="K1149" s="132" t="s">
        <v>20</v>
      </c>
      <c r="L1149" s="132" t="s">
        <v>296</v>
      </c>
      <c r="M1149" s="132" t="s">
        <v>267</v>
      </c>
      <c r="N1149" s="133">
        <v>41747</v>
      </c>
      <c r="O1149" s="134">
        <v>255</v>
      </c>
      <c r="P1149" s="132" t="s">
        <v>151</v>
      </c>
      <c r="Q1149" s="132" t="s">
        <v>283</v>
      </c>
      <c r="R1149" s="132" t="s">
        <v>267</v>
      </c>
      <c r="S1149" s="133">
        <v>41712</v>
      </c>
      <c r="T1149" s="134">
        <v>421.3</v>
      </c>
      <c r="U1149" s="132" t="s">
        <v>154</v>
      </c>
      <c r="V1149" s="132" t="s">
        <v>188</v>
      </c>
      <c r="W1149" s="132" t="s">
        <v>153</v>
      </c>
      <c r="X1149" s="133">
        <v>41822</v>
      </c>
      <c r="Y1149" s="134">
        <v>1290</v>
      </c>
    </row>
    <row r="1150" spans="1:25" x14ac:dyDescent="0.25">
      <c r="A1150" s="92" t="s">
        <v>148</v>
      </c>
      <c r="B1150" s="12" t="s">
        <v>228</v>
      </c>
      <c r="C1150" s="12" t="s">
        <v>158</v>
      </c>
      <c r="D1150" s="80">
        <v>41701</v>
      </c>
      <c r="E1150" s="81">
        <v>670</v>
      </c>
      <c r="F1150" s="76" t="s">
        <v>150</v>
      </c>
      <c r="G1150" s="77" t="s">
        <v>181</v>
      </c>
      <c r="H1150" s="77" t="s">
        <v>153</v>
      </c>
      <c r="I1150" s="86">
        <v>41767</v>
      </c>
      <c r="J1150" s="78">
        <v>1156</v>
      </c>
      <c r="K1150" s="132" t="s">
        <v>20</v>
      </c>
      <c r="L1150" s="132" t="s">
        <v>296</v>
      </c>
      <c r="M1150" s="132" t="s">
        <v>267</v>
      </c>
      <c r="N1150" s="133">
        <v>41752</v>
      </c>
      <c r="O1150" s="134">
        <v>508</v>
      </c>
      <c r="P1150" s="132" t="s">
        <v>151</v>
      </c>
      <c r="Q1150" s="132" t="s">
        <v>283</v>
      </c>
      <c r="R1150" s="132" t="s">
        <v>267</v>
      </c>
      <c r="S1150" s="133">
        <v>41715</v>
      </c>
      <c r="T1150" s="134">
        <v>358.6</v>
      </c>
      <c r="U1150" s="132" t="s">
        <v>154</v>
      </c>
      <c r="V1150" s="132" t="s">
        <v>188</v>
      </c>
      <c r="W1150" s="132" t="s">
        <v>153</v>
      </c>
      <c r="X1150" s="133">
        <v>41823</v>
      </c>
      <c r="Y1150" s="134">
        <v>998</v>
      </c>
    </row>
    <row r="1151" spans="1:25" x14ac:dyDescent="0.25">
      <c r="A1151" s="92" t="s">
        <v>148</v>
      </c>
      <c r="B1151" s="12" t="s">
        <v>228</v>
      </c>
      <c r="C1151" s="12" t="s">
        <v>158</v>
      </c>
      <c r="D1151" s="80">
        <v>41702</v>
      </c>
      <c r="E1151" s="81">
        <v>900</v>
      </c>
      <c r="F1151" s="76" t="s">
        <v>150</v>
      </c>
      <c r="G1151" s="77" t="s">
        <v>181</v>
      </c>
      <c r="H1151" s="77" t="s">
        <v>153</v>
      </c>
      <c r="I1151" s="86">
        <v>41768</v>
      </c>
      <c r="J1151" s="78">
        <v>1078</v>
      </c>
      <c r="K1151" s="132" t="s">
        <v>20</v>
      </c>
      <c r="L1151" s="132" t="s">
        <v>296</v>
      </c>
      <c r="M1151" s="132" t="s">
        <v>267</v>
      </c>
      <c r="N1151" s="133">
        <v>41758</v>
      </c>
      <c r="O1151" s="134">
        <v>304</v>
      </c>
      <c r="P1151" s="132" t="s">
        <v>151</v>
      </c>
      <c r="Q1151" s="132" t="s">
        <v>283</v>
      </c>
      <c r="R1151" s="132" t="s">
        <v>267</v>
      </c>
      <c r="S1151" s="133">
        <v>41716</v>
      </c>
      <c r="T1151" s="134">
        <v>500.8</v>
      </c>
      <c r="U1151" s="132" t="s">
        <v>154</v>
      </c>
      <c r="V1151" s="132" t="s">
        <v>188</v>
      </c>
      <c r="W1151" s="132" t="s">
        <v>153</v>
      </c>
      <c r="X1151" s="133">
        <v>41824</v>
      </c>
      <c r="Y1151" s="134">
        <v>822</v>
      </c>
    </row>
    <row r="1152" spans="1:25" x14ac:dyDescent="0.25">
      <c r="A1152" s="92" t="s">
        <v>148</v>
      </c>
      <c r="B1152" s="12" t="s">
        <v>228</v>
      </c>
      <c r="C1152" s="12" t="s">
        <v>158</v>
      </c>
      <c r="D1152" s="80">
        <v>41703</v>
      </c>
      <c r="E1152" s="81">
        <v>725</v>
      </c>
      <c r="F1152" s="76" t="s">
        <v>150</v>
      </c>
      <c r="G1152" s="77" t="s">
        <v>181</v>
      </c>
      <c r="H1152" s="77" t="s">
        <v>153</v>
      </c>
      <c r="I1152" s="86">
        <v>41770</v>
      </c>
      <c r="J1152" s="78">
        <v>1500</v>
      </c>
      <c r="K1152" s="132" t="s">
        <v>20</v>
      </c>
      <c r="L1152" s="132" t="s">
        <v>296</v>
      </c>
      <c r="M1152" s="132" t="s">
        <v>267</v>
      </c>
      <c r="N1152" s="133">
        <v>41767</v>
      </c>
      <c r="O1152" s="134">
        <v>554</v>
      </c>
      <c r="P1152" s="132" t="s">
        <v>151</v>
      </c>
      <c r="Q1152" s="132" t="s">
        <v>283</v>
      </c>
      <c r="R1152" s="132" t="s">
        <v>267</v>
      </c>
      <c r="S1152" s="133">
        <v>41717</v>
      </c>
      <c r="T1152" s="134">
        <v>433.9</v>
      </c>
      <c r="U1152" s="132" t="s">
        <v>154</v>
      </c>
      <c r="V1152" s="132" t="s">
        <v>188</v>
      </c>
      <c r="W1152" s="132" t="s">
        <v>153</v>
      </c>
      <c r="X1152" s="133">
        <v>41824</v>
      </c>
      <c r="Y1152" s="134">
        <v>600</v>
      </c>
    </row>
    <row r="1153" spans="1:25" x14ac:dyDescent="0.25">
      <c r="A1153" s="92" t="s">
        <v>148</v>
      </c>
      <c r="B1153" s="12" t="s">
        <v>228</v>
      </c>
      <c r="C1153" s="12" t="s">
        <v>158</v>
      </c>
      <c r="D1153" s="80">
        <v>41704</v>
      </c>
      <c r="E1153" s="81">
        <v>800</v>
      </c>
      <c r="F1153" s="76" t="s">
        <v>150</v>
      </c>
      <c r="G1153" s="77" t="s">
        <v>181</v>
      </c>
      <c r="H1153" s="77" t="s">
        <v>153</v>
      </c>
      <c r="I1153" s="86">
        <v>41771</v>
      </c>
      <c r="J1153" s="78">
        <v>1044</v>
      </c>
      <c r="K1153" s="132" t="s">
        <v>20</v>
      </c>
      <c r="L1153" s="132" t="s">
        <v>296</v>
      </c>
      <c r="M1153" s="132" t="s">
        <v>267</v>
      </c>
      <c r="N1153" s="133">
        <v>41787</v>
      </c>
      <c r="O1153" s="134">
        <v>280</v>
      </c>
      <c r="P1153" s="132" t="s">
        <v>151</v>
      </c>
      <c r="Q1153" s="132" t="s">
        <v>283</v>
      </c>
      <c r="R1153" s="132" t="s">
        <v>267</v>
      </c>
      <c r="S1153" s="133">
        <v>41718</v>
      </c>
      <c r="T1153" s="134">
        <v>582.1</v>
      </c>
      <c r="U1153" s="132" t="s">
        <v>154</v>
      </c>
      <c r="V1153" s="132" t="s">
        <v>188</v>
      </c>
      <c r="W1153" s="132" t="s">
        <v>153</v>
      </c>
      <c r="X1153" s="133">
        <v>41830</v>
      </c>
      <c r="Y1153" s="134">
        <v>931</v>
      </c>
    </row>
    <row r="1154" spans="1:25" x14ac:dyDescent="0.25">
      <c r="A1154" s="92" t="s">
        <v>148</v>
      </c>
      <c r="B1154" s="12" t="s">
        <v>228</v>
      </c>
      <c r="C1154" s="12" t="s">
        <v>158</v>
      </c>
      <c r="D1154" s="80">
        <v>41705</v>
      </c>
      <c r="E1154" s="81">
        <v>800</v>
      </c>
      <c r="F1154" s="76" t="s">
        <v>150</v>
      </c>
      <c r="G1154" s="77" t="s">
        <v>181</v>
      </c>
      <c r="H1154" s="77" t="s">
        <v>153</v>
      </c>
      <c r="I1154" s="86">
        <v>41773</v>
      </c>
      <c r="J1154" s="78">
        <v>1269</v>
      </c>
      <c r="K1154" s="132" t="s">
        <v>20</v>
      </c>
      <c r="L1154" s="132" t="s">
        <v>296</v>
      </c>
      <c r="M1154" s="132" t="s">
        <v>267</v>
      </c>
      <c r="N1154" s="133">
        <v>41792</v>
      </c>
      <c r="O1154" s="134">
        <v>571</v>
      </c>
      <c r="P1154" s="132" t="s">
        <v>151</v>
      </c>
      <c r="Q1154" s="132" t="s">
        <v>283</v>
      </c>
      <c r="R1154" s="132" t="s">
        <v>267</v>
      </c>
      <c r="S1154" s="133">
        <v>41719</v>
      </c>
      <c r="T1154" s="134">
        <v>732.9</v>
      </c>
      <c r="U1154" s="132" t="s">
        <v>154</v>
      </c>
      <c r="V1154" s="132" t="s">
        <v>188</v>
      </c>
      <c r="W1154" s="132" t="s">
        <v>153</v>
      </c>
      <c r="X1154" s="133">
        <v>41837</v>
      </c>
      <c r="Y1154" s="134">
        <v>455</v>
      </c>
    </row>
    <row r="1155" spans="1:25" x14ac:dyDescent="0.25">
      <c r="A1155" s="92" t="s">
        <v>148</v>
      </c>
      <c r="B1155" s="12" t="s">
        <v>228</v>
      </c>
      <c r="C1155" s="12" t="s">
        <v>158</v>
      </c>
      <c r="D1155" s="80">
        <v>41706</v>
      </c>
      <c r="E1155" s="81">
        <v>746</v>
      </c>
      <c r="F1155" s="76" t="s">
        <v>150</v>
      </c>
      <c r="G1155" s="77" t="s">
        <v>181</v>
      </c>
      <c r="H1155" s="77" t="s">
        <v>153</v>
      </c>
      <c r="I1155" s="86">
        <v>41774</v>
      </c>
      <c r="J1155" s="78">
        <v>730</v>
      </c>
      <c r="K1155" s="132" t="s">
        <v>20</v>
      </c>
      <c r="L1155" s="132" t="s">
        <v>296</v>
      </c>
      <c r="M1155" s="132" t="s">
        <v>267</v>
      </c>
      <c r="N1155" s="133">
        <v>41812</v>
      </c>
      <c r="O1155" s="134">
        <v>930</v>
      </c>
      <c r="P1155" s="132" t="s">
        <v>151</v>
      </c>
      <c r="Q1155" s="132" t="s">
        <v>283</v>
      </c>
      <c r="R1155" s="132" t="s">
        <v>267</v>
      </c>
      <c r="S1155" s="133">
        <v>41722</v>
      </c>
      <c r="T1155" s="134">
        <v>529.5</v>
      </c>
      <c r="U1155" s="132" t="s">
        <v>154</v>
      </c>
      <c r="V1155" s="132" t="s">
        <v>188</v>
      </c>
      <c r="W1155" s="132" t="s">
        <v>153</v>
      </c>
      <c r="X1155" s="133">
        <v>41838</v>
      </c>
      <c r="Y1155" s="134">
        <v>1101</v>
      </c>
    </row>
    <row r="1156" spans="1:25" x14ac:dyDescent="0.25">
      <c r="A1156" s="92" t="s">
        <v>148</v>
      </c>
      <c r="B1156" s="12" t="s">
        <v>228</v>
      </c>
      <c r="C1156" s="12" t="s">
        <v>158</v>
      </c>
      <c r="D1156" s="80">
        <v>41707</v>
      </c>
      <c r="E1156" s="81">
        <v>750</v>
      </c>
      <c r="F1156" s="76" t="s">
        <v>150</v>
      </c>
      <c r="G1156" s="77" t="s">
        <v>181</v>
      </c>
      <c r="H1156" s="77" t="s">
        <v>153</v>
      </c>
      <c r="I1156" s="86">
        <v>41775</v>
      </c>
      <c r="J1156" s="78">
        <v>1270</v>
      </c>
      <c r="K1156" s="132" t="s">
        <v>20</v>
      </c>
      <c r="L1156" s="132" t="s">
        <v>296</v>
      </c>
      <c r="M1156" s="132" t="s">
        <v>267</v>
      </c>
      <c r="N1156" s="133">
        <v>41908</v>
      </c>
      <c r="O1156" s="134">
        <v>1228</v>
      </c>
      <c r="P1156" s="132" t="s">
        <v>151</v>
      </c>
      <c r="Q1156" s="132" t="s">
        <v>283</v>
      </c>
      <c r="R1156" s="132" t="s">
        <v>267</v>
      </c>
      <c r="S1156" s="133">
        <v>41723</v>
      </c>
      <c r="T1156" s="134">
        <v>531.20000000000005</v>
      </c>
      <c r="U1156" s="132" t="s">
        <v>154</v>
      </c>
      <c r="V1156" s="132" t="s">
        <v>188</v>
      </c>
      <c r="W1156" s="132" t="s">
        <v>153</v>
      </c>
      <c r="X1156" s="133">
        <v>41839</v>
      </c>
      <c r="Y1156" s="134">
        <v>802</v>
      </c>
    </row>
    <row r="1157" spans="1:25" x14ac:dyDescent="0.25">
      <c r="A1157" s="92" t="s">
        <v>148</v>
      </c>
      <c r="B1157" s="12" t="s">
        <v>228</v>
      </c>
      <c r="C1157" s="12" t="s">
        <v>158</v>
      </c>
      <c r="D1157" s="80">
        <v>41708</v>
      </c>
      <c r="E1157" s="81">
        <v>740</v>
      </c>
      <c r="F1157" s="76" t="s">
        <v>150</v>
      </c>
      <c r="G1157" s="77" t="s">
        <v>181</v>
      </c>
      <c r="H1157" s="77" t="s">
        <v>153</v>
      </c>
      <c r="I1157" s="86">
        <v>41776</v>
      </c>
      <c r="J1157" s="78">
        <v>1041</v>
      </c>
      <c r="K1157" s="132" t="s">
        <v>20</v>
      </c>
      <c r="L1157" s="132" t="s">
        <v>296</v>
      </c>
      <c r="M1157" s="132" t="s">
        <v>267</v>
      </c>
      <c r="N1157" s="133">
        <v>41914</v>
      </c>
      <c r="O1157" s="134">
        <v>280</v>
      </c>
      <c r="P1157" s="132" t="s">
        <v>151</v>
      </c>
      <c r="Q1157" s="132" t="s">
        <v>283</v>
      </c>
      <c r="R1157" s="132" t="s">
        <v>267</v>
      </c>
      <c r="S1157" s="133">
        <v>41724</v>
      </c>
      <c r="T1157" s="134">
        <v>431.1</v>
      </c>
      <c r="U1157" s="132" t="s">
        <v>154</v>
      </c>
      <c r="V1157" s="132" t="s">
        <v>188</v>
      </c>
      <c r="W1157" s="132" t="s">
        <v>153</v>
      </c>
      <c r="X1157" s="133">
        <v>41839</v>
      </c>
      <c r="Y1157" s="134">
        <v>562</v>
      </c>
    </row>
    <row r="1158" spans="1:25" x14ac:dyDescent="0.25">
      <c r="A1158" s="92" t="s">
        <v>148</v>
      </c>
      <c r="B1158" s="12" t="s">
        <v>228</v>
      </c>
      <c r="C1158" s="12" t="s">
        <v>158</v>
      </c>
      <c r="D1158" s="80">
        <v>41709</v>
      </c>
      <c r="E1158" s="81">
        <v>775</v>
      </c>
      <c r="F1158" s="76" t="s">
        <v>150</v>
      </c>
      <c r="G1158" s="77" t="s">
        <v>181</v>
      </c>
      <c r="H1158" s="77" t="s">
        <v>153</v>
      </c>
      <c r="I1158" s="86">
        <v>41776</v>
      </c>
      <c r="J1158" s="78">
        <v>703</v>
      </c>
      <c r="K1158" s="132" t="s">
        <v>20</v>
      </c>
      <c r="L1158" s="132" t="s">
        <v>297</v>
      </c>
      <c r="M1158" s="132" t="s">
        <v>267</v>
      </c>
      <c r="N1158" s="133">
        <v>41638</v>
      </c>
      <c r="O1158" s="134">
        <v>1513</v>
      </c>
      <c r="P1158" s="132" t="s">
        <v>151</v>
      </c>
      <c r="Q1158" s="132" t="s">
        <v>283</v>
      </c>
      <c r="R1158" s="132" t="s">
        <v>267</v>
      </c>
      <c r="S1158" s="133">
        <v>41725</v>
      </c>
      <c r="T1158" s="134">
        <v>524.79999999999995</v>
      </c>
      <c r="U1158" s="132" t="s">
        <v>154</v>
      </c>
      <c r="V1158" s="132" t="s">
        <v>188</v>
      </c>
      <c r="W1158" s="132" t="s">
        <v>153</v>
      </c>
      <c r="X1158" s="133">
        <v>41892</v>
      </c>
      <c r="Y1158" s="134">
        <v>1520</v>
      </c>
    </row>
    <row r="1159" spans="1:25" x14ac:dyDescent="0.25">
      <c r="A1159" s="92" t="s">
        <v>148</v>
      </c>
      <c r="B1159" s="12" t="s">
        <v>228</v>
      </c>
      <c r="C1159" s="12" t="s">
        <v>158</v>
      </c>
      <c r="D1159" s="80">
        <v>41710</v>
      </c>
      <c r="E1159" s="81">
        <v>690</v>
      </c>
      <c r="F1159" s="76" t="s">
        <v>150</v>
      </c>
      <c r="G1159" s="77" t="s">
        <v>181</v>
      </c>
      <c r="H1159" s="77" t="s">
        <v>153</v>
      </c>
      <c r="I1159" s="86">
        <v>41777</v>
      </c>
      <c r="J1159" s="78">
        <v>1246</v>
      </c>
      <c r="K1159" s="132" t="s">
        <v>20</v>
      </c>
      <c r="L1159" s="132" t="s">
        <v>297</v>
      </c>
      <c r="M1159" s="132" t="s">
        <v>267</v>
      </c>
      <c r="N1159" s="133">
        <v>41727</v>
      </c>
      <c r="O1159" s="134">
        <v>1085</v>
      </c>
      <c r="P1159" s="132" t="s">
        <v>151</v>
      </c>
      <c r="Q1159" s="132" t="s">
        <v>283</v>
      </c>
      <c r="R1159" s="132" t="s">
        <v>267</v>
      </c>
      <c r="S1159" s="133">
        <v>41726</v>
      </c>
      <c r="T1159" s="134">
        <v>558</v>
      </c>
      <c r="U1159" s="132" t="s">
        <v>154</v>
      </c>
      <c r="V1159" s="132" t="s">
        <v>188</v>
      </c>
      <c r="W1159" s="132" t="s">
        <v>153</v>
      </c>
      <c r="X1159" s="133">
        <v>41893</v>
      </c>
      <c r="Y1159" s="134">
        <v>697</v>
      </c>
    </row>
    <row r="1160" spans="1:25" x14ac:dyDescent="0.25">
      <c r="A1160" s="92" t="s">
        <v>148</v>
      </c>
      <c r="B1160" s="12" t="s">
        <v>228</v>
      </c>
      <c r="C1160" s="12" t="s">
        <v>158</v>
      </c>
      <c r="D1160" s="80">
        <v>41711</v>
      </c>
      <c r="E1160" s="81">
        <v>750</v>
      </c>
      <c r="F1160" s="76" t="s">
        <v>150</v>
      </c>
      <c r="G1160" s="77" t="s">
        <v>181</v>
      </c>
      <c r="H1160" s="77" t="s">
        <v>153</v>
      </c>
      <c r="I1160" s="86">
        <v>41778</v>
      </c>
      <c r="J1160" s="78">
        <v>1178</v>
      </c>
      <c r="K1160" s="132" t="s">
        <v>20</v>
      </c>
      <c r="L1160" s="132" t="s">
        <v>297</v>
      </c>
      <c r="M1160" s="132" t="s">
        <v>267</v>
      </c>
      <c r="N1160" s="133">
        <v>41800</v>
      </c>
      <c r="O1160" s="134">
        <v>286</v>
      </c>
      <c r="P1160" s="132" t="s">
        <v>151</v>
      </c>
      <c r="Q1160" s="132" t="s">
        <v>283</v>
      </c>
      <c r="R1160" s="132" t="s">
        <v>267</v>
      </c>
      <c r="S1160" s="133">
        <v>41729</v>
      </c>
      <c r="T1160" s="134">
        <v>703.3</v>
      </c>
      <c r="U1160" s="132" t="s">
        <v>154</v>
      </c>
      <c r="V1160" s="132" t="s">
        <v>188</v>
      </c>
      <c r="W1160" s="132" t="s">
        <v>153</v>
      </c>
      <c r="X1160" s="133">
        <v>41894</v>
      </c>
      <c r="Y1160" s="134">
        <v>1300</v>
      </c>
    </row>
    <row r="1161" spans="1:25" x14ac:dyDescent="0.25">
      <c r="A1161" s="92" t="s">
        <v>148</v>
      </c>
      <c r="B1161" s="12" t="s">
        <v>228</v>
      </c>
      <c r="C1161" s="12" t="s">
        <v>158</v>
      </c>
      <c r="D1161" s="80">
        <v>41712</v>
      </c>
      <c r="E1161" s="81">
        <v>750</v>
      </c>
      <c r="F1161" s="76" t="s">
        <v>150</v>
      </c>
      <c r="G1161" s="77" t="s">
        <v>181</v>
      </c>
      <c r="H1161" s="77" t="s">
        <v>153</v>
      </c>
      <c r="I1161" s="86">
        <v>41779</v>
      </c>
      <c r="J1161" s="78">
        <v>1119</v>
      </c>
      <c r="K1161" s="132" t="s">
        <v>20</v>
      </c>
      <c r="L1161" s="132" t="s">
        <v>297</v>
      </c>
      <c r="M1161" s="132" t="s">
        <v>267</v>
      </c>
      <c r="N1161" s="133">
        <v>41813</v>
      </c>
      <c r="O1161" s="134">
        <v>557</v>
      </c>
      <c r="P1161" s="132" t="s">
        <v>151</v>
      </c>
      <c r="Q1161" s="132" t="s">
        <v>283</v>
      </c>
      <c r="R1161" s="132" t="s">
        <v>267</v>
      </c>
      <c r="S1161" s="133">
        <v>41737</v>
      </c>
      <c r="T1161" s="134">
        <v>719</v>
      </c>
      <c r="U1161" s="132" t="s">
        <v>154</v>
      </c>
      <c r="V1161" s="132" t="s">
        <v>188</v>
      </c>
      <c r="W1161" s="132" t="s">
        <v>153</v>
      </c>
      <c r="X1161" s="133">
        <v>41895</v>
      </c>
      <c r="Y1161" s="134">
        <v>723</v>
      </c>
    </row>
    <row r="1162" spans="1:25" x14ac:dyDescent="0.25">
      <c r="A1162" s="92" t="s">
        <v>148</v>
      </c>
      <c r="B1162" s="12" t="s">
        <v>228</v>
      </c>
      <c r="C1162" s="12" t="s">
        <v>158</v>
      </c>
      <c r="D1162" s="80">
        <v>41713</v>
      </c>
      <c r="E1162" s="81">
        <v>700</v>
      </c>
      <c r="F1162" s="76" t="s">
        <v>150</v>
      </c>
      <c r="G1162" s="77" t="s">
        <v>181</v>
      </c>
      <c r="H1162" s="77" t="s">
        <v>153</v>
      </c>
      <c r="I1162" s="86">
        <v>41781</v>
      </c>
      <c r="J1162" s="78">
        <v>1295</v>
      </c>
      <c r="K1162" s="132" t="s">
        <v>20</v>
      </c>
      <c r="L1162" s="132" t="s">
        <v>297</v>
      </c>
      <c r="M1162" s="132" t="s">
        <v>267</v>
      </c>
      <c r="N1162" s="133">
        <v>41815</v>
      </c>
      <c r="O1162" s="134">
        <v>257</v>
      </c>
      <c r="P1162" s="132" t="s">
        <v>151</v>
      </c>
      <c r="Q1162" s="132" t="s">
        <v>283</v>
      </c>
      <c r="R1162" s="132" t="s">
        <v>267</v>
      </c>
      <c r="S1162" s="133">
        <v>41743</v>
      </c>
      <c r="T1162" s="134">
        <v>753.7</v>
      </c>
      <c r="U1162" s="132" t="s">
        <v>154</v>
      </c>
      <c r="V1162" s="132" t="s">
        <v>188</v>
      </c>
      <c r="W1162" s="132" t="s">
        <v>153</v>
      </c>
      <c r="X1162" s="133">
        <v>41895</v>
      </c>
      <c r="Y1162" s="134">
        <v>455</v>
      </c>
    </row>
    <row r="1163" spans="1:25" x14ac:dyDescent="0.25">
      <c r="A1163" s="92" t="s">
        <v>148</v>
      </c>
      <c r="B1163" s="12" t="s">
        <v>228</v>
      </c>
      <c r="C1163" s="12" t="s">
        <v>158</v>
      </c>
      <c r="D1163" s="80">
        <v>41714</v>
      </c>
      <c r="E1163" s="81">
        <v>651</v>
      </c>
      <c r="F1163" s="76" t="s">
        <v>150</v>
      </c>
      <c r="G1163" s="77" t="s">
        <v>181</v>
      </c>
      <c r="H1163" s="77" t="s">
        <v>153</v>
      </c>
      <c r="I1163" s="86">
        <v>41786</v>
      </c>
      <c r="J1163" s="78">
        <v>446</v>
      </c>
      <c r="K1163" s="132" t="s">
        <v>20</v>
      </c>
      <c r="L1163" s="132" t="s">
        <v>297</v>
      </c>
      <c r="M1163" s="132" t="s">
        <v>267</v>
      </c>
      <c r="N1163" s="133">
        <v>41907</v>
      </c>
      <c r="O1163" s="134">
        <v>289</v>
      </c>
      <c r="P1163" s="132" t="s">
        <v>151</v>
      </c>
      <c r="Q1163" s="132" t="s">
        <v>283</v>
      </c>
      <c r="R1163" s="132" t="s">
        <v>267</v>
      </c>
      <c r="S1163" s="133">
        <v>41751</v>
      </c>
      <c r="T1163" s="134">
        <v>142.19999999999999</v>
      </c>
      <c r="U1163" s="132" t="s">
        <v>154</v>
      </c>
      <c r="V1163" s="132" t="s">
        <v>188</v>
      </c>
      <c r="W1163" s="132" t="s">
        <v>153</v>
      </c>
      <c r="X1163" s="133">
        <v>41896</v>
      </c>
      <c r="Y1163" s="134">
        <v>341</v>
      </c>
    </row>
    <row r="1164" spans="1:25" x14ac:dyDescent="0.25">
      <c r="A1164" s="92" t="s">
        <v>148</v>
      </c>
      <c r="B1164" s="12" t="s">
        <v>228</v>
      </c>
      <c r="C1164" s="12" t="s">
        <v>158</v>
      </c>
      <c r="D1164" s="80">
        <v>41715</v>
      </c>
      <c r="E1164" s="81">
        <v>650</v>
      </c>
      <c r="F1164" s="76" t="s">
        <v>150</v>
      </c>
      <c r="G1164" s="77" t="s">
        <v>181</v>
      </c>
      <c r="H1164" s="77" t="s">
        <v>153</v>
      </c>
      <c r="I1164" s="86">
        <v>41788</v>
      </c>
      <c r="J1164" s="78">
        <v>725</v>
      </c>
      <c r="K1164" s="132" t="s">
        <v>20</v>
      </c>
      <c r="L1164" s="132" t="s">
        <v>298</v>
      </c>
      <c r="M1164" s="132" t="s">
        <v>267</v>
      </c>
      <c r="N1164" s="133">
        <v>41668</v>
      </c>
      <c r="O1164" s="134">
        <v>338</v>
      </c>
      <c r="P1164" s="132" t="s">
        <v>151</v>
      </c>
      <c r="Q1164" s="132" t="s">
        <v>283</v>
      </c>
      <c r="R1164" s="132" t="s">
        <v>267</v>
      </c>
      <c r="S1164" s="133">
        <v>41752</v>
      </c>
      <c r="T1164" s="134">
        <v>569.29999999999995</v>
      </c>
      <c r="U1164" s="132" t="s">
        <v>154</v>
      </c>
      <c r="V1164" s="132" t="s">
        <v>188</v>
      </c>
      <c r="W1164" s="132" t="s">
        <v>153</v>
      </c>
      <c r="X1164" s="133">
        <v>41897</v>
      </c>
      <c r="Y1164" s="134">
        <v>889</v>
      </c>
    </row>
    <row r="1165" spans="1:25" x14ac:dyDescent="0.25">
      <c r="A1165" s="92" t="s">
        <v>148</v>
      </c>
      <c r="B1165" s="12" t="s">
        <v>228</v>
      </c>
      <c r="C1165" s="12" t="s">
        <v>158</v>
      </c>
      <c r="D1165" s="80">
        <v>41717</v>
      </c>
      <c r="E1165" s="81">
        <v>860</v>
      </c>
      <c r="F1165" s="76" t="s">
        <v>150</v>
      </c>
      <c r="G1165" s="77" t="s">
        <v>181</v>
      </c>
      <c r="H1165" s="77" t="s">
        <v>153</v>
      </c>
      <c r="I1165" s="86">
        <v>41789</v>
      </c>
      <c r="J1165" s="78">
        <v>480</v>
      </c>
      <c r="K1165" s="132" t="s">
        <v>20</v>
      </c>
      <c r="L1165" s="132" t="s">
        <v>298</v>
      </c>
      <c r="M1165" s="132" t="s">
        <v>267</v>
      </c>
      <c r="N1165" s="133">
        <v>41702</v>
      </c>
      <c r="O1165" s="134">
        <v>485</v>
      </c>
      <c r="P1165" s="132" t="s">
        <v>151</v>
      </c>
      <c r="Q1165" s="132" t="s">
        <v>283</v>
      </c>
      <c r="R1165" s="132" t="s">
        <v>267</v>
      </c>
      <c r="S1165" s="133">
        <v>41753</v>
      </c>
      <c r="T1165" s="134">
        <v>604.1</v>
      </c>
      <c r="U1165" s="132" t="s">
        <v>154</v>
      </c>
      <c r="V1165" s="132" t="s">
        <v>188</v>
      </c>
      <c r="W1165" s="132" t="s">
        <v>153</v>
      </c>
      <c r="X1165" s="133">
        <v>41898</v>
      </c>
      <c r="Y1165" s="134">
        <v>1011</v>
      </c>
    </row>
    <row r="1166" spans="1:25" x14ac:dyDescent="0.25">
      <c r="A1166" s="92" t="s">
        <v>148</v>
      </c>
      <c r="B1166" s="12" t="s">
        <v>228</v>
      </c>
      <c r="C1166" s="12" t="s">
        <v>158</v>
      </c>
      <c r="D1166" s="80">
        <v>41724</v>
      </c>
      <c r="E1166" s="81">
        <v>1600</v>
      </c>
      <c r="F1166" s="76" t="s">
        <v>150</v>
      </c>
      <c r="G1166" s="77" t="s">
        <v>181</v>
      </c>
      <c r="H1166" s="77" t="s">
        <v>153</v>
      </c>
      <c r="I1166" s="86">
        <v>41789</v>
      </c>
      <c r="J1166" s="78">
        <v>663</v>
      </c>
      <c r="K1166" s="132" t="s">
        <v>20</v>
      </c>
      <c r="L1166" s="132" t="s">
        <v>298</v>
      </c>
      <c r="M1166" s="132" t="s">
        <v>267</v>
      </c>
      <c r="N1166" s="133">
        <v>41710</v>
      </c>
      <c r="O1166" s="134">
        <v>431</v>
      </c>
      <c r="P1166" s="132" t="s">
        <v>151</v>
      </c>
      <c r="Q1166" s="132" t="s">
        <v>283</v>
      </c>
      <c r="R1166" s="132" t="s">
        <v>267</v>
      </c>
      <c r="S1166" s="133">
        <v>41771</v>
      </c>
      <c r="T1166" s="134">
        <v>699</v>
      </c>
      <c r="U1166" s="132" t="s">
        <v>154</v>
      </c>
      <c r="V1166" s="132" t="s">
        <v>188</v>
      </c>
      <c r="W1166" s="132" t="s">
        <v>153</v>
      </c>
      <c r="X1166" s="133">
        <v>41899</v>
      </c>
      <c r="Y1166" s="134">
        <v>1040</v>
      </c>
    </row>
    <row r="1167" spans="1:25" x14ac:dyDescent="0.25">
      <c r="A1167" s="92" t="s">
        <v>148</v>
      </c>
      <c r="B1167" s="12" t="s">
        <v>228</v>
      </c>
      <c r="C1167" s="12" t="s">
        <v>158</v>
      </c>
      <c r="D1167" s="80">
        <v>41725</v>
      </c>
      <c r="E1167" s="81">
        <v>129</v>
      </c>
      <c r="F1167" s="76" t="s">
        <v>150</v>
      </c>
      <c r="G1167" s="77" t="s">
        <v>181</v>
      </c>
      <c r="H1167" s="77" t="s">
        <v>153</v>
      </c>
      <c r="I1167" s="86">
        <v>41790</v>
      </c>
      <c r="J1167" s="78">
        <v>1119</v>
      </c>
      <c r="K1167" s="132" t="s">
        <v>20</v>
      </c>
      <c r="L1167" s="132" t="s">
        <v>298</v>
      </c>
      <c r="M1167" s="132" t="s">
        <v>267</v>
      </c>
      <c r="N1167" s="133">
        <v>41712</v>
      </c>
      <c r="O1167" s="134">
        <v>414</v>
      </c>
      <c r="P1167" s="132" t="s">
        <v>151</v>
      </c>
      <c r="Q1167" s="132" t="s">
        <v>283</v>
      </c>
      <c r="R1167" s="132" t="s">
        <v>267</v>
      </c>
      <c r="S1167" s="133">
        <v>41775</v>
      </c>
      <c r="T1167" s="134">
        <v>492.2</v>
      </c>
      <c r="U1167" s="132" t="s">
        <v>154</v>
      </c>
      <c r="V1167" s="132" t="s">
        <v>188</v>
      </c>
      <c r="W1167" s="132" t="s">
        <v>153</v>
      </c>
      <c r="X1167" s="133">
        <v>41900</v>
      </c>
      <c r="Y1167" s="134">
        <v>820</v>
      </c>
    </row>
    <row r="1168" spans="1:25" x14ac:dyDescent="0.25">
      <c r="A1168" s="92" t="s">
        <v>148</v>
      </c>
      <c r="B1168" s="12" t="s">
        <v>228</v>
      </c>
      <c r="C1168" s="12" t="s">
        <v>158</v>
      </c>
      <c r="D1168" s="80">
        <v>41726</v>
      </c>
      <c r="E1168" s="81">
        <v>760</v>
      </c>
      <c r="F1168" s="76" t="s">
        <v>150</v>
      </c>
      <c r="G1168" s="77" t="s">
        <v>181</v>
      </c>
      <c r="H1168" s="77" t="s">
        <v>153</v>
      </c>
      <c r="I1168" s="86">
        <v>41791</v>
      </c>
      <c r="J1168" s="78">
        <v>661</v>
      </c>
      <c r="K1168" s="132" t="s">
        <v>20</v>
      </c>
      <c r="L1168" s="132" t="s">
        <v>298</v>
      </c>
      <c r="M1168" s="132" t="s">
        <v>267</v>
      </c>
      <c r="N1168" s="133">
        <v>41719</v>
      </c>
      <c r="O1168" s="134">
        <v>285</v>
      </c>
      <c r="P1168" s="132" t="s">
        <v>151</v>
      </c>
      <c r="Q1168" s="132" t="s">
        <v>283</v>
      </c>
      <c r="R1168" s="132" t="s">
        <v>267</v>
      </c>
      <c r="S1168" s="133">
        <v>41778</v>
      </c>
      <c r="T1168" s="134">
        <v>956.3</v>
      </c>
      <c r="U1168" s="132" t="s">
        <v>154</v>
      </c>
      <c r="V1168" s="132" t="s">
        <v>188</v>
      </c>
      <c r="W1168" s="132" t="s">
        <v>153</v>
      </c>
      <c r="X1168" s="133">
        <v>41901</v>
      </c>
      <c r="Y1168" s="134">
        <v>1163</v>
      </c>
    </row>
    <row r="1169" spans="1:25" x14ac:dyDescent="0.25">
      <c r="A1169" s="92" t="s">
        <v>148</v>
      </c>
      <c r="B1169" s="12" t="s">
        <v>228</v>
      </c>
      <c r="C1169" s="12" t="s">
        <v>158</v>
      </c>
      <c r="D1169" s="80">
        <v>41727</v>
      </c>
      <c r="E1169" s="81">
        <v>850</v>
      </c>
      <c r="F1169" s="76" t="s">
        <v>150</v>
      </c>
      <c r="G1169" s="77" t="s">
        <v>181</v>
      </c>
      <c r="H1169" s="77" t="s">
        <v>153</v>
      </c>
      <c r="I1169" s="86">
        <v>41792</v>
      </c>
      <c r="J1169" s="78">
        <v>1003</v>
      </c>
      <c r="K1169" s="132" t="s">
        <v>20</v>
      </c>
      <c r="L1169" s="132" t="s">
        <v>298</v>
      </c>
      <c r="M1169" s="132" t="s">
        <v>267</v>
      </c>
      <c r="N1169" s="133">
        <v>41723</v>
      </c>
      <c r="O1169" s="134">
        <v>296</v>
      </c>
      <c r="P1169" s="132" t="s">
        <v>151</v>
      </c>
      <c r="Q1169" s="132" t="s">
        <v>283</v>
      </c>
      <c r="R1169" s="132" t="s">
        <v>267</v>
      </c>
      <c r="S1169" s="133">
        <v>41897</v>
      </c>
      <c r="T1169" s="134">
        <v>931.9</v>
      </c>
      <c r="U1169" s="132" t="s">
        <v>154</v>
      </c>
      <c r="V1169" s="132" t="s">
        <v>188</v>
      </c>
      <c r="W1169" s="132" t="s">
        <v>153</v>
      </c>
      <c r="X1169" s="133">
        <v>41961</v>
      </c>
      <c r="Y1169" s="134">
        <v>929</v>
      </c>
    </row>
    <row r="1170" spans="1:25" x14ac:dyDescent="0.25">
      <c r="A1170" s="92" t="s">
        <v>148</v>
      </c>
      <c r="B1170" s="12" t="s">
        <v>228</v>
      </c>
      <c r="C1170" s="12" t="s">
        <v>158</v>
      </c>
      <c r="D1170" s="80">
        <v>41728</v>
      </c>
      <c r="E1170" s="81">
        <v>802</v>
      </c>
      <c r="F1170" s="76" t="s">
        <v>150</v>
      </c>
      <c r="G1170" s="77" t="s">
        <v>181</v>
      </c>
      <c r="H1170" s="77" t="s">
        <v>153</v>
      </c>
      <c r="I1170" s="86">
        <v>41793</v>
      </c>
      <c r="J1170" s="78">
        <v>732</v>
      </c>
      <c r="K1170" s="132" t="s">
        <v>20</v>
      </c>
      <c r="L1170" s="132" t="s">
        <v>298</v>
      </c>
      <c r="M1170" s="132" t="s">
        <v>267</v>
      </c>
      <c r="N1170" s="133">
        <v>41754</v>
      </c>
      <c r="O1170" s="134">
        <v>540</v>
      </c>
      <c r="P1170" s="132" t="s">
        <v>151</v>
      </c>
      <c r="Q1170" s="132" t="s">
        <v>283</v>
      </c>
      <c r="R1170" s="132" t="s">
        <v>267</v>
      </c>
      <c r="S1170" s="133">
        <v>41899</v>
      </c>
      <c r="T1170" s="134">
        <v>589.1</v>
      </c>
      <c r="U1170" s="132" t="s">
        <v>154</v>
      </c>
      <c r="V1170" s="132" t="s">
        <v>188</v>
      </c>
      <c r="W1170" s="132" t="s">
        <v>153</v>
      </c>
      <c r="X1170" s="133">
        <v>41962</v>
      </c>
      <c r="Y1170" s="134">
        <v>727</v>
      </c>
    </row>
    <row r="1171" spans="1:25" x14ac:dyDescent="0.25">
      <c r="A1171" s="92" t="s">
        <v>148</v>
      </c>
      <c r="B1171" s="12" t="s">
        <v>228</v>
      </c>
      <c r="C1171" s="12" t="s">
        <v>158</v>
      </c>
      <c r="D1171" s="80">
        <v>41729</v>
      </c>
      <c r="E1171" s="81">
        <v>720</v>
      </c>
      <c r="F1171" s="76" t="s">
        <v>150</v>
      </c>
      <c r="G1171" s="77" t="s">
        <v>181</v>
      </c>
      <c r="H1171" s="77" t="s">
        <v>153</v>
      </c>
      <c r="I1171" s="86">
        <v>41796</v>
      </c>
      <c r="J1171" s="78">
        <v>1174</v>
      </c>
      <c r="K1171" s="132" t="s">
        <v>20</v>
      </c>
      <c r="L1171" s="132" t="s">
        <v>298</v>
      </c>
      <c r="M1171" s="132" t="s">
        <v>267</v>
      </c>
      <c r="N1171" s="133">
        <v>41759</v>
      </c>
      <c r="O1171" s="134">
        <v>124</v>
      </c>
      <c r="P1171" s="132" t="s">
        <v>151</v>
      </c>
      <c r="Q1171" s="132" t="s">
        <v>283</v>
      </c>
      <c r="R1171" s="132" t="s">
        <v>267</v>
      </c>
      <c r="S1171" s="133">
        <v>41900</v>
      </c>
      <c r="T1171" s="134">
        <v>940.8</v>
      </c>
      <c r="U1171" s="132" t="s">
        <v>154</v>
      </c>
      <c r="V1171" s="132" t="s">
        <v>188</v>
      </c>
      <c r="W1171" s="132" t="s">
        <v>153</v>
      </c>
      <c r="X1171" s="133">
        <v>41963</v>
      </c>
      <c r="Y1171" s="134">
        <v>976</v>
      </c>
    </row>
    <row r="1172" spans="1:25" x14ac:dyDescent="0.25">
      <c r="A1172" s="92" t="s">
        <v>148</v>
      </c>
      <c r="B1172" s="12" t="s">
        <v>228</v>
      </c>
      <c r="C1172" s="12" t="s">
        <v>158</v>
      </c>
      <c r="D1172" s="80">
        <v>41730</v>
      </c>
      <c r="E1172" s="81">
        <v>750</v>
      </c>
      <c r="F1172" s="76" t="s">
        <v>150</v>
      </c>
      <c r="G1172" s="77" t="s">
        <v>181</v>
      </c>
      <c r="H1172" s="77" t="s">
        <v>153</v>
      </c>
      <c r="I1172" s="86">
        <v>41797</v>
      </c>
      <c r="J1172" s="78">
        <v>706</v>
      </c>
      <c r="K1172" s="132" t="s">
        <v>20</v>
      </c>
      <c r="L1172" s="132" t="s">
        <v>298</v>
      </c>
      <c r="M1172" s="132" t="s">
        <v>267</v>
      </c>
      <c r="N1172" s="133">
        <v>41778</v>
      </c>
      <c r="O1172" s="134">
        <v>464</v>
      </c>
      <c r="P1172" s="132" t="s">
        <v>151</v>
      </c>
      <c r="Q1172" s="132" t="s">
        <v>283</v>
      </c>
      <c r="R1172" s="132" t="s">
        <v>267</v>
      </c>
      <c r="S1172" s="133">
        <v>41914</v>
      </c>
      <c r="T1172" s="134">
        <v>575</v>
      </c>
      <c r="U1172" s="132" t="s">
        <v>154</v>
      </c>
      <c r="V1172" s="132" t="s">
        <v>188</v>
      </c>
      <c r="W1172" s="132" t="s">
        <v>153</v>
      </c>
      <c r="X1172" s="133">
        <v>41964</v>
      </c>
      <c r="Y1172" s="134">
        <v>971</v>
      </c>
    </row>
    <row r="1173" spans="1:25" x14ac:dyDescent="0.25">
      <c r="A1173" s="92" t="s">
        <v>148</v>
      </c>
      <c r="B1173" s="12" t="s">
        <v>228</v>
      </c>
      <c r="C1173" s="12" t="s">
        <v>158</v>
      </c>
      <c r="D1173" s="80">
        <v>41731</v>
      </c>
      <c r="E1173" s="81">
        <v>770</v>
      </c>
      <c r="F1173" s="76" t="s">
        <v>150</v>
      </c>
      <c r="G1173" s="77" t="s">
        <v>181</v>
      </c>
      <c r="H1173" s="77" t="s">
        <v>153</v>
      </c>
      <c r="I1173" s="86">
        <v>41798</v>
      </c>
      <c r="J1173" s="78">
        <v>1019</v>
      </c>
      <c r="K1173" s="132" t="s">
        <v>20</v>
      </c>
      <c r="L1173" s="132" t="s">
        <v>298</v>
      </c>
      <c r="M1173" s="132" t="s">
        <v>267</v>
      </c>
      <c r="N1173" s="133">
        <v>41801</v>
      </c>
      <c r="O1173" s="134">
        <v>281</v>
      </c>
      <c r="P1173" s="132" t="s">
        <v>151</v>
      </c>
      <c r="Q1173" s="132" t="s">
        <v>283</v>
      </c>
      <c r="R1173" s="132" t="s">
        <v>267</v>
      </c>
      <c r="S1173" s="133">
        <v>41922</v>
      </c>
      <c r="T1173" s="134">
        <v>952.2</v>
      </c>
      <c r="U1173" s="132" t="s">
        <v>154</v>
      </c>
      <c r="V1173" s="132" t="s">
        <v>188</v>
      </c>
      <c r="W1173" s="132" t="s">
        <v>153</v>
      </c>
      <c r="X1173" s="133">
        <v>41965</v>
      </c>
      <c r="Y1173" s="134">
        <v>295</v>
      </c>
    </row>
    <row r="1174" spans="1:25" x14ac:dyDescent="0.25">
      <c r="A1174" s="92" t="s">
        <v>148</v>
      </c>
      <c r="B1174" s="12" t="s">
        <v>228</v>
      </c>
      <c r="C1174" s="12" t="s">
        <v>158</v>
      </c>
      <c r="D1174" s="80">
        <v>41732</v>
      </c>
      <c r="E1174" s="81">
        <v>760</v>
      </c>
      <c r="F1174" s="76" t="s">
        <v>150</v>
      </c>
      <c r="G1174" s="77" t="s">
        <v>181</v>
      </c>
      <c r="H1174" s="77" t="s">
        <v>153</v>
      </c>
      <c r="I1174" s="86">
        <v>41799</v>
      </c>
      <c r="J1174" s="78">
        <v>803</v>
      </c>
      <c r="K1174" s="132" t="s">
        <v>20</v>
      </c>
      <c r="L1174" s="132" t="s">
        <v>298</v>
      </c>
      <c r="M1174" s="132" t="s">
        <v>267</v>
      </c>
      <c r="N1174" s="133">
        <v>41863</v>
      </c>
      <c r="O1174" s="134">
        <v>1350</v>
      </c>
      <c r="P1174" s="132" t="s">
        <v>151</v>
      </c>
      <c r="Q1174" s="132" t="s">
        <v>284</v>
      </c>
      <c r="R1174" s="132" t="s">
        <v>267</v>
      </c>
      <c r="S1174" s="133">
        <v>41656</v>
      </c>
      <c r="T1174" s="134">
        <v>400.8</v>
      </c>
      <c r="U1174" s="132" t="s">
        <v>154</v>
      </c>
      <c r="V1174" s="132" t="s">
        <v>188</v>
      </c>
      <c r="W1174" s="132" t="s">
        <v>153</v>
      </c>
      <c r="X1174" s="133">
        <v>41967</v>
      </c>
      <c r="Y1174" s="134">
        <v>856</v>
      </c>
    </row>
    <row r="1175" spans="1:25" x14ac:dyDescent="0.25">
      <c r="A1175" s="92" t="s">
        <v>148</v>
      </c>
      <c r="B1175" s="12" t="s">
        <v>228</v>
      </c>
      <c r="C1175" s="12" t="s">
        <v>158</v>
      </c>
      <c r="D1175" s="80">
        <v>41733</v>
      </c>
      <c r="E1175" s="81">
        <v>760</v>
      </c>
      <c r="F1175" s="76" t="s">
        <v>150</v>
      </c>
      <c r="G1175" s="77" t="s">
        <v>181</v>
      </c>
      <c r="H1175" s="77" t="s">
        <v>153</v>
      </c>
      <c r="I1175" s="86">
        <v>41809</v>
      </c>
      <c r="J1175" s="78">
        <v>1241</v>
      </c>
      <c r="K1175" s="132" t="s">
        <v>20</v>
      </c>
      <c r="L1175" s="132" t="s">
        <v>298</v>
      </c>
      <c r="M1175" s="132" t="s">
        <v>267</v>
      </c>
      <c r="N1175" s="133">
        <v>41866</v>
      </c>
      <c r="O1175" s="134">
        <v>525</v>
      </c>
      <c r="P1175" s="132" t="s">
        <v>151</v>
      </c>
      <c r="Q1175" s="132" t="s">
        <v>284</v>
      </c>
      <c r="R1175" s="132" t="s">
        <v>267</v>
      </c>
      <c r="S1175" s="133">
        <v>41659</v>
      </c>
      <c r="T1175" s="134">
        <v>450.4</v>
      </c>
      <c r="U1175" s="132" t="s">
        <v>154</v>
      </c>
      <c r="V1175" s="132" t="s">
        <v>188</v>
      </c>
      <c r="W1175" s="132" t="s">
        <v>153</v>
      </c>
      <c r="X1175" s="133">
        <v>41967</v>
      </c>
      <c r="Y1175" s="134">
        <v>984</v>
      </c>
    </row>
    <row r="1176" spans="1:25" x14ac:dyDescent="0.25">
      <c r="A1176" s="92" t="s">
        <v>148</v>
      </c>
      <c r="B1176" s="12" t="s">
        <v>228</v>
      </c>
      <c r="C1176" s="12" t="s">
        <v>158</v>
      </c>
      <c r="D1176" s="80">
        <v>41734</v>
      </c>
      <c r="E1176" s="81">
        <v>772</v>
      </c>
      <c r="F1176" s="76" t="s">
        <v>150</v>
      </c>
      <c r="G1176" s="77" t="s">
        <v>181</v>
      </c>
      <c r="H1176" s="77" t="s">
        <v>153</v>
      </c>
      <c r="I1176" s="86">
        <v>41817</v>
      </c>
      <c r="J1176" s="78">
        <v>1354</v>
      </c>
      <c r="K1176" s="132" t="s">
        <v>20</v>
      </c>
      <c r="L1176" s="132" t="s">
        <v>298</v>
      </c>
      <c r="M1176" s="132" t="s">
        <v>267</v>
      </c>
      <c r="N1176" s="133">
        <v>41923</v>
      </c>
      <c r="O1176" s="134">
        <v>1294</v>
      </c>
      <c r="P1176" s="132" t="s">
        <v>151</v>
      </c>
      <c r="Q1176" s="132" t="s">
        <v>284</v>
      </c>
      <c r="R1176" s="132" t="s">
        <v>267</v>
      </c>
      <c r="S1176" s="133">
        <v>41668</v>
      </c>
      <c r="T1176" s="134">
        <v>291.2</v>
      </c>
      <c r="U1176" s="132" t="s">
        <v>154</v>
      </c>
      <c r="V1176" s="132" t="s">
        <v>188</v>
      </c>
      <c r="W1176" s="132" t="s">
        <v>153</v>
      </c>
      <c r="X1176" s="133">
        <v>41968</v>
      </c>
      <c r="Y1176" s="134">
        <v>1140</v>
      </c>
    </row>
    <row r="1177" spans="1:25" x14ac:dyDescent="0.25">
      <c r="A1177" s="92" t="s">
        <v>148</v>
      </c>
      <c r="B1177" s="12" t="s">
        <v>228</v>
      </c>
      <c r="C1177" s="12" t="s">
        <v>158</v>
      </c>
      <c r="D1177" s="80">
        <v>41748</v>
      </c>
      <c r="E1177" s="81">
        <v>954</v>
      </c>
      <c r="F1177" s="76" t="s">
        <v>150</v>
      </c>
      <c r="G1177" s="77" t="s">
        <v>181</v>
      </c>
      <c r="H1177" s="77" t="s">
        <v>153</v>
      </c>
      <c r="I1177" s="86">
        <v>41817</v>
      </c>
      <c r="J1177" s="78">
        <v>751</v>
      </c>
      <c r="K1177" s="132" t="s">
        <v>20</v>
      </c>
      <c r="L1177" s="132" t="s">
        <v>298</v>
      </c>
      <c r="M1177" s="132" t="s">
        <v>267</v>
      </c>
      <c r="N1177" s="133">
        <v>41939</v>
      </c>
      <c r="O1177" s="134">
        <v>1446</v>
      </c>
      <c r="P1177" s="132" t="s">
        <v>151</v>
      </c>
      <c r="Q1177" s="132" t="s">
        <v>284</v>
      </c>
      <c r="R1177" s="132" t="s">
        <v>267</v>
      </c>
      <c r="S1177" s="133">
        <v>41674</v>
      </c>
      <c r="T1177" s="134">
        <v>1336.9</v>
      </c>
      <c r="U1177" s="132" t="s">
        <v>154</v>
      </c>
      <c r="V1177" s="132" t="s">
        <v>188</v>
      </c>
      <c r="W1177" s="132" t="s">
        <v>153</v>
      </c>
      <c r="X1177" s="133">
        <v>41969</v>
      </c>
      <c r="Y1177" s="134">
        <v>850</v>
      </c>
    </row>
    <row r="1178" spans="1:25" x14ac:dyDescent="0.25">
      <c r="A1178" s="92" t="s">
        <v>148</v>
      </c>
      <c r="B1178" s="12" t="s">
        <v>228</v>
      </c>
      <c r="C1178" s="12" t="s">
        <v>158</v>
      </c>
      <c r="D1178" s="80">
        <v>41749</v>
      </c>
      <c r="E1178" s="81">
        <v>1261</v>
      </c>
      <c r="F1178" s="76" t="s">
        <v>150</v>
      </c>
      <c r="G1178" s="77" t="s">
        <v>181</v>
      </c>
      <c r="H1178" s="77" t="s">
        <v>153</v>
      </c>
      <c r="I1178" s="86">
        <v>41818</v>
      </c>
      <c r="J1178" s="78">
        <v>633</v>
      </c>
      <c r="K1178" s="132" t="s">
        <v>20</v>
      </c>
      <c r="L1178" s="132" t="s">
        <v>298</v>
      </c>
      <c r="M1178" s="132" t="s">
        <v>267</v>
      </c>
      <c r="N1178" s="133">
        <v>41977</v>
      </c>
      <c r="O1178" s="134">
        <v>785</v>
      </c>
      <c r="P1178" s="132" t="s">
        <v>151</v>
      </c>
      <c r="Q1178" s="132" t="s">
        <v>284</v>
      </c>
      <c r="R1178" s="132" t="s">
        <v>267</v>
      </c>
      <c r="S1178" s="133">
        <v>41675</v>
      </c>
      <c r="T1178" s="134">
        <v>778.4</v>
      </c>
      <c r="U1178" s="132" t="s">
        <v>154</v>
      </c>
      <c r="V1178" s="132" t="s">
        <v>188</v>
      </c>
      <c r="W1178" s="132" t="s">
        <v>153</v>
      </c>
      <c r="X1178" s="133">
        <v>41971</v>
      </c>
      <c r="Y1178" s="134">
        <v>721</v>
      </c>
    </row>
    <row r="1179" spans="1:25" x14ac:dyDescent="0.25">
      <c r="A1179" s="92" t="s">
        <v>148</v>
      </c>
      <c r="B1179" s="12" t="s">
        <v>228</v>
      </c>
      <c r="C1179" s="12" t="s">
        <v>158</v>
      </c>
      <c r="D1179" s="80">
        <v>41750</v>
      </c>
      <c r="E1179" s="81">
        <v>791</v>
      </c>
      <c r="F1179" s="76" t="s">
        <v>150</v>
      </c>
      <c r="G1179" s="77" t="s">
        <v>181</v>
      </c>
      <c r="H1179" s="77" t="s">
        <v>153</v>
      </c>
      <c r="I1179" s="86">
        <v>41819</v>
      </c>
      <c r="J1179" s="78">
        <v>696</v>
      </c>
      <c r="K1179" s="132" t="s">
        <v>20</v>
      </c>
      <c r="L1179" s="132" t="s">
        <v>299</v>
      </c>
      <c r="M1179" s="132" t="s">
        <v>267</v>
      </c>
      <c r="N1179" s="133">
        <v>41694</v>
      </c>
      <c r="O1179" s="134">
        <v>561</v>
      </c>
      <c r="P1179" s="132" t="s">
        <v>151</v>
      </c>
      <c r="Q1179" s="132" t="s">
        <v>284</v>
      </c>
      <c r="R1179" s="132" t="s">
        <v>267</v>
      </c>
      <c r="S1179" s="133">
        <v>41680</v>
      </c>
      <c r="T1179" s="134">
        <v>420.4</v>
      </c>
      <c r="U1179" s="132" t="s">
        <v>154</v>
      </c>
      <c r="V1179" s="132" t="s">
        <v>188</v>
      </c>
      <c r="W1179" s="132" t="s">
        <v>153</v>
      </c>
      <c r="X1179" s="133">
        <v>41974</v>
      </c>
      <c r="Y1179" s="134">
        <v>900</v>
      </c>
    </row>
    <row r="1180" spans="1:25" x14ac:dyDescent="0.25">
      <c r="A1180" s="92" t="s">
        <v>148</v>
      </c>
      <c r="B1180" s="12" t="s">
        <v>228</v>
      </c>
      <c r="C1180" s="12" t="s">
        <v>158</v>
      </c>
      <c r="D1180" s="80">
        <v>41751</v>
      </c>
      <c r="E1180" s="81">
        <v>810</v>
      </c>
      <c r="F1180" s="76" t="s">
        <v>150</v>
      </c>
      <c r="G1180" s="77" t="s">
        <v>181</v>
      </c>
      <c r="H1180" s="77" t="s">
        <v>153</v>
      </c>
      <c r="I1180" s="86">
        <v>41820</v>
      </c>
      <c r="J1180" s="78">
        <v>699</v>
      </c>
      <c r="K1180" s="132" t="s">
        <v>20</v>
      </c>
      <c r="L1180" s="132" t="s">
        <v>299</v>
      </c>
      <c r="M1180" s="132" t="s">
        <v>267</v>
      </c>
      <c r="N1180" s="133">
        <v>41774</v>
      </c>
      <c r="O1180" s="134">
        <v>1324</v>
      </c>
      <c r="P1180" s="132" t="s">
        <v>151</v>
      </c>
      <c r="Q1180" s="132" t="s">
        <v>284</v>
      </c>
      <c r="R1180" s="132" t="s">
        <v>267</v>
      </c>
      <c r="S1180" s="133">
        <v>41690</v>
      </c>
      <c r="T1180" s="134">
        <v>278.8</v>
      </c>
      <c r="U1180" s="132" t="s">
        <v>154</v>
      </c>
      <c r="V1180" s="132" t="s">
        <v>188</v>
      </c>
      <c r="W1180" s="132" t="s">
        <v>153</v>
      </c>
      <c r="X1180" s="133">
        <v>41975</v>
      </c>
      <c r="Y1180" s="134">
        <v>888</v>
      </c>
    </row>
    <row r="1181" spans="1:25" x14ac:dyDescent="0.25">
      <c r="A1181" s="92" t="s">
        <v>148</v>
      </c>
      <c r="B1181" s="12" t="s">
        <v>228</v>
      </c>
      <c r="C1181" s="12" t="s">
        <v>158</v>
      </c>
      <c r="D1181" s="80">
        <v>41752</v>
      </c>
      <c r="E1181" s="81">
        <v>550</v>
      </c>
      <c r="F1181" s="76" t="s">
        <v>150</v>
      </c>
      <c r="G1181" s="77" t="s">
        <v>181</v>
      </c>
      <c r="H1181" s="77" t="s">
        <v>153</v>
      </c>
      <c r="I1181" s="86">
        <v>41821</v>
      </c>
      <c r="J1181" s="78">
        <v>752</v>
      </c>
      <c r="K1181" s="132" t="s">
        <v>20</v>
      </c>
      <c r="L1181" s="132" t="s">
        <v>299</v>
      </c>
      <c r="M1181" s="132" t="s">
        <v>267</v>
      </c>
      <c r="N1181" s="133">
        <v>41838</v>
      </c>
      <c r="O1181" s="134">
        <v>820</v>
      </c>
      <c r="P1181" s="132" t="s">
        <v>151</v>
      </c>
      <c r="Q1181" s="132" t="s">
        <v>284</v>
      </c>
      <c r="R1181" s="132" t="s">
        <v>267</v>
      </c>
      <c r="S1181" s="133">
        <v>41696</v>
      </c>
      <c r="T1181" s="134">
        <v>298.2</v>
      </c>
      <c r="U1181" s="132" t="s">
        <v>154</v>
      </c>
      <c r="V1181" s="132" t="s">
        <v>188</v>
      </c>
      <c r="W1181" s="132" t="s">
        <v>153</v>
      </c>
      <c r="X1181" s="133">
        <v>41977</v>
      </c>
      <c r="Y1181" s="134">
        <v>529</v>
      </c>
    </row>
    <row r="1182" spans="1:25" x14ac:dyDescent="0.25">
      <c r="A1182" s="92" t="s">
        <v>148</v>
      </c>
      <c r="B1182" s="12" t="s">
        <v>228</v>
      </c>
      <c r="C1182" s="12" t="s">
        <v>158</v>
      </c>
      <c r="D1182" s="80">
        <v>41753</v>
      </c>
      <c r="E1182" s="81">
        <v>750</v>
      </c>
      <c r="F1182" s="76" t="s">
        <v>150</v>
      </c>
      <c r="G1182" s="77" t="s">
        <v>181</v>
      </c>
      <c r="H1182" s="77" t="s">
        <v>153</v>
      </c>
      <c r="I1182" s="86">
        <v>41822</v>
      </c>
      <c r="J1182" s="78">
        <v>739</v>
      </c>
      <c r="K1182" s="132" t="s">
        <v>20</v>
      </c>
      <c r="L1182" s="132" t="s">
        <v>299</v>
      </c>
      <c r="M1182" s="132" t="s">
        <v>267</v>
      </c>
      <c r="N1182" s="133">
        <v>41844</v>
      </c>
      <c r="O1182" s="134">
        <v>252</v>
      </c>
      <c r="P1182" s="132" t="s">
        <v>151</v>
      </c>
      <c r="Q1182" s="132" t="s">
        <v>284</v>
      </c>
      <c r="R1182" s="132" t="s">
        <v>267</v>
      </c>
      <c r="S1182" s="133">
        <v>41702</v>
      </c>
      <c r="T1182" s="134">
        <v>934.1</v>
      </c>
      <c r="U1182" s="132" t="s">
        <v>154</v>
      </c>
      <c r="V1182" s="132" t="s">
        <v>188</v>
      </c>
      <c r="W1182" s="132" t="s">
        <v>153</v>
      </c>
      <c r="X1182" s="133">
        <v>41978</v>
      </c>
      <c r="Y1182" s="134">
        <v>477</v>
      </c>
    </row>
    <row r="1183" spans="1:25" x14ac:dyDescent="0.25">
      <c r="A1183" s="92" t="s">
        <v>148</v>
      </c>
      <c r="B1183" s="12" t="s">
        <v>228</v>
      </c>
      <c r="C1183" s="12" t="s">
        <v>158</v>
      </c>
      <c r="D1183" s="80">
        <v>41754</v>
      </c>
      <c r="E1183" s="81">
        <v>750</v>
      </c>
      <c r="F1183" s="76" t="s">
        <v>150</v>
      </c>
      <c r="G1183" s="77" t="s">
        <v>181</v>
      </c>
      <c r="H1183" s="77" t="s">
        <v>153</v>
      </c>
      <c r="I1183" s="86">
        <v>41823</v>
      </c>
      <c r="J1183" s="78">
        <v>737</v>
      </c>
      <c r="K1183" s="132" t="s">
        <v>20</v>
      </c>
      <c r="L1183" s="132" t="s">
        <v>299</v>
      </c>
      <c r="M1183" s="132" t="s">
        <v>267</v>
      </c>
      <c r="N1183" s="133">
        <v>41849</v>
      </c>
      <c r="O1183" s="134">
        <v>136</v>
      </c>
      <c r="P1183" s="132" t="s">
        <v>151</v>
      </c>
      <c r="Q1183" s="132" t="s">
        <v>284</v>
      </c>
      <c r="R1183" s="132" t="s">
        <v>267</v>
      </c>
      <c r="S1183" s="133">
        <v>41762</v>
      </c>
      <c r="T1183" s="134">
        <v>1188.9000000000001</v>
      </c>
      <c r="U1183" s="132" t="s">
        <v>154</v>
      </c>
      <c r="V1183" s="132" t="s">
        <v>164</v>
      </c>
      <c r="W1183" s="132" t="s">
        <v>153</v>
      </c>
      <c r="X1183" s="133">
        <v>41782</v>
      </c>
      <c r="Y1183" s="134">
        <v>850</v>
      </c>
    </row>
    <row r="1184" spans="1:25" x14ac:dyDescent="0.25">
      <c r="A1184" s="92" t="s">
        <v>148</v>
      </c>
      <c r="B1184" s="12" t="s">
        <v>228</v>
      </c>
      <c r="C1184" s="12" t="s">
        <v>158</v>
      </c>
      <c r="D1184" s="80">
        <v>41755</v>
      </c>
      <c r="E1184" s="81">
        <v>725</v>
      </c>
      <c r="F1184" s="76" t="s">
        <v>150</v>
      </c>
      <c r="G1184" s="77" t="s">
        <v>181</v>
      </c>
      <c r="H1184" s="77" t="s">
        <v>153</v>
      </c>
      <c r="I1184" s="86">
        <v>41824</v>
      </c>
      <c r="J1184" s="78">
        <v>770</v>
      </c>
      <c r="K1184" s="132" t="s">
        <v>20</v>
      </c>
      <c r="L1184" s="132" t="s">
        <v>299</v>
      </c>
      <c r="M1184" s="132" t="s">
        <v>267</v>
      </c>
      <c r="N1184" s="133">
        <v>41851</v>
      </c>
      <c r="O1184" s="134">
        <v>541</v>
      </c>
      <c r="P1184" s="132" t="s">
        <v>151</v>
      </c>
      <c r="Q1184" s="132" t="s">
        <v>284</v>
      </c>
      <c r="R1184" s="132" t="s">
        <v>267</v>
      </c>
      <c r="S1184" s="133">
        <v>41763</v>
      </c>
      <c r="T1184" s="134">
        <v>653.5</v>
      </c>
      <c r="U1184" s="132" t="s">
        <v>154</v>
      </c>
      <c r="V1184" s="132" t="s">
        <v>166</v>
      </c>
      <c r="W1184" s="132" t="s">
        <v>153</v>
      </c>
      <c r="X1184" s="133">
        <v>41635</v>
      </c>
      <c r="Y1184" s="134">
        <v>838</v>
      </c>
    </row>
    <row r="1185" spans="1:25" x14ac:dyDescent="0.25">
      <c r="A1185" s="92" t="s">
        <v>148</v>
      </c>
      <c r="B1185" s="12" t="s">
        <v>228</v>
      </c>
      <c r="C1185" s="12" t="s">
        <v>158</v>
      </c>
      <c r="D1185" s="80">
        <v>41756</v>
      </c>
      <c r="E1185" s="81">
        <v>775</v>
      </c>
      <c r="F1185" s="76" t="s">
        <v>150</v>
      </c>
      <c r="G1185" s="77" t="s">
        <v>181</v>
      </c>
      <c r="H1185" s="77" t="s">
        <v>153</v>
      </c>
      <c r="I1185" s="86">
        <v>41825</v>
      </c>
      <c r="J1185" s="78">
        <v>750</v>
      </c>
      <c r="K1185" s="132" t="s">
        <v>20</v>
      </c>
      <c r="L1185" s="132" t="s">
        <v>299</v>
      </c>
      <c r="M1185" s="132" t="s">
        <v>267</v>
      </c>
      <c r="N1185" s="133">
        <v>41855</v>
      </c>
      <c r="O1185" s="134">
        <v>249</v>
      </c>
      <c r="P1185" s="132" t="s">
        <v>151</v>
      </c>
      <c r="Q1185" s="132" t="s">
        <v>284</v>
      </c>
      <c r="R1185" s="132" t="s">
        <v>267</v>
      </c>
      <c r="S1185" s="133">
        <v>41944</v>
      </c>
      <c r="T1185" s="134">
        <v>527.29999999999995</v>
      </c>
      <c r="U1185" s="132" t="s">
        <v>154</v>
      </c>
      <c r="V1185" s="132" t="s">
        <v>166</v>
      </c>
      <c r="W1185" s="132" t="s">
        <v>153</v>
      </c>
      <c r="X1185" s="133">
        <v>41750</v>
      </c>
      <c r="Y1185" s="134">
        <v>400</v>
      </c>
    </row>
    <row r="1186" spans="1:25" x14ac:dyDescent="0.25">
      <c r="A1186" s="92" t="s">
        <v>148</v>
      </c>
      <c r="B1186" s="12" t="s">
        <v>228</v>
      </c>
      <c r="C1186" s="12" t="s">
        <v>158</v>
      </c>
      <c r="D1186" s="80">
        <v>41757</v>
      </c>
      <c r="E1186" s="81">
        <v>760</v>
      </c>
      <c r="F1186" s="76" t="s">
        <v>150</v>
      </c>
      <c r="G1186" s="77" t="s">
        <v>181</v>
      </c>
      <c r="H1186" s="77" t="s">
        <v>153</v>
      </c>
      <c r="I1186" s="86">
        <v>41826</v>
      </c>
      <c r="J1186" s="78">
        <v>758</v>
      </c>
      <c r="K1186" s="132" t="s">
        <v>20</v>
      </c>
      <c r="L1186" s="132" t="s">
        <v>299</v>
      </c>
      <c r="M1186" s="132" t="s">
        <v>267</v>
      </c>
      <c r="N1186" s="133">
        <v>41914</v>
      </c>
      <c r="O1186" s="134">
        <v>1333</v>
      </c>
      <c r="P1186" s="132" t="s">
        <v>151</v>
      </c>
      <c r="Q1186" s="132" t="s">
        <v>284</v>
      </c>
      <c r="R1186" s="132" t="s">
        <v>267</v>
      </c>
      <c r="S1186" s="133">
        <v>41976</v>
      </c>
      <c r="T1186" s="134">
        <v>953.3</v>
      </c>
      <c r="U1186" s="132" t="s">
        <v>154</v>
      </c>
      <c r="V1186" s="132" t="s">
        <v>166</v>
      </c>
      <c r="W1186" s="132" t="s">
        <v>153</v>
      </c>
      <c r="X1186" s="133">
        <v>41751</v>
      </c>
      <c r="Y1186" s="134">
        <v>1200</v>
      </c>
    </row>
    <row r="1187" spans="1:25" x14ac:dyDescent="0.25">
      <c r="A1187" s="92" t="s">
        <v>148</v>
      </c>
      <c r="B1187" s="12" t="s">
        <v>229</v>
      </c>
      <c r="C1187" s="12" t="s">
        <v>158</v>
      </c>
      <c r="D1187" s="80">
        <v>41736</v>
      </c>
      <c r="E1187" s="81">
        <v>1004</v>
      </c>
      <c r="F1187" s="76" t="s">
        <v>150</v>
      </c>
      <c r="G1187" s="77" t="s">
        <v>181</v>
      </c>
      <c r="H1187" s="77" t="s">
        <v>153</v>
      </c>
      <c r="I1187" s="86">
        <v>41827</v>
      </c>
      <c r="J1187" s="78">
        <v>642</v>
      </c>
      <c r="K1187" s="132" t="s">
        <v>20</v>
      </c>
      <c r="L1187" s="132" t="s">
        <v>299</v>
      </c>
      <c r="M1187" s="132" t="s">
        <v>267</v>
      </c>
      <c r="N1187" s="133">
        <v>41963</v>
      </c>
      <c r="O1187" s="134">
        <v>1412</v>
      </c>
      <c r="P1187" s="132" t="s">
        <v>151</v>
      </c>
      <c r="Q1187" s="132" t="s">
        <v>284</v>
      </c>
      <c r="R1187" s="132" t="s">
        <v>267</v>
      </c>
      <c r="S1187" s="133">
        <v>41984</v>
      </c>
      <c r="T1187" s="134">
        <v>596</v>
      </c>
      <c r="U1187" s="132" t="s">
        <v>154</v>
      </c>
      <c r="V1187" s="132" t="s">
        <v>166</v>
      </c>
      <c r="W1187" s="132" t="s">
        <v>153</v>
      </c>
      <c r="X1187" s="133">
        <v>41752</v>
      </c>
      <c r="Y1187" s="134">
        <v>1130</v>
      </c>
    </row>
    <row r="1188" spans="1:25" x14ac:dyDescent="0.25">
      <c r="A1188" s="92" t="s">
        <v>148</v>
      </c>
      <c r="B1188" s="12" t="s">
        <v>229</v>
      </c>
      <c r="C1188" s="12" t="s">
        <v>158</v>
      </c>
      <c r="D1188" s="80">
        <v>41736</v>
      </c>
      <c r="E1188" s="81">
        <v>260</v>
      </c>
      <c r="F1188" s="76" t="s">
        <v>150</v>
      </c>
      <c r="G1188" s="77" t="s">
        <v>181</v>
      </c>
      <c r="H1188" s="77" t="s">
        <v>153</v>
      </c>
      <c r="I1188" s="86">
        <v>41828</v>
      </c>
      <c r="J1188" s="78">
        <v>807</v>
      </c>
      <c r="K1188" s="132" t="s">
        <v>20</v>
      </c>
      <c r="L1188" s="132" t="s">
        <v>300</v>
      </c>
      <c r="M1188" s="132" t="s">
        <v>267</v>
      </c>
      <c r="N1188" s="133">
        <v>41710</v>
      </c>
      <c r="O1188" s="134">
        <v>588</v>
      </c>
      <c r="P1188" s="132" t="s">
        <v>151</v>
      </c>
      <c r="Q1188" s="132" t="s">
        <v>284</v>
      </c>
      <c r="R1188" s="132" t="s">
        <v>267</v>
      </c>
      <c r="S1188" s="133">
        <v>41985</v>
      </c>
      <c r="T1188" s="134">
        <v>762.2</v>
      </c>
      <c r="U1188" s="132" t="s">
        <v>154</v>
      </c>
      <c r="V1188" s="132" t="s">
        <v>166</v>
      </c>
      <c r="W1188" s="132" t="s">
        <v>153</v>
      </c>
      <c r="X1188" s="133">
        <v>41753</v>
      </c>
      <c r="Y1188" s="134">
        <v>540</v>
      </c>
    </row>
    <row r="1189" spans="1:25" x14ac:dyDescent="0.25">
      <c r="A1189" s="92" t="s">
        <v>148</v>
      </c>
      <c r="B1189" s="12" t="s">
        <v>229</v>
      </c>
      <c r="C1189" s="12" t="s">
        <v>158</v>
      </c>
      <c r="D1189" s="80">
        <v>41737</v>
      </c>
      <c r="E1189" s="81">
        <v>670</v>
      </c>
      <c r="F1189" s="76" t="s">
        <v>150</v>
      </c>
      <c r="G1189" s="77" t="s">
        <v>181</v>
      </c>
      <c r="H1189" s="77" t="s">
        <v>153</v>
      </c>
      <c r="I1189" s="86">
        <v>41829</v>
      </c>
      <c r="J1189" s="78">
        <v>533</v>
      </c>
      <c r="K1189" s="132" t="s">
        <v>20</v>
      </c>
      <c r="L1189" s="132" t="s">
        <v>300</v>
      </c>
      <c r="M1189" s="132" t="s">
        <v>267</v>
      </c>
      <c r="N1189" s="133">
        <v>41717</v>
      </c>
      <c r="O1189" s="134">
        <v>1297</v>
      </c>
      <c r="P1189" s="132" t="s">
        <v>151</v>
      </c>
      <c r="Q1189" s="132" t="s">
        <v>284</v>
      </c>
      <c r="R1189" s="132" t="s">
        <v>267</v>
      </c>
      <c r="S1189" s="133">
        <v>41988</v>
      </c>
      <c r="T1189" s="134">
        <v>606.4</v>
      </c>
      <c r="U1189" s="132" t="s">
        <v>154</v>
      </c>
      <c r="V1189" s="132" t="s">
        <v>166</v>
      </c>
      <c r="W1189" s="132" t="s">
        <v>153</v>
      </c>
      <c r="X1189" s="133">
        <v>41754</v>
      </c>
      <c r="Y1189" s="134">
        <v>870</v>
      </c>
    </row>
    <row r="1190" spans="1:25" x14ac:dyDescent="0.25">
      <c r="A1190" s="92" t="s">
        <v>148</v>
      </c>
      <c r="B1190" s="12" t="s">
        <v>229</v>
      </c>
      <c r="C1190" s="12" t="s">
        <v>158</v>
      </c>
      <c r="D1190" s="80">
        <v>41738</v>
      </c>
      <c r="E1190" s="81">
        <v>770</v>
      </c>
      <c r="F1190" s="76" t="s">
        <v>150</v>
      </c>
      <c r="G1190" s="77" t="s">
        <v>181</v>
      </c>
      <c r="H1190" s="77" t="s">
        <v>153</v>
      </c>
      <c r="I1190" s="86">
        <v>41831</v>
      </c>
      <c r="J1190" s="78">
        <v>844</v>
      </c>
      <c r="K1190" s="132" t="s">
        <v>20</v>
      </c>
      <c r="L1190" s="132" t="s">
        <v>300</v>
      </c>
      <c r="M1190" s="132" t="s">
        <v>267</v>
      </c>
      <c r="N1190" s="133">
        <v>41724</v>
      </c>
      <c r="O1190" s="134">
        <v>389</v>
      </c>
      <c r="P1190" s="132" t="s">
        <v>151</v>
      </c>
      <c r="Q1190" s="132" t="s">
        <v>284</v>
      </c>
      <c r="R1190" s="132" t="s">
        <v>267</v>
      </c>
      <c r="S1190" s="133">
        <v>41989</v>
      </c>
      <c r="T1190" s="134">
        <v>653.29999999999995</v>
      </c>
      <c r="U1190" s="132" t="s">
        <v>154</v>
      </c>
      <c r="V1190" s="132" t="s">
        <v>166</v>
      </c>
      <c r="W1190" s="132" t="s">
        <v>153</v>
      </c>
      <c r="X1190" s="133">
        <v>41755</v>
      </c>
      <c r="Y1190" s="134">
        <v>841</v>
      </c>
    </row>
    <row r="1191" spans="1:25" x14ac:dyDescent="0.25">
      <c r="A1191" s="92" t="s">
        <v>148</v>
      </c>
      <c r="B1191" s="12" t="s">
        <v>229</v>
      </c>
      <c r="C1191" s="12" t="s">
        <v>158</v>
      </c>
      <c r="D1191" s="80">
        <v>41739</v>
      </c>
      <c r="E1191" s="81">
        <v>740</v>
      </c>
      <c r="F1191" s="76" t="s">
        <v>150</v>
      </c>
      <c r="G1191" s="77" t="s">
        <v>181</v>
      </c>
      <c r="H1191" s="77" t="s">
        <v>153</v>
      </c>
      <c r="I1191" s="86">
        <v>41831</v>
      </c>
      <c r="J1191" s="78">
        <v>370</v>
      </c>
      <c r="K1191" s="132" t="s">
        <v>20</v>
      </c>
      <c r="L1191" s="132" t="s">
        <v>300</v>
      </c>
      <c r="M1191" s="132" t="s">
        <v>267</v>
      </c>
      <c r="N1191" s="133">
        <v>41841</v>
      </c>
      <c r="O1191" s="134">
        <v>592</v>
      </c>
      <c r="P1191" s="132" t="s">
        <v>151</v>
      </c>
      <c r="Q1191" s="132" t="s">
        <v>284</v>
      </c>
      <c r="R1191" s="132" t="s">
        <v>267</v>
      </c>
      <c r="S1191" s="133">
        <v>41996</v>
      </c>
      <c r="T1191" s="134">
        <v>923.6</v>
      </c>
      <c r="U1191" s="132" t="s">
        <v>154</v>
      </c>
      <c r="V1191" s="132" t="s">
        <v>166</v>
      </c>
      <c r="W1191" s="132" t="s">
        <v>153</v>
      </c>
      <c r="X1191" s="133">
        <v>41756</v>
      </c>
      <c r="Y1191" s="134">
        <v>638</v>
      </c>
    </row>
    <row r="1192" spans="1:25" x14ac:dyDescent="0.25">
      <c r="A1192" s="92" t="s">
        <v>148</v>
      </c>
      <c r="B1192" s="12" t="s">
        <v>229</v>
      </c>
      <c r="C1192" s="12" t="s">
        <v>158</v>
      </c>
      <c r="D1192" s="80">
        <v>41740</v>
      </c>
      <c r="E1192" s="81">
        <v>740</v>
      </c>
      <c r="F1192" s="76" t="s">
        <v>150</v>
      </c>
      <c r="G1192" s="77" t="s">
        <v>181</v>
      </c>
      <c r="H1192" s="77" t="s">
        <v>153</v>
      </c>
      <c r="I1192" s="86">
        <v>41832</v>
      </c>
      <c r="J1192" s="78">
        <v>770</v>
      </c>
      <c r="K1192" s="132" t="s">
        <v>20</v>
      </c>
      <c r="L1192" s="132" t="s">
        <v>300</v>
      </c>
      <c r="M1192" s="132" t="s">
        <v>267</v>
      </c>
      <c r="N1192" s="133">
        <v>41845</v>
      </c>
      <c r="O1192" s="134">
        <v>300</v>
      </c>
      <c r="P1192" s="132" t="s">
        <v>151</v>
      </c>
      <c r="Q1192" s="132" t="s">
        <v>284</v>
      </c>
      <c r="R1192" s="132" t="s">
        <v>267</v>
      </c>
      <c r="S1192" s="133">
        <v>41999</v>
      </c>
      <c r="T1192" s="134">
        <v>1012.6</v>
      </c>
      <c r="U1192" s="132" t="s">
        <v>154</v>
      </c>
      <c r="V1192" s="132" t="s">
        <v>166</v>
      </c>
      <c r="W1192" s="132" t="s">
        <v>153</v>
      </c>
      <c r="X1192" s="133">
        <v>41915</v>
      </c>
      <c r="Y1192" s="134">
        <v>921</v>
      </c>
    </row>
    <row r="1193" spans="1:25" x14ac:dyDescent="0.25">
      <c r="A1193" s="92" t="s">
        <v>148</v>
      </c>
      <c r="B1193" s="12" t="s">
        <v>229</v>
      </c>
      <c r="C1193" s="12" t="s">
        <v>158</v>
      </c>
      <c r="D1193" s="80">
        <v>41741</v>
      </c>
      <c r="E1193" s="81">
        <v>725</v>
      </c>
      <c r="F1193" s="76" t="s">
        <v>150</v>
      </c>
      <c r="G1193" s="77" t="s">
        <v>181</v>
      </c>
      <c r="H1193" s="77" t="s">
        <v>153</v>
      </c>
      <c r="I1193" s="86">
        <v>41833</v>
      </c>
      <c r="J1193" s="78">
        <v>808</v>
      </c>
      <c r="K1193" s="132" t="s">
        <v>20</v>
      </c>
      <c r="L1193" s="132" t="s">
        <v>300</v>
      </c>
      <c r="M1193" s="132" t="s">
        <v>267</v>
      </c>
      <c r="N1193" s="133">
        <v>41856</v>
      </c>
      <c r="O1193" s="134">
        <v>253</v>
      </c>
      <c r="P1193" s="132" t="s">
        <v>151</v>
      </c>
      <c r="Q1193" s="132" t="s">
        <v>285</v>
      </c>
      <c r="R1193" s="132" t="s">
        <v>267</v>
      </c>
      <c r="S1193" s="133">
        <v>41673</v>
      </c>
      <c r="T1193" s="134">
        <v>335.2</v>
      </c>
      <c r="U1193" s="132" t="s">
        <v>154</v>
      </c>
      <c r="V1193" s="132" t="s">
        <v>166</v>
      </c>
      <c r="W1193" s="132" t="s">
        <v>153</v>
      </c>
      <c r="X1193" s="133">
        <v>41917</v>
      </c>
      <c r="Y1193" s="134">
        <v>461</v>
      </c>
    </row>
    <row r="1194" spans="1:25" x14ac:dyDescent="0.25">
      <c r="A1194" s="92" t="s">
        <v>148</v>
      </c>
      <c r="B1194" s="12" t="s">
        <v>229</v>
      </c>
      <c r="C1194" s="12" t="s">
        <v>158</v>
      </c>
      <c r="D1194" s="80">
        <v>41742</v>
      </c>
      <c r="E1194" s="81">
        <v>684</v>
      </c>
      <c r="F1194" s="76" t="s">
        <v>150</v>
      </c>
      <c r="G1194" s="77" t="s">
        <v>181</v>
      </c>
      <c r="H1194" s="77" t="s">
        <v>153</v>
      </c>
      <c r="I1194" s="86">
        <v>41834</v>
      </c>
      <c r="J1194" s="78">
        <v>557</v>
      </c>
      <c r="K1194" s="132" t="s">
        <v>20</v>
      </c>
      <c r="L1194" s="132" t="s">
        <v>300</v>
      </c>
      <c r="M1194" s="132" t="s">
        <v>267</v>
      </c>
      <c r="N1194" s="133">
        <v>41857</v>
      </c>
      <c r="O1194" s="134">
        <v>645</v>
      </c>
      <c r="P1194" s="132" t="s">
        <v>151</v>
      </c>
      <c r="Q1194" s="132" t="s">
        <v>285</v>
      </c>
      <c r="R1194" s="132" t="s">
        <v>267</v>
      </c>
      <c r="S1194" s="133">
        <v>41809</v>
      </c>
      <c r="T1194" s="134">
        <v>748.9</v>
      </c>
      <c r="U1194" s="132" t="s">
        <v>154</v>
      </c>
      <c r="V1194" s="132" t="s">
        <v>166</v>
      </c>
      <c r="W1194" s="132" t="s">
        <v>153</v>
      </c>
      <c r="X1194" s="133">
        <v>41927</v>
      </c>
      <c r="Y1194" s="134">
        <v>1105</v>
      </c>
    </row>
    <row r="1195" spans="1:25" x14ac:dyDescent="0.25">
      <c r="A1195" s="92" t="s">
        <v>148</v>
      </c>
      <c r="B1195" s="12" t="s">
        <v>229</v>
      </c>
      <c r="C1195" s="12" t="s">
        <v>158</v>
      </c>
      <c r="D1195" s="80">
        <v>41743</v>
      </c>
      <c r="E1195" s="81">
        <v>700</v>
      </c>
      <c r="F1195" s="76" t="s">
        <v>150</v>
      </c>
      <c r="G1195" s="77" t="s">
        <v>181</v>
      </c>
      <c r="H1195" s="77" t="s">
        <v>153</v>
      </c>
      <c r="I1195" s="86">
        <v>41835</v>
      </c>
      <c r="J1195" s="78">
        <v>733</v>
      </c>
      <c r="K1195" s="132" t="s">
        <v>20</v>
      </c>
      <c r="L1195" s="132" t="s">
        <v>300</v>
      </c>
      <c r="M1195" s="132" t="s">
        <v>267</v>
      </c>
      <c r="N1195" s="133">
        <v>41863</v>
      </c>
      <c r="O1195" s="134">
        <v>289</v>
      </c>
      <c r="P1195" s="132" t="s">
        <v>151</v>
      </c>
      <c r="Q1195" s="132" t="s">
        <v>285</v>
      </c>
      <c r="R1195" s="132" t="s">
        <v>267</v>
      </c>
      <c r="S1195" s="133">
        <v>41810</v>
      </c>
      <c r="T1195" s="134">
        <v>488</v>
      </c>
      <c r="U1195" s="132" t="s">
        <v>154</v>
      </c>
      <c r="V1195" s="132" t="s">
        <v>166</v>
      </c>
      <c r="W1195" s="132" t="s">
        <v>153</v>
      </c>
      <c r="X1195" s="133">
        <v>41928</v>
      </c>
      <c r="Y1195" s="134">
        <v>906</v>
      </c>
    </row>
    <row r="1196" spans="1:25" x14ac:dyDescent="0.25">
      <c r="A1196" s="92" t="s">
        <v>148</v>
      </c>
      <c r="B1196" s="12" t="s">
        <v>229</v>
      </c>
      <c r="C1196" s="12" t="s">
        <v>158</v>
      </c>
      <c r="D1196" s="80">
        <v>41744</v>
      </c>
      <c r="E1196" s="81">
        <v>770</v>
      </c>
      <c r="F1196" s="76" t="s">
        <v>150</v>
      </c>
      <c r="G1196" s="77" t="s">
        <v>181</v>
      </c>
      <c r="H1196" s="77" t="s">
        <v>153</v>
      </c>
      <c r="I1196" s="86">
        <v>41836</v>
      </c>
      <c r="J1196" s="78">
        <v>665</v>
      </c>
      <c r="K1196" s="132" t="s">
        <v>20</v>
      </c>
      <c r="L1196" s="132" t="s">
        <v>300</v>
      </c>
      <c r="M1196" s="132" t="s">
        <v>267</v>
      </c>
      <c r="N1196" s="133">
        <v>41869</v>
      </c>
      <c r="O1196" s="134">
        <v>530</v>
      </c>
      <c r="P1196" s="132" t="s">
        <v>151</v>
      </c>
      <c r="Q1196" s="132" t="s">
        <v>285</v>
      </c>
      <c r="R1196" s="132" t="s">
        <v>267</v>
      </c>
      <c r="S1196" s="133">
        <v>41813</v>
      </c>
      <c r="T1196" s="134">
        <v>1074.5</v>
      </c>
      <c r="U1196" s="132" t="s">
        <v>154</v>
      </c>
      <c r="V1196" s="132" t="s">
        <v>166</v>
      </c>
      <c r="W1196" s="132" t="s">
        <v>153</v>
      </c>
      <c r="X1196" s="133">
        <v>41929</v>
      </c>
      <c r="Y1196" s="134">
        <v>955</v>
      </c>
    </row>
    <row r="1197" spans="1:25" x14ac:dyDescent="0.25">
      <c r="A1197" s="92" t="s">
        <v>148</v>
      </c>
      <c r="B1197" s="12" t="s">
        <v>229</v>
      </c>
      <c r="C1197" s="12" t="s">
        <v>158</v>
      </c>
      <c r="D1197" s="80">
        <v>41745</v>
      </c>
      <c r="E1197" s="81">
        <v>802</v>
      </c>
      <c r="F1197" s="76" t="s">
        <v>150</v>
      </c>
      <c r="G1197" s="77" t="s">
        <v>181</v>
      </c>
      <c r="H1197" s="77" t="s">
        <v>153</v>
      </c>
      <c r="I1197" s="86">
        <v>41837</v>
      </c>
      <c r="J1197" s="78">
        <v>729</v>
      </c>
      <c r="K1197" s="132" t="s">
        <v>20</v>
      </c>
      <c r="L1197" s="132" t="s">
        <v>300</v>
      </c>
      <c r="M1197" s="132" t="s">
        <v>267</v>
      </c>
      <c r="N1197" s="133">
        <v>41880</v>
      </c>
      <c r="O1197" s="134">
        <v>296</v>
      </c>
      <c r="P1197" s="132" t="s">
        <v>151</v>
      </c>
      <c r="Q1197" s="132" t="s">
        <v>285</v>
      </c>
      <c r="R1197" s="132" t="s">
        <v>267</v>
      </c>
      <c r="S1197" s="133">
        <v>41814</v>
      </c>
      <c r="T1197" s="134">
        <v>1114.2</v>
      </c>
      <c r="U1197" s="132" t="s">
        <v>154</v>
      </c>
      <c r="V1197" s="132" t="s">
        <v>166</v>
      </c>
      <c r="W1197" s="132" t="s">
        <v>153</v>
      </c>
      <c r="X1197" s="133">
        <v>41930</v>
      </c>
      <c r="Y1197" s="134">
        <v>793</v>
      </c>
    </row>
    <row r="1198" spans="1:25" x14ac:dyDescent="0.25">
      <c r="A1198" s="92" t="s">
        <v>148</v>
      </c>
      <c r="B1198" s="12" t="s">
        <v>229</v>
      </c>
      <c r="C1198" s="12" t="s">
        <v>158</v>
      </c>
      <c r="D1198" s="80">
        <v>41746</v>
      </c>
      <c r="E1198" s="81">
        <v>660</v>
      </c>
      <c r="F1198" s="76" t="s">
        <v>150</v>
      </c>
      <c r="G1198" s="77" t="s">
        <v>181</v>
      </c>
      <c r="H1198" s="77" t="s">
        <v>153</v>
      </c>
      <c r="I1198" s="86">
        <v>41838</v>
      </c>
      <c r="J1198" s="78">
        <v>818</v>
      </c>
      <c r="K1198" s="132" t="s">
        <v>20</v>
      </c>
      <c r="L1198" s="132" t="s">
        <v>300</v>
      </c>
      <c r="M1198" s="132" t="s">
        <v>267</v>
      </c>
      <c r="N1198" s="133">
        <v>41884</v>
      </c>
      <c r="O1198" s="134">
        <v>510</v>
      </c>
      <c r="P1198" s="132" t="s">
        <v>151</v>
      </c>
      <c r="Q1198" s="132" t="s">
        <v>285</v>
      </c>
      <c r="R1198" s="132" t="s">
        <v>267</v>
      </c>
      <c r="S1198" s="133">
        <v>41815</v>
      </c>
      <c r="T1198" s="134">
        <v>516.70000000000005</v>
      </c>
      <c r="U1198" s="132" t="s">
        <v>154</v>
      </c>
      <c r="V1198" s="132" t="s">
        <v>166</v>
      </c>
      <c r="W1198" s="132" t="s">
        <v>153</v>
      </c>
      <c r="X1198" s="133">
        <v>41931</v>
      </c>
      <c r="Y1198" s="134">
        <v>375</v>
      </c>
    </row>
    <row r="1199" spans="1:25" x14ac:dyDescent="0.25">
      <c r="A1199" s="92" t="s">
        <v>148</v>
      </c>
      <c r="B1199" s="12" t="s">
        <v>229</v>
      </c>
      <c r="C1199" s="12" t="s">
        <v>158</v>
      </c>
      <c r="D1199" s="80">
        <v>41747</v>
      </c>
      <c r="E1199" s="81">
        <v>725</v>
      </c>
      <c r="F1199" s="76" t="s">
        <v>150</v>
      </c>
      <c r="G1199" s="77" t="s">
        <v>181</v>
      </c>
      <c r="H1199" s="77" t="s">
        <v>153</v>
      </c>
      <c r="I1199" s="86">
        <v>41839</v>
      </c>
      <c r="J1199" s="78">
        <v>1519</v>
      </c>
      <c r="K1199" s="132" t="s">
        <v>20</v>
      </c>
      <c r="L1199" s="132" t="s">
        <v>300</v>
      </c>
      <c r="M1199" s="132" t="s">
        <v>267</v>
      </c>
      <c r="N1199" s="133">
        <v>41885</v>
      </c>
      <c r="O1199" s="134">
        <v>650</v>
      </c>
      <c r="P1199" s="132" t="s">
        <v>151</v>
      </c>
      <c r="Q1199" s="132" t="s">
        <v>285</v>
      </c>
      <c r="R1199" s="132" t="s">
        <v>267</v>
      </c>
      <c r="S1199" s="133">
        <v>41816</v>
      </c>
      <c r="T1199" s="134">
        <v>514.79999999999995</v>
      </c>
      <c r="U1199" s="132" t="s">
        <v>154</v>
      </c>
      <c r="V1199" s="132" t="s">
        <v>166</v>
      </c>
      <c r="W1199" s="132" t="s">
        <v>153</v>
      </c>
      <c r="X1199" s="133">
        <v>41932</v>
      </c>
      <c r="Y1199" s="134">
        <v>1001</v>
      </c>
    </row>
    <row r="1200" spans="1:25" x14ac:dyDescent="0.25">
      <c r="A1200" s="92" t="s">
        <v>148</v>
      </c>
      <c r="B1200" s="12" t="s">
        <v>229</v>
      </c>
      <c r="C1200" s="12" t="s">
        <v>158</v>
      </c>
      <c r="D1200" s="80">
        <v>41748</v>
      </c>
      <c r="E1200" s="81">
        <v>670</v>
      </c>
      <c r="F1200" s="76" t="s">
        <v>150</v>
      </c>
      <c r="G1200" s="77" t="s">
        <v>181</v>
      </c>
      <c r="H1200" s="77" t="s">
        <v>153</v>
      </c>
      <c r="I1200" s="86">
        <v>41839</v>
      </c>
      <c r="J1200" s="78">
        <v>752</v>
      </c>
      <c r="K1200" s="132" t="s">
        <v>20</v>
      </c>
      <c r="L1200" s="132" t="s">
        <v>300</v>
      </c>
      <c r="M1200" s="132" t="s">
        <v>267</v>
      </c>
      <c r="N1200" s="133">
        <v>41891</v>
      </c>
      <c r="O1200" s="134">
        <v>322</v>
      </c>
      <c r="P1200" s="132" t="s">
        <v>151</v>
      </c>
      <c r="Q1200" s="132" t="s">
        <v>285</v>
      </c>
      <c r="R1200" s="132" t="s">
        <v>267</v>
      </c>
      <c r="S1200" s="133">
        <v>41865</v>
      </c>
      <c r="T1200" s="134">
        <v>1195.2</v>
      </c>
      <c r="U1200" s="132" t="s">
        <v>154</v>
      </c>
      <c r="V1200" s="132" t="s">
        <v>166</v>
      </c>
      <c r="W1200" s="132" t="s">
        <v>153</v>
      </c>
      <c r="X1200" s="133">
        <v>41933</v>
      </c>
      <c r="Y1200" s="134">
        <v>961</v>
      </c>
    </row>
    <row r="1201" spans="1:25" x14ac:dyDescent="0.25">
      <c r="A1201" s="92" t="s">
        <v>148</v>
      </c>
      <c r="B1201" s="12" t="s">
        <v>229</v>
      </c>
      <c r="C1201" s="12" t="s">
        <v>158</v>
      </c>
      <c r="D1201" s="80">
        <v>41749</v>
      </c>
      <c r="E1201" s="81">
        <v>730</v>
      </c>
      <c r="F1201" s="76" t="s">
        <v>150</v>
      </c>
      <c r="G1201" s="77" t="s">
        <v>181</v>
      </c>
      <c r="H1201" s="77" t="s">
        <v>153</v>
      </c>
      <c r="I1201" s="86">
        <v>41840</v>
      </c>
      <c r="J1201" s="78">
        <v>697</v>
      </c>
      <c r="K1201" s="132" t="s">
        <v>20</v>
      </c>
      <c r="L1201" s="132" t="s">
        <v>300</v>
      </c>
      <c r="M1201" s="132" t="s">
        <v>267</v>
      </c>
      <c r="N1201" s="133">
        <v>41893</v>
      </c>
      <c r="O1201" s="134">
        <v>264</v>
      </c>
      <c r="P1201" s="132" t="s">
        <v>151</v>
      </c>
      <c r="Q1201" s="132" t="s">
        <v>285</v>
      </c>
      <c r="R1201" s="132" t="s">
        <v>267</v>
      </c>
      <c r="S1201" s="133">
        <v>41911</v>
      </c>
      <c r="T1201" s="134">
        <v>709</v>
      </c>
      <c r="U1201" s="132" t="s">
        <v>154</v>
      </c>
      <c r="V1201" s="132" t="s">
        <v>166</v>
      </c>
      <c r="W1201" s="132" t="s">
        <v>153</v>
      </c>
      <c r="X1201" s="133">
        <v>41934</v>
      </c>
      <c r="Y1201" s="134">
        <v>780</v>
      </c>
    </row>
    <row r="1202" spans="1:25" x14ac:dyDescent="0.25">
      <c r="A1202" s="92" t="s">
        <v>148</v>
      </c>
      <c r="B1202" s="12" t="s">
        <v>229</v>
      </c>
      <c r="C1202" s="12" t="s">
        <v>158</v>
      </c>
      <c r="D1202" s="80">
        <v>41750</v>
      </c>
      <c r="E1202" s="81">
        <v>740</v>
      </c>
      <c r="F1202" s="76" t="s">
        <v>150</v>
      </c>
      <c r="G1202" s="77" t="s">
        <v>181</v>
      </c>
      <c r="H1202" s="77" t="s">
        <v>153</v>
      </c>
      <c r="I1202" s="86">
        <v>41841</v>
      </c>
      <c r="J1202" s="78">
        <v>728</v>
      </c>
      <c r="K1202" s="132" t="s">
        <v>20</v>
      </c>
      <c r="L1202" s="132" t="s">
        <v>300</v>
      </c>
      <c r="M1202" s="132" t="s">
        <v>267</v>
      </c>
      <c r="N1202" s="133">
        <v>41904</v>
      </c>
      <c r="O1202" s="134">
        <v>278</v>
      </c>
      <c r="P1202" s="132" t="s">
        <v>151</v>
      </c>
      <c r="Q1202" s="132" t="s">
        <v>285</v>
      </c>
      <c r="R1202" s="132" t="s">
        <v>267</v>
      </c>
      <c r="S1202" s="133">
        <v>41912</v>
      </c>
      <c r="T1202" s="134">
        <v>568.6</v>
      </c>
      <c r="U1202" s="132" t="s">
        <v>154</v>
      </c>
      <c r="V1202" s="132" t="s">
        <v>166</v>
      </c>
      <c r="W1202" s="132" t="s">
        <v>153</v>
      </c>
      <c r="X1202" s="133">
        <v>41935</v>
      </c>
      <c r="Y1202" s="134">
        <v>912</v>
      </c>
    </row>
    <row r="1203" spans="1:25" x14ac:dyDescent="0.25">
      <c r="A1203" s="92" t="s">
        <v>148</v>
      </c>
      <c r="B1203" s="12" t="s">
        <v>229</v>
      </c>
      <c r="C1203" s="12" t="s">
        <v>158</v>
      </c>
      <c r="D1203" s="80">
        <v>41751</v>
      </c>
      <c r="E1203" s="81">
        <v>900</v>
      </c>
      <c r="F1203" s="76" t="s">
        <v>150</v>
      </c>
      <c r="G1203" s="77" t="s">
        <v>181</v>
      </c>
      <c r="H1203" s="77" t="s">
        <v>153</v>
      </c>
      <c r="I1203" s="86">
        <v>41842</v>
      </c>
      <c r="J1203" s="78">
        <v>689</v>
      </c>
      <c r="K1203" s="132" t="s">
        <v>20</v>
      </c>
      <c r="L1203" s="132" t="s">
        <v>300</v>
      </c>
      <c r="M1203" s="132" t="s">
        <v>267</v>
      </c>
      <c r="N1203" s="133">
        <v>41906</v>
      </c>
      <c r="O1203" s="134">
        <v>279</v>
      </c>
      <c r="P1203" s="132" t="s">
        <v>151</v>
      </c>
      <c r="Q1203" s="132" t="s">
        <v>285</v>
      </c>
      <c r="R1203" s="132" t="s">
        <v>267</v>
      </c>
      <c r="S1203" s="133">
        <v>41913</v>
      </c>
      <c r="T1203" s="134">
        <v>853.8</v>
      </c>
      <c r="U1203" s="132" t="s">
        <v>154</v>
      </c>
      <c r="V1203" s="132" t="s">
        <v>166</v>
      </c>
      <c r="W1203" s="132" t="s">
        <v>153</v>
      </c>
      <c r="X1203" s="133">
        <v>41936</v>
      </c>
      <c r="Y1203" s="134">
        <v>1323</v>
      </c>
    </row>
    <row r="1204" spans="1:25" x14ac:dyDescent="0.25">
      <c r="A1204" s="92" t="s">
        <v>148</v>
      </c>
      <c r="B1204" s="12" t="s">
        <v>229</v>
      </c>
      <c r="C1204" s="12" t="s">
        <v>158</v>
      </c>
      <c r="D1204" s="80">
        <v>41752</v>
      </c>
      <c r="E1204" s="81">
        <v>550</v>
      </c>
      <c r="F1204" s="76" t="s">
        <v>150</v>
      </c>
      <c r="G1204" s="77" t="s">
        <v>181</v>
      </c>
      <c r="H1204" s="77" t="s">
        <v>153</v>
      </c>
      <c r="I1204" s="86">
        <v>41843</v>
      </c>
      <c r="J1204" s="78">
        <v>713</v>
      </c>
      <c r="K1204" s="132" t="s">
        <v>20</v>
      </c>
      <c r="L1204" s="132" t="s">
        <v>300</v>
      </c>
      <c r="M1204" s="132" t="s">
        <v>267</v>
      </c>
      <c r="N1204" s="133">
        <v>41908</v>
      </c>
      <c r="O1204" s="134">
        <v>252</v>
      </c>
      <c r="P1204" s="132" t="s">
        <v>151</v>
      </c>
      <c r="Q1204" s="132" t="s">
        <v>285</v>
      </c>
      <c r="R1204" s="132" t="s">
        <v>267</v>
      </c>
      <c r="S1204" s="133">
        <v>41920</v>
      </c>
      <c r="T1204" s="134">
        <v>776.6</v>
      </c>
      <c r="U1204" s="132" t="s">
        <v>154</v>
      </c>
      <c r="V1204" s="132" t="s">
        <v>166</v>
      </c>
      <c r="W1204" s="132" t="s">
        <v>153</v>
      </c>
      <c r="X1204" s="133">
        <v>41938</v>
      </c>
      <c r="Y1204" s="134">
        <v>687</v>
      </c>
    </row>
    <row r="1205" spans="1:25" x14ac:dyDescent="0.25">
      <c r="A1205" s="92" t="s">
        <v>148</v>
      </c>
      <c r="B1205" s="12" t="s">
        <v>229</v>
      </c>
      <c r="C1205" s="12" t="s">
        <v>158</v>
      </c>
      <c r="D1205" s="80">
        <v>41753</v>
      </c>
      <c r="E1205" s="81">
        <v>710</v>
      </c>
      <c r="F1205" s="76" t="s">
        <v>150</v>
      </c>
      <c r="G1205" s="77" t="s">
        <v>181</v>
      </c>
      <c r="H1205" s="77" t="s">
        <v>153</v>
      </c>
      <c r="I1205" s="86">
        <v>41844</v>
      </c>
      <c r="J1205" s="78">
        <v>707</v>
      </c>
      <c r="K1205" s="132" t="s">
        <v>20</v>
      </c>
      <c r="L1205" s="132" t="s">
        <v>300</v>
      </c>
      <c r="M1205" s="132" t="s">
        <v>267</v>
      </c>
      <c r="N1205" s="133">
        <v>41912</v>
      </c>
      <c r="O1205" s="134">
        <v>290</v>
      </c>
      <c r="P1205" s="132" t="s">
        <v>151</v>
      </c>
      <c r="Q1205" s="132" t="s">
        <v>286</v>
      </c>
      <c r="R1205" s="132" t="s">
        <v>267</v>
      </c>
      <c r="S1205" s="133">
        <v>41782</v>
      </c>
      <c r="T1205" s="134">
        <v>301.60000000000002</v>
      </c>
      <c r="U1205" s="132" t="s">
        <v>154</v>
      </c>
      <c r="V1205" s="132" t="s">
        <v>166</v>
      </c>
      <c r="W1205" s="132" t="s">
        <v>153</v>
      </c>
      <c r="X1205" s="133">
        <v>41939</v>
      </c>
      <c r="Y1205" s="134">
        <v>1190</v>
      </c>
    </row>
    <row r="1206" spans="1:25" x14ac:dyDescent="0.25">
      <c r="A1206" s="92" t="s">
        <v>148</v>
      </c>
      <c r="B1206" s="12" t="s">
        <v>229</v>
      </c>
      <c r="C1206" s="12" t="s">
        <v>158</v>
      </c>
      <c r="D1206" s="80">
        <v>41754</v>
      </c>
      <c r="E1206" s="81">
        <v>725</v>
      </c>
      <c r="F1206" s="76" t="s">
        <v>150</v>
      </c>
      <c r="G1206" s="77" t="s">
        <v>181</v>
      </c>
      <c r="H1206" s="77" t="s">
        <v>153</v>
      </c>
      <c r="I1206" s="86">
        <v>41845</v>
      </c>
      <c r="J1206" s="78">
        <v>692</v>
      </c>
      <c r="K1206" s="132" t="s">
        <v>20</v>
      </c>
      <c r="L1206" s="132" t="s">
        <v>300</v>
      </c>
      <c r="M1206" s="132" t="s">
        <v>267</v>
      </c>
      <c r="N1206" s="133">
        <v>41915</v>
      </c>
      <c r="O1206" s="134">
        <v>515</v>
      </c>
      <c r="P1206" s="132" t="s">
        <v>151</v>
      </c>
      <c r="Q1206" s="132" t="s">
        <v>286</v>
      </c>
      <c r="R1206" s="132" t="s">
        <v>267</v>
      </c>
      <c r="S1206" s="133">
        <v>41786</v>
      </c>
      <c r="T1206" s="134">
        <v>432.4</v>
      </c>
      <c r="U1206" s="132" t="s">
        <v>154</v>
      </c>
      <c r="V1206" s="132" t="s">
        <v>166</v>
      </c>
      <c r="W1206" s="132" t="s">
        <v>153</v>
      </c>
      <c r="X1206" s="133">
        <v>41940</v>
      </c>
      <c r="Y1206" s="134">
        <v>1216</v>
      </c>
    </row>
    <row r="1207" spans="1:25" x14ac:dyDescent="0.25">
      <c r="A1207" s="92" t="s">
        <v>148</v>
      </c>
      <c r="B1207" s="12" t="s">
        <v>229</v>
      </c>
      <c r="C1207" s="12" t="s">
        <v>158</v>
      </c>
      <c r="D1207" s="80">
        <v>41755</v>
      </c>
      <c r="E1207" s="81">
        <v>675</v>
      </c>
      <c r="F1207" s="76" t="s">
        <v>150</v>
      </c>
      <c r="G1207" s="77" t="s">
        <v>181</v>
      </c>
      <c r="H1207" s="77" t="s">
        <v>153</v>
      </c>
      <c r="I1207" s="86">
        <v>41846</v>
      </c>
      <c r="J1207" s="78">
        <v>824</v>
      </c>
      <c r="K1207" s="132" t="s">
        <v>20</v>
      </c>
      <c r="L1207" s="132" t="s">
        <v>300</v>
      </c>
      <c r="M1207" s="132" t="s">
        <v>267</v>
      </c>
      <c r="N1207" s="133">
        <v>41921</v>
      </c>
      <c r="O1207" s="134">
        <v>279</v>
      </c>
      <c r="P1207" s="132" t="s">
        <v>151</v>
      </c>
      <c r="Q1207" s="132" t="s">
        <v>286</v>
      </c>
      <c r="R1207" s="132" t="s">
        <v>267</v>
      </c>
      <c r="S1207" s="133">
        <v>41787</v>
      </c>
      <c r="T1207" s="134">
        <v>379.7</v>
      </c>
      <c r="U1207" s="132" t="s">
        <v>154</v>
      </c>
      <c r="V1207" s="132" t="s">
        <v>166</v>
      </c>
      <c r="W1207" s="132" t="s">
        <v>153</v>
      </c>
      <c r="X1207" s="133">
        <v>41941</v>
      </c>
      <c r="Y1207" s="134">
        <v>1047</v>
      </c>
    </row>
    <row r="1208" spans="1:25" x14ac:dyDescent="0.25">
      <c r="A1208" s="92" t="s">
        <v>148</v>
      </c>
      <c r="B1208" s="12" t="s">
        <v>229</v>
      </c>
      <c r="C1208" s="12" t="s">
        <v>158</v>
      </c>
      <c r="D1208" s="80">
        <v>41756</v>
      </c>
      <c r="E1208" s="81">
        <v>710</v>
      </c>
      <c r="F1208" s="76" t="s">
        <v>150</v>
      </c>
      <c r="G1208" s="77" t="s">
        <v>181</v>
      </c>
      <c r="H1208" s="77" t="s">
        <v>153</v>
      </c>
      <c r="I1208" s="86">
        <v>41847</v>
      </c>
      <c r="J1208" s="78">
        <v>677</v>
      </c>
      <c r="K1208" s="132" t="s">
        <v>20</v>
      </c>
      <c r="L1208" s="132" t="s">
        <v>300</v>
      </c>
      <c r="M1208" s="132" t="s">
        <v>267</v>
      </c>
      <c r="N1208" s="133">
        <v>41925</v>
      </c>
      <c r="O1208" s="134">
        <v>520</v>
      </c>
      <c r="P1208" s="132" t="s">
        <v>151</v>
      </c>
      <c r="Q1208" s="132" t="s">
        <v>286</v>
      </c>
      <c r="R1208" s="132" t="s">
        <v>267</v>
      </c>
      <c r="S1208" s="133">
        <v>41828</v>
      </c>
      <c r="T1208" s="134">
        <v>831.2</v>
      </c>
      <c r="U1208" s="132" t="s">
        <v>154</v>
      </c>
      <c r="V1208" s="132" t="s">
        <v>166</v>
      </c>
      <c r="W1208" s="132" t="s">
        <v>153</v>
      </c>
      <c r="X1208" s="133">
        <v>41942</v>
      </c>
      <c r="Y1208" s="134">
        <v>927</v>
      </c>
    </row>
    <row r="1209" spans="1:25" x14ac:dyDescent="0.25">
      <c r="A1209" s="92" t="s">
        <v>148</v>
      </c>
      <c r="B1209" s="12" t="s">
        <v>229</v>
      </c>
      <c r="C1209" s="12" t="s">
        <v>158</v>
      </c>
      <c r="D1209" s="80">
        <v>41757</v>
      </c>
      <c r="E1209" s="81">
        <v>670</v>
      </c>
      <c r="F1209" s="76" t="s">
        <v>150</v>
      </c>
      <c r="G1209" s="77" t="s">
        <v>181</v>
      </c>
      <c r="H1209" s="77" t="s">
        <v>153</v>
      </c>
      <c r="I1209" s="86">
        <v>41848</v>
      </c>
      <c r="J1209" s="78">
        <v>700</v>
      </c>
      <c r="K1209" s="132" t="s">
        <v>20</v>
      </c>
      <c r="L1209" s="132" t="s">
        <v>300</v>
      </c>
      <c r="M1209" s="132" t="s">
        <v>267</v>
      </c>
      <c r="N1209" s="133">
        <v>41933</v>
      </c>
      <c r="O1209" s="134">
        <v>287</v>
      </c>
      <c r="P1209" s="132" t="s">
        <v>151</v>
      </c>
      <c r="Q1209" s="132" t="s">
        <v>286</v>
      </c>
      <c r="R1209" s="132" t="s">
        <v>267</v>
      </c>
      <c r="S1209" s="133">
        <v>41899</v>
      </c>
      <c r="T1209" s="134">
        <v>397</v>
      </c>
      <c r="U1209" s="132" t="s">
        <v>154</v>
      </c>
      <c r="V1209" s="132" t="s">
        <v>166</v>
      </c>
      <c r="W1209" s="132" t="s">
        <v>153</v>
      </c>
      <c r="X1209" s="133">
        <v>41943</v>
      </c>
      <c r="Y1209" s="134">
        <v>822</v>
      </c>
    </row>
    <row r="1210" spans="1:25" x14ac:dyDescent="0.25">
      <c r="A1210" s="92" t="s">
        <v>148</v>
      </c>
      <c r="B1210" s="12" t="s">
        <v>230</v>
      </c>
      <c r="C1210" s="12" t="s">
        <v>158</v>
      </c>
      <c r="D1210" s="80">
        <v>41736</v>
      </c>
      <c r="E1210" s="81">
        <v>810</v>
      </c>
      <c r="F1210" s="76" t="s">
        <v>150</v>
      </c>
      <c r="G1210" s="77" t="s">
        <v>181</v>
      </c>
      <c r="H1210" s="77" t="s">
        <v>153</v>
      </c>
      <c r="I1210" s="86">
        <v>41849</v>
      </c>
      <c r="J1210" s="78">
        <v>653</v>
      </c>
      <c r="K1210" s="132" t="s">
        <v>20</v>
      </c>
      <c r="L1210" s="132" t="s">
        <v>300</v>
      </c>
      <c r="M1210" s="132" t="s">
        <v>267</v>
      </c>
      <c r="N1210" s="133">
        <v>41948</v>
      </c>
      <c r="O1210" s="134">
        <v>872</v>
      </c>
      <c r="P1210" s="132" t="s">
        <v>151</v>
      </c>
      <c r="Q1210" s="132" t="s">
        <v>286</v>
      </c>
      <c r="R1210" s="132" t="s">
        <v>267</v>
      </c>
      <c r="S1210" s="133">
        <v>41904</v>
      </c>
      <c r="T1210" s="134">
        <v>943.3</v>
      </c>
      <c r="U1210" s="132" t="s">
        <v>154</v>
      </c>
      <c r="V1210" s="132" t="s">
        <v>166</v>
      </c>
      <c r="W1210" s="132" t="s">
        <v>153</v>
      </c>
      <c r="X1210" s="133">
        <v>41946</v>
      </c>
      <c r="Y1210" s="134">
        <v>768</v>
      </c>
    </row>
    <row r="1211" spans="1:25" x14ac:dyDescent="0.25">
      <c r="A1211" s="92" t="s">
        <v>148</v>
      </c>
      <c r="B1211" s="12" t="s">
        <v>230</v>
      </c>
      <c r="C1211" s="12" t="s">
        <v>158</v>
      </c>
      <c r="D1211" s="80">
        <v>41737</v>
      </c>
      <c r="E1211" s="81">
        <v>700</v>
      </c>
      <c r="F1211" s="76" t="s">
        <v>150</v>
      </c>
      <c r="G1211" s="77" t="s">
        <v>181</v>
      </c>
      <c r="H1211" s="77" t="s">
        <v>153</v>
      </c>
      <c r="I1211" s="86">
        <v>41850</v>
      </c>
      <c r="J1211" s="78">
        <v>705</v>
      </c>
      <c r="K1211" s="132" t="s">
        <v>20</v>
      </c>
      <c r="L1211" s="132" t="s">
        <v>300</v>
      </c>
      <c r="M1211" s="132" t="s">
        <v>267</v>
      </c>
      <c r="N1211" s="133">
        <v>41952</v>
      </c>
      <c r="O1211" s="134">
        <v>945</v>
      </c>
      <c r="P1211" s="132" t="s">
        <v>151</v>
      </c>
      <c r="Q1211" s="132" t="s">
        <v>286</v>
      </c>
      <c r="R1211" s="132" t="s">
        <v>267</v>
      </c>
      <c r="S1211" s="133">
        <v>41905</v>
      </c>
      <c r="T1211" s="134">
        <v>578.20000000000005</v>
      </c>
      <c r="U1211" s="132" t="s">
        <v>154</v>
      </c>
      <c r="V1211" s="132" t="s">
        <v>166</v>
      </c>
      <c r="W1211" s="132" t="s">
        <v>153</v>
      </c>
      <c r="X1211" s="133">
        <v>41947</v>
      </c>
      <c r="Y1211" s="134">
        <v>1170</v>
      </c>
    </row>
    <row r="1212" spans="1:25" x14ac:dyDescent="0.25">
      <c r="A1212" s="92" t="s">
        <v>148</v>
      </c>
      <c r="B1212" s="12" t="s">
        <v>230</v>
      </c>
      <c r="C1212" s="12" t="s">
        <v>158</v>
      </c>
      <c r="D1212" s="80">
        <v>41738</v>
      </c>
      <c r="E1212" s="81">
        <v>700</v>
      </c>
      <c r="F1212" s="76" t="s">
        <v>150</v>
      </c>
      <c r="G1212" s="77" t="s">
        <v>181</v>
      </c>
      <c r="H1212" s="77" t="s">
        <v>153</v>
      </c>
      <c r="I1212" s="86">
        <v>41851</v>
      </c>
      <c r="J1212" s="78">
        <v>720</v>
      </c>
      <c r="K1212" s="132" t="s">
        <v>20</v>
      </c>
      <c r="L1212" s="132" t="s">
        <v>300</v>
      </c>
      <c r="M1212" s="132" t="s">
        <v>267</v>
      </c>
      <c r="N1212" s="133">
        <v>41979</v>
      </c>
      <c r="O1212" s="134">
        <v>775</v>
      </c>
      <c r="P1212" s="132" t="s">
        <v>151</v>
      </c>
      <c r="Q1212" s="132" t="s">
        <v>286</v>
      </c>
      <c r="R1212" s="132" t="s">
        <v>267</v>
      </c>
      <c r="S1212" s="133">
        <v>41906</v>
      </c>
      <c r="T1212" s="134">
        <v>870.7</v>
      </c>
      <c r="U1212" s="132" t="s">
        <v>154</v>
      </c>
      <c r="V1212" s="132" t="s">
        <v>166</v>
      </c>
      <c r="W1212" s="132" t="s">
        <v>153</v>
      </c>
      <c r="X1212" s="133">
        <v>41948</v>
      </c>
      <c r="Y1212" s="134">
        <v>960</v>
      </c>
    </row>
    <row r="1213" spans="1:25" x14ac:dyDescent="0.25">
      <c r="A1213" s="92" t="s">
        <v>148</v>
      </c>
      <c r="B1213" s="12" t="s">
        <v>230</v>
      </c>
      <c r="C1213" s="12" t="s">
        <v>158</v>
      </c>
      <c r="D1213" s="80">
        <v>41739</v>
      </c>
      <c r="E1213" s="81">
        <v>690</v>
      </c>
      <c r="F1213" s="76" t="s">
        <v>150</v>
      </c>
      <c r="G1213" s="77" t="s">
        <v>181</v>
      </c>
      <c r="H1213" s="77" t="s">
        <v>153</v>
      </c>
      <c r="I1213" s="86">
        <v>41853</v>
      </c>
      <c r="J1213" s="78">
        <v>831</v>
      </c>
      <c r="K1213" s="132" t="s">
        <v>20</v>
      </c>
      <c r="L1213" s="132" t="s">
        <v>300</v>
      </c>
      <c r="M1213" s="132" t="s">
        <v>267</v>
      </c>
      <c r="N1213" s="133">
        <v>41980</v>
      </c>
      <c r="O1213" s="134">
        <v>360</v>
      </c>
      <c r="P1213" s="132" t="s">
        <v>151</v>
      </c>
      <c r="Q1213" s="132" t="s">
        <v>286</v>
      </c>
      <c r="R1213" s="132" t="s">
        <v>267</v>
      </c>
      <c r="S1213" s="133">
        <v>41992</v>
      </c>
      <c r="T1213" s="134">
        <v>1318.5</v>
      </c>
      <c r="U1213" s="132" t="s">
        <v>154</v>
      </c>
      <c r="V1213" s="132" t="s">
        <v>166</v>
      </c>
      <c r="W1213" s="132" t="s">
        <v>153</v>
      </c>
      <c r="X1213" s="133">
        <v>41949</v>
      </c>
      <c r="Y1213" s="134">
        <v>965</v>
      </c>
    </row>
    <row r="1214" spans="1:25" x14ac:dyDescent="0.25">
      <c r="A1214" s="92" t="s">
        <v>148</v>
      </c>
      <c r="B1214" s="12" t="s">
        <v>230</v>
      </c>
      <c r="C1214" s="12" t="s">
        <v>158</v>
      </c>
      <c r="D1214" s="80">
        <v>41740</v>
      </c>
      <c r="E1214" s="81">
        <v>740</v>
      </c>
      <c r="F1214" s="76" t="s">
        <v>150</v>
      </c>
      <c r="G1214" s="77" t="s">
        <v>181</v>
      </c>
      <c r="H1214" s="77" t="s">
        <v>153</v>
      </c>
      <c r="I1214" s="86">
        <v>41853</v>
      </c>
      <c r="J1214" s="78">
        <v>623</v>
      </c>
      <c r="K1214" s="132" t="s">
        <v>20</v>
      </c>
      <c r="L1214" s="132" t="s">
        <v>301</v>
      </c>
      <c r="M1214" s="132" t="s">
        <v>267</v>
      </c>
      <c r="N1214" s="133">
        <v>41732</v>
      </c>
      <c r="O1214" s="134">
        <v>329</v>
      </c>
      <c r="P1214" s="132" t="s">
        <v>151</v>
      </c>
      <c r="Q1214" s="132" t="s">
        <v>286</v>
      </c>
      <c r="R1214" s="132" t="s">
        <v>267</v>
      </c>
      <c r="S1214" s="133">
        <v>41996</v>
      </c>
      <c r="T1214" s="134">
        <v>464</v>
      </c>
      <c r="U1214" s="132" t="s">
        <v>154</v>
      </c>
      <c r="V1214" s="132" t="s">
        <v>166</v>
      </c>
      <c r="W1214" s="132" t="s">
        <v>153</v>
      </c>
      <c r="X1214" s="133">
        <v>41950</v>
      </c>
      <c r="Y1214" s="134">
        <v>1139</v>
      </c>
    </row>
    <row r="1215" spans="1:25" x14ac:dyDescent="0.25">
      <c r="A1215" s="92" t="s">
        <v>148</v>
      </c>
      <c r="B1215" s="12" t="s">
        <v>230</v>
      </c>
      <c r="C1215" s="12" t="s">
        <v>158</v>
      </c>
      <c r="D1215" s="80">
        <v>41741</v>
      </c>
      <c r="E1215" s="81">
        <v>763</v>
      </c>
      <c r="F1215" s="76" t="s">
        <v>150</v>
      </c>
      <c r="G1215" s="77" t="s">
        <v>181</v>
      </c>
      <c r="H1215" s="77" t="s">
        <v>153</v>
      </c>
      <c r="I1215" s="86">
        <v>41854</v>
      </c>
      <c r="J1215" s="78">
        <v>704</v>
      </c>
      <c r="K1215" s="132" t="s">
        <v>20</v>
      </c>
      <c r="L1215" s="132" t="s">
        <v>301</v>
      </c>
      <c r="M1215" s="132" t="s">
        <v>267</v>
      </c>
      <c r="N1215" s="133">
        <v>41744</v>
      </c>
      <c r="O1215" s="134">
        <v>346</v>
      </c>
      <c r="P1215" s="132" t="s">
        <v>151</v>
      </c>
      <c r="Q1215" s="132" t="s">
        <v>286</v>
      </c>
      <c r="R1215" s="132" t="s">
        <v>267</v>
      </c>
      <c r="S1215" s="133">
        <v>41999</v>
      </c>
      <c r="T1215" s="134">
        <v>459.7</v>
      </c>
      <c r="U1215" s="132" t="s">
        <v>154</v>
      </c>
      <c r="V1215" s="132" t="s">
        <v>166</v>
      </c>
      <c r="W1215" s="132" t="s">
        <v>153</v>
      </c>
      <c r="X1215" s="133">
        <v>41952</v>
      </c>
      <c r="Y1215" s="134">
        <v>200</v>
      </c>
    </row>
    <row r="1216" spans="1:25" x14ac:dyDescent="0.25">
      <c r="A1216" s="92" t="s">
        <v>148</v>
      </c>
      <c r="B1216" s="12" t="s">
        <v>230</v>
      </c>
      <c r="C1216" s="12" t="s">
        <v>158</v>
      </c>
      <c r="D1216" s="80">
        <v>41742</v>
      </c>
      <c r="E1216" s="81">
        <v>537</v>
      </c>
      <c r="F1216" s="76" t="s">
        <v>150</v>
      </c>
      <c r="G1216" s="77" t="s">
        <v>181</v>
      </c>
      <c r="H1216" s="77" t="s">
        <v>153</v>
      </c>
      <c r="I1216" s="86">
        <v>41855</v>
      </c>
      <c r="J1216" s="78">
        <v>680</v>
      </c>
      <c r="K1216" s="132" t="s">
        <v>20</v>
      </c>
      <c r="L1216" s="132" t="s">
        <v>301</v>
      </c>
      <c r="M1216" s="132" t="s">
        <v>267</v>
      </c>
      <c r="N1216" s="133">
        <v>41774</v>
      </c>
      <c r="O1216" s="134">
        <v>1315</v>
      </c>
      <c r="P1216" s="132" t="s">
        <v>151</v>
      </c>
      <c r="Q1216" s="132" t="s">
        <v>287</v>
      </c>
      <c r="R1216" s="132" t="s">
        <v>267</v>
      </c>
      <c r="S1216" s="133">
        <v>41736</v>
      </c>
      <c r="T1216" s="134">
        <v>527.70000000000005</v>
      </c>
      <c r="U1216" s="132" t="s">
        <v>154</v>
      </c>
      <c r="V1216" s="132" t="s">
        <v>166</v>
      </c>
      <c r="W1216" s="132" t="s">
        <v>153</v>
      </c>
      <c r="X1216" s="133">
        <v>41953</v>
      </c>
      <c r="Y1216" s="134">
        <v>547</v>
      </c>
    </row>
    <row r="1217" spans="1:25" x14ac:dyDescent="0.25">
      <c r="A1217" s="92" t="s">
        <v>148</v>
      </c>
      <c r="B1217" s="12" t="s">
        <v>230</v>
      </c>
      <c r="C1217" s="12" t="s">
        <v>158</v>
      </c>
      <c r="D1217" s="80">
        <v>41743</v>
      </c>
      <c r="E1217" s="81">
        <v>689</v>
      </c>
      <c r="F1217" s="76" t="s">
        <v>150</v>
      </c>
      <c r="G1217" s="77" t="s">
        <v>181</v>
      </c>
      <c r="H1217" s="77" t="s">
        <v>153</v>
      </c>
      <c r="I1217" s="86">
        <v>41856</v>
      </c>
      <c r="J1217" s="78">
        <v>770</v>
      </c>
      <c r="K1217" s="132" t="s">
        <v>20</v>
      </c>
      <c r="L1217" s="132" t="s">
        <v>301</v>
      </c>
      <c r="M1217" s="132" t="s">
        <v>267</v>
      </c>
      <c r="N1217" s="133">
        <v>41784</v>
      </c>
      <c r="O1217" s="134">
        <v>1268</v>
      </c>
      <c r="P1217" s="132" t="s">
        <v>151</v>
      </c>
      <c r="Q1217" s="132" t="s">
        <v>287</v>
      </c>
      <c r="R1217" s="132" t="s">
        <v>267</v>
      </c>
      <c r="S1217" s="133">
        <v>41738</v>
      </c>
      <c r="T1217" s="134">
        <v>1089.3</v>
      </c>
      <c r="U1217" s="132" t="s">
        <v>154</v>
      </c>
      <c r="V1217" s="132" t="s">
        <v>166</v>
      </c>
      <c r="W1217" s="132" t="s">
        <v>153</v>
      </c>
      <c r="X1217" s="133">
        <v>41954</v>
      </c>
      <c r="Y1217" s="134">
        <v>940</v>
      </c>
    </row>
    <row r="1218" spans="1:25" x14ac:dyDescent="0.25">
      <c r="A1218" s="92" t="s">
        <v>148</v>
      </c>
      <c r="B1218" s="12" t="s">
        <v>230</v>
      </c>
      <c r="C1218" s="12" t="s">
        <v>158</v>
      </c>
      <c r="D1218" s="80">
        <v>41744</v>
      </c>
      <c r="E1218" s="81">
        <v>780</v>
      </c>
      <c r="F1218" s="76" t="s">
        <v>150</v>
      </c>
      <c r="G1218" s="77" t="s">
        <v>181</v>
      </c>
      <c r="H1218" s="77" t="s">
        <v>153</v>
      </c>
      <c r="I1218" s="86">
        <v>41857</v>
      </c>
      <c r="J1218" s="78">
        <v>754</v>
      </c>
      <c r="K1218" s="132" t="s">
        <v>20</v>
      </c>
      <c r="L1218" s="132" t="s">
        <v>301</v>
      </c>
      <c r="M1218" s="132" t="s">
        <v>267</v>
      </c>
      <c r="N1218" s="133">
        <v>41871</v>
      </c>
      <c r="O1218" s="134">
        <v>309</v>
      </c>
      <c r="P1218" s="132" t="s">
        <v>151</v>
      </c>
      <c r="Q1218" s="132" t="s">
        <v>287</v>
      </c>
      <c r="R1218" s="132" t="s">
        <v>267</v>
      </c>
      <c r="S1218" s="133">
        <v>41739</v>
      </c>
      <c r="T1218" s="134">
        <v>363</v>
      </c>
      <c r="U1218" s="132" t="s">
        <v>154</v>
      </c>
      <c r="V1218" s="132" t="s">
        <v>189</v>
      </c>
      <c r="W1218" s="132" t="s">
        <v>153</v>
      </c>
      <c r="X1218" s="133">
        <v>41681</v>
      </c>
      <c r="Y1218" s="134">
        <v>567</v>
      </c>
    </row>
    <row r="1219" spans="1:25" x14ac:dyDescent="0.25">
      <c r="A1219" s="92" t="s">
        <v>148</v>
      </c>
      <c r="B1219" s="12" t="s">
        <v>230</v>
      </c>
      <c r="C1219" s="12" t="s">
        <v>158</v>
      </c>
      <c r="D1219" s="80">
        <v>41745</v>
      </c>
      <c r="E1219" s="81">
        <v>700</v>
      </c>
      <c r="F1219" s="76" t="s">
        <v>150</v>
      </c>
      <c r="G1219" s="77" t="s">
        <v>181</v>
      </c>
      <c r="H1219" s="77" t="s">
        <v>153</v>
      </c>
      <c r="I1219" s="86">
        <v>41858</v>
      </c>
      <c r="J1219" s="78">
        <v>703</v>
      </c>
      <c r="K1219" s="132" t="s">
        <v>20</v>
      </c>
      <c r="L1219" s="132" t="s">
        <v>301</v>
      </c>
      <c r="M1219" s="132" t="s">
        <v>267</v>
      </c>
      <c r="N1219" s="133">
        <v>41873</v>
      </c>
      <c r="O1219" s="134">
        <v>572</v>
      </c>
      <c r="P1219" s="132" t="s">
        <v>151</v>
      </c>
      <c r="Q1219" s="132" t="s">
        <v>287</v>
      </c>
      <c r="R1219" s="132" t="s">
        <v>267</v>
      </c>
      <c r="S1219" s="133">
        <v>41743</v>
      </c>
      <c r="T1219" s="134">
        <v>888.9</v>
      </c>
      <c r="U1219" s="132" t="s">
        <v>154</v>
      </c>
      <c r="V1219" s="132" t="s">
        <v>189</v>
      </c>
      <c r="W1219" s="132" t="s">
        <v>153</v>
      </c>
      <c r="X1219" s="133">
        <v>41684</v>
      </c>
      <c r="Y1219" s="134">
        <v>888</v>
      </c>
    </row>
    <row r="1220" spans="1:25" x14ac:dyDescent="0.25">
      <c r="A1220" s="92" t="s">
        <v>148</v>
      </c>
      <c r="B1220" s="12" t="s">
        <v>230</v>
      </c>
      <c r="C1220" s="12" t="s">
        <v>158</v>
      </c>
      <c r="D1220" s="80">
        <v>41746</v>
      </c>
      <c r="E1220" s="81">
        <v>674</v>
      </c>
      <c r="F1220" s="76" t="s">
        <v>150</v>
      </c>
      <c r="G1220" s="77" t="s">
        <v>181</v>
      </c>
      <c r="H1220" s="77" t="s">
        <v>153</v>
      </c>
      <c r="I1220" s="86">
        <v>41859</v>
      </c>
      <c r="J1220" s="78">
        <v>684</v>
      </c>
      <c r="K1220" s="132" t="s">
        <v>20</v>
      </c>
      <c r="L1220" s="132" t="s">
        <v>301</v>
      </c>
      <c r="M1220" s="132" t="s">
        <v>267</v>
      </c>
      <c r="N1220" s="133">
        <v>41879</v>
      </c>
      <c r="O1220" s="134">
        <v>305</v>
      </c>
      <c r="P1220" s="132" t="s">
        <v>151</v>
      </c>
      <c r="Q1220" s="132" t="s">
        <v>287</v>
      </c>
      <c r="R1220" s="132" t="s">
        <v>267</v>
      </c>
      <c r="S1220" s="133">
        <v>41744</v>
      </c>
      <c r="T1220" s="134">
        <v>652.5</v>
      </c>
      <c r="U1220" s="132" t="s">
        <v>154</v>
      </c>
      <c r="V1220" s="132" t="s">
        <v>189</v>
      </c>
      <c r="W1220" s="132" t="s">
        <v>153</v>
      </c>
      <c r="X1220" s="133">
        <v>41686</v>
      </c>
      <c r="Y1220" s="134">
        <v>656</v>
      </c>
    </row>
    <row r="1221" spans="1:25" x14ac:dyDescent="0.25">
      <c r="A1221" s="92" t="s">
        <v>148</v>
      </c>
      <c r="B1221" s="12" t="s">
        <v>230</v>
      </c>
      <c r="C1221" s="12" t="s">
        <v>158</v>
      </c>
      <c r="D1221" s="80">
        <v>41747</v>
      </c>
      <c r="E1221" s="81">
        <v>697</v>
      </c>
      <c r="F1221" s="76" t="s">
        <v>150</v>
      </c>
      <c r="G1221" s="77" t="s">
        <v>181</v>
      </c>
      <c r="H1221" s="77" t="s">
        <v>153</v>
      </c>
      <c r="I1221" s="86">
        <v>41860</v>
      </c>
      <c r="J1221" s="78">
        <v>788</v>
      </c>
      <c r="K1221" s="132" t="s">
        <v>20</v>
      </c>
      <c r="L1221" s="132" t="s">
        <v>301</v>
      </c>
      <c r="M1221" s="132" t="s">
        <v>267</v>
      </c>
      <c r="N1221" s="133">
        <v>41927</v>
      </c>
      <c r="O1221" s="134">
        <v>877</v>
      </c>
      <c r="P1221" s="132" t="s">
        <v>151</v>
      </c>
      <c r="Q1221" s="132" t="s">
        <v>287</v>
      </c>
      <c r="R1221" s="132" t="s">
        <v>267</v>
      </c>
      <c r="S1221" s="133">
        <v>41745</v>
      </c>
      <c r="T1221" s="134">
        <v>547.9</v>
      </c>
      <c r="U1221" s="132" t="s">
        <v>154</v>
      </c>
      <c r="V1221" s="132" t="s">
        <v>189</v>
      </c>
      <c r="W1221" s="132" t="s">
        <v>153</v>
      </c>
      <c r="X1221" s="133">
        <v>41686</v>
      </c>
      <c r="Y1221" s="134">
        <v>441</v>
      </c>
    </row>
    <row r="1222" spans="1:25" x14ac:dyDescent="0.25">
      <c r="A1222" s="92" t="s">
        <v>148</v>
      </c>
      <c r="B1222" s="12" t="s">
        <v>230</v>
      </c>
      <c r="C1222" s="12" t="s">
        <v>158</v>
      </c>
      <c r="D1222" s="80">
        <v>41748</v>
      </c>
      <c r="E1222" s="81">
        <v>426</v>
      </c>
      <c r="F1222" s="76" t="s">
        <v>150</v>
      </c>
      <c r="G1222" s="77" t="s">
        <v>181</v>
      </c>
      <c r="H1222" s="77" t="s">
        <v>153</v>
      </c>
      <c r="I1222" s="86">
        <v>41861</v>
      </c>
      <c r="J1222" s="78">
        <v>598</v>
      </c>
      <c r="K1222" s="132" t="s">
        <v>20</v>
      </c>
      <c r="L1222" s="132" t="s">
        <v>301</v>
      </c>
      <c r="M1222" s="132" t="s">
        <v>267</v>
      </c>
      <c r="N1222" s="133">
        <v>41927</v>
      </c>
      <c r="O1222" s="134">
        <v>13</v>
      </c>
      <c r="P1222" s="132" t="s">
        <v>151</v>
      </c>
      <c r="Q1222" s="132" t="s">
        <v>287</v>
      </c>
      <c r="R1222" s="132" t="s">
        <v>267</v>
      </c>
      <c r="S1222" s="133">
        <v>41746</v>
      </c>
      <c r="T1222" s="134">
        <v>806.9</v>
      </c>
      <c r="U1222" s="132" t="s">
        <v>154</v>
      </c>
      <c r="V1222" s="132" t="s">
        <v>189</v>
      </c>
      <c r="W1222" s="132" t="s">
        <v>153</v>
      </c>
      <c r="X1222" s="133">
        <v>41687</v>
      </c>
      <c r="Y1222" s="134">
        <v>1050</v>
      </c>
    </row>
    <row r="1223" spans="1:25" x14ac:dyDescent="0.25">
      <c r="A1223" s="92" t="s">
        <v>148</v>
      </c>
      <c r="B1223" s="12" t="s">
        <v>230</v>
      </c>
      <c r="C1223" s="12" t="s">
        <v>158</v>
      </c>
      <c r="D1223" s="80">
        <v>41749</v>
      </c>
      <c r="E1223" s="81">
        <v>700</v>
      </c>
      <c r="F1223" s="76" t="s">
        <v>150</v>
      </c>
      <c r="G1223" s="77" t="s">
        <v>181</v>
      </c>
      <c r="H1223" s="77" t="s">
        <v>153</v>
      </c>
      <c r="I1223" s="86">
        <v>41862</v>
      </c>
      <c r="J1223" s="78">
        <v>665</v>
      </c>
      <c r="K1223" s="132" t="s">
        <v>20</v>
      </c>
      <c r="L1223" s="132" t="s">
        <v>301</v>
      </c>
      <c r="M1223" s="132" t="s">
        <v>267</v>
      </c>
      <c r="N1223" s="133">
        <v>41929</v>
      </c>
      <c r="O1223" s="134">
        <v>285</v>
      </c>
      <c r="P1223" s="132" t="s">
        <v>151</v>
      </c>
      <c r="Q1223" s="132" t="s">
        <v>287</v>
      </c>
      <c r="R1223" s="132" t="s">
        <v>267</v>
      </c>
      <c r="S1223" s="133">
        <v>41747</v>
      </c>
      <c r="T1223" s="134">
        <v>832.4</v>
      </c>
      <c r="U1223" s="132" t="s">
        <v>154</v>
      </c>
      <c r="V1223" s="132" t="s">
        <v>189</v>
      </c>
      <c r="W1223" s="132" t="s">
        <v>153</v>
      </c>
      <c r="X1223" s="133">
        <v>41687</v>
      </c>
      <c r="Y1223" s="134">
        <v>384</v>
      </c>
    </row>
    <row r="1224" spans="1:25" x14ac:dyDescent="0.25">
      <c r="A1224" s="92" t="s">
        <v>148</v>
      </c>
      <c r="B1224" s="12" t="s">
        <v>230</v>
      </c>
      <c r="C1224" s="12" t="s">
        <v>158</v>
      </c>
      <c r="D1224" s="80">
        <v>41751</v>
      </c>
      <c r="E1224" s="81">
        <v>1010</v>
      </c>
      <c r="F1224" s="76" t="s">
        <v>150</v>
      </c>
      <c r="G1224" s="77" t="s">
        <v>181</v>
      </c>
      <c r="H1224" s="77" t="s">
        <v>153</v>
      </c>
      <c r="I1224" s="86">
        <v>41863</v>
      </c>
      <c r="J1224" s="78">
        <v>693</v>
      </c>
      <c r="K1224" s="132" t="s">
        <v>20</v>
      </c>
      <c r="L1224" s="132" t="s">
        <v>301</v>
      </c>
      <c r="M1224" s="132" t="s">
        <v>267</v>
      </c>
      <c r="N1224" s="133">
        <v>41935</v>
      </c>
      <c r="O1224" s="134">
        <v>843</v>
      </c>
      <c r="P1224" s="132" t="s">
        <v>151</v>
      </c>
      <c r="Q1224" s="132" t="s">
        <v>287</v>
      </c>
      <c r="R1224" s="132" t="s">
        <v>267</v>
      </c>
      <c r="S1224" s="133">
        <v>41752</v>
      </c>
      <c r="T1224" s="134">
        <v>1065.0999999999999</v>
      </c>
      <c r="U1224" s="132" t="s">
        <v>154</v>
      </c>
      <c r="V1224" s="132" t="s">
        <v>189</v>
      </c>
      <c r="W1224" s="132" t="s">
        <v>153</v>
      </c>
      <c r="X1224" s="133">
        <v>41688</v>
      </c>
      <c r="Y1224" s="134">
        <v>1100</v>
      </c>
    </row>
    <row r="1225" spans="1:25" x14ac:dyDescent="0.25">
      <c r="A1225" s="92" t="s">
        <v>148</v>
      </c>
      <c r="B1225" s="12" t="s">
        <v>230</v>
      </c>
      <c r="C1225" s="12" t="s">
        <v>158</v>
      </c>
      <c r="D1225" s="80">
        <v>41752</v>
      </c>
      <c r="E1225" s="81">
        <v>1000</v>
      </c>
      <c r="F1225" s="76" t="s">
        <v>150</v>
      </c>
      <c r="G1225" s="77" t="s">
        <v>181</v>
      </c>
      <c r="H1225" s="77" t="s">
        <v>153</v>
      </c>
      <c r="I1225" s="86">
        <v>41864</v>
      </c>
      <c r="J1225" s="78">
        <v>919</v>
      </c>
      <c r="K1225" s="132" t="s">
        <v>20</v>
      </c>
      <c r="L1225" s="132" t="s">
        <v>301</v>
      </c>
      <c r="M1225" s="132" t="s">
        <v>267</v>
      </c>
      <c r="N1225" s="133">
        <v>41941</v>
      </c>
      <c r="O1225" s="134">
        <v>279</v>
      </c>
      <c r="P1225" s="132" t="s">
        <v>151</v>
      </c>
      <c r="Q1225" s="132" t="s">
        <v>287</v>
      </c>
      <c r="R1225" s="132" t="s">
        <v>267</v>
      </c>
      <c r="S1225" s="133">
        <v>41753</v>
      </c>
      <c r="T1225" s="134">
        <v>788.4</v>
      </c>
      <c r="U1225" s="132" t="s">
        <v>154</v>
      </c>
      <c r="V1225" s="132" t="s">
        <v>189</v>
      </c>
      <c r="W1225" s="132" t="s">
        <v>153</v>
      </c>
      <c r="X1225" s="133">
        <v>41689</v>
      </c>
      <c r="Y1225" s="134">
        <v>1131</v>
      </c>
    </row>
    <row r="1226" spans="1:25" x14ac:dyDescent="0.25">
      <c r="A1226" s="92" t="s">
        <v>148</v>
      </c>
      <c r="B1226" s="12" t="s">
        <v>230</v>
      </c>
      <c r="C1226" s="12" t="s">
        <v>158</v>
      </c>
      <c r="D1226" s="80">
        <v>41754</v>
      </c>
      <c r="E1226" s="81">
        <v>915</v>
      </c>
      <c r="F1226" s="76" t="s">
        <v>150</v>
      </c>
      <c r="G1226" s="77" t="s">
        <v>181</v>
      </c>
      <c r="H1226" s="77" t="s">
        <v>153</v>
      </c>
      <c r="I1226" s="86">
        <v>41865</v>
      </c>
      <c r="J1226" s="78">
        <v>646</v>
      </c>
      <c r="K1226" s="132" t="s">
        <v>20</v>
      </c>
      <c r="L1226" s="132" t="s">
        <v>301</v>
      </c>
      <c r="M1226" s="132" t="s">
        <v>267</v>
      </c>
      <c r="N1226" s="133">
        <v>41943</v>
      </c>
      <c r="O1226" s="134">
        <v>468</v>
      </c>
      <c r="P1226" s="132" t="s">
        <v>151</v>
      </c>
      <c r="Q1226" s="132" t="s">
        <v>287</v>
      </c>
      <c r="R1226" s="132" t="s">
        <v>267</v>
      </c>
      <c r="S1226" s="133">
        <v>41759</v>
      </c>
      <c r="T1226" s="134">
        <v>598.6</v>
      </c>
      <c r="U1226" s="132" t="s">
        <v>154</v>
      </c>
      <c r="V1226" s="132" t="s">
        <v>189</v>
      </c>
      <c r="W1226" s="132" t="s">
        <v>153</v>
      </c>
      <c r="X1226" s="133">
        <v>41690</v>
      </c>
      <c r="Y1226" s="134">
        <v>879</v>
      </c>
    </row>
    <row r="1227" spans="1:25" x14ac:dyDescent="0.25">
      <c r="A1227" s="92" t="s">
        <v>148</v>
      </c>
      <c r="B1227" s="12" t="s">
        <v>230</v>
      </c>
      <c r="C1227" s="12" t="s">
        <v>158</v>
      </c>
      <c r="D1227" s="80">
        <v>41755</v>
      </c>
      <c r="E1227" s="81">
        <v>478</v>
      </c>
      <c r="F1227" s="76" t="s">
        <v>150</v>
      </c>
      <c r="G1227" s="77" t="s">
        <v>181</v>
      </c>
      <c r="H1227" s="77" t="s">
        <v>153</v>
      </c>
      <c r="I1227" s="86">
        <v>41866</v>
      </c>
      <c r="J1227" s="78">
        <v>674</v>
      </c>
      <c r="K1227" s="132" t="s">
        <v>20</v>
      </c>
      <c r="L1227" s="132" t="s">
        <v>301</v>
      </c>
      <c r="M1227" s="132" t="s">
        <v>267</v>
      </c>
      <c r="N1227" s="133">
        <v>41947</v>
      </c>
      <c r="O1227" s="134">
        <v>517</v>
      </c>
      <c r="P1227" s="132" t="s">
        <v>151</v>
      </c>
      <c r="Q1227" s="132" t="s">
        <v>287</v>
      </c>
      <c r="R1227" s="132" t="s">
        <v>267</v>
      </c>
      <c r="S1227" s="133">
        <v>41760</v>
      </c>
      <c r="T1227" s="134">
        <v>443.4</v>
      </c>
      <c r="U1227" s="132" t="s">
        <v>154</v>
      </c>
      <c r="V1227" s="132" t="s">
        <v>189</v>
      </c>
      <c r="W1227" s="132" t="s">
        <v>153</v>
      </c>
      <c r="X1227" s="133">
        <v>41691</v>
      </c>
      <c r="Y1227" s="134">
        <v>752</v>
      </c>
    </row>
    <row r="1228" spans="1:25" x14ac:dyDescent="0.25">
      <c r="A1228" s="92" t="s">
        <v>148</v>
      </c>
      <c r="B1228" s="12" t="s">
        <v>230</v>
      </c>
      <c r="C1228" s="12" t="s">
        <v>158</v>
      </c>
      <c r="D1228" s="80">
        <v>41756</v>
      </c>
      <c r="E1228" s="81">
        <v>489</v>
      </c>
      <c r="F1228" s="76" t="s">
        <v>150</v>
      </c>
      <c r="G1228" s="77" t="s">
        <v>181</v>
      </c>
      <c r="H1228" s="77" t="s">
        <v>153</v>
      </c>
      <c r="I1228" s="86">
        <v>41867</v>
      </c>
      <c r="J1228" s="78">
        <v>789</v>
      </c>
      <c r="K1228" s="132" t="s">
        <v>20</v>
      </c>
      <c r="L1228" s="132" t="s">
        <v>301</v>
      </c>
      <c r="M1228" s="132" t="s">
        <v>267</v>
      </c>
      <c r="N1228" s="133">
        <v>41950</v>
      </c>
      <c r="O1228" s="134">
        <v>256</v>
      </c>
      <c r="P1228" s="132" t="s">
        <v>151</v>
      </c>
      <c r="Q1228" s="132" t="s">
        <v>287</v>
      </c>
      <c r="R1228" s="132" t="s">
        <v>267</v>
      </c>
      <c r="S1228" s="133">
        <v>41773</v>
      </c>
      <c r="T1228" s="134">
        <v>904.4</v>
      </c>
      <c r="U1228" s="132" t="s">
        <v>154</v>
      </c>
      <c r="V1228" s="132" t="s">
        <v>189</v>
      </c>
      <c r="W1228" s="132" t="s">
        <v>153</v>
      </c>
      <c r="X1228" s="133">
        <v>41691</v>
      </c>
      <c r="Y1228" s="134">
        <v>320</v>
      </c>
    </row>
    <row r="1229" spans="1:25" x14ac:dyDescent="0.25">
      <c r="A1229" s="92" t="s">
        <v>148</v>
      </c>
      <c r="B1229" s="12" t="s">
        <v>230</v>
      </c>
      <c r="C1229" s="12" t="s">
        <v>158</v>
      </c>
      <c r="D1229" s="80">
        <v>41757</v>
      </c>
      <c r="E1229" s="81">
        <v>737</v>
      </c>
      <c r="F1229" s="76" t="s">
        <v>150</v>
      </c>
      <c r="G1229" s="77" t="s">
        <v>181</v>
      </c>
      <c r="H1229" s="77" t="s">
        <v>153</v>
      </c>
      <c r="I1229" s="86">
        <v>41868</v>
      </c>
      <c r="J1229" s="78">
        <v>686</v>
      </c>
      <c r="K1229" s="132" t="s">
        <v>20</v>
      </c>
      <c r="L1229" s="132" t="s">
        <v>301</v>
      </c>
      <c r="M1229" s="132" t="s">
        <v>267</v>
      </c>
      <c r="N1229" s="133">
        <v>41954</v>
      </c>
      <c r="O1229" s="134">
        <v>262</v>
      </c>
      <c r="P1229" s="132" t="s">
        <v>151</v>
      </c>
      <c r="Q1229" s="132" t="s">
        <v>287</v>
      </c>
      <c r="R1229" s="132" t="s">
        <v>267</v>
      </c>
      <c r="S1229" s="133">
        <v>41774</v>
      </c>
      <c r="T1229" s="134">
        <v>967.4</v>
      </c>
      <c r="U1229" s="132" t="s">
        <v>154</v>
      </c>
      <c r="V1229" s="132" t="s">
        <v>189</v>
      </c>
      <c r="W1229" s="132" t="s">
        <v>153</v>
      </c>
      <c r="X1229" s="133">
        <v>41694</v>
      </c>
      <c r="Y1229" s="134">
        <v>548</v>
      </c>
    </row>
    <row r="1230" spans="1:25" x14ac:dyDescent="0.25">
      <c r="A1230" s="92" t="s">
        <v>148</v>
      </c>
      <c r="B1230" s="12" t="s">
        <v>230</v>
      </c>
      <c r="C1230" s="12" t="s">
        <v>158</v>
      </c>
      <c r="D1230" s="80">
        <v>41758</v>
      </c>
      <c r="E1230" s="81">
        <v>700</v>
      </c>
      <c r="F1230" s="76" t="s">
        <v>150</v>
      </c>
      <c r="G1230" s="77" t="s">
        <v>181</v>
      </c>
      <c r="H1230" s="77" t="s">
        <v>153</v>
      </c>
      <c r="I1230" s="86">
        <v>41869</v>
      </c>
      <c r="J1230" s="78">
        <v>707</v>
      </c>
      <c r="K1230" s="132" t="s">
        <v>20</v>
      </c>
      <c r="L1230" s="132" t="s">
        <v>301</v>
      </c>
      <c r="M1230" s="132" t="s">
        <v>267</v>
      </c>
      <c r="N1230" s="133">
        <v>41955</v>
      </c>
      <c r="O1230" s="134">
        <v>583</v>
      </c>
      <c r="P1230" s="132" t="s">
        <v>151</v>
      </c>
      <c r="Q1230" s="132" t="s">
        <v>287</v>
      </c>
      <c r="R1230" s="132" t="s">
        <v>267</v>
      </c>
      <c r="S1230" s="133">
        <v>41775</v>
      </c>
      <c r="T1230" s="134">
        <v>884.8</v>
      </c>
      <c r="U1230" s="132" t="s">
        <v>154</v>
      </c>
      <c r="V1230" s="132" t="s">
        <v>189</v>
      </c>
      <c r="W1230" s="132" t="s">
        <v>153</v>
      </c>
      <c r="X1230" s="133">
        <v>41695</v>
      </c>
      <c r="Y1230" s="134">
        <v>950</v>
      </c>
    </row>
    <row r="1231" spans="1:25" x14ac:dyDescent="0.25">
      <c r="A1231" s="92" t="s">
        <v>148</v>
      </c>
      <c r="B1231" s="12" t="s">
        <v>230</v>
      </c>
      <c r="C1231" s="12" t="s">
        <v>158</v>
      </c>
      <c r="D1231" s="80">
        <v>41759</v>
      </c>
      <c r="E1231" s="81">
        <v>700</v>
      </c>
      <c r="F1231" s="76" t="s">
        <v>150</v>
      </c>
      <c r="G1231" s="77" t="s">
        <v>181</v>
      </c>
      <c r="H1231" s="77" t="s">
        <v>153</v>
      </c>
      <c r="I1231" s="86">
        <v>41870</v>
      </c>
      <c r="J1231" s="78">
        <v>313</v>
      </c>
      <c r="K1231" s="132" t="s">
        <v>20</v>
      </c>
      <c r="L1231" s="132" t="s">
        <v>301</v>
      </c>
      <c r="M1231" s="132" t="s">
        <v>267</v>
      </c>
      <c r="N1231" s="133">
        <v>41960</v>
      </c>
      <c r="O1231" s="134">
        <v>478</v>
      </c>
      <c r="P1231" s="132" t="s">
        <v>151</v>
      </c>
      <c r="Q1231" s="132" t="s">
        <v>287</v>
      </c>
      <c r="R1231" s="132" t="s">
        <v>267</v>
      </c>
      <c r="S1231" s="133">
        <v>41814</v>
      </c>
      <c r="T1231" s="134">
        <v>459.8</v>
      </c>
      <c r="U1231" s="132" t="s">
        <v>154</v>
      </c>
      <c r="V1231" s="132" t="s">
        <v>189</v>
      </c>
      <c r="W1231" s="132" t="s">
        <v>153</v>
      </c>
      <c r="X1231" s="133">
        <v>41696</v>
      </c>
      <c r="Y1231" s="134">
        <v>617</v>
      </c>
    </row>
    <row r="1232" spans="1:25" x14ac:dyDescent="0.25">
      <c r="A1232" s="92" t="s">
        <v>148</v>
      </c>
      <c r="B1232" s="12" t="s">
        <v>230</v>
      </c>
      <c r="C1232" s="12" t="s">
        <v>158</v>
      </c>
      <c r="D1232" s="80">
        <v>41760</v>
      </c>
      <c r="E1232" s="81">
        <v>719</v>
      </c>
      <c r="F1232" s="76" t="s">
        <v>150</v>
      </c>
      <c r="G1232" s="77" t="s">
        <v>181</v>
      </c>
      <c r="H1232" s="77" t="s">
        <v>153</v>
      </c>
      <c r="I1232" s="86">
        <v>41872</v>
      </c>
      <c r="J1232" s="78">
        <v>796</v>
      </c>
      <c r="K1232" s="132" t="s">
        <v>20</v>
      </c>
      <c r="L1232" s="132" t="s">
        <v>301</v>
      </c>
      <c r="M1232" s="132" t="s">
        <v>267</v>
      </c>
      <c r="N1232" s="133">
        <v>41962</v>
      </c>
      <c r="O1232" s="134">
        <v>501</v>
      </c>
      <c r="P1232" s="132" t="s">
        <v>151</v>
      </c>
      <c r="Q1232" s="132" t="s">
        <v>287</v>
      </c>
      <c r="R1232" s="132" t="s">
        <v>267</v>
      </c>
      <c r="S1232" s="133">
        <v>41815</v>
      </c>
      <c r="T1232" s="134">
        <v>944.3</v>
      </c>
      <c r="U1232" s="132" t="s">
        <v>154</v>
      </c>
      <c r="V1232" s="132" t="s">
        <v>189</v>
      </c>
      <c r="W1232" s="132" t="s">
        <v>153</v>
      </c>
      <c r="X1232" s="133">
        <v>41696</v>
      </c>
      <c r="Y1232" s="134">
        <v>400</v>
      </c>
    </row>
    <row r="1233" spans="1:25" x14ac:dyDescent="0.25">
      <c r="A1233" s="92" t="s">
        <v>148</v>
      </c>
      <c r="B1233" s="12" t="s">
        <v>230</v>
      </c>
      <c r="C1233" s="12" t="s">
        <v>158</v>
      </c>
      <c r="D1233" s="80">
        <v>41761</v>
      </c>
      <c r="E1233" s="81">
        <v>736</v>
      </c>
      <c r="F1233" s="76" t="s">
        <v>150</v>
      </c>
      <c r="G1233" s="77" t="s">
        <v>181</v>
      </c>
      <c r="H1233" s="77" t="s">
        <v>153</v>
      </c>
      <c r="I1233" s="86">
        <v>41874</v>
      </c>
      <c r="J1233" s="78">
        <v>744</v>
      </c>
      <c r="K1233" s="132" t="s">
        <v>20</v>
      </c>
      <c r="L1233" s="132" t="s">
        <v>301</v>
      </c>
      <c r="M1233" s="132" t="s">
        <v>267</v>
      </c>
      <c r="N1233" s="133">
        <v>41963</v>
      </c>
      <c r="O1233" s="134">
        <v>178</v>
      </c>
      <c r="P1233" s="132" t="s">
        <v>151</v>
      </c>
      <c r="Q1233" s="132" t="s">
        <v>287</v>
      </c>
      <c r="R1233" s="132" t="s">
        <v>267</v>
      </c>
      <c r="S1233" s="133">
        <v>41816</v>
      </c>
      <c r="T1233" s="134">
        <v>924.3</v>
      </c>
      <c r="U1233" s="132" t="s">
        <v>154</v>
      </c>
      <c r="V1233" s="132" t="s">
        <v>189</v>
      </c>
      <c r="W1233" s="132" t="s">
        <v>153</v>
      </c>
      <c r="X1233" s="133">
        <v>41697</v>
      </c>
      <c r="Y1233" s="134">
        <v>1212</v>
      </c>
    </row>
    <row r="1234" spans="1:25" x14ac:dyDescent="0.25">
      <c r="A1234" s="92" t="s">
        <v>148</v>
      </c>
      <c r="B1234" s="12" t="s">
        <v>230</v>
      </c>
      <c r="C1234" s="12" t="s">
        <v>158</v>
      </c>
      <c r="D1234" s="80">
        <v>41762</v>
      </c>
      <c r="E1234" s="81">
        <v>463</v>
      </c>
      <c r="F1234" s="76" t="s">
        <v>150</v>
      </c>
      <c r="G1234" s="77" t="s">
        <v>181</v>
      </c>
      <c r="H1234" s="77" t="s">
        <v>153</v>
      </c>
      <c r="I1234" s="86">
        <v>41875</v>
      </c>
      <c r="J1234" s="78">
        <v>1096</v>
      </c>
      <c r="K1234" s="132" t="s">
        <v>20</v>
      </c>
      <c r="L1234" s="132" t="s">
        <v>302</v>
      </c>
      <c r="M1234" s="132" t="s">
        <v>267</v>
      </c>
      <c r="N1234" s="133">
        <v>41652</v>
      </c>
      <c r="O1234" s="134">
        <v>1352</v>
      </c>
      <c r="P1234" s="132" t="s">
        <v>151</v>
      </c>
      <c r="Q1234" s="132" t="s">
        <v>287</v>
      </c>
      <c r="R1234" s="132" t="s">
        <v>267</v>
      </c>
      <c r="S1234" s="133">
        <v>41817</v>
      </c>
      <c r="T1234" s="134">
        <v>890.7</v>
      </c>
      <c r="U1234" s="132" t="s">
        <v>154</v>
      </c>
      <c r="V1234" s="132" t="s">
        <v>189</v>
      </c>
      <c r="W1234" s="132" t="s">
        <v>153</v>
      </c>
      <c r="X1234" s="133">
        <v>41698</v>
      </c>
      <c r="Y1234" s="134">
        <v>930</v>
      </c>
    </row>
    <row r="1235" spans="1:25" x14ac:dyDescent="0.25">
      <c r="A1235" s="92" t="s">
        <v>148</v>
      </c>
      <c r="B1235" s="12" t="s">
        <v>230</v>
      </c>
      <c r="C1235" s="12" t="s">
        <v>158</v>
      </c>
      <c r="D1235" s="80">
        <v>41763</v>
      </c>
      <c r="E1235" s="81">
        <v>474</v>
      </c>
      <c r="F1235" s="76" t="s">
        <v>150</v>
      </c>
      <c r="G1235" s="77" t="s">
        <v>181</v>
      </c>
      <c r="H1235" s="77" t="s">
        <v>153</v>
      </c>
      <c r="I1235" s="86">
        <v>41877</v>
      </c>
      <c r="J1235" s="78">
        <v>748</v>
      </c>
      <c r="K1235" s="132" t="s">
        <v>20</v>
      </c>
      <c r="L1235" s="132" t="s">
        <v>302</v>
      </c>
      <c r="M1235" s="132" t="s">
        <v>267</v>
      </c>
      <c r="N1235" s="133">
        <v>41681</v>
      </c>
      <c r="O1235" s="134">
        <v>1519</v>
      </c>
      <c r="P1235" s="132" t="s">
        <v>151</v>
      </c>
      <c r="Q1235" s="132" t="s">
        <v>287</v>
      </c>
      <c r="R1235" s="132" t="s">
        <v>267</v>
      </c>
      <c r="S1235" s="133">
        <v>41820</v>
      </c>
      <c r="T1235" s="134">
        <v>928.7</v>
      </c>
      <c r="U1235" s="132" t="s">
        <v>154</v>
      </c>
      <c r="V1235" s="132" t="s">
        <v>189</v>
      </c>
      <c r="W1235" s="132" t="s">
        <v>153</v>
      </c>
      <c r="X1235" s="133">
        <v>41779</v>
      </c>
      <c r="Y1235" s="134">
        <v>328</v>
      </c>
    </row>
    <row r="1236" spans="1:25" x14ac:dyDescent="0.25">
      <c r="A1236" s="92" t="s">
        <v>148</v>
      </c>
      <c r="B1236" s="12" t="s">
        <v>230</v>
      </c>
      <c r="C1236" s="12" t="s">
        <v>158</v>
      </c>
      <c r="D1236" s="80">
        <v>41765</v>
      </c>
      <c r="E1236" s="81">
        <v>720</v>
      </c>
      <c r="F1236" s="76" t="s">
        <v>150</v>
      </c>
      <c r="G1236" s="77" t="s">
        <v>181</v>
      </c>
      <c r="H1236" s="77" t="s">
        <v>153</v>
      </c>
      <c r="I1236" s="86">
        <v>41904</v>
      </c>
      <c r="J1236" s="78">
        <v>638</v>
      </c>
      <c r="K1236" s="132" t="s">
        <v>20</v>
      </c>
      <c r="L1236" s="132" t="s">
        <v>302</v>
      </c>
      <c r="M1236" s="132" t="s">
        <v>267</v>
      </c>
      <c r="N1236" s="133">
        <v>41682</v>
      </c>
      <c r="O1236" s="134">
        <v>273</v>
      </c>
      <c r="P1236" s="132" t="s">
        <v>151</v>
      </c>
      <c r="Q1236" s="132" t="s">
        <v>287</v>
      </c>
      <c r="R1236" s="132" t="s">
        <v>267</v>
      </c>
      <c r="S1236" s="133">
        <v>41957</v>
      </c>
      <c r="T1236" s="134">
        <v>637.70000000000005</v>
      </c>
      <c r="U1236" s="132" t="s">
        <v>154</v>
      </c>
      <c r="V1236" s="132" t="s">
        <v>189</v>
      </c>
      <c r="W1236" s="132" t="s">
        <v>153</v>
      </c>
      <c r="X1236" s="133">
        <v>41780</v>
      </c>
      <c r="Y1236" s="134">
        <v>800</v>
      </c>
    </row>
    <row r="1237" spans="1:25" x14ac:dyDescent="0.25">
      <c r="A1237" s="92" t="s">
        <v>148</v>
      </c>
      <c r="B1237" s="12" t="s">
        <v>230</v>
      </c>
      <c r="C1237" s="12" t="s">
        <v>158</v>
      </c>
      <c r="D1237" s="80">
        <v>41766</v>
      </c>
      <c r="E1237" s="81">
        <v>720</v>
      </c>
      <c r="F1237" s="76" t="s">
        <v>150</v>
      </c>
      <c r="G1237" s="77" t="s">
        <v>181</v>
      </c>
      <c r="H1237" s="77" t="s">
        <v>153</v>
      </c>
      <c r="I1237" s="86">
        <v>41906</v>
      </c>
      <c r="J1237" s="78">
        <v>1164</v>
      </c>
      <c r="K1237" s="132" t="s">
        <v>20</v>
      </c>
      <c r="L1237" s="132" t="s">
        <v>302</v>
      </c>
      <c r="M1237" s="132" t="s">
        <v>267</v>
      </c>
      <c r="N1237" s="133">
        <v>41708</v>
      </c>
      <c r="O1237" s="134">
        <v>1328</v>
      </c>
      <c r="P1237" s="132" t="s">
        <v>151</v>
      </c>
      <c r="Q1237" s="132" t="s">
        <v>287</v>
      </c>
      <c r="R1237" s="132" t="s">
        <v>267</v>
      </c>
      <c r="S1237" s="133">
        <v>41960</v>
      </c>
      <c r="T1237" s="134">
        <v>595.5</v>
      </c>
      <c r="U1237" s="132" t="s">
        <v>154</v>
      </c>
      <c r="V1237" s="132" t="s">
        <v>189</v>
      </c>
      <c r="W1237" s="132" t="s">
        <v>153</v>
      </c>
      <c r="X1237" s="133">
        <v>41781</v>
      </c>
      <c r="Y1237" s="134">
        <v>870</v>
      </c>
    </row>
    <row r="1238" spans="1:25" x14ac:dyDescent="0.25">
      <c r="A1238" s="92" t="s">
        <v>148</v>
      </c>
      <c r="B1238" s="12" t="s">
        <v>230</v>
      </c>
      <c r="C1238" s="12" t="s">
        <v>158</v>
      </c>
      <c r="D1238" s="80">
        <v>41767</v>
      </c>
      <c r="E1238" s="81">
        <v>720</v>
      </c>
      <c r="F1238" s="76" t="s">
        <v>150</v>
      </c>
      <c r="G1238" s="77" t="s">
        <v>181</v>
      </c>
      <c r="H1238" s="77" t="s">
        <v>153</v>
      </c>
      <c r="I1238" s="86">
        <v>41907</v>
      </c>
      <c r="J1238" s="78">
        <v>514</v>
      </c>
      <c r="K1238" s="132" t="s">
        <v>20</v>
      </c>
      <c r="L1238" s="132" t="s">
        <v>302</v>
      </c>
      <c r="M1238" s="132" t="s">
        <v>267</v>
      </c>
      <c r="N1238" s="133">
        <v>41791</v>
      </c>
      <c r="O1238" s="134">
        <v>1046</v>
      </c>
      <c r="P1238" s="132" t="s">
        <v>151</v>
      </c>
      <c r="Q1238" s="132" t="s">
        <v>287</v>
      </c>
      <c r="R1238" s="132" t="s">
        <v>267</v>
      </c>
      <c r="S1238" s="133">
        <v>41961</v>
      </c>
      <c r="T1238" s="134">
        <v>764.6</v>
      </c>
      <c r="U1238" s="132" t="s">
        <v>154</v>
      </c>
      <c r="V1238" s="132" t="s">
        <v>189</v>
      </c>
      <c r="W1238" s="132" t="s">
        <v>153</v>
      </c>
      <c r="X1238" s="133">
        <v>41783</v>
      </c>
      <c r="Y1238" s="134">
        <v>431</v>
      </c>
    </row>
    <row r="1239" spans="1:25" x14ac:dyDescent="0.25">
      <c r="A1239" s="92" t="s">
        <v>148</v>
      </c>
      <c r="B1239" s="12" t="s">
        <v>230</v>
      </c>
      <c r="C1239" s="12" t="s">
        <v>158</v>
      </c>
      <c r="D1239" s="80">
        <v>41768</v>
      </c>
      <c r="E1239" s="81">
        <v>752</v>
      </c>
      <c r="F1239" s="76" t="s">
        <v>150</v>
      </c>
      <c r="G1239" s="77" t="s">
        <v>181</v>
      </c>
      <c r="H1239" s="77" t="s">
        <v>153</v>
      </c>
      <c r="I1239" s="86">
        <v>41909</v>
      </c>
      <c r="J1239" s="78">
        <v>214</v>
      </c>
      <c r="K1239" s="132" t="s">
        <v>20</v>
      </c>
      <c r="L1239" s="132" t="s">
        <v>302</v>
      </c>
      <c r="M1239" s="132" t="s">
        <v>267</v>
      </c>
      <c r="N1239" s="133">
        <v>41794</v>
      </c>
      <c r="O1239" s="134">
        <v>498</v>
      </c>
      <c r="P1239" s="132" t="s">
        <v>151</v>
      </c>
      <c r="Q1239" s="132" t="s">
        <v>287</v>
      </c>
      <c r="R1239" s="132" t="s">
        <v>267</v>
      </c>
      <c r="S1239" s="133">
        <v>41962</v>
      </c>
      <c r="T1239" s="134">
        <v>597.1</v>
      </c>
      <c r="U1239" s="132" t="s">
        <v>154</v>
      </c>
      <c r="V1239" s="132" t="s">
        <v>189</v>
      </c>
      <c r="W1239" s="132" t="s">
        <v>153</v>
      </c>
      <c r="X1239" s="133">
        <v>41784</v>
      </c>
      <c r="Y1239" s="134">
        <v>703</v>
      </c>
    </row>
    <row r="1240" spans="1:25" x14ac:dyDescent="0.25">
      <c r="A1240" s="92" t="s">
        <v>148</v>
      </c>
      <c r="B1240" s="12" t="s">
        <v>230</v>
      </c>
      <c r="C1240" s="12" t="s">
        <v>158</v>
      </c>
      <c r="D1240" s="80">
        <v>41769</v>
      </c>
      <c r="E1240" s="81">
        <v>575</v>
      </c>
      <c r="F1240" s="76" t="s">
        <v>150</v>
      </c>
      <c r="G1240" s="77" t="s">
        <v>181</v>
      </c>
      <c r="H1240" s="77" t="s">
        <v>153</v>
      </c>
      <c r="I1240" s="86">
        <v>41954</v>
      </c>
      <c r="J1240" s="78">
        <v>1019</v>
      </c>
      <c r="K1240" s="132" t="s">
        <v>20</v>
      </c>
      <c r="L1240" s="132" t="s">
        <v>302</v>
      </c>
      <c r="M1240" s="132" t="s">
        <v>267</v>
      </c>
      <c r="N1240" s="133">
        <v>41803</v>
      </c>
      <c r="O1240" s="134">
        <v>225</v>
      </c>
      <c r="P1240" s="132" t="s">
        <v>151</v>
      </c>
      <c r="Q1240" s="132" t="s">
        <v>287</v>
      </c>
      <c r="R1240" s="132" t="s">
        <v>267</v>
      </c>
      <c r="S1240" s="133">
        <v>41963</v>
      </c>
      <c r="T1240" s="134">
        <v>775.9</v>
      </c>
      <c r="U1240" s="132" t="s">
        <v>154</v>
      </c>
      <c r="V1240" s="132" t="s">
        <v>189</v>
      </c>
      <c r="W1240" s="132" t="s">
        <v>153</v>
      </c>
      <c r="X1240" s="133">
        <v>41784</v>
      </c>
      <c r="Y1240" s="134">
        <v>486</v>
      </c>
    </row>
    <row r="1241" spans="1:25" x14ac:dyDescent="0.25">
      <c r="A1241" s="92" t="s">
        <v>148</v>
      </c>
      <c r="B1241" s="12" t="s">
        <v>230</v>
      </c>
      <c r="C1241" s="12" t="s">
        <v>158</v>
      </c>
      <c r="D1241" s="80">
        <v>41771</v>
      </c>
      <c r="E1241" s="81">
        <v>1016</v>
      </c>
      <c r="F1241" s="76" t="s">
        <v>150</v>
      </c>
      <c r="G1241" s="77" t="s">
        <v>181</v>
      </c>
      <c r="H1241" s="77" t="s">
        <v>153</v>
      </c>
      <c r="I1241" s="86">
        <v>41955</v>
      </c>
      <c r="J1241" s="78">
        <v>1137</v>
      </c>
      <c r="K1241" s="132" t="s">
        <v>20</v>
      </c>
      <c r="L1241" s="132" t="s">
        <v>302</v>
      </c>
      <c r="M1241" s="132" t="s">
        <v>267</v>
      </c>
      <c r="N1241" s="133">
        <v>41816</v>
      </c>
      <c r="O1241" s="134">
        <v>379</v>
      </c>
      <c r="P1241" s="132" t="s">
        <v>151</v>
      </c>
      <c r="Q1241" s="132" t="s">
        <v>287</v>
      </c>
      <c r="R1241" s="132" t="s">
        <v>267</v>
      </c>
      <c r="S1241" s="133">
        <v>41964</v>
      </c>
      <c r="T1241" s="134">
        <v>550.9</v>
      </c>
      <c r="U1241" s="132" t="s">
        <v>154</v>
      </c>
      <c r="V1241" s="132" t="s">
        <v>189</v>
      </c>
      <c r="W1241" s="132" t="s">
        <v>153</v>
      </c>
      <c r="X1241" s="133">
        <v>41784</v>
      </c>
      <c r="Y1241" s="134">
        <v>283</v>
      </c>
    </row>
    <row r="1242" spans="1:25" x14ac:dyDescent="0.25">
      <c r="A1242" s="92" t="s">
        <v>148</v>
      </c>
      <c r="B1242" s="12" t="s">
        <v>230</v>
      </c>
      <c r="C1242" s="12" t="s">
        <v>158</v>
      </c>
      <c r="D1242" s="80">
        <v>41771</v>
      </c>
      <c r="E1242" s="81">
        <v>670</v>
      </c>
      <c r="F1242" s="76" t="s">
        <v>150</v>
      </c>
      <c r="G1242" s="77" t="s">
        <v>181</v>
      </c>
      <c r="H1242" s="77" t="s">
        <v>153</v>
      </c>
      <c r="I1242" s="86">
        <v>41955</v>
      </c>
      <c r="J1242" s="78">
        <v>991</v>
      </c>
      <c r="K1242" s="132" t="s">
        <v>20</v>
      </c>
      <c r="L1242" s="132" t="s">
        <v>302</v>
      </c>
      <c r="M1242" s="132" t="s">
        <v>267</v>
      </c>
      <c r="N1242" s="133">
        <v>41827</v>
      </c>
      <c r="O1242" s="134">
        <v>605</v>
      </c>
      <c r="P1242" s="132" t="s">
        <v>151</v>
      </c>
      <c r="Q1242" s="132" t="s">
        <v>287</v>
      </c>
      <c r="R1242" s="132" t="s">
        <v>267</v>
      </c>
      <c r="S1242" s="133">
        <v>41967</v>
      </c>
      <c r="T1242" s="134">
        <v>571.79999999999995</v>
      </c>
      <c r="U1242" s="132" t="s">
        <v>154</v>
      </c>
      <c r="V1242" s="132" t="s">
        <v>189</v>
      </c>
      <c r="W1242" s="132" t="s">
        <v>153</v>
      </c>
      <c r="X1242" s="133">
        <v>41786</v>
      </c>
      <c r="Y1242" s="134">
        <v>1101</v>
      </c>
    </row>
    <row r="1243" spans="1:25" x14ac:dyDescent="0.25">
      <c r="A1243" s="92" t="s">
        <v>148</v>
      </c>
      <c r="B1243" s="12" t="s">
        <v>230</v>
      </c>
      <c r="C1243" s="12" t="s">
        <v>158</v>
      </c>
      <c r="D1243" s="80">
        <v>41772</v>
      </c>
      <c r="E1243" s="81">
        <v>775</v>
      </c>
      <c r="F1243" s="76" t="s">
        <v>150</v>
      </c>
      <c r="G1243" s="77" t="s">
        <v>181</v>
      </c>
      <c r="H1243" s="77" t="s">
        <v>153</v>
      </c>
      <c r="I1243" s="86">
        <v>41956</v>
      </c>
      <c r="J1243" s="78">
        <v>1053</v>
      </c>
      <c r="K1243" s="132" t="s">
        <v>20</v>
      </c>
      <c r="L1243" s="132" t="s">
        <v>302</v>
      </c>
      <c r="M1243" s="132" t="s">
        <v>267</v>
      </c>
      <c r="N1243" s="133">
        <v>41858</v>
      </c>
      <c r="O1243" s="134">
        <v>631</v>
      </c>
      <c r="P1243" s="132" t="s">
        <v>151</v>
      </c>
      <c r="Q1243" s="132" t="s">
        <v>287</v>
      </c>
      <c r="R1243" s="132" t="s">
        <v>267</v>
      </c>
      <c r="S1243" s="133">
        <v>41968</v>
      </c>
      <c r="T1243" s="134">
        <v>658.1</v>
      </c>
      <c r="U1243" s="132" t="s">
        <v>154</v>
      </c>
      <c r="V1243" s="132" t="s">
        <v>189</v>
      </c>
      <c r="W1243" s="132" t="s">
        <v>153</v>
      </c>
      <c r="X1243" s="133">
        <v>41787</v>
      </c>
      <c r="Y1243" s="134">
        <v>691</v>
      </c>
    </row>
    <row r="1244" spans="1:25" x14ac:dyDescent="0.25">
      <c r="A1244" s="92" t="s">
        <v>148</v>
      </c>
      <c r="B1244" s="12" t="s">
        <v>230</v>
      </c>
      <c r="C1244" s="12" t="s">
        <v>158</v>
      </c>
      <c r="D1244" s="80">
        <v>41773</v>
      </c>
      <c r="E1244" s="81">
        <v>710</v>
      </c>
      <c r="F1244" s="76" t="s">
        <v>150</v>
      </c>
      <c r="G1244" s="77" t="s">
        <v>181</v>
      </c>
      <c r="H1244" s="77" t="s">
        <v>153</v>
      </c>
      <c r="I1244" s="86">
        <v>41957</v>
      </c>
      <c r="J1244" s="78">
        <v>746</v>
      </c>
      <c r="K1244" s="132" t="s">
        <v>20</v>
      </c>
      <c r="L1244" s="132" t="s">
        <v>302</v>
      </c>
      <c r="M1244" s="132" t="s">
        <v>267</v>
      </c>
      <c r="N1244" s="133">
        <v>41930</v>
      </c>
      <c r="O1244" s="134">
        <v>469</v>
      </c>
      <c r="P1244" s="132" t="s">
        <v>151</v>
      </c>
      <c r="Q1244" s="132" t="s">
        <v>287</v>
      </c>
      <c r="R1244" s="132" t="s">
        <v>267</v>
      </c>
      <c r="S1244" s="133">
        <v>41969</v>
      </c>
      <c r="T1244" s="134">
        <v>749.3</v>
      </c>
      <c r="U1244" s="132" t="s">
        <v>154</v>
      </c>
      <c r="V1244" s="132" t="s">
        <v>189</v>
      </c>
      <c r="W1244" s="132" t="s">
        <v>153</v>
      </c>
      <c r="X1244" s="133">
        <v>41788</v>
      </c>
      <c r="Y1244" s="134">
        <v>778</v>
      </c>
    </row>
    <row r="1245" spans="1:25" x14ac:dyDescent="0.25">
      <c r="A1245" s="92" t="s">
        <v>148</v>
      </c>
      <c r="B1245" s="12" t="s">
        <v>230</v>
      </c>
      <c r="C1245" s="12" t="s">
        <v>158</v>
      </c>
      <c r="D1245" s="80">
        <v>41774</v>
      </c>
      <c r="E1245" s="81">
        <v>760</v>
      </c>
      <c r="F1245" s="76" t="s">
        <v>150</v>
      </c>
      <c r="G1245" s="77" t="s">
        <v>181</v>
      </c>
      <c r="H1245" s="77" t="s">
        <v>153</v>
      </c>
      <c r="I1245" s="86">
        <v>41961</v>
      </c>
      <c r="J1245" s="78">
        <v>734</v>
      </c>
      <c r="K1245" s="132" t="s">
        <v>20</v>
      </c>
      <c r="L1245" s="132" t="s">
        <v>303</v>
      </c>
      <c r="M1245" s="132" t="s">
        <v>267</v>
      </c>
      <c r="N1245" s="133">
        <v>41653</v>
      </c>
      <c r="O1245" s="134">
        <v>682</v>
      </c>
      <c r="P1245" s="132" t="s">
        <v>151</v>
      </c>
      <c r="Q1245" s="132" t="s">
        <v>287</v>
      </c>
      <c r="R1245" s="132" t="s">
        <v>267</v>
      </c>
      <c r="S1245" s="133">
        <v>41991</v>
      </c>
      <c r="T1245" s="134">
        <v>653.79999999999995</v>
      </c>
      <c r="U1245" s="132" t="s">
        <v>154</v>
      </c>
      <c r="V1245" s="132" t="s">
        <v>189</v>
      </c>
      <c r="W1245" s="132" t="s">
        <v>153</v>
      </c>
      <c r="X1245" s="133">
        <v>41789</v>
      </c>
      <c r="Y1245" s="134">
        <v>960</v>
      </c>
    </row>
    <row r="1246" spans="1:25" x14ac:dyDescent="0.25">
      <c r="A1246" s="92" t="s">
        <v>148</v>
      </c>
      <c r="B1246" s="12" t="s">
        <v>230</v>
      </c>
      <c r="C1246" s="12" t="s">
        <v>158</v>
      </c>
      <c r="D1246" s="80">
        <v>41775</v>
      </c>
      <c r="E1246" s="81">
        <v>790</v>
      </c>
      <c r="F1246" s="76" t="s">
        <v>150</v>
      </c>
      <c r="G1246" s="77" t="s">
        <v>181</v>
      </c>
      <c r="H1246" s="77" t="s">
        <v>153</v>
      </c>
      <c r="I1246" s="86">
        <v>41961</v>
      </c>
      <c r="J1246" s="78">
        <v>1025</v>
      </c>
      <c r="K1246" s="132" t="s">
        <v>20</v>
      </c>
      <c r="L1246" s="132" t="s">
        <v>303</v>
      </c>
      <c r="M1246" s="132" t="s">
        <v>267</v>
      </c>
      <c r="N1246" s="133">
        <v>41711</v>
      </c>
      <c r="O1246" s="134">
        <v>1023</v>
      </c>
      <c r="P1246" s="132" t="s">
        <v>151</v>
      </c>
      <c r="Q1246" s="132" t="s">
        <v>287</v>
      </c>
      <c r="R1246" s="132" t="s">
        <v>267</v>
      </c>
      <c r="S1246" s="133">
        <v>41995</v>
      </c>
      <c r="T1246" s="134">
        <v>632.6</v>
      </c>
      <c r="U1246" s="132" t="s">
        <v>154</v>
      </c>
      <c r="V1246" s="132" t="s">
        <v>189</v>
      </c>
      <c r="W1246" s="132" t="s">
        <v>153</v>
      </c>
      <c r="X1246" s="133">
        <v>41790</v>
      </c>
      <c r="Y1246" s="134">
        <v>421</v>
      </c>
    </row>
    <row r="1247" spans="1:25" x14ac:dyDescent="0.25">
      <c r="A1247" s="92" t="s">
        <v>148</v>
      </c>
      <c r="B1247" s="12" t="s">
        <v>230</v>
      </c>
      <c r="C1247" s="12" t="s">
        <v>158</v>
      </c>
      <c r="D1247" s="80">
        <v>41777</v>
      </c>
      <c r="E1247" s="81">
        <v>1175</v>
      </c>
      <c r="F1247" s="76" t="s">
        <v>150</v>
      </c>
      <c r="G1247" s="77" t="s">
        <v>181</v>
      </c>
      <c r="H1247" s="77" t="s">
        <v>153</v>
      </c>
      <c r="I1247" s="86">
        <v>41963</v>
      </c>
      <c r="J1247" s="78">
        <v>1072</v>
      </c>
      <c r="K1247" s="132" t="s">
        <v>20</v>
      </c>
      <c r="L1247" s="132" t="s">
        <v>303</v>
      </c>
      <c r="M1247" s="132" t="s">
        <v>267</v>
      </c>
      <c r="N1247" s="133">
        <v>41746</v>
      </c>
      <c r="O1247" s="134">
        <v>138</v>
      </c>
      <c r="P1247" s="132" t="s">
        <v>151</v>
      </c>
      <c r="Q1247" s="132" t="s">
        <v>287</v>
      </c>
      <c r="R1247" s="132" t="s">
        <v>267</v>
      </c>
      <c r="S1247" s="133">
        <v>41997</v>
      </c>
      <c r="T1247" s="134">
        <v>404.7</v>
      </c>
      <c r="U1247" s="132" t="s">
        <v>154</v>
      </c>
      <c r="V1247" s="132" t="s">
        <v>189</v>
      </c>
      <c r="W1247" s="132" t="s">
        <v>153</v>
      </c>
      <c r="X1247" s="133">
        <v>41790</v>
      </c>
      <c r="Y1247" s="134">
        <v>509</v>
      </c>
    </row>
    <row r="1248" spans="1:25" x14ac:dyDescent="0.25">
      <c r="A1248" s="92" t="s">
        <v>148</v>
      </c>
      <c r="B1248" s="12" t="s">
        <v>230</v>
      </c>
      <c r="C1248" s="12" t="s">
        <v>158</v>
      </c>
      <c r="D1248" s="80">
        <v>41778</v>
      </c>
      <c r="E1248" s="81">
        <v>750</v>
      </c>
      <c r="F1248" s="76" t="s">
        <v>150</v>
      </c>
      <c r="G1248" s="77" t="s">
        <v>181</v>
      </c>
      <c r="H1248" s="77" t="s">
        <v>153</v>
      </c>
      <c r="I1248" s="86">
        <v>41963</v>
      </c>
      <c r="J1248" s="78">
        <v>1043</v>
      </c>
      <c r="K1248" s="132" t="s">
        <v>20</v>
      </c>
      <c r="L1248" s="132" t="s">
        <v>303</v>
      </c>
      <c r="M1248" s="132" t="s">
        <v>267</v>
      </c>
      <c r="N1248" s="133">
        <v>41756</v>
      </c>
      <c r="O1248" s="134">
        <v>1038</v>
      </c>
      <c r="P1248" s="132" t="s">
        <v>151</v>
      </c>
      <c r="Q1248" s="132" t="s">
        <v>287</v>
      </c>
      <c r="R1248" s="132" t="s">
        <v>267</v>
      </c>
      <c r="S1248" s="133">
        <v>42002</v>
      </c>
      <c r="T1248" s="134">
        <v>496</v>
      </c>
      <c r="U1248" s="132" t="s">
        <v>154</v>
      </c>
      <c r="V1248" s="132" t="s">
        <v>189</v>
      </c>
      <c r="W1248" s="132" t="s">
        <v>153</v>
      </c>
      <c r="X1248" s="133">
        <v>41792</v>
      </c>
      <c r="Y1248" s="134">
        <v>501</v>
      </c>
    </row>
    <row r="1249" spans="1:25" x14ac:dyDescent="0.25">
      <c r="A1249" s="92" t="s">
        <v>148</v>
      </c>
      <c r="B1249" s="12" t="s">
        <v>230</v>
      </c>
      <c r="C1249" s="12" t="s">
        <v>158</v>
      </c>
      <c r="D1249" s="80">
        <v>41779</v>
      </c>
      <c r="E1249" s="81">
        <v>690</v>
      </c>
      <c r="F1249" s="76" t="s">
        <v>150</v>
      </c>
      <c r="G1249" s="77" t="s">
        <v>181</v>
      </c>
      <c r="H1249" s="77" t="s">
        <v>153</v>
      </c>
      <c r="I1249" s="86">
        <v>41964</v>
      </c>
      <c r="J1249" s="78">
        <v>740</v>
      </c>
      <c r="K1249" s="132" t="s">
        <v>20</v>
      </c>
      <c r="L1249" s="132" t="s">
        <v>303</v>
      </c>
      <c r="M1249" s="132" t="s">
        <v>267</v>
      </c>
      <c r="N1249" s="133">
        <v>41757</v>
      </c>
      <c r="O1249" s="134">
        <v>658</v>
      </c>
      <c r="P1249" s="132" t="s">
        <v>151</v>
      </c>
      <c r="Q1249" s="132" t="s">
        <v>288</v>
      </c>
      <c r="R1249" s="132" t="s">
        <v>267</v>
      </c>
      <c r="S1249" s="133">
        <v>41788</v>
      </c>
      <c r="T1249" s="134">
        <v>638.20000000000005</v>
      </c>
      <c r="U1249" s="132" t="s">
        <v>154</v>
      </c>
      <c r="V1249" s="132" t="s">
        <v>189</v>
      </c>
      <c r="W1249" s="132" t="s">
        <v>153</v>
      </c>
      <c r="X1249" s="133">
        <v>41793</v>
      </c>
      <c r="Y1249" s="134">
        <v>375</v>
      </c>
    </row>
    <row r="1250" spans="1:25" x14ac:dyDescent="0.25">
      <c r="A1250" s="92" t="s">
        <v>148</v>
      </c>
      <c r="B1250" s="12" t="s">
        <v>230</v>
      </c>
      <c r="C1250" s="12" t="s">
        <v>158</v>
      </c>
      <c r="D1250" s="80">
        <v>41780</v>
      </c>
      <c r="E1250" s="81">
        <v>670</v>
      </c>
      <c r="F1250" s="76" t="s">
        <v>150</v>
      </c>
      <c r="G1250" s="77" t="s">
        <v>181</v>
      </c>
      <c r="H1250" s="77" t="s">
        <v>153</v>
      </c>
      <c r="I1250" s="86">
        <v>41968</v>
      </c>
      <c r="J1250" s="78">
        <v>841</v>
      </c>
      <c r="K1250" s="132" t="s">
        <v>20</v>
      </c>
      <c r="L1250" s="132" t="s">
        <v>303</v>
      </c>
      <c r="M1250" s="132" t="s">
        <v>267</v>
      </c>
      <c r="N1250" s="133">
        <v>41830</v>
      </c>
      <c r="O1250" s="134">
        <v>894</v>
      </c>
      <c r="P1250" s="132" t="s">
        <v>151</v>
      </c>
      <c r="Q1250" s="132" t="s">
        <v>288</v>
      </c>
      <c r="R1250" s="132" t="s">
        <v>267</v>
      </c>
      <c r="S1250" s="133">
        <v>41789</v>
      </c>
      <c r="T1250" s="134">
        <v>478.2</v>
      </c>
      <c r="U1250" s="132" t="s">
        <v>154</v>
      </c>
      <c r="V1250" s="132" t="s">
        <v>189</v>
      </c>
      <c r="W1250" s="132" t="s">
        <v>153</v>
      </c>
      <c r="X1250" s="133">
        <v>41794</v>
      </c>
      <c r="Y1250" s="134">
        <v>551</v>
      </c>
    </row>
    <row r="1251" spans="1:25" x14ac:dyDescent="0.25">
      <c r="A1251" s="92" t="s">
        <v>148</v>
      </c>
      <c r="B1251" s="12" t="s">
        <v>230</v>
      </c>
      <c r="C1251" s="12" t="s">
        <v>158</v>
      </c>
      <c r="D1251" s="80">
        <v>41781</v>
      </c>
      <c r="E1251" s="81">
        <v>700</v>
      </c>
      <c r="F1251" s="76" t="s">
        <v>150</v>
      </c>
      <c r="G1251" s="77" t="s">
        <v>181</v>
      </c>
      <c r="H1251" s="77" t="s">
        <v>153</v>
      </c>
      <c r="I1251" s="86">
        <v>41968</v>
      </c>
      <c r="J1251" s="78">
        <v>1111</v>
      </c>
      <c r="K1251" s="132" t="s">
        <v>20</v>
      </c>
      <c r="L1251" s="132" t="s">
        <v>303</v>
      </c>
      <c r="M1251" s="132" t="s">
        <v>267</v>
      </c>
      <c r="N1251" s="133">
        <v>41834</v>
      </c>
      <c r="O1251" s="134">
        <v>502</v>
      </c>
      <c r="P1251" s="132" t="s">
        <v>151</v>
      </c>
      <c r="Q1251" s="132" t="s">
        <v>288</v>
      </c>
      <c r="R1251" s="132" t="s">
        <v>267</v>
      </c>
      <c r="S1251" s="133">
        <v>41820</v>
      </c>
      <c r="T1251" s="134">
        <v>113.5</v>
      </c>
      <c r="U1251" s="132" t="s">
        <v>154</v>
      </c>
      <c r="V1251" s="132" t="s">
        <v>189</v>
      </c>
      <c r="W1251" s="132" t="s">
        <v>153</v>
      </c>
      <c r="X1251" s="133">
        <v>41795</v>
      </c>
      <c r="Y1251" s="134">
        <v>850</v>
      </c>
    </row>
    <row r="1252" spans="1:25" x14ac:dyDescent="0.25">
      <c r="A1252" s="92" t="s">
        <v>148</v>
      </c>
      <c r="B1252" s="12" t="s">
        <v>230</v>
      </c>
      <c r="C1252" s="12" t="s">
        <v>158</v>
      </c>
      <c r="D1252" s="80">
        <v>41786</v>
      </c>
      <c r="E1252" s="81">
        <v>1430</v>
      </c>
      <c r="F1252" s="76" t="s">
        <v>150</v>
      </c>
      <c r="G1252" s="77" t="s">
        <v>181</v>
      </c>
      <c r="H1252" s="77" t="s">
        <v>153</v>
      </c>
      <c r="I1252" s="86">
        <v>41969</v>
      </c>
      <c r="J1252" s="78">
        <v>1113</v>
      </c>
      <c r="K1252" s="132" t="s">
        <v>20</v>
      </c>
      <c r="L1252" s="132" t="s">
        <v>303</v>
      </c>
      <c r="M1252" s="132" t="s">
        <v>267</v>
      </c>
      <c r="N1252" s="133">
        <v>41859</v>
      </c>
      <c r="O1252" s="134">
        <v>375</v>
      </c>
      <c r="P1252" s="132" t="s">
        <v>151</v>
      </c>
      <c r="Q1252" s="132" t="s">
        <v>288</v>
      </c>
      <c r="R1252" s="132" t="s">
        <v>267</v>
      </c>
      <c r="S1252" s="133">
        <v>41821</v>
      </c>
      <c r="T1252" s="134">
        <v>1009.8</v>
      </c>
      <c r="U1252" s="132" t="s">
        <v>154</v>
      </c>
      <c r="V1252" s="132" t="s">
        <v>189</v>
      </c>
      <c r="W1252" s="132" t="s">
        <v>153</v>
      </c>
      <c r="X1252" s="133">
        <v>41796</v>
      </c>
      <c r="Y1252" s="134">
        <v>654</v>
      </c>
    </row>
    <row r="1253" spans="1:25" x14ac:dyDescent="0.25">
      <c r="A1253" s="92" t="s">
        <v>148</v>
      </c>
      <c r="B1253" s="12" t="s">
        <v>230</v>
      </c>
      <c r="C1253" s="12" t="s">
        <v>158</v>
      </c>
      <c r="D1253" s="80">
        <v>41787</v>
      </c>
      <c r="E1253" s="81">
        <v>810</v>
      </c>
      <c r="F1253" s="76" t="s">
        <v>150</v>
      </c>
      <c r="G1253" s="77" t="s">
        <v>181</v>
      </c>
      <c r="H1253" s="77" t="s">
        <v>153</v>
      </c>
      <c r="I1253" s="86">
        <v>41970</v>
      </c>
      <c r="J1253" s="78">
        <v>441</v>
      </c>
      <c r="K1253" s="132" t="s">
        <v>20</v>
      </c>
      <c r="L1253" s="132" t="s">
        <v>303</v>
      </c>
      <c r="M1253" s="132" t="s">
        <v>267</v>
      </c>
      <c r="N1253" s="133">
        <v>41864</v>
      </c>
      <c r="O1253" s="134">
        <v>464</v>
      </c>
      <c r="P1253" s="132" t="s">
        <v>151</v>
      </c>
      <c r="Q1253" s="132" t="s">
        <v>288</v>
      </c>
      <c r="R1253" s="132" t="s">
        <v>267</v>
      </c>
      <c r="S1253" s="133">
        <v>41822</v>
      </c>
      <c r="T1253" s="134">
        <v>1001.2</v>
      </c>
      <c r="U1253" s="132" t="s">
        <v>154</v>
      </c>
      <c r="V1253" s="132" t="s">
        <v>189</v>
      </c>
      <c r="W1253" s="132" t="s">
        <v>153</v>
      </c>
      <c r="X1253" s="133">
        <v>41797</v>
      </c>
      <c r="Y1253" s="134">
        <v>832</v>
      </c>
    </row>
    <row r="1254" spans="1:25" x14ac:dyDescent="0.25">
      <c r="A1254" s="92" t="s">
        <v>148</v>
      </c>
      <c r="B1254" s="12" t="s">
        <v>231</v>
      </c>
      <c r="C1254" s="12" t="s">
        <v>158</v>
      </c>
      <c r="D1254" s="80">
        <v>41975</v>
      </c>
      <c r="E1254" s="81">
        <v>1530</v>
      </c>
      <c r="F1254" s="76" t="s">
        <v>150</v>
      </c>
      <c r="G1254" s="77" t="s">
        <v>181</v>
      </c>
      <c r="H1254" s="77" t="s">
        <v>153</v>
      </c>
      <c r="I1254" s="86">
        <v>41970</v>
      </c>
      <c r="J1254" s="78">
        <v>445</v>
      </c>
      <c r="K1254" s="132" t="s">
        <v>20</v>
      </c>
      <c r="L1254" s="132" t="s">
        <v>304</v>
      </c>
      <c r="M1254" s="132" t="s">
        <v>267</v>
      </c>
      <c r="N1254" s="133">
        <v>41682</v>
      </c>
      <c r="O1254" s="134">
        <v>664</v>
      </c>
      <c r="P1254" s="132" t="s">
        <v>151</v>
      </c>
      <c r="Q1254" s="132" t="s">
        <v>288</v>
      </c>
      <c r="R1254" s="132" t="s">
        <v>267</v>
      </c>
      <c r="S1254" s="133">
        <v>41828</v>
      </c>
      <c r="T1254" s="134">
        <v>625.20000000000005</v>
      </c>
      <c r="U1254" s="132" t="s">
        <v>154</v>
      </c>
      <c r="V1254" s="132" t="s">
        <v>189</v>
      </c>
      <c r="W1254" s="132" t="s">
        <v>153</v>
      </c>
      <c r="X1254" s="133">
        <v>41798</v>
      </c>
      <c r="Y1254" s="134">
        <v>430</v>
      </c>
    </row>
    <row r="1255" spans="1:25" x14ac:dyDescent="0.25">
      <c r="A1255" s="92" t="s">
        <v>148</v>
      </c>
      <c r="B1255" s="12" t="s">
        <v>232</v>
      </c>
      <c r="C1255" s="12" t="s">
        <v>158</v>
      </c>
      <c r="D1255" s="80">
        <v>41632</v>
      </c>
      <c r="E1255" s="81">
        <v>740</v>
      </c>
      <c r="F1255" s="76" t="s">
        <v>150</v>
      </c>
      <c r="G1255" s="77" t="s">
        <v>181</v>
      </c>
      <c r="H1255" s="77" t="s">
        <v>153</v>
      </c>
      <c r="I1255" s="86">
        <v>41971</v>
      </c>
      <c r="J1255" s="78">
        <v>782</v>
      </c>
      <c r="K1255" s="132" t="s">
        <v>20</v>
      </c>
      <c r="L1255" s="132" t="s">
        <v>304</v>
      </c>
      <c r="M1255" s="132" t="s">
        <v>267</v>
      </c>
      <c r="N1255" s="133">
        <v>41702</v>
      </c>
      <c r="O1255" s="134">
        <v>575</v>
      </c>
      <c r="P1255" s="132" t="s">
        <v>151</v>
      </c>
      <c r="Q1255" s="132" t="s">
        <v>288</v>
      </c>
      <c r="R1255" s="132" t="s">
        <v>267</v>
      </c>
      <c r="S1255" s="133">
        <v>41829</v>
      </c>
      <c r="T1255" s="134">
        <v>1032.7</v>
      </c>
      <c r="U1255" s="132" t="s">
        <v>154</v>
      </c>
      <c r="V1255" s="132" t="s">
        <v>189</v>
      </c>
      <c r="W1255" s="132" t="s">
        <v>153</v>
      </c>
      <c r="X1255" s="133">
        <v>41799</v>
      </c>
      <c r="Y1255" s="134">
        <v>800</v>
      </c>
    </row>
    <row r="1256" spans="1:25" x14ac:dyDescent="0.25">
      <c r="A1256" s="92" t="s">
        <v>148</v>
      </c>
      <c r="B1256" s="12" t="s">
        <v>232</v>
      </c>
      <c r="C1256" s="12" t="s">
        <v>158</v>
      </c>
      <c r="D1256" s="80">
        <v>41632</v>
      </c>
      <c r="E1256" s="81">
        <v>600</v>
      </c>
      <c r="F1256" s="76" t="s">
        <v>150</v>
      </c>
      <c r="G1256" s="77" t="s">
        <v>181</v>
      </c>
      <c r="H1256" s="77" t="s">
        <v>153</v>
      </c>
      <c r="I1256" s="86">
        <v>41975</v>
      </c>
      <c r="J1256" s="78">
        <v>1052</v>
      </c>
      <c r="K1256" s="132" t="s">
        <v>20</v>
      </c>
      <c r="L1256" s="132" t="s">
        <v>304</v>
      </c>
      <c r="M1256" s="132" t="s">
        <v>267</v>
      </c>
      <c r="N1256" s="133">
        <v>41702</v>
      </c>
      <c r="O1256" s="134">
        <v>53</v>
      </c>
      <c r="P1256" s="132" t="s">
        <v>151</v>
      </c>
      <c r="Q1256" s="132" t="s">
        <v>288</v>
      </c>
      <c r="R1256" s="132" t="s">
        <v>267</v>
      </c>
      <c r="S1256" s="133">
        <v>41830</v>
      </c>
      <c r="T1256" s="134">
        <v>478.5</v>
      </c>
      <c r="U1256" s="132" t="s">
        <v>154</v>
      </c>
      <c r="V1256" s="132" t="s">
        <v>189</v>
      </c>
      <c r="W1256" s="132" t="s">
        <v>153</v>
      </c>
      <c r="X1256" s="133">
        <v>41800</v>
      </c>
      <c r="Y1256" s="134">
        <v>801</v>
      </c>
    </row>
    <row r="1257" spans="1:25" x14ac:dyDescent="0.25">
      <c r="A1257" s="92" t="s">
        <v>148</v>
      </c>
      <c r="B1257" s="12" t="s">
        <v>232</v>
      </c>
      <c r="C1257" s="12" t="s">
        <v>158</v>
      </c>
      <c r="D1257" s="80">
        <v>41634</v>
      </c>
      <c r="E1257" s="81">
        <v>1147</v>
      </c>
      <c r="F1257" s="76" t="s">
        <v>150</v>
      </c>
      <c r="G1257" s="77" t="s">
        <v>181</v>
      </c>
      <c r="H1257" s="77" t="s">
        <v>153</v>
      </c>
      <c r="I1257" s="86">
        <v>41975</v>
      </c>
      <c r="J1257" s="78">
        <v>753</v>
      </c>
      <c r="K1257" s="132" t="s">
        <v>20</v>
      </c>
      <c r="L1257" s="132" t="s">
        <v>304</v>
      </c>
      <c r="M1257" s="132" t="s">
        <v>267</v>
      </c>
      <c r="N1257" s="133">
        <v>41704</v>
      </c>
      <c r="O1257" s="134">
        <v>507</v>
      </c>
      <c r="P1257" s="132" t="s">
        <v>151</v>
      </c>
      <c r="Q1257" s="132" t="s">
        <v>288</v>
      </c>
      <c r="R1257" s="132" t="s">
        <v>267</v>
      </c>
      <c r="S1257" s="133">
        <v>41835</v>
      </c>
      <c r="T1257" s="134">
        <v>537.70000000000005</v>
      </c>
      <c r="U1257" s="132" t="s">
        <v>154</v>
      </c>
      <c r="V1257" s="132" t="s">
        <v>189</v>
      </c>
      <c r="W1257" s="132" t="s">
        <v>153</v>
      </c>
      <c r="X1257" s="133">
        <v>41801</v>
      </c>
      <c r="Y1257" s="134">
        <v>830</v>
      </c>
    </row>
    <row r="1258" spans="1:25" x14ac:dyDescent="0.25">
      <c r="A1258" s="92" t="s">
        <v>148</v>
      </c>
      <c r="B1258" s="12" t="s">
        <v>232</v>
      </c>
      <c r="C1258" s="12" t="s">
        <v>158</v>
      </c>
      <c r="D1258" s="80">
        <v>41635</v>
      </c>
      <c r="E1258" s="81">
        <v>772</v>
      </c>
      <c r="F1258" s="76" t="s">
        <v>150</v>
      </c>
      <c r="G1258" s="77" t="s">
        <v>181</v>
      </c>
      <c r="H1258" s="77" t="s">
        <v>153</v>
      </c>
      <c r="I1258" s="86">
        <v>41977</v>
      </c>
      <c r="J1258" s="78">
        <v>1030</v>
      </c>
      <c r="K1258" s="132" t="s">
        <v>20</v>
      </c>
      <c r="L1258" s="132" t="s">
        <v>304</v>
      </c>
      <c r="M1258" s="132" t="s">
        <v>267</v>
      </c>
      <c r="N1258" s="133">
        <v>41705</v>
      </c>
      <c r="O1258" s="134">
        <v>630</v>
      </c>
      <c r="P1258" s="132" t="s">
        <v>151</v>
      </c>
      <c r="Q1258" s="132" t="s">
        <v>288</v>
      </c>
      <c r="R1258" s="132" t="s">
        <v>267</v>
      </c>
      <c r="S1258" s="133">
        <v>41836</v>
      </c>
      <c r="T1258" s="134">
        <v>942.1</v>
      </c>
      <c r="U1258" s="132" t="s">
        <v>154</v>
      </c>
      <c r="V1258" s="132" t="s">
        <v>189</v>
      </c>
      <c r="W1258" s="132" t="s">
        <v>153</v>
      </c>
      <c r="X1258" s="133">
        <v>41802</v>
      </c>
      <c r="Y1258" s="134">
        <v>830</v>
      </c>
    </row>
    <row r="1259" spans="1:25" x14ac:dyDescent="0.25">
      <c r="A1259" s="92" t="s">
        <v>148</v>
      </c>
      <c r="B1259" s="12" t="s">
        <v>232</v>
      </c>
      <c r="C1259" s="12" t="s">
        <v>158</v>
      </c>
      <c r="D1259" s="80">
        <v>41636</v>
      </c>
      <c r="E1259" s="81">
        <v>500</v>
      </c>
      <c r="F1259" s="76" t="s">
        <v>150</v>
      </c>
      <c r="G1259" s="77" t="s">
        <v>181</v>
      </c>
      <c r="H1259" s="77" t="s">
        <v>153</v>
      </c>
      <c r="I1259" s="86">
        <v>41977</v>
      </c>
      <c r="J1259" s="78">
        <v>560</v>
      </c>
      <c r="K1259" s="132" t="s">
        <v>20</v>
      </c>
      <c r="L1259" s="132" t="s">
        <v>304</v>
      </c>
      <c r="M1259" s="132" t="s">
        <v>267</v>
      </c>
      <c r="N1259" s="133">
        <v>41716</v>
      </c>
      <c r="O1259" s="134">
        <v>317</v>
      </c>
      <c r="P1259" s="132" t="s">
        <v>151</v>
      </c>
      <c r="Q1259" s="132" t="s">
        <v>288</v>
      </c>
      <c r="R1259" s="132" t="s">
        <v>267</v>
      </c>
      <c r="S1259" s="133">
        <v>41922</v>
      </c>
      <c r="T1259" s="134">
        <v>449.6</v>
      </c>
      <c r="U1259" s="132" t="s">
        <v>154</v>
      </c>
      <c r="V1259" s="132" t="s">
        <v>189</v>
      </c>
      <c r="W1259" s="132" t="s">
        <v>153</v>
      </c>
      <c r="X1259" s="133">
        <v>41803</v>
      </c>
      <c r="Y1259" s="134">
        <v>801</v>
      </c>
    </row>
    <row r="1260" spans="1:25" x14ac:dyDescent="0.25">
      <c r="A1260" s="92" t="s">
        <v>148</v>
      </c>
      <c r="B1260" s="12" t="s">
        <v>232</v>
      </c>
      <c r="C1260" s="12" t="s">
        <v>158</v>
      </c>
      <c r="D1260" s="80">
        <v>41637</v>
      </c>
      <c r="E1260" s="81">
        <v>750</v>
      </c>
      <c r="F1260" s="76" t="s">
        <v>150</v>
      </c>
      <c r="G1260" s="77" t="s">
        <v>181</v>
      </c>
      <c r="H1260" s="77" t="s">
        <v>153</v>
      </c>
      <c r="I1260" s="86">
        <v>41979</v>
      </c>
      <c r="J1260" s="78">
        <v>853</v>
      </c>
      <c r="K1260" s="132" t="s">
        <v>20</v>
      </c>
      <c r="L1260" s="132" t="s">
        <v>304</v>
      </c>
      <c r="M1260" s="132" t="s">
        <v>267</v>
      </c>
      <c r="N1260" s="133">
        <v>41722</v>
      </c>
      <c r="O1260" s="134">
        <v>468</v>
      </c>
      <c r="P1260" s="132" t="s">
        <v>151</v>
      </c>
      <c r="Q1260" s="132" t="s">
        <v>288</v>
      </c>
      <c r="R1260" s="132" t="s">
        <v>267</v>
      </c>
      <c r="S1260" s="133">
        <v>41927</v>
      </c>
      <c r="T1260" s="134">
        <v>320.60000000000002</v>
      </c>
      <c r="U1260" s="132" t="s">
        <v>154</v>
      </c>
      <c r="V1260" s="132" t="s">
        <v>189</v>
      </c>
      <c r="W1260" s="132" t="s">
        <v>153</v>
      </c>
      <c r="X1260" s="133">
        <v>41804</v>
      </c>
      <c r="Y1260" s="134">
        <v>612</v>
      </c>
    </row>
    <row r="1261" spans="1:25" x14ac:dyDescent="0.25">
      <c r="A1261" s="92" t="s">
        <v>148</v>
      </c>
      <c r="B1261" s="12" t="s">
        <v>232</v>
      </c>
      <c r="C1261" s="12" t="s">
        <v>158</v>
      </c>
      <c r="D1261" s="80">
        <v>41638</v>
      </c>
      <c r="E1261" s="81">
        <v>976</v>
      </c>
      <c r="F1261" s="76" t="s">
        <v>150</v>
      </c>
      <c r="G1261" s="77" t="s">
        <v>181</v>
      </c>
      <c r="H1261" s="77" t="s">
        <v>153</v>
      </c>
      <c r="I1261" s="86">
        <v>41979</v>
      </c>
      <c r="J1261" s="78">
        <v>1230</v>
      </c>
      <c r="K1261" s="132" t="s">
        <v>20</v>
      </c>
      <c r="L1261" s="132" t="s">
        <v>304</v>
      </c>
      <c r="M1261" s="132" t="s">
        <v>267</v>
      </c>
      <c r="N1261" s="133">
        <v>41729</v>
      </c>
      <c r="O1261" s="134">
        <v>724</v>
      </c>
      <c r="P1261" s="132" t="s">
        <v>151</v>
      </c>
      <c r="Q1261" s="132" t="s">
        <v>288</v>
      </c>
      <c r="R1261" s="132" t="s">
        <v>267</v>
      </c>
      <c r="S1261" s="133">
        <v>41945</v>
      </c>
      <c r="T1261" s="134">
        <v>679.9</v>
      </c>
      <c r="U1261" s="132" t="s">
        <v>154</v>
      </c>
      <c r="V1261" s="132" t="s">
        <v>189</v>
      </c>
      <c r="W1261" s="132" t="s">
        <v>153</v>
      </c>
      <c r="X1261" s="133">
        <v>41805</v>
      </c>
      <c r="Y1261" s="134">
        <v>433</v>
      </c>
    </row>
    <row r="1262" spans="1:25" x14ac:dyDescent="0.25">
      <c r="A1262" s="92" t="s">
        <v>148</v>
      </c>
      <c r="B1262" s="12" t="s">
        <v>232</v>
      </c>
      <c r="C1262" s="12" t="s">
        <v>158</v>
      </c>
      <c r="D1262" s="80">
        <v>41639</v>
      </c>
      <c r="E1262" s="81">
        <v>800</v>
      </c>
      <c r="F1262" s="76" t="s">
        <v>150</v>
      </c>
      <c r="G1262" s="77" t="s">
        <v>181</v>
      </c>
      <c r="H1262" s="77" t="s">
        <v>153</v>
      </c>
      <c r="I1262" s="86">
        <v>41980</v>
      </c>
      <c r="J1262" s="78">
        <v>1100</v>
      </c>
      <c r="K1262" s="132" t="s">
        <v>20</v>
      </c>
      <c r="L1262" s="132" t="s">
        <v>304</v>
      </c>
      <c r="M1262" s="132" t="s">
        <v>267</v>
      </c>
      <c r="N1262" s="133">
        <v>41736</v>
      </c>
      <c r="O1262" s="134">
        <v>581</v>
      </c>
      <c r="P1262" s="132" t="s">
        <v>151</v>
      </c>
      <c r="Q1262" s="132" t="s">
        <v>288</v>
      </c>
      <c r="R1262" s="132" t="s">
        <v>267</v>
      </c>
      <c r="S1262" s="133">
        <v>41946</v>
      </c>
      <c r="T1262" s="134">
        <v>519.79999999999995</v>
      </c>
      <c r="U1262" s="132" t="s">
        <v>154</v>
      </c>
      <c r="V1262" s="132" t="s">
        <v>189</v>
      </c>
      <c r="W1262" s="132" t="s">
        <v>153</v>
      </c>
      <c r="X1262" s="133">
        <v>41806</v>
      </c>
      <c r="Y1262" s="134">
        <v>861</v>
      </c>
    </row>
    <row r="1263" spans="1:25" x14ac:dyDescent="0.25">
      <c r="A1263" s="92" t="s">
        <v>148</v>
      </c>
      <c r="B1263" s="12" t="s">
        <v>232</v>
      </c>
      <c r="C1263" s="12" t="s">
        <v>158</v>
      </c>
      <c r="D1263" s="80">
        <v>41640</v>
      </c>
      <c r="E1263" s="81">
        <v>500</v>
      </c>
      <c r="F1263" s="76" t="s">
        <v>150</v>
      </c>
      <c r="G1263" s="77" t="s">
        <v>181</v>
      </c>
      <c r="H1263" s="77" t="s">
        <v>153</v>
      </c>
      <c r="I1263" s="86">
        <v>41981</v>
      </c>
      <c r="J1263" s="78">
        <v>1225</v>
      </c>
      <c r="K1263" s="132" t="s">
        <v>20</v>
      </c>
      <c r="L1263" s="132" t="s">
        <v>304</v>
      </c>
      <c r="M1263" s="132" t="s">
        <v>267</v>
      </c>
      <c r="N1263" s="133">
        <v>41738</v>
      </c>
      <c r="O1263" s="134">
        <v>331</v>
      </c>
      <c r="P1263" s="132" t="s">
        <v>151</v>
      </c>
      <c r="Q1263" s="132" t="s">
        <v>288</v>
      </c>
      <c r="R1263" s="132" t="s">
        <v>267</v>
      </c>
      <c r="S1263" s="133">
        <v>41947</v>
      </c>
      <c r="T1263" s="134">
        <v>517.4</v>
      </c>
      <c r="U1263" s="132" t="s">
        <v>154</v>
      </c>
      <c r="V1263" s="132" t="s">
        <v>189</v>
      </c>
      <c r="W1263" s="132" t="s">
        <v>153</v>
      </c>
      <c r="X1263" s="133">
        <v>41807</v>
      </c>
      <c r="Y1263" s="134">
        <v>760</v>
      </c>
    </row>
    <row r="1264" spans="1:25" x14ac:dyDescent="0.25">
      <c r="A1264" s="92" t="s">
        <v>148</v>
      </c>
      <c r="B1264" s="12" t="s">
        <v>232</v>
      </c>
      <c r="C1264" s="12" t="s">
        <v>158</v>
      </c>
      <c r="D1264" s="80">
        <v>41641</v>
      </c>
      <c r="E1264" s="81">
        <v>1055</v>
      </c>
      <c r="F1264" s="76" t="s">
        <v>150</v>
      </c>
      <c r="G1264" s="77" t="s">
        <v>162</v>
      </c>
      <c r="H1264" s="77" t="s">
        <v>153</v>
      </c>
      <c r="I1264" s="86">
        <v>41635</v>
      </c>
      <c r="J1264" s="78">
        <v>911</v>
      </c>
      <c r="K1264" s="132" t="s">
        <v>20</v>
      </c>
      <c r="L1264" s="132" t="s">
        <v>304</v>
      </c>
      <c r="M1264" s="132" t="s">
        <v>267</v>
      </c>
      <c r="N1264" s="133">
        <v>41764</v>
      </c>
      <c r="O1264" s="134">
        <v>554</v>
      </c>
      <c r="P1264" s="132" t="s">
        <v>151</v>
      </c>
      <c r="Q1264" s="132" t="s">
        <v>288</v>
      </c>
      <c r="R1264" s="132" t="s">
        <v>267</v>
      </c>
      <c r="S1264" s="133">
        <v>41963</v>
      </c>
      <c r="T1264" s="134">
        <v>488.6</v>
      </c>
      <c r="U1264" s="132" t="s">
        <v>154</v>
      </c>
      <c r="V1264" s="132" t="s">
        <v>189</v>
      </c>
      <c r="W1264" s="132" t="s">
        <v>153</v>
      </c>
      <c r="X1264" s="133">
        <v>41808</v>
      </c>
      <c r="Y1264" s="134">
        <v>851</v>
      </c>
    </row>
    <row r="1265" spans="1:25" x14ac:dyDescent="0.25">
      <c r="A1265" s="92" t="s">
        <v>148</v>
      </c>
      <c r="B1265" s="12" t="s">
        <v>232</v>
      </c>
      <c r="C1265" s="12" t="s">
        <v>158</v>
      </c>
      <c r="D1265" s="80">
        <v>41645</v>
      </c>
      <c r="E1265" s="81">
        <v>1603</v>
      </c>
      <c r="F1265" s="76" t="s">
        <v>150</v>
      </c>
      <c r="G1265" s="77" t="s">
        <v>162</v>
      </c>
      <c r="H1265" s="77" t="s">
        <v>153</v>
      </c>
      <c r="I1265" s="86">
        <v>41638</v>
      </c>
      <c r="J1265" s="78">
        <v>1185</v>
      </c>
      <c r="K1265" s="132" t="s">
        <v>20</v>
      </c>
      <c r="L1265" s="132" t="s">
        <v>304</v>
      </c>
      <c r="M1265" s="132" t="s">
        <v>267</v>
      </c>
      <c r="N1265" s="133">
        <v>41823</v>
      </c>
      <c r="O1265" s="134">
        <v>1553</v>
      </c>
      <c r="P1265" s="132" t="s">
        <v>151</v>
      </c>
      <c r="Q1265" s="132" t="s">
        <v>288</v>
      </c>
      <c r="R1265" s="132" t="s">
        <v>267</v>
      </c>
      <c r="S1265" s="133">
        <v>41975</v>
      </c>
      <c r="T1265" s="134">
        <v>420.8</v>
      </c>
      <c r="U1265" s="132" t="s">
        <v>154</v>
      </c>
      <c r="V1265" s="132" t="s">
        <v>189</v>
      </c>
      <c r="W1265" s="132" t="s">
        <v>153</v>
      </c>
      <c r="X1265" s="133">
        <v>41809</v>
      </c>
      <c r="Y1265" s="134">
        <v>881</v>
      </c>
    </row>
    <row r="1266" spans="1:25" x14ac:dyDescent="0.25">
      <c r="A1266" s="92" t="s">
        <v>148</v>
      </c>
      <c r="B1266" s="12" t="s">
        <v>232</v>
      </c>
      <c r="C1266" s="12" t="s">
        <v>158</v>
      </c>
      <c r="D1266" s="80">
        <v>41647</v>
      </c>
      <c r="E1266" s="81">
        <v>1300</v>
      </c>
      <c r="F1266" s="76" t="s">
        <v>150</v>
      </c>
      <c r="G1266" s="77" t="s">
        <v>162</v>
      </c>
      <c r="H1266" s="77" t="s">
        <v>153</v>
      </c>
      <c r="I1266" s="86">
        <v>41639</v>
      </c>
      <c r="J1266" s="78">
        <v>719</v>
      </c>
      <c r="K1266" s="132" t="s">
        <v>20</v>
      </c>
      <c r="L1266" s="132" t="s">
        <v>304</v>
      </c>
      <c r="M1266" s="132" t="s">
        <v>267</v>
      </c>
      <c r="N1266" s="133">
        <v>41980</v>
      </c>
      <c r="O1266" s="134">
        <v>641</v>
      </c>
      <c r="P1266" s="132" t="s">
        <v>151</v>
      </c>
      <c r="Q1266" s="132" t="s">
        <v>289</v>
      </c>
      <c r="R1266" s="132" t="s">
        <v>267</v>
      </c>
      <c r="S1266" s="133">
        <v>41763</v>
      </c>
      <c r="T1266" s="134">
        <v>1027.5</v>
      </c>
      <c r="U1266" s="132" t="s">
        <v>154</v>
      </c>
      <c r="V1266" s="132" t="s">
        <v>189</v>
      </c>
      <c r="W1266" s="132" t="s">
        <v>153</v>
      </c>
      <c r="X1266" s="133">
        <v>41810</v>
      </c>
      <c r="Y1266" s="134">
        <v>901</v>
      </c>
    </row>
    <row r="1267" spans="1:25" x14ac:dyDescent="0.25">
      <c r="A1267" s="92" t="s">
        <v>148</v>
      </c>
      <c r="B1267" s="12" t="s">
        <v>232</v>
      </c>
      <c r="C1267" s="12" t="s">
        <v>158</v>
      </c>
      <c r="D1267" s="80">
        <v>41648</v>
      </c>
      <c r="E1267" s="81">
        <v>800</v>
      </c>
      <c r="F1267" s="76" t="s">
        <v>150</v>
      </c>
      <c r="G1267" s="77" t="s">
        <v>162</v>
      </c>
      <c r="H1267" s="77" t="s">
        <v>153</v>
      </c>
      <c r="I1267" s="86">
        <v>41689</v>
      </c>
      <c r="J1267" s="78">
        <v>529</v>
      </c>
      <c r="K1267" s="132" t="s">
        <v>20</v>
      </c>
      <c r="L1267" s="132" t="s">
        <v>305</v>
      </c>
      <c r="M1267" s="132" t="s">
        <v>267</v>
      </c>
      <c r="N1267" s="133">
        <v>41655</v>
      </c>
      <c r="O1267" s="134">
        <v>1026</v>
      </c>
      <c r="P1267" s="132" t="s">
        <v>151</v>
      </c>
      <c r="Q1267" s="132" t="s">
        <v>289</v>
      </c>
      <c r="R1267" s="132" t="s">
        <v>267</v>
      </c>
      <c r="S1267" s="133">
        <v>41765</v>
      </c>
      <c r="T1267" s="134">
        <v>1254.7</v>
      </c>
      <c r="U1267" s="132" t="s">
        <v>154</v>
      </c>
      <c r="V1267" s="132" t="s">
        <v>189</v>
      </c>
      <c r="W1267" s="132" t="s">
        <v>153</v>
      </c>
      <c r="X1267" s="133">
        <v>41812</v>
      </c>
      <c r="Y1267" s="134">
        <v>793</v>
      </c>
    </row>
    <row r="1268" spans="1:25" x14ac:dyDescent="0.25">
      <c r="A1268" s="92" t="s">
        <v>148</v>
      </c>
      <c r="B1268" s="12" t="s">
        <v>232</v>
      </c>
      <c r="C1268" s="12" t="s">
        <v>158</v>
      </c>
      <c r="D1268" s="80">
        <v>41662</v>
      </c>
      <c r="E1268" s="81">
        <v>1718</v>
      </c>
      <c r="F1268" s="76" t="s">
        <v>150</v>
      </c>
      <c r="G1268" s="77" t="s">
        <v>162</v>
      </c>
      <c r="H1268" s="77" t="s">
        <v>153</v>
      </c>
      <c r="I1268" s="86">
        <v>41691</v>
      </c>
      <c r="J1268" s="78">
        <v>984</v>
      </c>
      <c r="K1268" s="132" t="s">
        <v>20</v>
      </c>
      <c r="L1268" s="132" t="s">
        <v>305</v>
      </c>
      <c r="M1268" s="132" t="s">
        <v>267</v>
      </c>
      <c r="N1268" s="133">
        <v>41702</v>
      </c>
      <c r="O1268" s="134">
        <v>170</v>
      </c>
      <c r="P1268" s="132" t="s">
        <v>151</v>
      </c>
      <c r="Q1268" s="132" t="s">
        <v>289</v>
      </c>
      <c r="R1268" s="132" t="s">
        <v>267</v>
      </c>
      <c r="S1268" s="133">
        <v>41766</v>
      </c>
      <c r="T1268" s="134">
        <v>795.2</v>
      </c>
      <c r="U1268" s="132" t="s">
        <v>154</v>
      </c>
      <c r="V1268" s="132" t="s">
        <v>189</v>
      </c>
      <c r="W1268" s="132" t="s">
        <v>153</v>
      </c>
      <c r="X1268" s="133">
        <v>41813</v>
      </c>
      <c r="Y1268" s="134">
        <v>1011</v>
      </c>
    </row>
    <row r="1269" spans="1:25" x14ac:dyDescent="0.25">
      <c r="A1269" s="92" t="s">
        <v>148</v>
      </c>
      <c r="B1269" s="12" t="s">
        <v>232</v>
      </c>
      <c r="C1269" s="12" t="s">
        <v>158</v>
      </c>
      <c r="D1269" s="80">
        <v>41663</v>
      </c>
      <c r="E1269" s="81">
        <v>325</v>
      </c>
      <c r="F1269" s="76" t="s">
        <v>150</v>
      </c>
      <c r="G1269" s="77" t="s">
        <v>162</v>
      </c>
      <c r="H1269" s="77" t="s">
        <v>153</v>
      </c>
      <c r="I1269" s="86">
        <v>41695</v>
      </c>
      <c r="J1269" s="78">
        <v>1197</v>
      </c>
      <c r="K1269" s="132" t="s">
        <v>20</v>
      </c>
      <c r="L1269" s="132" t="s">
        <v>305</v>
      </c>
      <c r="M1269" s="132" t="s">
        <v>267</v>
      </c>
      <c r="N1269" s="133">
        <v>41705</v>
      </c>
      <c r="O1269" s="134">
        <v>256</v>
      </c>
      <c r="P1269" s="132" t="s">
        <v>151</v>
      </c>
      <c r="Q1269" s="132" t="s">
        <v>289</v>
      </c>
      <c r="R1269" s="132" t="s">
        <v>267</v>
      </c>
      <c r="S1269" s="133">
        <v>41780</v>
      </c>
      <c r="T1269" s="134">
        <v>263.2</v>
      </c>
      <c r="U1269" s="132" t="s">
        <v>154</v>
      </c>
      <c r="V1269" s="132" t="s">
        <v>189</v>
      </c>
      <c r="W1269" s="132" t="s">
        <v>153</v>
      </c>
      <c r="X1269" s="133">
        <v>41814</v>
      </c>
      <c r="Y1269" s="134">
        <v>840</v>
      </c>
    </row>
    <row r="1270" spans="1:25" x14ac:dyDescent="0.25">
      <c r="A1270" s="92" t="s">
        <v>148</v>
      </c>
      <c r="B1270" s="12" t="s">
        <v>232</v>
      </c>
      <c r="C1270" s="12" t="s">
        <v>158</v>
      </c>
      <c r="D1270" s="80">
        <v>41664</v>
      </c>
      <c r="E1270" s="81">
        <v>800</v>
      </c>
      <c r="F1270" s="76" t="s">
        <v>150</v>
      </c>
      <c r="G1270" s="77" t="s">
        <v>162</v>
      </c>
      <c r="H1270" s="77" t="s">
        <v>153</v>
      </c>
      <c r="I1270" s="86">
        <v>41696</v>
      </c>
      <c r="J1270" s="78">
        <v>1119</v>
      </c>
      <c r="K1270" s="132" t="s">
        <v>20</v>
      </c>
      <c r="L1270" s="132" t="s">
        <v>305</v>
      </c>
      <c r="M1270" s="132" t="s">
        <v>267</v>
      </c>
      <c r="N1270" s="133">
        <v>41717</v>
      </c>
      <c r="O1270" s="134">
        <v>326</v>
      </c>
      <c r="P1270" s="132" t="s">
        <v>151</v>
      </c>
      <c r="Q1270" s="132" t="s">
        <v>289</v>
      </c>
      <c r="R1270" s="132" t="s">
        <v>267</v>
      </c>
      <c r="S1270" s="133">
        <v>41781</v>
      </c>
      <c r="T1270" s="134">
        <v>661</v>
      </c>
      <c r="U1270" s="132" t="s">
        <v>154</v>
      </c>
      <c r="V1270" s="132" t="s">
        <v>189</v>
      </c>
      <c r="W1270" s="132" t="s">
        <v>153</v>
      </c>
      <c r="X1270" s="133">
        <v>41815</v>
      </c>
      <c r="Y1270" s="134">
        <v>800</v>
      </c>
    </row>
    <row r="1271" spans="1:25" x14ac:dyDescent="0.25">
      <c r="A1271" s="92" t="s">
        <v>148</v>
      </c>
      <c r="B1271" s="12" t="s">
        <v>232</v>
      </c>
      <c r="C1271" s="12" t="s">
        <v>158</v>
      </c>
      <c r="D1271" s="80">
        <v>41665</v>
      </c>
      <c r="E1271" s="81">
        <v>800</v>
      </c>
      <c r="F1271" s="76" t="s">
        <v>150</v>
      </c>
      <c r="G1271" s="77" t="s">
        <v>162</v>
      </c>
      <c r="H1271" s="77" t="s">
        <v>153</v>
      </c>
      <c r="I1271" s="86">
        <v>41696</v>
      </c>
      <c r="J1271" s="78">
        <v>505</v>
      </c>
      <c r="K1271" s="132" t="s">
        <v>20</v>
      </c>
      <c r="L1271" s="132" t="s">
        <v>305</v>
      </c>
      <c r="M1271" s="132" t="s">
        <v>267</v>
      </c>
      <c r="N1271" s="133">
        <v>41725</v>
      </c>
      <c r="O1271" s="134">
        <v>1165</v>
      </c>
      <c r="P1271" s="132" t="s">
        <v>151</v>
      </c>
      <c r="Q1271" s="132" t="s">
        <v>289</v>
      </c>
      <c r="R1271" s="132" t="s">
        <v>267</v>
      </c>
      <c r="S1271" s="133">
        <v>41789</v>
      </c>
      <c r="T1271" s="134">
        <v>109.2</v>
      </c>
      <c r="U1271" s="132" t="s">
        <v>154</v>
      </c>
      <c r="V1271" s="132" t="s">
        <v>189</v>
      </c>
      <c r="W1271" s="132" t="s">
        <v>153</v>
      </c>
      <c r="X1271" s="133">
        <v>41816</v>
      </c>
      <c r="Y1271" s="134">
        <v>1101</v>
      </c>
    </row>
    <row r="1272" spans="1:25" x14ac:dyDescent="0.25">
      <c r="A1272" s="92" t="s">
        <v>148</v>
      </c>
      <c r="B1272" s="12" t="s">
        <v>232</v>
      </c>
      <c r="C1272" s="12" t="s">
        <v>158</v>
      </c>
      <c r="D1272" s="80">
        <v>41666</v>
      </c>
      <c r="E1272" s="81">
        <v>1094</v>
      </c>
      <c r="F1272" s="76" t="s">
        <v>150</v>
      </c>
      <c r="G1272" s="77" t="s">
        <v>162</v>
      </c>
      <c r="H1272" s="77" t="s">
        <v>153</v>
      </c>
      <c r="I1272" s="86">
        <v>41712</v>
      </c>
      <c r="J1272" s="78">
        <v>1295</v>
      </c>
      <c r="K1272" s="132" t="s">
        <v>20</v>
      </c>
      <c r="L1272" s="132" t="s">
        <v>305</v>
      </c>
      <c r="M1272" s="132" t="s">
        <v>267</v>
      </c>
      <c r="N1272" s="133">
        <v>41731</v>
      </c>
      <c r="O1272" s="134">
        <v>313</v>
      </c>
      <c r="P1272" s="132" t="s">
        <v>151</v>
      </c>
      <c r="Q1272" s="132" t="s">
        <v>289</v>
      </c>
      <c r="R1272" s="132" t="s">
        <v>267</v>
      </c>
      <c r="S1272" s="133">
        <v>41792</v>
      </c>
      <c r="T1272" s="134">
        <v>601.70000000000005</v>
      </c>
      <c r="U1272" s="132" t="s">
        <v>154</v>
      </c>
      <c r="V1272" s="132" t="s">
        <v>189</v>
      </c>
      <c r="W1272" s="132" t="s">
        <v>153</v>
      </c>
      <c r="X1272" s="133">
        <v>41817</v>
      </c>
      <c r="Y1272" s="134">
        <v>852</v>
      </c>
    </row>
    <row r="1273" spans="1:25" x14ac:dyDescent="0.25">
      <c r="A1273" s="92" t="s">
        <v>148</v>
      </c>
      <c r="B1273" s="12" t="s">
        <v>232</v>
      </c>
      <c r="C1273" s="12" t="s">
        <v>158</v>
      </c>
      <c r="D1273" s="80">
        <v>41667</v>
      </c>
      <c r="E1273" s="81">
        <v>870</v>
      </c>
      <c r="F1273" s="76" t="s">
        <v>150</v>
      </c>
      <c r="G1273" s="77" t="s">
        <v>162</v>
      </c>
      <c r="H1273" s="77" t="s">
        <v>153</v>
      </c>
      <c r="I1273" s="86">
        <v>41716</v>
      </c>
      <c r="J1273" s="78">
        <v>684</v>
      </c>
      <c r="K1273" s="132" t="s">
        <v>20</v>
      </c>
      <c r="L1273" s="132" t="s">
        <v>305</v>
      </c>
      <c r="M1273" s="132" t="s">
        <v>267</v>
      </c>
      <c r="N1273" s="133">
        <v>41733</v>
      </c>
      <c r="O1273" s="134">
        <v>271</v>
      </c>
      <c r="P1273" s="132" t="s">
        <v>151</v>
      </c>
      <c r="Q1273" s="132" t="s">
        <v>289</v>
      </c>
      <c r="R1273" s="132" t="s">
        <v>267</v>
      </c>
      <c r="S1273" s="133">
        <v>41793</v>
      </c>
      <c r="T1273" s="134">
        <v>590.9</v>
      </c>
      <c r="U1273" s="132" t="s">
        <v>154</v>
      </c>
      <c r="V1273" s="132" t="s">
        <v>189</v>
      </c>
      <c r="W1273" s="132" t="s">
        <v>153</v>
      </c>
      <c r="X1273" s="133">
        <v>41819</v>
      </c>
      <c r="Y1273" s="134">
        <v>328</v>
      </c>
    </row>
    <row r="1274" spans="1:25" x14ac:dyDescent="0.25">
      <c r="A1274" s="92" t="s">
        <v>148</v>
      </c>
      <c r="B1274" s="12" t="s">
        <v>232</v>
      </c>
      <c r="C1274" s="12" t="s">
        <v>158</v>
      </c>
      <c r="D1274" s="80">
        <v>41669</v>
      </c>
      <c r="E1274" s="81">
        <v>1015</v>
      </c>
      <c r="F1274" s="76" t="s">
        <v>150</v>
      </c>
      <c r="G1274" s="77" t="s">
        <v>162</v>
      </c>
      <c r="H1274" s="77" t="s">
        <v>153</v>
      </c>
      <c r="I1274" s="86">
        <v>41716</v>
      </c>
      <c r="J1274" s="78">
        <v>1025</v>
      </c>
      <c r="K1274" s="132" t="s">
        <v>20</v>
      </c>
      <c r="L1274" s="132" t="s">
        <v>305</v>
      </c>
      <c r="M1274" s="132" t="s">
        <v>267</v>
      </c>
      <c r="N1274" s="133">
        <v>41780</v>
      </c>
      <c r="O1274" s="134">
        <v>960</v>
      </c>
      <c r="P1274" s="132" t="s">
        <v>151</v>
      </c>
      <c r="Q1274" s="132" t="s">
        <v>289</v>
      </c>
      <c r="R1274" s="132" t="s">
        <v>267</v>
      </c>
      <c r="S1274" s="133">
        <v>41794</v>
      </c>
      <c r="T1274" s="134">
        <v>992.7</v>
      </c>
      <c r="U1274" s="132" t="s">
        <v>154</v>
      </c>
      <c r="V1274" s="132" t="s">
        <v>189</v>
      </c>
      <c r="W1274" s="132" t="s">
        <v>153</v>
      </c>
      <c r="X1274" s="133">
        <v>41820</v>
      </c>
      <c r="Y1274" s="134">
        <v>954</v>
      </c>
    </row>
    <row r="1275" spans="1:25" x14ac:dyDescent="0.25">
      <c r="A1275" s="92" t="s">
        <v>148</v>
      </c>
      <c r="B1275" s="12" t="s">
        <v>232</v>
      </c>
      <c r="C1275" s="12" t="s">
        <v>158</v>
      </c>
      <c r="D1275" s="80">
        <v>41727</v>
      </c>
      <c r="E1275" s="81">
        <v>803</v>
      </c>
      <c r="F1275" s="76" t="s">
        <v>150</v>
      </c>
      <c r="G1275" s="77" t="s">
        <v>162</v>
      </c>
      <c r="H1275" s="77" t="s">
        <v>153</v>
      </c>
      <c r="I1275" s="86">
        <v>41718</v>
      </c>
      <c r="J1275" s="78">
        <v>1504</v>
      </c>
      <c r="K1275" s="132" t="s">
        <v>20</v>
      </c>
      <c r="L1275" s="132" t="s">
        <v>305</v>
      </c>
      <c r="M1275" s="132" t="s">
        <v>267</v>
      </c>
      <c r="N1275" s="133">
        <v>41788</v>
      </c>
      <c r="O1275" s="134">
        <v>573</v>
      </c>
      <c r="P1275" s="132" t="s">
        <v>151</v>
      </c>
      <c r="Q1275" s="132" t="s">
        <v>289</v>
      </c>
      <c r="R1275" s="132" t="s">
        <v>267</v>
      </c>
      <c r="S1275" s="133">
        <v>41828</v>
      </c>
      <c r="T1275" s="134">
        <v>603.20000000000005</v>
      </c>
      <c r="U1275" s="132" t="s">
        <v>154</v>
      </c>
      <c r="V1275" s="132" t="s">
        <v>189</v>
      </c>
      <c r="W1275" s="132" t="s">
        <v>153</v>
      </c>
      <c r="X1275" s="133">
        <v>41821</v>
      </c>
      <c r="Y1275" s="134">
        <v>861</v>
      </c>
    </row>
    <row r="1276" spans="1:25" x14ac:dyDescent="0.25">
      <c r="A1276" s="92" t="s">
        <v>148</v>
      </c>
      <c r="B1276" s="12" t="s">
        <v>266</v>
      </c>
      <c r="C1276" s="12" t="s">
        <v>267</v>
      </c>
      <c r="D1276" s="80">
        <v>41897</v>
      </c>
      <c r="E1276" s="81">
        <v>796</v>
      </c>
      <c r="F1276" s="76" t="s">
        <v>150</v>
      </c>
      <c r="G1276" s="77" t="s">
        <v>162</v>
      </c>
      <c r="H1276" s="77" t="s">
        <v>153</v>
      </c>
      <c r="I1276" s="86">
        <v>41719</v>
      </c>
      <c r="J1276" s="78">
        <v>294</v>
      </c>
      <c r="K1276" s="132" t="s">
        <v>20</v>
      </c>
      <c r="L1276" s="132" t="s">
        <v>305</v>
      </c>
      <c r="M1276" s="132" t="s">
        <v>267</v>
      </c>
      <c r="N1276" s="133">
        <v>41793</v>
      </c>
      <c r="O1276" s="134">
        <v>570</v>
      </c>
      <c r="P1276" s="132" t="s">
        <v>151</v>
      </c>
      <c r="Q1276" s="132" t="s">
        <v>289</v>
      </c>
      <c r="R1276" s="132" t="s">
        <v>267</v>
      </c>
      <c r="S1276" s="133">
        <v>41829</v>
      </c>
      <c r="T1276" s="134">
        <v>551.29999999999995</v>
      </c>
      <c r="U1276" s="132" t="s">
        <v>154</v>
      </c>
      <c r="V1276" s="132" t="s">
        <v>189</v>
      </c>
      <c r="W1276" s="132" t="s">
        <v>153</v>
      </c>
      <c r="X1276" s="133">
        <v>41822</v>
      </c>
      <c r="Y1276" s="134">
        <v>815</v>
      </c>
    </row>
    <row r="1277" spans="1:25" x14ac:dyDescent="0.25">
      <c r="A1277" s="92" t="s">
        <v>148</v>
      </c>
      <c r="B1277" s="12" t="s">
        <v>266</v>
      </c>
      <c r="C1277" s="12" t="s">
        <v>267</v>
      </c>
      <c r="D1277" s="80">
        <v>41898</v>
      </c>
      <c r="E1277" s="81">
        <v>910</v>
      </c>
      <c r="F1277" s="76" t="s">
        <v>150</v>
      </c>
      <c r="G1277" s="77" t="s">
        <v>162</v>
      </c>
      <c r="H1277" s="77" t="s">
        <v>153</v>
      </c>
      <c r="I1277" s="86">
        <v>41726</v>
      </c>
      <c r="J1277" s="78">
        <v>896</v>
      </c>
      <c r="K1277" s="132" t="s">
        <v>20</v>
      </c>
      <c r="L1277" s="132" t="s">
        <v>305</v>
      </c>
      <c r="M1277" s="132" t="s">
        <v>267</v>
      </c>
      <c r="N1277" s="133">
        <v>41795</v>
      </c>
      <c r="O1277" s="134">
        <v>287</v>
      </c>
      <c r="P1277" s="132" t="s">
        <v>151</v>
      </c>
      <c r="Q1277" s="132" t="s">
        <v>289</v>
      </c>
      <c r="R1277" s="132" t="s">
        <v>267</v>
      </c>
      <c r="S1277" s="133">
        <v>41830</v>
      </c>
      <c r="T1277" s="134">
        <v>989.2</v>
      </c>
      <c r="U1277" s="132" t="s">
        <v>154</v>
      </c>
      <c r="V1277" s="132" t="s">
        <v>189</v>
      </c>
      <c r="W1277" s="132" t="s">
        <v>153</v>
      </c>
      <c r="X1277" s="133">
        <v>41823</v>
      </c>
      <c r="Y1277" s="134">
        <v>1015</v>
      </c>
    </row>
    <row r="1278" spans="1:25" x14ac:dyDescent="0.25">
      <c r="A1278" s="92" t="s">
        <v>148</v>
      </c>
      <c r="B1278" s="12" t="s">
        <v>266</v>
      </c>
      <c r="C1278" s="12" t="s">
        <v>267</v>
      </c>
      <c r="D1278" s="80">
        <v>41898</v>
      </c>
      <c r="E1278" s="81">
        <v>575</v>
      </c>
      <c r="F1278" s="76" t="s">
        <v>150</v>
      </c>
      <c r="G1278" s="77" t="s">
        <v>162</v>
      </c>
      <c r="H1278" s="77" t="s">
        <v>153</v>
      </c>
      <c r="I1278" s="86">
        <v>41803</v>
      </c>
      <c r="J1278" s="78">
        <v>1122</v>
      </c>
      <c r="K1278" s="132" t="s">
        <v>20</v>
      </c>
      <c r="L1278" s="132" t="s">
        <v>305</v>
      </c>
      <c r="M1278" s="132" t="s">
        <v>267</v>
      </c>
      <c r="N1278" s="133">
        <v>41796</v>
      </c>
      <c r="O1278" s="134">
        <v>652</v>
      </c>
      <c r="P1278" s="132" t="s">
        <v>151</v>
      </c>
      <c r="Q1278" s="132" t="s">
        <v>289</v>
      </c>
      <c r="R1278" s="132" t="s">
        <v>267</v>
      </c>
      <c r="S1278" s="133">
        <v>41841</v>
      </c>
      <c r="T1278" s="134">
        <v>1129.5999999999999</v>
      </c>
      <c r="U1278" s="132" t="s">
        <v>154</v>
      </c>
      <c r="V1278" s="132" t="s">
        <v>189</v>
      </c>
      <c r="W1278" s="132" t="s">
        <v>153</v>
      </c>
      <c r="X1278" s="133">
        <v>41824</v>
      </c>
      <c r="Y1278" s="134">
        <v>611</v>
      </c>
    </row>
    <row r="1279" spans="1:25" x14ac:dyDescent="0.25">
      <c r="A1279" s="92" t="s">
        <v>148</v>
      </c>
      <c r="B1279" s="12" t="s">
        <v>266</v>
      </c>
      <c r="C1279" s="12" t="s">
        <v>267</v>
      </c>
      <c r="D1279" s="80">
        <v>41898</v>
      </c>
      <c r="E1279" s="81">
        <v>882</v>
      </c>
      <c r="F1279" s="76" t="s">
        <v>150</v>
      </c>
      <c r="G1279" s="77" t="s">
        <v>162</v>
      </c>
      <c r="H1279" s="77" t="s">
        <v>153</v>
      </c>
      <c r="I1279" s="86">
        <v>41803</v>
      </c>
      <c r="J1279" s="78">
        <v>275</v>
      </c>
      <c r="K1279" s="132" t="s">
        <v>20</v>
      </c>
      <c r="L1279" s="132" t="s">
        <v>305</v>
      </c>
      <c r="M1279" s="132" t="s">
        <v>267</v>
      </c>
      <c r="N1279" s="133">
        <v>41829</v>
      </c>
      <c r="O1279" s="134">
        <v>398</v>
      </c>
      <c r="P1279" s="132" t="s">
        <v>151</v>
      </c>
      <c r="Q1279" s="132" t="s">
        <v>289</v>
      </c>
      <c r="R1279" s="132" t="s">
        <v>267</v>
      </c>
      <c r="S1279" s="133">
        <v>41843</v>
      </c>
      <c r="T1279" s="134">
        <v>955.1</v>
      </c>
      <c r="U1279" s="132" t="s">
        <v>154</v>
      </c>
      <c r="V1279" s="132" t="s">
        <v>189</v>
      </c>
      <c r="W1279" s="132" t="s">
        <v>153</v>
      </c>
      <c r="X1279" s="133">
        <v>41824</v>
      </c>
      <c r="Y1279" s="134">
        <v>408</v>
      </c>
    </row>
    <row r="1280" spans="1:25" x14ac:dyDescent="0.25">
      <c r="A1280" s="92" t="s">
        <v>148</v>
      </c>
      <c r="B1280" s="12" t="s">
        <v>266</v>
      </c>
      <c r="C1280" s="12" t="s">
        <v>267</v>
      </c>
      <c r="D1280" s="80">
        <v>41899</v>
      </c>
      <c r="E1280" s="81">
        <v>498</v>
      </c>
      <c r="F1280" s="76" t="s">
        <v>150</v>
      </c>
      <c r="G1280" s="77" t="s">
        <v>162</v>
      </c>
      <c r="H1280" s="77" t="s">
        <v>153</v>
      </c>
      <c r="I1280" s="86">
        <v>41810</v>
      </c>
      <c r="J1280" s="78">
        <v>883</v>
      </c>
      <c r="K1280" s="132" t="s">
        <v>20</v>
      </c>
      <c r="L1280" s="132" t="s">
        <v>305</v>
      </c>
      <c r="M1280" s="132" t="s">
        <v>267</v>
      </c>
      <c r="N1280" s="133">
        <v>41863</v>
      </c>
      <c r="O1280" s="134">
        <v>847</v>
      </c>
      <c r="P1280" s="132" t="s">
        <v>151</v>
      </c>
      <c r="Q1280" s="132" t="s">
        <v>289</v>
      </c>
      <c r="R1280" s="132" t="s">
        <v>267</v>
      </c>
      <c r="S1280" s="133">
        <v>41862</v>
      </c>
      <c r="T1280" s="134">
        <v>462.6</v>
      </c>
      <c r="U1280" s="132" t="s">
        <v>154</v>
      </c>
      <c r="V1280" s="132" t="s">
        <v>189</v>
      </c>
      <c r="W1280" s="132" t="s">
        <v>153</v>
      </c>
      <c r="X1280" s="133">
        <v>41824</v>
      </c>
      <c r="Y1280" s="134">
        <v>207</v>
      </c>
    </row>
    <row r="1281" spans="1:25" x14ac:dyDescent="0.25">
      <c r="A1281" s="92" t="s">
        <v>148</v>
      </c>
      <c r="B1281" s="12" t="s">
        <v>266</v>
      </c>
      <c r="C1281" s="12" t="s">
        <v>267</v>
      </c>
      <c r="D1281" s="80">
        <v>41900</v>
      </c>
      <c r="E1281" s="81">
        <v>1000</v>
      </c>
      <c r="F1281" s="76" t="s">
        <v>150</v>
      </c>
      <c r="G1281" s="77" t="s">
        <v>162</v>
      </c>
      <c r="H1281" s="77" t="s">
        <v>153</v>
      </c>
      <c r="I1281" s="86">
        <v>41811</v>
      </c>
      <c r="J1281" s="78">
        <v>736</v>
      </c>
      <c r="K1281" s="132" t="s">
        <v>20</v>
      </c>
      <c r="L1281" s="132" t="s">
        <v>305</v>
      </c>
      <c r="M1281" s="132" t="s">
        <v>267</v>
      </c>
      <c r="N1281" s="133">
        <v>41901</v>
      </c>
      <c r="O1281" s="134">
        <v>779</v>
      </c>
      <c r="P1281" s="132" t="s">
        <v>151</v>
      </c>
      <c r="Q1281" s="132" t="s">
        <v>289</v>
      </c>
      <c r="R1281" s="132" t="s">
        <v>267</v>
      </c>
      <c r="S1281" s="133">
        <v>41885</v>
      </c>
      <c r="T1281" s="134">
        <v>945.5</v>
      </c>
      <c r="U1281" s="132" t="s">
        <v>154</v>
      </c>
      <c r="V1281" s="132" t="s">
        <v>189</v>
      </c>
      <c r="W1281" s="132" t="s">
        <v>153</v>
      </c>
      <c r="X1281" s="133">
        <v>41827</v>
      </c>
      <c r="Y1281" s="134">
        <v>980</v>
      </c>
    </row>
    <row r="1282" spans="1:25" x14ac:dyDescent="0.25">
      <c r="A1282" s="92" t="s">
        <v>148</v>
      </c>
      <c r="B1282" s="12" t="s">
        <v>266</v>
      </c>
      <c r="C1282" s="12" t="s">
        <v>267</v>
      </c>
      <c r="D1282" s="80">
        <v>41901</v>
      </c>
      <c r="E1282" s="81">
        <v>1100</v>
      </c>
      <c r="F1282" s="76" t="s">
        <v>150</v>
      </c>
      <c r="G1282" s="77" t="s">
        <v>162</v>
      </c>
      <c r="H1282" s="77" t="s">
        <v>153</v>
      </c>
      <c r="I1282" s="86">
        <v>41811</v>
      </c>
      <c r="J1282" s="78">
        <v>1032</v>
      </c>
      <c r="K1282" s="132" t="s">
        <v>20</v>
      </c>
      <c r="L1282" s="132" t="s">
        <v>305</v>
      </c>
      <c r="M1282" s="132" t="s">
        <v>267</v>
      </c>
      <c r="N1282" s="133">
        <v>41929</v>
      </c>
      <c r="O1282" s="134">
        <v>609</v>
      </c>
      <c r="P1282" s="132" t="s">
        <v>151</v>
      </c>
      <c r="Q1282" s="132" t="s">
        <v>289</v>
      </c>
      <c r="R1282" s="132" t="s">
        <v>267</v>
      </c>
      <c r="S1282" s="133">
        <v>41886</v>
      </c>
      <c r="T1282" s="134">
        <v>614.9</v>
      </c>
      <c r="U1282" s="132" t="s">
        <v>154</v>
      </c>
      <c r="V1282" s="132" t="s">
        <v>189</v>
      </c>
      <c r="W1282" s="132" t="s">
        <v>153</v>
      </c>
      <c r="X1282" s="133">
        <v>41827</v>
      </c>
      <c r="Y1282" s="134">
        <v>617</v>
      </c>
    </row>
    <row r="1283" spans="1:25" x14ac:dyDescent="0.25">
      <c r="A1283" s="92" t="s">
        <v>148</v>
      </c>
      <c r="B1283" s="12" t="s">
        <v>266</v>
      </c>
      <c r="C1283" s="12" t="s">
        <v>267</v>
      </c>
      <c r="D1283" s="80">
        <v>41902</v>
      </c>
      <c r="E1283" s="81">
        <v>1000</v>
      </c>
      <c r="F1283" s="76" t="s">
        <v>150</v>
      </c>
      <c r="G1283" s="77" t="s">
        <v>162</v>
      </c>
      <c r="H1283" s="77" t="s">
        <v>153</v>
      </c>
      <c r="I1283" s="86">
        <v>41812</v>
      </c>
      <c r="J1283" s="78">
        <v>908</v>
      </c>
      <c r="K1283" s="132" t="s">
        <v>20</v>
      </c>
      <c r="L1283" s="132" t="s">
        <v>306</v>
      </c>
      <c r="M1283" s="132" t="s">
        <v>267</v>
      </c>
      <c r="N1283" s="133">
        <v>41668</v>
      </c>
      <c r="O1283" s="134">
        <v>783</v>
      </c>
      <c r="P1283" s="132" t="s">
        <v>151</v>
      </c>
      <c r="Q1283" s="132" t="s">
        <v>290</v>
      </c>
      <c r="R1283" s="132" t="s">
        <v>267</v>
      </c>
      <c r="S1283" s="133">
        <v>41647</v>
      </c>
      <c r="T1283" s="134">
        <v>1037.2</v>
      </c>
      <c r="U1283" s="132" t="s">
        <v>154</v>
      </c>
      <c r="V1283" s="132" t="s">
        <v>189</v>
      </c>
      <c r="W1283" s="132" t="s">
        <v>153</v>
      </c>
      <c r="X1283" s="133">
        <v>41827</v>
      </c>
      <c r="Y1283" s="134">
        <v>861</v>
      </c>
    </row>
    <row r="1284" spans="1:25" x14ac:dyDescent="0.25">
      <c r="A1284" s="92" t="s">
        <v>148</v>
      </c>
      <c r="B1284" s="12" t="s">
        <v>266</v>
      </c>
      <c r="C1284" s="12" t="s">
        <v>267</v>
      </c>
      <c r="D1284" s="80">
        <v>41903</v>
      </c>
      <c r="E1284" s="81">
        <v>1126</v>
      </c>
      <c r="F1284" s="76" t="s">
        <v>150</v>
      </c>
      <c r="G1284" s="77" t="s">
        <v>162</v>
      </c>
      <c r="H1284" s="77" t="s">
        <v>153</v>
      </c>
      <c r="I1284" s="86">
        <v>41815</v>
      </c>
      <c r="J1284" s="78">
        <v>802</v>
      </c>
      <c r="K1284" s="132" t="s">
        <v>20</v>
      </c>
      <c r="L1284" s="132" t="s">
        <v>306</v>
      </c>
      <c r="M1284" s="132" t="s">
        <v>267</v>
      </c>
      <c r="N1284" s="133">
        <v>41698</v>
      </c>
      <c r="O1284" s="134">
        <v>835</v>
      </c>
      <c r="P1284" s="132" t="s">
        <v>151</v>
      </c>
      <c r="Q1284" s="132" t="s">
        <v>290</v>
      </c>
      <c r="R1284" s="132" t="s">
        <v>267</v>
      </c>
      <c r="S1284" s="133">
        <v>41652</v>
      </c>
      <c r="T1284" s="134">
        <v>283.60000000000002</v>
      </c>
      <c r="U1284" s="132" t="s">
        <v>154</v>
      </c>
      <c r="V1284" s="132" t="s">
        <v>189</v>
      </c>
      <c r="W1284" s="132" t="s">
        <v>153</v>
      </c>
      <c r="X1284" s="133">
        <v>41828</v>
      </c>
      <c r="Y1284" s="134">
        <v>1036</v>
      </c>
    </row>
    <row r="1285" spans="1:25" x14ac:dyDescent="0.25">
      <c r="A1285" s="92" t="s">
        <v>148</v>
      </c>
      <c r="B1285" s="12" t="s">
        <v>266</v>
      </c>
      <c r="C1285" s="12" t="s">
        <v>267</v>
      </c>
      <c r="D1285" s="80">
        <v>41904</v>
      </c>
      <c r="E1285" s="81">
        <v>800</v>
      </c>
      <c r="F1285" s="76" t="s">
        <v>150</v>
      </c>
      <c r="G1285" s="77" t="s">
        <v>162</v>
      </c>
      <c r="H1285" s="77" t="s">
        <v>153</v>
      </c>
      <c r="I1285" s="86">
        <v>41816</v>
      </c>
      <c r="J1285" s="78">
        <v>583</v>
      </c>
      <c r="K1285" s="132" t="s">
        <v>20</v>
      </c>
      <c r="L1285" s="132" t="s">
        <v>306</v>
      </c>
      <c r="M1285" s="132" t="s">
        <v>267</v>
      </c>
      <c r="N1285" s="133">
        <v>41703</v>
      </c>
      <c r="O1285" s="134">
        <v>336</v>
      </c>
      <c r="P1285" s="132" t="s">
        <v>151</v>
      </c>
      <c r="Q1285" s="132" t="s">
        <v>290</v>
      </c>
      <c r="R1285" s="132" t="s">
        <v>267</v>
      </c>
      <c r="S1285" s="133">
        <v>41653</v>
      </c>
      <c r="T1285" s="134">
        <v>453.1</v>
      </c>
      <c r="U1285" s="132" t="s">
        <v>154</v>
      </c>
      <c r="V1285" s="132" t="s">
        <v>189</v>
      </c>
      <c r="W1285" s="132" t="s">
        <v>153</v>
      </c>
      <c r="X1285" s="133">
        <v>41829</v>
      </c>
      <c r="Y1285" s="134">
        <v>1135</v>
      </c>
    </row>
    <row r="1286" spans="1:25" x14ac:dyDescent="0.25">
      <c r="A1286" s="92" t="s">
        <v>148</v>
      </c>
      <c r="B1286" s="12" t="s">
        <v>268</v>
      </c>
      <c r="C1286" s="12" t="s">
        <v>174</v>
      </c>
      <c r="D1286" s="80">
        <v>41637</v>
      </c>
      <c r="E1286" s="81">
        <v>1307</v>
      </c>
      <c r="F1286" s="76" t="s">
        <v>150</v>
      </c>
      <c r="G1286" s="77" t="s">
        <v>162</v>
      </c>
      <c r="H1286" s="77" t="s">
        <v>153</v>
      </c>
      <c r="I1286" s="86">
        <v>41820</v>
      </c>
      <c r="J1286" s="78">
        <v>672</v>
      </c>
      <c r="K1286" s="132" t="s">
        <v>20</v>
      </c>
      <c r="L1286" s="132" t="s">
        <v>306</v>
      </c>
      <c r="M1286" s="132" t="s">
        <v>267</v>
      </c>
      <c r="N1286" s="133">
        <v>41729</v>
      </c>
      <c r="O1286" s="134">
        <v>546</v>
      </c>
      <c r="P1286" s="132" t="s">
        <v>151</v>
      </c>
      <c r="Q1286" s="132" t="s">
        <v>290</v>
      </c>
      <c r="R1286" s="132" t="s">
        <v>267</v>
      </c>
      <c r="S1286" s="133">
        <v>41682</v>
      </c>
      <c r="T1286" s="134">
        <v>989.6</v>
      </c>
      <c r="U1286" s="132" t="s">
        <v>154</v>
      </c>
      <c r="V1286" s="132" t="s">
        <v>189</v>
      </c>
      <c r="W1286" s="132" t="s">
        <v>153</v>
      </c>
      <c r="X1286" s="133">
        <v>41830</v>
      </c>
      <c r="Y1286" s="134">
        <v>1056</v>
      </c>
    </row>
    <row r="1287" spans="1:25" x14ac:dyDescent="0.25">
      <c r="A1287" s="92" t="s">
        <v>148</v>
      </c>
      <c r="B1287" s="12" t="s">
        <v>268</v>
      </c>
      <c r="C1287" s="12" t="s">
        <v>174</v>
      </c>
      <c r="D1287" s="80">
        <v>41638</v>
      </c>
      <c r="E1287" s="81">
        <v>801</v>
      </c>
      <c r="F1287" s="76" t="s">
        <v>150</v>
      </c>
      <c r="G1287" s="77" t="s">
        <v>162</v>
      </c>
      <c r="H1287" s="77" t="s">
        <v>153</v>
      </c>
      <c r="I1287" s="86">
        <v>41823</v>
      </c>
      <c r="J1287" s="78">
        <v>1169</v>
      </c>
      <c r="K1287" s="132" t="s">
        <v>20</v>
      </c>
      <c r="L1287" s="132" t="s">
        <v>306</v>
      </c>
      <c r="M1287" s="132" t="s">
        <v>267</v>
      </c>
      <c r="N1287" s="133">
        <v>41730</v>
      </c>
      <c r="O1287" s="134">
        <v>640</v>
      </c>
      <c r="P1287" s="132" t="s">
        <v>151</v>
      </c>
      <c r="Q1287" s="132" t="s">
        <v>290</v>
      </c>
      <c r="R1287" s="132" t="s">
        <v>267</v>
      </c>
      <c r="S1287" s="133">
        <v>41684</v>
      </c>
      <c r="T1287" s="134">
        <v>1274.5999999999999</v>
      </c>
      <c r="U1287" s="132" t="s">
        <v>154</v>
      </c>
      <c r="V1287" s="132" t="s">
        <v>189</v>
      </c>
      <c r="W1287" s="132" t="s">
        <v>153</v>
      </c>
      <c r="X1287" s="133">
        <v>41831</v>
      </c>
      <c r="Y1287" s="134">
        <v>981</v>
      </c>
    </row>
    <row r="1288" spans="1:25" x14ac:dyDescent="0.25">
      <c r="A1288" s="92" t="s">
        <v>148</v>
      </c>
      <c r="B1288" s="12" t="s">
        <v>268</v>
      </c>
      <c r="C1288" s="12" t="s">
        <v>174</v>
      </c>
      <c r="D1288" s="80">
        <v>41639</v>
      </c>
      <c r="E1288" s="81">
        <v>932</v>
      </c>
      <c r="F1288" s="76" t="s">
        <v>150</v>
      </c>
      <c r="G1288" s="77" t="s">
        <v>162</v>
      </c>
      <c r="H1288" s="77" t="s">
        <v>153</v>
      </c>
      <c r="I1288" s="86">
        <v>41828</v>
      </c>
      <c r="J1288" s="78">
        <v>726</v>
      </c>
      <c r="K1288" s="132" t="s">
        <v>20</v>
      </c>
      <c r="L1288" s="132" t="s">
        <v>306</v>
      </c>
      <c r="M1288" s="132" t="s">
        <v>267</v>
      </c>
      <c r="N1288" s="133">
        <v>41760</v>
      </c>
      <c r="O1288" s="134">
        <v>294</v>
      </c>
      <c r="P1288" s="132" t="s">
        <v>151</v>
      </c>
      <c r="Q1288" s="132" t="s">
        <v>290</v>
      </c>
      <c r="R1288" s="132" t="s">
        <v>267</v>
      </c>
      <c r="S1288" s="133">
        <v>41688</v>
      </c>
      <c r="T1288" s="134">
        <v>1075.8</v>
      </c>
      <c r="U1288" s="132" t="s">
        <v>154</v>
      </c>
      <c r="V1288" s="132" t="s">
        <v>189</v>
      </c>
      <c r="W1288" s="132" t="s">
        <v>153</v>
      </c>
      <c r="X1288" s="133">
        <v>41832</v>
      </c>
      <c r="Y1288" s="134">
        <v>651</v>
      </c>
    </row>
    <row r="1289" spans="1:25" x14ac:dyDescent="0.25">
      <c r="A1289" s="92" t="s">
        <v>148</v>
      </c>
      <c r="B1289" s="12" t="s">
        <v>268</v>
      </c>
      <c r="C1289" s="12" t="s">
        <v>174</v>
      </c>
      <c r="D1289" s="80">
        <v>41640</v>
      </c>
      <c r="E1289" s="81">
        <v>950</v>
      </c>
      <c r="F1289" s="76" t="s">
        <v>150</v>
      </c>
      <c r="G1289" s="77" t="s">
        <v>162</v>
      </c>
      <c r="H1289" s="77" t="s">
        <v>153</v>
      </c>
      <c r="I1289" s="86">
        <v>41829</v>
      </c>
      <c r="J1289" s="78">
        <v>1018</v>
      </c>
      <c r="K1289" s="132" t="s">
        <v>20</v>
      </c>
      <c r="L1289" s="132" t="s">
        <v>306</v>
      </c>
      <c r="M1289" s="132" t="s">
        <v>267</v>
      </c>
      <c r="N1289" s="133">
        <v>41761</v>
      </c>
      <c r="O1289" s="134">
        <v>272</v>
      </c>
      <c r="P1289" s="132" t="s">
        <v>151</v>
      </c>
      <c r="Q1289" s="132" t="s">
        <v>290</v>
      </c>
      <c r="R1289" s="132" t="s">
        <v>267</v>
      </c>
      <c r="S1289" s="133">
        <v>41689</v>
      </c>
      <c r="T1289" s="134">
        <v>679.9</v>
      </c>
      <c r="U1289" s="132" t="s">
        <v>154</v>
      </c>
      <c r="V1289" s="132" t="s">
        <v>189</v>
      </c>
      <c r="W1289" s="132" t="s">
        <v>153</v>
      </c>
      <c r="X1289" s="133">
        <v>41833</v>
      </c>
      <c r="Y1289" s="134">
        <v>866</v>
      </c>
    </row>
    <row r="1290" spans="1:25" x14ac:dyDescent="0.25">
      <c r="A1290" s="92" t="s">
        <v>148</v>
      </c>
      <c r="B1290" s="12" t="s">
        <v>268</v>
      </c>
      <c r="C1290" s="12" t="s">
        <v>174</v>
      </c>
      <c r="D1290" s="80">
        <v>41641</v>
      </c>
      <c r="E1290" s="81">
        <v>640</v>
      </c>
      <c r="F1290" s="76" t="s">
        <v>150</v>
      </c>
      <c r="G1290" s="77" t="s">
        <v>162</v>
      </c>
      <c r="H1290" s="77" t="s">
        <v>153</v>
      </c>
      <c r="I1290" s="86">
        <v>41831</v>
      </c>
      <c r="J1290" s="78">
        <v>1195</v>
      </c>
      <c r="K1290" s="132" t="s">
        <v>20</v>
      </c>
      <c r="L1290" s="132" t="s">
        <v>306</v>
      </c>
      <c r="M1290" s="132" t="s">
        <v>267</v>
      </c>
      <c r="N1290" s="133">
        <v>41773</v>
      </c>
      <c r="O1290" s="134">
        <v>282</v>
      </c>
      <c r="P1290" s="132" t="s">
        <v>151</v>
      </c>
      <c r="Q1290" s="132" t="s">
        <v>290</v>
      </c>
      <c r="R1290" s="132" t="s">
        <v>267</v>
      </c>
      <c r="S1290" s="133">
        <v>41759</v>
      </c>
      <c r="T1290" s="134">
        <v>315.5</v>
      </c>
      <c r="U1290" s="132" t="s">
        <v>154</v>
      </c>
      <c r="V1290" s="132" t="s">
        <v>189</v>
      </c>
      <c r="W1290" s="132" t="s">
        <v>153</v>
      </c>
      <c r="X1290" s="133">
        <v>41834</v>
      </c>
      <c r="Y1290" s="134">
        <v>1071</v>
      </c>
    </row>
    <row r="1291" spans="1:25" x14ac:dyDescent="0.25">
      <c r="A1291" s="92" t="s">
        <v>148</v>
      </c>
      <c r="B1291" s="12" t="s">
        <v>268</v>
      </c>
      <c r="C1291" s="12" t="s">
        <v>174</v>
      </c>
      <c r="D1291" s="80">
        <v>41642</v>
      </c>
      <c r="E1291" s="81">
        <v>600</v>
      </c>
      <c r="F1291" s="76" t="s">
        <v>150</v>
      </c>
      <c r="G1291" s="77" t="s">
        <v>162</v>
      </c>
      <c r="H1291" s="77" t="s">
        <v>153</v>
      </c>
      <c r="I1291" s="86">
        <v>41835</v>
      </c>
      <c r="J1291" s="78">
        <v>830</v>
      </c>
      <c r="K1291" s="132" t="s">
        <v>20</v>
      </c>
      <c r="L1291" s="132" t="s">
        <v>306</v>
      </c>
      <c r="M1291" s="132" t="s">
        <v>267</v>
      </c>
      <c r="N1291" s="133">
        <v>41775</v>
      </c>
      <c r="O1291" s="134">
        <v>328</v>
      </c>
      <c r="P1291" s="132" t="s">
        <v>151</v>
      </c>
      <c r="Q1291" s="132" t="s">
        <v>290</v>
      </c>
      <c r="R1291" s="132" t="s">
        <v>267</v>
      </c>
      <c r="S1291" s="133">
        <v>41764</v>
      </c>
      <c r="T1291" s="134">
        <v>944.4</v>
      </c>
      <c r="U1291" s="132" t="s">
        <v>154</v>
      </c>
      <c r="V1291" s="132" t="s">
        <v>189</v>
      </c>
      <c r="W1291" s="132" t="s">
        <v>153</v>
      </c>
      <c r="X1291" s="133">
        <v>41835</v>
      </c>
      <c r="Y1291" s="134">
        <v>800</v>
      </c>
    </row>
    <row r="1292" spans="1:25" x14ac:dyDescent="0.25">
      <c r="A1292" s="92" t="s">
        <v>148</v>
      </c>
      <c r="B1292" s="12" t="s">
        <v>268</v>
      </c>
      <c r="C1292" s="12" t="s">
        <v>174</v>
      </c>
      <c r="D1292" s="80">
        <v>41643</v>
      </c>
      <c r="E1292" s="81">
        <v>1521</v>
      </c>
      <c r="F1292" s="76" t="s">
        <v>150</v>
      </c>
      <c r="G1292" s="77" t="s">
        <v>162</v>
      </c>
      <c r="H1292" s="77" t="s">
        <v>153</v>
      </c>
      <c r="I1292" s="86">
        <v>41838</v>
      </c>
      <c r="J1292" s="78">
        <v>860</v>
      </c>
      <c r="K1292" s="132" t="s">
        <v>20</v>
      </c>
      <c r="L1292" s="132" t="s">
        <v>306</v>
      </c>
      <c r="M1292" s="132" t="s">
        <v>267</v>
      </c>
      <c r="N1292" s="133">
        <v>41779</v>
      </c>
      <c r="O1292" s="134">
        <v>591</v>
      </c>
      <c r="P1292" s="132" t="s">
        <v>151</v>
      </c>
      <c r="Q1292" s="132" t="s">
        <v>290</v>
      </c>
      <c r="R1292" s="132" t="s">
        <v>267</v>
      </c>
      <c r="S1292" s="133">
        <v>41795</v>
      </c>
      <c r="T1292" s="134">
        <v>119.7</v>
      </c>
      <c r="U1292" s="132" t="s">
        <v>154</v>
      </c>
      <c r="V1292" s="132" t="s">
        <v>189</v>
      </c>
      <c r="W1292" s="132" t="s">
        <v>153</v>
      </c>
      <c r="X1292" s="133">
        <v>41836</v>
      </c>
      <c r="Y1292" s="134">
        <v>801</v>
      </c>
    </row>
    <row r="1293" spans="1:25" x14ac:dyDescent="0.25">
      <c r="A1293" s="92" t="s">
        <v>148</v>
      </c>
      <c r="B1293" s="12" t="s">
        <v>268</v>
      </c>
      <c r="C1293" s="12" t="s">
        <v>174</v>
      </c>
      <c r="D1293" s="80">
        <v>41644</v>
      </c>
      <c r="E1293" s="81">
        <v>848</v>
      </c>
      <c r="F1293" s="76" t="s">
        <v>150</v>
      </c>
      <c r="G1293" s="77" t="s">
        <v>162</v>
      </c>
      <c r="H1293" s="77" t="s">
        <v>153</v>
      </c>
      <c r="I1293" s="86">
        <v>41841</v>
      </c>
      <c r="J1293" s="78">
        <v>1103</v>
      </c>
      <c r="K1293" s="132" t="s">
        <v>20</v>
      </c>
      <c r="L1293" s="132" t="s">
        <v>306</v>
      </c>
      <c r="M1293" s="132" t="s">
        <v>267</v>
      </c>
      <c r="N1293" s="133">
        <v>41891</v>
      </c>
      <c r="O1293" s="134">
        <v>1329</v>
      </c>
      <c r="P1293" s="132" t="s">
        <v>151</v>
      </c>
      <c r="Q1293" s="132" t="s">
        <v>290</v>
      </c>
      <c r="R1293" s="132" t="s">
        <v>267</v>
      </c>
      <c r="S1293" s="133">
        <v>41796</v>
      </c>
      <c r="T1293" s="134">
        <v>1042.5</v>
      </c>
      <c r="U1293" s="132" t="s">
        <v>154</v>
      </c>
      <c r="V1293" s="132" t="s">
        <v>189</v>
      </c>
      <c r="W1293" s="132" t="s">
        <v>153</v>
      </c>
      <c r="X1293" s="133">
        <v>41837</v>
      </c>
      <c r="Y1293" s="134">
        <v>521</v>
      </c>
    </row>
    <row r="1294" spans="1:25" x14ac:dyDescent="0.25">
      <c r="A1294" s="92" t="s">
        <v>148</v>
      </c>
      <c r="B1294" s="12" t="s">
        <v>268</v>
      </c>
      <c r="C1294" s="12" t="s">
        <v>174</v>
      </c>
      <c r="D1294" s="80">
        <v>41645</v>
      </c>
      <c r="E1294" s="81">
        <v>844</v>
      </c>
      <c r="F1294" s="76" t="s">
        <v>150</v>
      </c>
      <c r="G1294" s="77" t="s">
        <v>162</v>
      </c>
      <c r="H1294" s="77" t="s">
        <v>153</v>
      </c>
      <c r="I1294" s="86">
        <v>41844</v>
      </c>
      <c r="J1294" s="78">
        <v>766</v>
      </c>
      <c r="K1294" s="132" t="s">
        <v>20</v>
      </c>
      <c r="L1294" s="132" t="s">
        <v>306</v>
      </c>
      <c r="M1294" s="132" t="s">
        <v>267</v>
      </c>
      <c r="N1294" s="133">
        <v>41910</v>
      </c>
      <c r="O1294" s="134">
        <v>1072</v>
      </c>
      <c r="P1294" s="132" t="s">
        <v>151</v>
      </c>
      <c r="Q1294" s="132" t="s">
        <v>290</v>
      </c>
      <c r="R1294" s="132" t="s">
        <v>267</v>
      </c>
      <c r="S1294" s="133">
        <v>41852</v>
      </c>
      <c r="T1294" s="134">
        <v>1140</v>
      </c>
      <c r="U1294" s="132" t="s">
        <v>154</v>
      </c>
      <c r="V1294" s="132" t="s">
        <v>189</v>
      </c>
      <c r="W1294" s="132" t="s">
        <v>153</v>
      </c>
      <c r="X1294" s="133">
        <v>41838</v>
      </c>
      <c r="Y1294" s="134">
        <v>1000</v>
      </c>
    </row>
    <row r="1295" spans="1:25" x14ac:dyDescent="0.25">
      <c r="A1295" s="92" t="s">
        <v>148</v>
      </c>
      <c r="B1295" s="12" t="s">
        <v>268</v>
      </c>
      <c r="C1295" s="12" t="s">
        <v>174</v>
      </c>
      <c r="D1295" s="80">
        <v>41646</v>
      </c>
      <c r="E1295" s="81">
        <v>700</v>
      </c>
      <c r="F1295" s="76" t="s">
        <v>150</v>
      </c>
      <c r="G1295" s="77" t="s">
        <v>162</v>
      </c>
      <c r="H1295" s="77" t="s">
        <v>153</v>
      </c>
      <c r="I1295" s="86">
        <v>41845</v>
      </c>
      <c r="J1295" s="78">
        <v>402</v>
      </c>
      <c r="K1295" s="132" t="s">
        <v>20</v>
      </c>
      <c r="L1295" s="132" t="s">
        <v>306</v>
      </c>
      <c r="M1295" s="132" t="s">
        <v>267</v>
      </c>
      <c r="N1295" s="133">
        <v>41918</v>
      </c>
      <c r="O1295" s="134">
        <v>784</v>
      </c>
      <c r="P1295" s="132" t="s">
        <v>151</v>
      </c>
      <c r="Q1295" s="132" t="s">
        <v>290</v>
      </c>
      <c r="R1295" s="132" t="s">
        <v>267</v>
      </c>
      <c r="S1295" s="133">
        <v>41855</v>
      </c>
      <c r="T1295" s="134">
        <v>584.9</v>
      </c>
      <c r="U1295" s="132" t="s">
        <v>154</v>
      </c>
      <c r="V1295" s="132" t="s">
        <v>189</v>
      </c>
      <c r="W1295" s="132" t="s">
        <v>153</v>
      </c>
      <c r="X1295" s="133">
        <v>41840</v>
      </c>
      <c r="Y1295" s="134">
        <v>784</v>
      </c>
    </row>
    <row r="1296" spans="1:25" x14ac:dyDescent="0.25">
      <c r="A1296" s="92" t="s">
        <v>148</v>
      </c>
      <c r="B1296" s="12" t="s">
        <v>268</v>
      </c>
      <c r="C1296" s="12" t="s">
        <v>174</v>
      </c>
      <c r="D1296" s="80">
        <v>41647</v>
      </c>
      <c r="E1296" s="81">
        <v>950</v>
      </c>
      <c r="F1296" s="76" t="s">
        <v>150</v>
      </c>
      <c r="G1296" s="77" t="s">
        <v>162</v>
      </c>
      <c r="H1296" s="77" t="s">
        <v>153</v>
      </c>
      <c r="I1296" s="86">
        <v>41848</v>
      </c>
      <c r="J1296" s="78">
        <v>966</v>
      </c>
      <c r="K1296" s="132" t="s">
        <v>20</v>
      </c>
      <c r="L1296" s="132" t="s">
        <v>306</v>
      </c>
      <c r="M1296" s="132" t="s">
        <v>267</v>
      </c>
      <c r="N1296" s="133">
        <v>41942</v>
      </c>
      <c r="O1296" s="134">
        <v>248</v>
      </c>
      <c r="P1296" s="132" t="s">
        <v>151</v>
      </c>
      <c r="Q1296" s="132" t="s">
        <v>290</v>
      </c>
      <c r="R1296" s="132" t="s">
        <v>267</v>
      </c>
      <c r="S1296" s="133">
        <v>41856</v>
      </c>
      <c r="T1296" s="134">
        <v>937.3</v>
      </c>
      <c r="U1296" s="132" t="s">
        <v>154</v>
      </c>
      <c r="V1296" s="132" t="s">
        <v>189</v>
      </c>
      <c r="W1296" s="132" t="s">
        <v>153</v>
      </c>
      <c r="X1296" s="133">
        <v>41841</v>
      </c>
      <c r="Y1296" s="134">
        <v>1030</v>
      </c>
    </row>
    <row r="1297" spans="1:25" x14ac:dyDescent="0.25">
      <c r="A1297" s="92" t="s">
        <v>148</v>
      </c>
      <c r="B1297" s="12" t="s">
        <v>268</v>
      </c>
      <c r="C1297" s="12" t="s">
        <v>174</v>
      </c>
      <c r="D1297" s="80">
        <v>41648</v>
      </c>
      <c r="E1297" s="81">
        <v>969</v>
      </c>
      <c r="F1297" s="76" t="s">
        <v>150</v>
      </c>
      <c r="G1297" s="77" t="s">
        <v>162</v>
      </c>
      <c r="H1297" s="77" t="s">
        <v>153</v>
      </c>
      <c r="I1297" s="86">
        <v>41849</v>
      </c>
      <c r="J1297" s="78">
        <v>522</v>
      </c>
      <c r="K1297" s="132" t="s">
        <v>20</v>
      </c>
      <c r="L1297" s="132" t="s">
        <v>306</v>
      </c>
      <c r="M1297" s="132" t="s">
        <v>267</v>
      </c>
      <c r="N1297" s="133">
        <v>41946</v>
      </c>
      <c r="O1297" s="134">
        <v>504</v>
      </c>
      <c r="P1297" s="132" t="s">
        <v>151</v>
      </c>
      <c r="Q1297" s="132" t="s">
        <v>290</v>
      </c>
      <c r="R1297" s="132" t="s">
        <v>267</v>
      </c>
      <c r="S1297" s="133">
        <v>41887</v>
      </c>
      <c r="T1297" s="134">
        <v>211.6</v>
      </c>
      <c r="U1297" s="132" t="s">
        <v>154</v>
      </c>
      <c r="V1297" s="132" t="s">
        <v>189</v>
      </c>
      <c r="W1297" s="132" t="s">
        <v>153</v>
      </c>
      <c r="X1297" s="133">
        <v>41842</v>
      </c>
      <c r="Y1297" s="134">
        <v>751</v>
      </c>
    </row>
    <row r="1298" spans="1:25" x14ac:dyDescent="0.25">
      <c r="A1298" s="92" t="s">
        <v>148</v>
      </c>
      <c r="B1298" s="12" t="s">
        <v>268</v>
      </c>
      <c r="C1298" s="12" t="s">
        <v>174</v>
      </c>
      <c r="D1298" s="80">
        <v>41649</v>
      </c>
      <c r="E1298" s="81">
        <v>830</v>
      </c>
      <c r="F1298" s="76" t="s">
        <v>150</v>
      </c>
      <c r="G1298" s="77" t="s">
        <v>162</v>
      </c>
      <c r="H1298" s="77" t="s">
        <v>153</v>
      </c>
      <c r="I1298" s="86">
        <v>41849</v>
      </c>
      <c r="J1298" s="78">
        <v>653</v>
      </c>
      <c r="K1298" s="132" t="s">
        <v>20</v>
      </c>
      <c r="L1298" s="132" t="s">
        <v>306</v>
      </c>
      <c r="M1298" s="132" t="s">
        <v>267</v>
      </c>
      <c r="N1298" s="133">
        <v>41948</v>
      </c>
      <c r="O1298" s="134">
        <v>518</v>
      </c>
      <c r="P1298" s="132" t="s">
        <v>151</v>
      </c>
      <c r="Q1298" s="132" t="s">
        <v>290</v>
      </c>
      <c r="R1298" s="132" t="s">
        <v>267</v>
      </c>
      <c r="S1298" s="133">
        <v>41890</v>
      </c>
      <c r="T1298" s="134">
        <v>934.2</v>
      </c>
      <c r="U1298" s="132" t="s">
        <v>154</v>
      </c>
      <c r="V1298" s="132" t="s">
        <v>189</v>
      </c>
      <c r="W1298" s="132" t="s">
        <v>153</v>
      </c>
      <c r="X1298" s="133">
        <v>41843</v>
      </c>
      <c r="Y1298" s="134">
        <v>835</v>
      </c>
    </row>
    <row r="1299" spans="1:25" x14ac:dyDescent="0.25">
      <c r="A1299" s="92" t="s">
        <v>148</v>
      </c>
      <c r="B1299" s="12" t="s">
        <v>268</v>
      </c>
      <c r="C1299" s="12" t="s">
        <v>174</v>
      </c>
      <c r="D1299" s="80">
        <v>41650</v>
      </c>
      <c r="E1299" s="81">
        <v>560</v>
      </c>
      <c r="F1299" s="76" t="s">
        <v>150</v>
      </c>
      <c r="G1299" s="77" t="s">
        <v>162</v>
      </c>
      <c r="H1299" s="77" t="s">
        <v>153</v>
      </c>
      <c r="I1299" s="86">
        <v>41850</v>
      </c>
      <c r="J1299" s="78">
        <v>916</v>
      </c>
      <c r="K1299" s="132" t="s">
        <v>20</v>
      </c>
      <c r="L1299" s="132" t="s">
        <v>306</v>
      </c>
      <c r="M1299" s="132" t="s">
        <v>267</v>
      </c>
      <c r="N1299" s="133">
        <v>41957</v>
      </c>
      <c r="O1299" s="134">
        <v>251</v>
      </c>
      <c r="P1299" s="132" t="s">
        <v>151</v>
      </c>
      <c r="Q1299" s="132" t="s">
        <v>291</v>
      </c>
      <c r="R1299" s="132" t="s">
        <v>267</v>
      </c>
      <c r="S1299" s="133">
        <v>41817</v>
      </c>
      <c r="T1299" s="134">
        <v>161.9</v>
      </c>
      <c r="U1299" s="132" t="s">
        <v>154</v>
      </c>
      <c r="V1299" s="132" t="s">
        <v>189</v>
      </c>
      <c r="W1299" s="132" t="s">
        <v>153</v>
      </c>
      <c r="X1299" s="133">
        <v>41844</v>
      </c>
      <c r="Y1299" s="134">
        <v>1125</v>
      </c>
    </row>
    <row r="1300" spans="1:25" x14ac:dyDescent="0.25">
      <c r="A1300" s="92" t="s">
        <v>148</v>
      </c>
      <c r="B1300" s="12" t="s">
        <v>268</v>
      </c>
      <c r="C1300" s="12" t="s">
        <v>174</v>
      </c>
      <c r="D1300" s="80">
        <v>41651</v>
      </c>
      <c r="E1300" s="81">
        <v>924</v>
      </c>
      <c r="F1300" s="76" t="s">
        <v>150</v>
      </c>
      <c r="G1300" s="77" t="s">
        <v>162</v>
      </c>
      <c r="H1300" s="77" t="s">
        <v>153</v>
      </c>
      <c r="I1300" s="86">
        <v>41855</v>
      </c>
      <c r="J1300" s="78">
        <v>1408</v>
      </c>
      <c r="K1300" s="132" t="s">
        <v>20</v>
      </c>
      <c r="L1300" s="132" t="s">
        <v>306</v>
      </c>
      <c r="M1300" s="132" t="s">
        <v>267</v>
      </c>
      <c r="N1300" s="133">
        <v>41963</v>
      </c>
      <c r="O1300" s="134">
        <v>255</v>
      </c>
      <c r="P1300" s="132" t="s">
        <v>151</v>
      </c>
      <c r="Q1300" s="132" t="s">
        <v>291</v>
      </c>
      <c r="R1300" s="132" t="s">
        <v>267</v>
      </c>
      <c r="S1300" s="133">
        <v>41831</v>
      </c>
      <c r="T1300" s="134">
        <v>154.5</v>
      </c>
      <c r="U1300" s="132" t="s">
        <v>154</v>
      </c>
      <c r="V1300" s="132" t="s">
        <v>189</v>
      </c>
      <c r="W1300" s="132" t="s">
        <v>153</v>
      </c>
      <c r="X1300" s="133">
        <v>41845</v>
      </c>
      <c r="Y1300" s="134">
        <v>1031</v>
      </c>
    </row>
    <row r="1301" spans="1:25" x14ac:dyDescent="0.25">
      <c r="A1301" s="92" t="s">
        <v>148</v>
      </c>
      <c r="B1301" s="12" t="s">
        <v>268</v>
      </c>
      <c r="C1301" s="12" t="s">
        <v>174</v>
      </c>
      <c r="D1301" s="80">
        <v>41652</v>
      </c>
      <c r="E1301" s="81">
        <v>625</v>
      </c>
      <c r="F1301" s="76" t="s">
        <v>150</v>
      </c>
      <c r="G1301" s="77" t="s">
        <v>162</v>
      </c>
      <c r="H1301" s="77" t="s">
        <v>153</v>
      </c>
      <c r="I1301" s="86">
        <v>41877</v>
      </c>
      <c r="J1301" s="78">
        <v>697</v>
      </c>
      <c r="K1301" s="132" t="s">
        <v>20</v>
      </c>
      <c r="L1301" s="132" t="s">
        <v>306</v>
      </c>
      <c r="M1301" s="132" t="s">
        <v>267</v>
      </c>
      <c r="N1301" s="133">
        <v>41968</v>
      </c>
      <c r="O1301" s="134">
        <v>364</v>
      </c>
      <c r="P1301" s="132" t="s">
        <v>151</v>
      </c>
      <c r="Q1301" s="132" t="s">
        <v>291</v>
      </c>
      <c r="R1301" s="132" t="s">
        <v>267</v>
      </c>
      <c r="S1301" s="133">
        <v>41834</v>
      </c>
      <c r="T1301" s="134">
        <v>526.4</v>
      </c>
      <c r="U1301" s="132" t="s">
        <v>154</v>
      </c>
      <c r="V1301" s="132" t="s">
        <v>189</v>
      </c>
      <c r="W1301" s="132" t="s">
        <v>153</v>
      </c>
      <c r="X1301" s="133">
        <v>41848</v>
      </c>
      <c r="Y1301" s="134">
        <v>1146</v>
      </c>
    </row>
    <row r="1302" spans="1:25" x14ac:dyDescent="0.25">
      <c r="A1302" s="92" t="s">
        <v>148</v>
      </c>
      <c r="B1302" s="12" t="s">
        <v>268</v>
      </c>
      <c r="C1302" s="12" t="s">
        <v>174</v>
      </c>
      <c r="D1302" s="80">
        <v>41653</v>
      </c>
      <c r="E1302" s="81">
        <v>820</v>
      </c>
      <c r="F1302" s="76" t="s">
        <v>150</v>
      </c>
      <c r="G1302" s="77" t="s">
        <v>162</v>
      </c>
      <c r="H1302" s="77" t="s">
        <v>153</v>
      </c>
      <c r="I1302" s="86">
        <v>41878</v>
      </c>
      <c r="J1302" s="78">
        <v>1033</v>
      </c>
      <c r="K1302" s="132" t="s">
        <v>20</v>
      </c>
      <c r="L1302" s="132" t="s">
        <v>306</v>
      </c>
      <c r="M1302" s="132" t="s">
        <v>267</v>
      </c>
      <c r="N1302" s="133">
        <v>41971</v>
      </c>
      <c r="O1302" s="134">
        <v>442</v>
      </c>
      <c r="P1302" s="132" t="s">
        <v>151</v>
      </c>
      <c r="Q1302" s="132" t="s">
        <v>291</v>
      </c>
      <c r="R1302" s="132" t="s">
        <v>267</v>
      </c>
      <c r="S1302" s="133">
        <v>41835</v>
      </c>
      <c r="T1302" s="134">
        <v>450.6</v>
      </c>
      <c r="U1302" s="132" t="s">
        <v>154</v>
      </c>
      <c r="V1302" s="132" t="s">
        <v>189</v>
      </c>
      <c r="W1302" s="132" t="s">
        <v>153</v>
      </c>
      <c r="X1302" s="133">
        <v>41849</v>
      </c>
      <c r="Y1302" s="134">
        <v>820</v>
      </c>
    </row>
    <row r="1303" spans="1:25" x14ac:dyDescent="0.25">
      <c r="A1303" s="92" t="s">
        <v>148</v>
      </c>
      <c r="B1303" s="12" t="s">
        <v>268</v>
      </c>
      <c r="C1303" s="12" t="s">
        <v>174</v>
      </c>
      <c r="D1303" s="80">
        <v>41655</v>
      </c>
      <c r="E1303" s="81">
        <v>800</v>
      </c>
      <c r="F1303" s="76" t="s">
        <v>150</v>
      </c>
      <c r="G1303" s="77" t="s">
        <v>162</v>
      </c>
      <c r="H1303" s="77" t="s">
        <v>153</v>
      </c>
      <c r="I1303" s="86">
        <v>41879</v>
      </c>
      <c r="J1303" s="78">
        <v>676</v>
      </c>
      <c r="K1303" s="132" t="s">
        <v>20</v>
      </c>
      <c r="L1303" s="132" t="s">
        <v>306</v>
      </c>
      <c r="M1303" s="132" t="s">
        <v>267</v>
      </c>
      <c r="N1303" s="133">
        <v>41992</v>
      </c>
      <c r="O1303" s="134">
        <v>1046</v>
      </c>
      <c r="P1303" s="132" t="s">
        <v>151</v>
      </c>
      <c r="Q1303" s="132" t="s">
        <v>291</v>
      </c>
      <c r="R1303" s="132" t="s">
        <v>267</v>
      </c>
      <c r="S1303" s="133">
        <v>41836</v>
      </c>
      <c r="T1303" s="134">
        <v>499.2</v>
      </c>
      <c r="U1303" s="132" t="s">
        <v>154</v>
      </c>
      <c r="V1303" s="132" t="s">
        <v>189</v>
      </c>
      <c r="W1303" s="132" t="s">
        <v>153</v>
      </c>
      <c r="X1303" s="133">
        <v>41850</v>
      </c>
      <c r="Y1303" s="134">
        <v>550</v>
      </c>
    </row>
    <row r="1304" spans="1:25" x14ac:dyDescent="0.25">
      <c r="A1304" s="92" t="s">
        <v>148</v>
      </c>
      <c r="B1304" s="12" t="s">
        <v>268</v>
      </c>
      <c r="C1304" s="12" t="s">
        <v>174</v>
      </c>
      <c r="D1304" s="80">
        <v>41656</v>
      </c>
      <c r="E1304" s="81">
        <v>800</v>
      </c>
      <c r="F1304" s="76" t="s">
        <v>150</v>
      </c>
      <c r="G1304" s="77" t="s">
        <v>162</v>
      </c>
      <c r="H1304" s="77" t="s">
        <v>153</v>
      </c>
      <c r="I1304" s="86">
        <v>41888</v>
      </c>
      <c r="J1304" s="78">
        <v>832</v>
      </c>
      <c r="K1304" s="132" t="s">
        <v>20</v>
      </c>
      <c r="L1304" s="132" t="s">
        <v>307</v>
      </c>
      <c r="M1304" s="132" t="s">
        <v>267</v>
      </c>
      <c r="N1304" s="133">
        <v>41661</v>
      </c>
      <c r="O1304" s="134">
        <v>1264</v>
      </c>
      <c r="P1304" s="132" t="s">
        <v>151</v>
      </c>
      <c r="Q1304" s="132" t="s">
        <v>291</v>
      </c>
      <c r="R1304" s="132" t="s">
        <v>267</v>
      </c>
      <c r="S1304" s="133">
        <v>41837</v>
      </c>
      <c r="T1304" s="134">
        <v>528.9</v>
      </c>
      <c r="U1304" s="132" t="s">
        <v>154</v>
      </c>
      <c r="V1304" s="132" t="s">
        <v>189</v>
      </c>
      <c r="W1304" s="132" t="s">
        <v>153</v>
      </c>
      <c r="X1304" s="133">
        <v>41851</v>
      </c>
      <c r="Y1304" s="134">
        <v>800</v>
      </c>
    </row>
    <row r="1305" spans="1:25" x14ac:dyDescent="0.25">
      <c r="A1305" s="92" t="s">
        <v>148</v>
      </c>
      <c r="B1305" s="12" t="s">
        <v>268</v>
      </c>
      <c r="C1305" s="12" t="s">
        <v>174</v>
      </c>
      <c r="D1305" s="80">
        <v>41657</v>
      </c>
      <c r="E1305" s="81">
        <v>828</v>
      </c>
      <c r="F1305" s="76" t="s">
        <v>150</v>
      </c>
      <c r="G1305" s="77" t="s">
        <v>162</v>
      </c>
      <c r="H1305" s="77" t="s">
        <v>153</v>
      </c>
      <c r="I1305" s="86">
        <v>41888</v>
      </c>
      <c r="J1305" s="78">
        <v>1009</v>
      </c>
      <c r="K1305" s="132" t="s">
        <v>20</v>
      </c>
      <c r="L1305" s="132" t="s">
        <v>307</v>
      </c>
      <c r="M1305" s="132" t="s">
        <v>267</v>
      </c>
      <c r="N1305" s="133">
        <v>41671</v>
      </c>
      <c r="O1305" s="134">
        <v>586</v>
      </c>
      <c r="P1305" s="132" t="s">
        <v>151</v>
      </c>
      <c r="Q1305" s="132" t="s">
        <v>291</v>
      </c>
      <c r="R1305" s="132" t="s">
        <v>267</v>
      </c>
      <c r="S1305" s="133">
        <v>41838</v>
      </c>
      <c r="T1305" s="134">
        <v>459.8</v>
      </c>
      <c r="U1305" s="132" t="s">
        <v>154</v>
      </c>
      <c r="V1305" s="132" t="s">
        <v>189</v>
      </c>
      <c r="W1305" s="132" t="s">
        <v>153</v>
      </c>
      <c r="X1305" s="133">
        <v>41858</v>
      </c>
      <c r="Y1305" s="134">
        <v>1210</v>
      </c>
    </row>
    <row r="1306" spans="1:25" x14ac:dyDescent="0.25">
      <c r="A1306" s="92" t="s">
        <v>148</v>
      </c>
      <c r="B1306" s="12" t="s">
        <v>268</v>
      </c>
      <c r="C1306" s="12" t="s">
        <v>174</v>
      </c>
      <c r="D1306" s="80">
        <v>41658</v>
      </c>
      <c r="E1306" s="81">
        <v>497</v>
      </c>
      <c r="F1306" s="76" t="s">
        <v>150</v>
      </c>
      <c r="G1306" s="77" t="s">
        <v>162</v>
      </c>
      <c r="H1306" s="77" t="s">
        <v>153</v>
      </c>
      <c r="I1306" s="86">
        <v>41889</v>
      </c>
      <c r="J1306" s="78">
        <v>943</v>
      </c>
      <c r="K1306" s="132" t="s">
        <v>20</v>
      </c>
      <c r="L1306" s="132" t="s">
        <v>307</v>
      </c>
      <c r="M1306" s="132" t="s">
        <v>267</v>
      </c>
      <c r="N1306" s="133">
        <v>41721</v>
      </c>
      <c r="O1306" s="134">
        <v>738</v>
      </c>
      <c r="P1306" s="132" t="s">
        <v>151</v>
      </c>
      <c r="Q1306" s="132" t="s">
        <v>291</v>
      </c>
      <c r="R1306" s="132" t="s">
        <v>267</v>
      </c>
      <c r="S1306" s="133">
        <v>41843</v>
      </c>
      <c r="T1306" s="134">
        <v>511.4</v>
      </c>
      <c r="U1306" s="132" t="s">
        <v>154</v>
      </c>
      <c r="V1306" s="132" t="s">
        <v>189</v>
      </c>
      <c r="W1306" s="132" t="s">
        <v>153</v>
      </c>
      <c r="X1306" s="133">
        <v>41859</v>
      </c>
      <c r="Y1306" s="134">
        <v>1112</v>
      </c>
    </row>
    <row r="1307" spans="1:25" x14ac:dyDescent="0.25">
      <c r="A1307" s="92" t="s">
        <v>148</v>
      </c>
      <c r="B1307" s="12" t="s">
        <v>268</v>
      </c>
      <c r="C1307" s="12" t="s">
        <v>174</v>
      </c>
      <c r="D1307" s="80">
        <v>41659</v>
      </c>
      <c r="E1307" s="81">
        <v>572</v>
      </c>
      <c r="F1307" s="76" t="s">
        <v>150</v>
      </c>
      <c r="G1307" s="77" t="s">
        <v>162</v>
      </c>
      <c r="H1307" s="77" t="s">
        <v>153</v>
      </c>
      <c r="I1307" s="86">
        <v>41891</v>
      </c>
      <c r="J1307" s="78">
        <v>1122</v>
      </c>
      <c r="K1307" s="132" t="s">
        <v>20</v>
      </c>
      <c r="L1307" s="132" t="s">
        <v>307</v>
      </c>
      <c r="M1307" s="132" t="s">
        <v>267</v>
      </c>
      <c r="N1307" s="133">
        <v>41745</v>
      </c>
      <c r="O1307" s="134">
        <v>851</v>
      </c>
      <c r="P1307" s="132" t="s">
        <v>151</v>
      </c>
      <c r="Q1307" s="132" t="s">
        <v>291</v>
      </c>
      <c r="R1307" s="132" t="s">
        <v>267</v>
      </c>
      <c r="S1307" s="133">
        <v>41844</v>
      </c>
      <c r="T1307" s="134">
        <v>921.1</v>
      </c>
      <c r="U1307" s="132" t="s">
        <v>154</v>
      </c>
      <c r="V1307" s="132" t="s">
        <v>189</v>
      </c>
      <c r="W1307" s="132" t="s">
        <v>153</v>
      </c>
      <c r="X1307" s="133">
        <v>41860</v>
      </c>
      <c r="Y1307" s="134">
        <v>733</v>
      </c>
    </row>
    <row r="1308" spans="1:25" x14ac:dyDescent="0.25">
      <c r="A1308" s="92" t="s">
        <v>148</v>
      </c>
      <c r="B1308" s="12" t="s">
        <v>268</v>
      </c>
      <c r="C1308" s="12" t="s">
        <v>174</v>
      </c>
      <c r="D1308" s="80">
        <v>41660</v>
      </c>
      <c r="E1308" s="81">
        <v>900</v>
      </c>
      <c r="F1308" s="76" t="s">
        <v>150</v>
      </c>
      <c r="G1308" s="77" t="s">
        <v>162</v>
      </c>
      <c r="H1308" s="77" t="s">
        <v>153</v>
      </c>
      <c r="I1308" s="86">
        <v>41943</v>
      </c>
      <c r="J1308" s="78">
        <v>476</v>
      </c>
      <c r="K1308" s="132" t="s">
        <v>20</v>
      </c>
      <c r="L1308" s="132" t="s">
        <v>307</v>
      </c>
      <c r="M1308" s="132" t="s">
        <v>267</v>
      </c>
      <c r="N1308" s="133">
        <v>41767</v>
      </c>
      <c r="O1308" s="134">
        <v>749</v>
      </c>
      <c r="P1308" s="132" t="s">
        <v>151</v>
      </c>
      <c r="Q1308" s="132" t="s">
        <v>291</v>
      </c>
      <c r="R1308" s="132" t="s">
        <v>267</v>
      </c>
      <c r="S1308" s="133">
        <v>41845</v>
      </c>
      <c r="T1308" s="134">
        <v>885.3</v>
      </c>
      <c r="U1308" s="132" t="s">
        <v>154</v>
      </c>
      <c r="V1308" s="132" t="s">
        <v>189</v>
      </c>
      <c r="W1308" s="132" t="s">
        <v>153</v>
      </c>
      <c r="X1308" s="133">
        <v>41860</v>
      </c>
      <c r="Y1308" s="134">
        <v>394</v>
      </c>
    </row>
    <row r="1309" spans="1:25" x14ac:dyDescent="0.25">
      <c r="A1309" s="92" t="s">
        <v>148</v>
      </c>
      <c r="B1309" s="12" t="s">
        <v>268</v>
      </c>
      <c r="C1309" s="12" t="s">
        <v>174</v>
      </c>
      <c r="D1309" s="80">
        <v>41661</v>
      </c>
      <c r="E1309" s="81">
        <v>950</v>
      </c>
      <c r="F1309" s="76" t="s">
        <v>150</v>
      </c>
      <c r="G1309" s="77" t="s">
        <v>162</v>
      </c>
      <c r="H1309" s="77" t="s">
        <v>153</v>
      </c>
      <c r="I1309" s="86">
        <v>41945</v>
      </c>
      <c r="J1309" s="78">
        <v>772</v>
      </c>
      <c r="K1309" s="132" t="s">
        <v>20</v>
      </c>
      <c r="L1309" s="132" t="s">
        <v>307</v>
      </c>
      <c r="M1309" s="132" t="s">
        <v>267</v>
      </c>
      <c r="N1309" s="133">
        <v>41768</v>
      </c>
      <c r="O1309" s="134">
        <v>806</v>
      </c>
      <c r="P1309" s="132" t="s">
        <v>151</v>
      </c>
      <c r="Q1309" s="132" t="s">
        <v>291</v>
      </c>
      <c r="R1309" s="132" t="s">
        <v>267</v>
      </c>
      <c r="S1309" s="133">
        <v>41848</v>
      </c>
      <c r="T1309" s="134">
        <v>943.1</v>
      </c>
      <c r="U1309" s="132" t="s">
        <v>154</v>
      </c>
      <c r="V1309" s="132" t="s">
        <v>189</v>
      </c>
      <c r="W1309" s="132" t="s">
        <v>153</v>
      </c>
      <c r="X1309" s="133">
        <v>41861</v>
      </c>
      <c r="Y1309" s="134">
        <v>633</v>
      </c>
    </row>
    <row r="1310" spans="1:25" x14ac:dyDescent="0.25">
      <c r="A1310" s="92" t="s">
        <v>148</v>
      </c>
      <c r="B1310" s="12" t="s">
        <v>268</v>
      </c>
      <c r="C1310" s="12" t="s">
        <v>174</v>
      </c>
      <c r="D1310" s="80">
        <v>41662</v>
      </c>
      <c r="E1310" s="81">
        <v>958</v>
      </c>
      <c r="F1310" s="76" t="s">
        <v>150</v>
      </c>
      <c r="G1310" s="77" t="s">
        <v>162</v>
      </c>
      <c r="H1310" s="77" t="s">
        <v>153</v>
      </c>
      <c r="I1310" s="86">
        <v>41946</v>
      </c>
      <c r="J1310" s="78">
        <v>561</v>
      </c>
      <c r="K1310" s="132" t="s">
        <v>20</v>
      </c>
      <c r="L1310" s="132" t="s">
        <v>307</v>
      </c>
      <c r="M1310" s="132" t="s">
        <v>267</v>
      </c>
      <c r="N1310" s="133">
        <v>41852</v>
      </c>
      <c r="O1310" s="134">
        <v>1124</v>
      </c>
      <c r="P1310" s="132" t="s">
        <v>151</v>
      </c>
      <c r="Q1310" s="132" t="s">
        <v>291</v>
      </c>
      <c r="R1310" s="132" t="s">
        <v>267</v>
      </c>
      <c r="S1310" s="133">
        <v>41849</v>
      </c>
      <c r="T1310" s="134">
        <v>879.4</v>
      </c>
      <c r="U1310" s="132" t="s">
        <v>154</v>
      </c>
      <c r="V1310" s="132" t="s">
        <v>189</v>
      </c>
      <c r="W1310" s="132" t="s">
        <v>153</v>
      </c>
      <c r="X1310" s="133">
        <v>41861</v>
      </c>
      <c r="Y1310" s="134">
        <v>730</v>
      </c>
    </row>
    <row r="1311" spans="1:25" x14ac:dyDescent="0.25">
      <c r="A1311" s="92" t="s">
        <v>148</v>
      </c>
      <c r="B1311" s="12" t="s">
        <v>268</v>
      </c>
      <c r="C1311" s="12" t="s">
        <v>174</v>
      </c>
      <c r="D1311" s="80">
        <v>41663</v>
      </c>
      <c r="E1311" s="81">
        <v>1000</v>
      </c>
      <c r="F1311" s="76" t="s">
        <v>150</v>
      </c>
      <c r="G1311" s="77" t="s">
        <v>162</v>
      </c>
      <c r="H1311" s="77" t="s">
        <v>153</v>
      </c>
      <c r="I1311" s="86">
        <v>41947</v>
      </c>
      <c r="J1311" s="78">
        <v>622</v>
      </c>
      <c r="K1311" s="132" t="s">
        <v>20</v>
      </c>
      <c r="L1311" s="132" t="s">
        <v>307</v>
      </c>
      <c r="M1311" s="132" t="s">
        <v>267</v>
      </c>
      <c r="N1311" s="133">
        <v>41865</v>
      </c>
      <c r="O1311" s="134">
        <v>1265</v>
      </c>
      <c r="P1311" s="132" t="s">
        <v>151</v>
      </c>
      <c r="Q1311" s="132" t="s">
        <v>291</v>
      </c>
      <c r="R1311" s="132" t="s">
        <v>267</v>
      </c>
      <c r="S1311" s="133">
        <v>41850</v>
      </c>
      <c r="T1311" s="134">
        <v>894.5</v>
      </c>
      <c r="U1311" s="132" t="s">
        <v>154</v>
      </c>
      <c r="V1311" s="132" t="s">
        <v>189</v>
      </c>
      <c r="W1311" s="132" t="s">
        <v>153</v>
      </c>
      <c r="X1311" s="133">
        <v>41889</v>
      </c>
      <c r="Y1311" s="134">
        <v>303</v>
      </c>
    </row>
    <row r="1312" spans="1:25" x14ac:dyDescent="0.25">
      <c r="A1312" s="92" t="s">
        <v>148</v>
      </c>
      <c r="B1312" s="12" t="s">
        <v>268</v>
      </c>
      <c r="C1312" s="12" t="s">
        <v>174</v>
      </c>
      <c r="D1312" s="80">
        <v>41665</v>
      </c>
      <c r="E1312" s="81">
        <v>1135</v>
      </c>
      <c r="F1312" s="76" t="s">
        <v>150</v>
      </c>
      <c r="G1312" s="77" t="s">
        <v>162</v>
      </c>
      <c r="H1312" s="77" t="s">
        <v>153</v>
      </c>
      <c r="I1312" s="86">
        <v>41947</v>
      </c>
      <c r="J1312" s="78">
        <v>464</v>
      </c>
      <c r="K1312" s="132" t="s">
        <v>20</v>
      </c>
      <c r="L1312" s="132" t="s">
        <v>307</v>
      </c>
      <c r="M1312" s="132" t="s">
        <v>267</v>
      </c>
      <c r="N1312" s="133">
        <v>41870</v>
      </c>
      <c r="O1312" s="134">
        <v>568</v>
      </c>
      <c r="P1312" s="132" t="s">
        <v>151</v>
      </c>
      <c r="Q1312" s="132" t="s">
        <v>291</v>
      </c>
      <c r="R1312" s="132" t="s">
        <v>267</v>
      </c>
      <c r="S1312" s="133">
        <v>41851</v>
      </c>
      <c r="T1312" s="134">
        <v>894.5</v>
      </c>
      <c r="U1312" s="132" t="s">
        <v>154</v>
      </c>
      <c r="V1312" s="132" t="s">
        <v>189</v>
      </c>
      <c r="W1312" s="132" t="s">
        <v>153</v>
      </c>
      <c r="X1312" s="133">
        <v>41890</v>
      </c>
      <c r="Y1312" s="134">
        <v>900</v>
      </c>
    </row>
    <row r="1313" spans="1:25" x14ac:dyDescent="0.25">
      <c r="A1313" s="92" t="s">
        <v>148</v>
      </c>
      <c r="B1313" s="12" t="s">
        <v>268</v>
      </c>
      <c r="C1313" s="12" t="s">
        <v>174</v>
      </c>
      <c r="D1313" s="80">
        <v>41666</v>
      </c>
      <c r="E1313" s="81">
        <v>600</v>
      </c>
      <c r="F1313" s="76" t="s">
        <v>150</v>
      </c>
      <c r="G1313" s="77" t="s">
        <v>162</v>
      </c>
      <c r="H1313" s="77" t="s">
        <v>153</v>
      </c>
      <c r="I1313" s="86">
        <v>41948</v>
      </c>
      <c r="J1313" s="78">
        <v>902</v>
      </c>
      <c r="K1313" s="132" t="s">
        <v>20</v>
      </c>
      <c r="L1313" s="132" t="s">
        <v>307</v>
      </c>
      <c r="M1313" s="132" t="s">
        <v>267</v>
      </c>
      <c r="N1313" s="133">
        <v>41872</v>
      </c>
      <c r="O1313" s="134">
        <v>693</v>
      </c>
      <c r="P1313" s="132" t="s">
        <v>151</v>
      </c>
      <c r="Q1313" s="132" t="s">
        <v>291</v>
      </c>
      <c r="R1313" s="132" t="s">
        <v>267</v>
      </c>
      <c r="S1313" s="133">
        <v>41864</v>
      </c>
      <c r="T1313" s="134">
        <v>422</v>
      </c>
      <c r="U1313" s="132" t="s">
        <v>154</v>
      </c>
      <c r="V1313" s="132" t="s">
        <v>189</v>
      </c>
      <c r="W1313" s="132" t="s">
        <v>153</v>
      </c>
      <c r="X1313" s="133">
        <v>41911</v>
      </c>
      <c r="Y1313" s="134">
        <v>1071</v>
      </c>
    </row>
    <row r="1314" spans="1:25" x14ac:dyDescent="0.25">
      <c r="A1314" s="92" t="s">
        <v>148</v>
      </c>
      <c r="B1314" s="12" t="s">
        <v>268</v>
      </c>
      <c r="C1314" s="12" t="s">
        <v>174</v>
      </c>
      <c r="D1314" s="80">
        <v>41667</v>
      </c>
      <c r="E1314" s="81">
        <v>1000</v>
      </c>
      <c r="F1314" s="76" t="s">
        <v>150</v>
      </c>
      <c r="G1314" s="77" t="s">
        <v>162</v>
      </c>
      <c r="H1314" s="77" t="s">
        <v>153</v>
      </c>
      <c r="I1314" s="86">
        <v>41950</v>
      </c>
      <c r="J1314" s="78">
        <v>928</v>
      </c>
      <c r="K1314" s="132" t="s">
        <v>20</v>
      </c>
      <c r="L1314" s="132" t="s">
        <v>307</v>
      </c>
      <c r="M1314" s="132" t="s">
        <v>267</v>
      </c>
      <c r="N1314" s="133">
        <v>41877</v>
      </c>
      <c r="O1314" s="134">
        <v>576</v>
      </c>
      <c r="P1314" s="132" t="s">
        <v>151</v>
      </c>
      <c r="Q1314" s="132" t="s">
        <v>291</v>
      </c>
      <c r="R1314" s="132" t="s">
        <v>267</v>
      </c>
      <c r="S1314" s="133">
        <v>41865</v>
      </c>
      <c r="T1314" s="134">
        <v>436.8</v>
      </c>
      <c r="U1314" s="132" t="s">
        <v>154</v>
      </c>
      <c r="V1314" s="132" t="s">
        <v>189</v>
      </c>
      <c r="W1314" s="132" t="s">
        <v>153</v>
      </c>
      <c r="X1314" s="133">
        <v>41912</v>
      </c>
      <c r="Y1314" s="134">
        <v>460</v>
      </c>
    </row>
    <row r="1315" spans="1:25" x14ac:dyDescent="0.25">
      <c r="A1315" s="92" t="s">
        <v>148</v>
      </c>
      <c r="B1315" s="12" t="s">
        <v>268</v>
      </c>
      <c r="C1315" s="12" t="s">
        <v>174</v>
      </c>
      <c r="D1315" s="80">
        <v>41669</v>
      </c>
      <c r="E1315" s="81">
        <v>690</v>
      </c>
      <c r="F1315" s="76" t="s">
        <v>150</v>
      </c>
      <c r="G1315" s="77" t="s">
        <v>162</v>
      </c>
      <c r="H1315" s="77" t="s">
        <v>153</v>
      </c>
      <c r="I1315" s="86">
        <v>41954</v>
      </c>
      <c r="J1315" s="78">
        <v>933</v>
      </c>
      <c r="K1315" s="132" t="s">
        <v>20</v>
      </c>
      <c r="L1315" s="132" t="s">
        <v>307</v>
      </c>
      <c r="M1315" s="132" t="s">
        <v>267</v>
      </c>
      <c r="N1315" s="133">
        <v>41878</v>
      </c>
      <c r="O1315" s="134">
        <v>625</v>
      </c>
      <c r="P1315" s="132" t="s">
        <v>151</v>
      </c>
      <c r="Q1315" s="132" t="s">
        <v>291</v>
      </c>
      <c r="R1315" s="132" t="s">
        <v>267</v>
      </c>
      <c r="S1315" s="133">
        <v>41866</v>
      </c>
      <c r="T1315" s="134">
        <v>526.79999999999995</v>
      </c>
      <c r="U1315" s="132" t="s">
        <v>154</v>
      </c>
      <c r="V1315" s="132" t="s">
        <v>189</v>
      </c>
      <c r="W1315" s="132" t="s">
        <v>153</v>
      </c>
      <c r="X1315" s="133">
        <v>41914</v>
      </c>
      <c r="Y1315" s="134">
        <v>440</v>
      </c>
    </row>
    <row r="1316" spans="1:25" x14ac:dyDescent="0.25">
      <c r="A1316" s="92" t="s">
        <v>148</v>
      </c>
      <c r="B1316" s="12" t="s">
        <v>269</v>
      </c>
      <c r="C1316" s="12" t="s">
        <v>174</v>
      </c>
      <c r="D1316" s="80">
        <v>41640</v>
      </c>
      <c r="E1316" s="81">
        <v>1550</v>
      </c>
      <c r="F1316" s="76" t="s">
        <v>150</v>
      </c>
      <c r="G1316" s="77" t="s">
        <v>162</v>
      </c>
      <c r="H1316" s="77" t="s">
        <v>153</v>
      </c>
      <c r="I1316" s="86">
        <v>41955</v>
      </c>
      <c r="J1316" s="78">
        <v>689</v>
      </c>
      <c r="K1316" s="132" t="s">
        <v>20</v>
      </c>
      <c r="L1316" s="132" t="s">
        <v>307</v>
      </c>
      <c r="M1316" s="132" t="s">
        <v>267</v>
      </c>
      <c r="N1316" s="133">
        <v>41886</v>
      </c>
      <c r="O1316" s="134">
        <v>240</v>
      </c>
      <c r="P1316" s="132" t="s">
        <v>151</v>
      </c>
      <c r="Q1316" s="132" t="s">
        <v>291</v>
      </c>
      <c r="R1316" s="132" t="s">
        <v>267</v>
      </c>
      <c r="S1316" s="133">
        <v>41869</v>
      </c>
      <c r="T1316" s="134">
        <v>559.29999999999995</v>
      </c>
      <c r="U1316" s="132" t="s">
        <v>154</v>
      </c>
      <c r="V1316" s="132" t="s">
        <v>189</v>
      </c>
      <c r="W1316" s="132" t="s">
        <v>153</v>
      </c>
      <c r="X1316" s="133">
        <v>41918</v>
      </c>
      <c r="Y1316" s="134">
        <v>993</v>
      </c>
    </row>
    <row r="1317" spans="1:25" x14ac:dyDescent="0.25">
      <c r="A1317" s="92" t="s">
        <v>148</v>
      </c>
      <c r="B1317" s="12" t="s">
        <v>269</v>
      </c>
      <c r="C1317" s="12" t="s">
        <v>174</v>
      </c>
      <c r="D1317" s="80">
        <v>41641</v>
      </c>
      <c r="E1317" s="81">
        <v>600</v>
      </c>
      <c r="F1317" s="76" t="s">
        <v>150</v>
      </c>
      <c r="G1317" s="77" t="s">
        <v>162</v>
      </c>
      <c r="H1317" s="77" t="s">
        <v>153</v>
      </c>
      <c r="I1317" s="86">
        <v>41956</v>
      </c>
      <c r="J1317" s="78">
        <v>547</v>
      </c>
      <c r="K1317" s="132" t="s">
        <v>20</v>
      </c>
      <c r="L1317" s="132" t="s">
        <v>307</v>
      </c>
      <c r="M1317" s="132" t="s">
        <v>267</v>
      </c>
      <c r="N1317" s="133">
        <v>41890</v>
      </c>
      <c r="O1317" s="134">
        <v>564</v>
      </c>
      <c r="P1317" s="132" t="s">
        <v>151</v>
      </c>
      <c r="Q1317" s="132" t="s">
        <v>291</v>
      </c>
      <c r="R1317" s="132" t="s">
        <v>267</v>
      </c>
      <c r="S1317" s="133">
        <v>41870</v>
      </c>
      <c r="T1317" s="134">
        <v>545.4</v>
      </c>
      <c r="U1317" s="132" t="s">
        <v>154</v>
      </c>
      <c r="V1317" s="132" t="s">
        <v>189</v>
      </c>
      <c r="W1317" s="132" t="s">
        <v>153</v>
      </c>
      <c r="X1317" s="133">
        <v>41919</v>
      </c>
      <c r="Y1317" s="134">
        <v>890</v>
      </c>
    </row>
    <row r="1318" spans="1:25" x14ac:dyDescent="0.25">
      <c r="A1318" s="92" t="s">
        <v>148</v>
      </c>
      <c r="B1318" s="12" t="s">
        <v>269</v>
      </c>
      <c r="C1318" s="12" t="s">
        <v>174</v>
      </c>
      <c r="D1318" s="80">
        <v>41642</v>
      </c>
      <c r="E1318" s="81">
        <v>1005</v>
      </c>
      <c r="F1318" s="76" t="s">
        <v>150</v>
      </c>
      <c r="G1318" s="77" t="s">
        <v>162</v>
      </c>
      <c r="H1318" s="77" t="s">
        <v>153</v>
      </c>
      <c r="I1318" s="86">
        <v>41957</v>
      </c>
      <c r="J1318" s="78">
        <v>440</v>
      </c>
      <c r="K1318" s="132" t="s">
        <v>20</v>
      </c>
      <c r="L1318" s="132" t="s">
        <v>307</v>
      </c>
      <c r="M1318" s="132" t="s">
        <v>267</v>
      </c>
      <c r="N1318" s="133">
        <v>41892</v>
      </c>
      <c r="O1318" s="134">
        <v>603</v>
      </c>
      <c r="P1318" s="132" t="s">
        <v>151</v>
      </c>
      <c r="Q1318" s="132" t="s">
        <v>291</v>
      </c>
      <c r="R1318" s="132" t="s">
        <v>267</v>
      </c>
      <c r="S1318" s="133">
        <v>41925</v>
      </c>
      <c r="T1318" s="134">
        <v>109.1</v>
      </c>
      <c r="U1318" s="132" t="s">
        <v>154</v>
      </c>
      <c r="V1318" s="132" t="s">
        <v>189</v>
      </c>
      <c r="W1318" s="132" t="s">
        <v>153</v>
      </c>
      <c r="X1318" s="133">
        <v>41920</v>
      </c>
      <c r="Y1318" s="134">
        <v>611</v>
      </c>
    </row>
    <row r="1319" spans="1:25" x14ac:dyDescent="0.25">
      <c r="A1319" s="92" t="s">
        <v>148</v>
      </c>
      <c r="B1319" s="12" t="s">
        <v>269</v>
      </c>
      <c r="C1319" s="12" t="s">
        <v>174</v>
      </c>
      <c r="D1319" s="80">
        <v>41651</v>
      </c>
      <c r="E1319" s="81">
        <v>1550</v>
      </c>
      <c r="F1319" s="76" t="s">
        <v>150</v>
      </c>
      <c r="G1319" s="77" t="s">
        <v>162</v>
      </c>
      <c r="H1319" s="77" t="s">
        <v>153</v>
      </c>
      <c r="I1319" s="86">
        <v>41961</v>
      </c>
      <c r="J1319" s="78">
        <v>491</v>
      </c>
      <c r="K1319" s="132" t="s">
        <v>20</v>
      </c>
      <c r="L1319" s="132" t="s">
        <v>307</v>
      </c>
      <c r="M1319" s="132" t="s">
        <v>267</v>
      </c>
      <c r="N1319" s="133">
        <v>41898</v>
      </c>
      <c r="O1319" s="134">
        <v>552</v>
      </c>
      <c r="P1319" s="132" t="s">
        <v>151</v>
      </c>
      <c r="Q1319" s="132" t="s">
        <v>291</v>
      </c>
      <c r="R1319" s="132" t="s">
        <v>267</v>
      </c>
      <c r="S1319" s="133">
        <v>41926</v>
      </c>
      <c r="T1319" s="134">
        <v>622.70000000000005</v>
      </c>
      <c r="U1319" s="132" t="s">
        <v>154</v>
      </c>
      <c r="V1319" s="132" t="s">
        <v>189</v>
      </c>
      <c r="W1319" s="132" t="s">
        <v>153</v>
      </c>
      <c r="X1319" s="133">
        <v>41922</v>
      </c>
      <c r="Y1319" s="134">
        <v>560</v>
      </c>
    </row>
    <row r="1320" spans="1:25" x14ac:dyDescent="0.25">
      <c r="A1320" s="92" t="s">
        <v>148</v>
      </c>
      <c r="B1320" s="12" t="s">
        <v>269</v>
      </c>
      <c r="C1320" s="12" t="s">
        <v>174</v>
      </c>
      <c r="D1320" s="80">
        <v>41652</v>
      </c>
      <c r="E1320" s="81">
        <v>1120</v>
      </c>
      <c r="F1320" s="76" t="s">
        <v>150</v>
      </c>
      <c r="G1320" s="77" t="s">
        <v>162</v>
      </c>
      <c r="H1320" s="77" t="s">
        <v>153</v>
      </c>
      <c r="I1320" s="86">
        <v>41963</v>
      </c>
      <c r="J1320" s="78">
        <v>1039</v>
      </c>
      <c r="K1320" s="132" t="s">
        <v>20</v>
      </c>
      <c r="L1320" s="132" t="s">
        <v>307</v>
      </c>
      <c r="M1320" s="132" t="s">
        <v>267</v>
      </c>
      <c r="N1320" s="133">
        <v>41901</v>
      </c>
      <c r="O1320" s="134">
        <v>531</v>
      </c>
      <c r="P1320" s="132" t="s">
        <v>151</v>
      </c>
      <c r="Q1320" s="132" t="s">
        <v>291</v>
      </c>
      <c r="R1320" s="132" t="s">
        <v>267</v>
      </c>
      <c r="S1320" s="133">
        <v>41927</v>
      </c>
      <c r="T1320" s="134">
        <v>833.3</v>
      </c>
      <c r="U1320" s="132" t="s">
        <v>154</v>
      </c>
      <c r="V1320" s="132" t="s">
        <v>189</v>
      </c>
      <c r="W1320" s="132" t="s">
        <v>153</v>
      </c>
      <c r="X1320" s="133">
        <v>41925</v>
      </c>
      <c r="Y1320" s="134">
        <v>600</v>
      </c>
    </row>
    <row r="1321" spans="1:25" x14ac:dyDescent="0.25">
      <c r="A1321" s="92" t="s">
        <v>148</v>
      </c>
      <c r="B1321" s="12" t="s">
        <v>269</v>
      </c>
      <c r="C1321" s="12" t="s">
        <v>174</v>
      </c>
      <c r="D1321" s="80">
        <v>41653</v>
      </c>
      <c r="E1321" s="81">
        <v>800</v>
      </c>
      <c r="F1321" s="76" t="s">
        <v>150</v>
      </c>
      <c r="G1321" s="77" t="s">
        <v>162</v>
      </c>
      <c r="H1321" s="77" t="s">
        <v>153</v>
      </c>
      <c r="I1321" s="86">
        <v>41964</v>
      </c>
      <c r="J1321" s="78">
        <v>1016</v>
      </c>
      <c r="K1321" s="132" t="s">
        <v>20</v>
      </c>
      <c r="L1321" s="132" t="s">
        <v>307</v>
      </c>
      <c r="M1321" s="132" t="s">
        <v>267</v>
      </c>
      <c r="N1321" s="133">
        <v>41905</v>
      </c>
      <c r="O1321" s="134">
        <v>283</v>
      </c>
      <c r="P1321" s="132" t="s">
        <v>151</v>
      </c>
      <c r="Q1321" s="132" t="s">
        <v>291</v>
      </c>
      <c r="R1321" s="132" t="s">
        <v>267</v>
      </c>
      <c r="S1321" s="133">
        <v>41932</v>
      </c>
      <c r="T1321" s="134">
        <v>629.6</v>
      </c>
      <c r="U1321" s="132" t="s">
        <v>154</v>
      </c>
      <c r="V1321" s="132" t="s">
        <v>190</v>
      </c>
      <c r="W1321" s="132" t="s">
        <v>153</v>
      </c>
      <c r="X1321" s="133">
        <v>41666</v>
      </c>
      <c r="Y1321" s="134">
        <v>350</v>
      </c>
    </row>
    <row r="1322" spans="1:25" x14ac:dyDescent="0.25">
      <c r="A1322" s="92" t="s">
        <v>148</v>
      </c>
      <c r="B1322" s="12" t="s">
        <v>269</v>
      </c>
      <c r="C1322" s="12" t="s">
        <v>174</v>
      </c>
      <c r="D1322" s="80">
        <v>41654</v>
      </c>
      <c r="E1322" s="81">
        <v>810</v>
      </c>
      <c r="F1322" s="76" t="s">
        <v>150</v>
      </c>
      <c r="G1322" s="77" t="s">
        <v>162</v>
      </c>
      <c r="H1322" s="77" t="s">
        <v>153</v>
      </c>
      <c r="I1322" s="86">
        <v>41965</v>
      </c>
      <c r="J1322" s="78">
        <v>1081</v>
      </c>
      <c r="K1322" s="132" t="s">
        <v>20</v>
      </c>
      <c r="L1322" s="132" t="s">
        <v>307</v>
      </c>
      <c r="M1322" s="132" t="s">
        <v>267</v>
      </c>
      <c r="N1322" s="133">
        <v>41918</v>
      </c>
      <c r="O1322" s="134">
        <v>488</v>
      </c>
      <c r="P1322" s="132" t="s">
        <v>151</v>
      </c>
      <c r="Q1322" s="132" t="s">
        <v>291</v>
      </c>
      <c r="R1322" s="132" t="s">
        <v>267</v>
      </c>
      <c r="S1322" s="133">
        <v>41933</v>
      </c>
      <c r="T1322" s="134">
        <v>647.4</v>
      </c>
      <c r="U1322" s="132" t="s">
        <v>154</v>
      </c>
      <c r="V1322" s="132" t="s">
        <v>190</v>
      </c>
      <c r="W1322" s="132" t="s">
        <v>153</v>
      </c>
      <c r="X1322" s="133">
        <v>41667</v>
      </c>
      <c r="Y1322" s="134">
        <v>650</v>
      </c>
    </row>
    <row r="1323" spans="1:25" x14ac:dyDescent="0.25">
      <c r="A1323" s="92" t="s">
        <v>148</v>
      </c>
      <c r="B1323" s="12" t="s">
        <v>269</v>
      </c>
      <c r="C1323" s="12" t="s">
        <v>174</v>
      </c>
      <c r="D1323" s="80">
        <v>41655</v>
      </c>
      <c r="E1323" s="81">
        <v>908</v>
      </c>
      <c r="F1323" s="76" t="s">
        <v>150</v>
      </c>
      <c r="G1323" s="77" t="s">
        <v>162</v>
      </c>
      <c r="H1323" s="77" t="s">
        <v>153</v>
      </c>
      <c r="I1323" s="86">
        <v>41965</v>
      </c>
      <c r="J1323" s="78">
        <v>795</v>
      </c>
      <c r="K1323" s="132" t="s">
        <v>20</v>
      </c>
      <c r="L1323" s="132" t="s">
        <v>307</v>
      </c>
      <c r="M1323" s="132" t="s">
        <v>267</v>
      </c>
      <c r="N1323" s="133">
        <v>41995</v>
      </c>
      <c r="O1323" s="134">
        <v>1220</v>
      </c>
      <c r="P1323" s="132" t="s">
        <v>151</v>
      </c>
      <c r="Q1323" s="132" t="s">
        <v>291</v>
      </c>
      <c r="R1323" s="132" t="s">
        <v>267</v>
      </c>
      <c r="S1323" s="133">
        <v>41934</v>
      </c>
      <c r="T1323" s="134">
        <v>820.7</v>
      </c>
      <c r="U1323" s="132" t="s">
        <v>154</v>
      </c>
      <c r="V1323" s="132" t="s">
        <v>190</v>
      </c>
      <c r="W1323" s="132" t="s">
        <v>153</v>
      </c>
      <c r="X1323" s="133">
        <v>41668</v>
      </c>
      <c r="Y1323" s="134">
        <v>600</v>
      </c>
    </row>
    <row r="1324" spans="1:25" x14ac:dyDescent="0.25">
      <c r="A1324" s="92" t="s">
        <v>148</v>
      </c>
      <c r="B1324" s="12" t="s">
        <v>269</v>
      </c>
      <c r="C1324" s="12" t="s">
        <v>174</v>
      </c>
      <c r="D1324" s="80">
        <v>41656</v>
      </c>
      <c r="E1324" s="81">
        <v>891</v>
      </c>
      <c r="F1324" s="76" t="s">
        <v>150</v>
      </c>
      <c r="G1324" s="77" t="s">
        <v>162</v>
      </c>
      <c r="H1324" s="77" t="s">
        <v>153</v>
      </c>
      <c r="I1324" s="86">
        <v>41966</v>
      </c>
      <c r="J1324" s="78">
        <v>852</v>
      </c>
      <c r="K1324" s="132" t="s">
        <v>20</v>
      </c>
      <c r="L1324" s="132" t="s">
        <v>308</v>
      </c>
      <c r="M1324" s="132" t="s">
        <v>267</v>
      </c>
      <c r="N1324" s="133">
        <v>41749</v>
      </c>
      <c r="O1324" s="134">
        <v>1327</v>
      </c>
      <c r="P1324" s="132" t="s">
        <v>151</v>
      </c>
      <c r="Q1324" s="132" t="s">
        <v>291</v>
      </c>
      <c r="R1324" s="132" t="s">
        <v>267</v>
      </c>
      <c r="S1324" s="133">
        <v>41991</v>
      </c>
      <c r="T1324" s="134">
        <v>944.8</v>
      </c>
      <c r="U1324" s="132" t="s">
        <v>154</v>
      </c>
      <c r="V1324" s="132" t="s">
        <v>190</v>
      </c>
      <c r="W1324" s="132" t="s">
        <v>153</v>
      </c>
      <c r="X1324" s="133">
        <v>41669</v>
      </c>
      <c r="Y1324" s="134">
        <v>555</v>
      </c>
    </row>
    <row r="1325" spans="1:25" x14ac:dyDescent="0.25">
      <c r="A1325" s="92" t="s">
        <v>148</v>
      </c>
      <c r="B1325" s="12" t="s">
        <v>269</v>
      </c>
      <c r="C1325" s="12" t="s">
        <v>174</v>
      </c>
      <c r="D1325" s="80">
        <v>41657</v>
      </c>
      <c r="E1325" s="81">
        <v>500</v>
      </c>
      <c r="F1325" s="76" t="s">
        <v>150</v>
      </c>
      <c r="G1325" s="77" t="s">
        <v>162</v>
      </c>
      <c r="H1325" s="77" t="s">
        <v>153</v>
      </c>
      <c r="I1325" s="86">
        <v>41967</v>
      </c>
      <c r="J1325" s="78">
        <v>486</v>
      </c>
      <c r="K1325" s="132" t="s">
        <v>20</v>
      </c>
      <c r="L1325" s="132" t="s">
        <v>308</v>
      </c>
      <c r="M1325" s="132" t="s">
        <v>267</v>
      </c>
      <c r="N1325" s="133">
        <v>41780</v>
      </c>
      <c r="O1325" s="134">
        <v>659</v>
      </c>
      <c r="P1325" s="132" t="s">
        <v>151</v>
      </c>
      <c r="Q1325" s="132" t="s">
        <v>291</v>
      </c>
      <c r="R1325" s="132" t="s">
        <v>267</v>
      </c>
      <c r="S1325" s="133">
        <v>41992</v>
      </c>
      <c r="T1325" s="134">
        <v>626.29999999999995</v>
      </c>
      <c r="U1325" s="132" t="s">
        <v>154</v>
      </c>
      <c r="V1325" s="132" t="s">
        <v>190</v>
      </c>
      <c r="W1325" s="132" t="s">
        <v>153</v>
      </c>
      <c r="X1325" s="133">
        <v>41670</v>
      </c>
      <c r="Y1325" s="134">
        <v>800</v>
      </c>
    </row>
    <row r="1326" spans="1:25" x14ac:dyDescent="0.25">
      <c r="A1326" s="92" t="s">
        <v>148</v>
      </c>
      <c r="B1326" s="12" t="s">
        <v>269</v>
      </c>
      <c r="C1326" s="12" t="s">
        <v>174</v>
      </c>
      <c r="D1326" s="80">
        <v>41658</v>
      </c>
      <c r="E1326" s="81">
        <v>881</v>
      </c>
      <c r="F1326" s="76" t="s">
        <v>150</v>
      </c>
      <c r="G1326" s="77" t="s">
        <v>162</v>
      </c>
      <c r="H1326" s="77" t="s">
        <v>153</v>
      </c>
      <c r="I1326" s="86">
        <v>41969</v>
      </c>
      <c r="J1326" s="78">
        <v>951</v>
      </c>
      <c r="K1326" s="132" t="s">
        <v>20</v>
      </c>
      <c r="L1326" s="132" t="s">
        <v>308</v>
      </c>
      <c r="M1326" s="132" t="s">
        <v>267</v>
      </c>
      <c r="N1326" s="133">
        <v>41811</v>
      </c>
      <c r="O1326" s="134">
        <v>483</v>
      </c>
      <c r="P1326" s="132" t="s">
        <v>151</v>
      </c>
      <c r="Q1326" s="132" t="s">
        <v>291</v>
      </c>
      <c r="R1326" s="132" t="s">
        <v>267</v>
      </c>
      <c r="S1326" s="133">
        <v>41995</v>
      </c>
      <c r="T1326" s="134">
        <v>1427.7</v>
      </c>
      <c r="U1326" s="132" t="s">
        <v>154</v>
      </c>
      <c r="V1326" s="132" t="s">
        <v>190</v>
      </c>
      <c r="W1326" s="132" t="s">
        <v>153</v>
      </c>
      <c r="X1326" s="133">
        <v>41672</v>
      </c>
      <c r="Y1326" s="134">
        <v>457</v>
      </c>
    </row>
    <row r="1327" spans="1:25" x14ac:dyDescent="0.25">
      <c r="A1327" s="92" t="s">
        <v>148</v>
      </c>
      <c r="B1327" s="12" t="s">
        <v>269</v>
      </c>
      <c r="C1327" s="12" t="s">
        <v>174</v>
      </c>
      <c r="D1327" s="80">
        <v>41659</v>
      </c>
      <c r="E1327" s="81">
        <v>765</v>
      </c>
      <c r="F1327" s="76" t="s">
        <v>150</v>
      </c>
      <c r="G1327" s="77" t="s">
        <v>162</v>
      </c>
      <c r="H1327" s="77" t="s">
        <v>153</v>
      </c>
      <c r="I1327" s="86">
        <v>41971</v>
      </c>
      <c r="J1327" s="78">
        <v>344</v>
      </c>
      <c r="K1327" s="132" t="s">
        <v>20</v>
      </c>
      <c r="L1327" s="132" t="s">
        <v>308</v>
      </c>
      <c r="M1327" s="132" t="s">
        <v>267</v>
      </c>
      <c r="N1327" s="133">
        <v>41812</v>
      </c>
      <c r="O1327" s="134">
        <v>880</v>
      </c>
      <c r="P1327" s="132" t="s">
        <v>151</v>
      </c>
      <c r="Q1327" s="132" t="s">
        <v>291</v>
      </c>
      <c r="R1327" s="132" t="s">
        <v>267</v>
      </c>
      <c r="S1327" s="133">
        <v>41995</v>
      </c>
      <c r="T1327" s="134">
        <v>613.9</v>
      </c>
      <c r="U1327" s="132" t="s">
        <v>154</v>
      </c>
      <c r="V1327" s="132" t="s">
        <v>190</v>
      </c>
      <c r="W1327" s="132" t="s">
        <v>153</v>
      </c>
      <c r="X1327" s="133">
        <v>41673</v>
      </c>
      <c r="Y1327" s="134">
        <v>892</v>
      </c>
    </row>
    <row r="1328" spans="1:25" x14ac:dyDescent="0.25">
      <c r="A1328" s="92" t="s">
        <v>148</v>
      </c>
      <c r="B1328" s="12" t="s">
        <v>269</v>
      </c>
      <c r="C1328" s="12" t="s">
        <v>174</v>
      </c>
      <c r="D1328" s="80">
        <v>41660</v>
      </c>
      <c r="E1328" s="81">
        <v>780</v>
      </c>
      <c r="F1328" s="76" t="s">
        <v>150</v>
      </c>
      <c r="G1328" s="77" t="s">
        <v>162</v>
      </c>
      <c r="H1328" s="77" t="s">
        <v>153</v>
      </c>
      <c r="I1328" s="86">
        <v>41975</v>
      </c>
      <c r="J1328" s="78">
        <v>872</v>
      </c>
      <c r="K1328" s="132" t="s">
        <v>20</v>
      </c>
      <c r="L1328" s="132" t="s">
        <v>308</v>
      </c>
      <c r="M1328" s="132" t="s">
        <v>267</v>
      </c>
      <c r="N1328" s="133">
        <v>41845</v>
      </c>
      <c r="O1328" s="134">
        <v>1257</v>
      </c>
      <c r="P1328" s="132" t="s">
        <v>151</v>
      </c>
      <c r="Q1328" s="132" t="s">
        <v>291</v>
      </c>
      <c r="R1328" s="132" t="s">
        <v>267</v>
      </c>
      <c r="S1328" s="133">
        <v>41996</v>
      </c>
      <c r="T1328" s="134">
        <v>823.1</v>
      </c>
      <c r="U1328" s="132" t="s">
        <v>154</v>
      </c>
      <c r="V1328" s="132" t="s">
        <v>190</v>
      </c>
      <c r="W1328" s="132" t="s">
        <v>153</v>
      </c>
      <c r="X1328" s="133">
        <v>41674</v>
      </c>
      <c r="Y1328" s="134">
        <v>1146</v>
      </c>
    </row>
    <row r="1329" spans="1:25" x14ac:dyDescent="0.25">
      <c r="A1329" s="92" t="s">
        <v>148</v>
      </c>
      <c r="B1329" s="12" t="s">
        <v>269</v>
      </c>
      <c r="C1329" s="12" t="s">
        <v>174</v>
      </c>
      <c r="D1329" s="80">
        <v>41661</v>
      </c>
      <c r="E1329" s="81">
        <v>940</v>
      </c>
      <c r="F1329" s="76" t="s">
        <v>150</v>
      </c>
      <c r="G1329" s="77" t="s">
        <v>162</v>
      </c>
      <c r="H1329" s="77" t="s">
        <v>153</v>
      </c>
      <c r="I1329" s="86">
        <v>41976</v>
      </c>
      <c r="J1329" s="78">
        <v>789</v>
      </c>
      <c r="K1329" s="132" t="s">
        <v>20</v>
      </c>
      <c r="L1329" s="132" t="s">
        <v>308</v>
      </c>
      <c r="M1329" s="132" t="s">
        <v>267</v>
      </c>
      <c r="N1329" s="133">
        <v>41899</v>
      </c>
      <c r="O1329" s="134">
        <v>254</v>
      </c>
      <c r="P1329" s="132" t="s">
        <v>151</v>
      </c>
      <c r="Q1329" s="132" t="s">
        <v>291</v>
      </c>
      <c r="R1329" s="132" t="s">
        <v>267</v>
      </c>
      <c r="S1329" s="133">
        <v>41997</v>
      </c>
      <c r="T1329" s="134">
        <v>410.4</v>
      </c>
      <c r="U1329" s="132" t="s">
        <v>154</v>
      </c>
      <c r="V1329" s="132" t="s">
        <v>190</v>
      </c>
      <c r="W1329" s="132" t="s">
        <v>153</v>
      </c>
      <c r="X1329" s="133">
        <v>41675</v>
      </c>
      <c r="Y1329" s="134">
        <v>595</v>
      </c>
    </row>
    <row r="1330" spans="1:25" x14ac:dyDescent="0.25">
      <c r="A1330" s="92" t="s">
        <v>148</v>
      </c>
      <c r="B1330" s="12" t="s">
        <v>269</v>
      </c>
      <c r="C1330" s="12" t="s">
        <v>174</v>
      </c>
      <c r="D1330" s="80">
        <v>41662</v>
      </c>
      <c r="E1330" s="81">
        <v>380</v>
      </c>
      <c r="F1330" s="76" t="s">
        <v>150</v>
      </c>
      <c r="G1330" s="77" t="s">
        <v>162</v>
      </c>
      <c r="H1330" s="77" t="s">
        <v>153</v>
      </c>
      <c r="I1330" s="86">
        <v>41976</v>
      </c>
      <c r="J1330" s="78">
        <v>618</v>
      </c>
      <c r="K1330" s="132" t="s">
        <v>20</v>
      </c>
      <c r="L1330" s="132" t="s">
        <v>308</v>
      </c>
      <c r="M1330" s="132" t="s">
        <v>267</v>
      </c>
      <c r="N1330" s="133">
        <v>41919</v>
      </c>
      <c r="O1330" s="134">
        <v>279</v>
      </c>
      <c r="P1330" s="132" t="s">
        <v>151</v>
      </c>
      <c r="Q1330" s="132" t="s">
        <v>292</v>
      </c>
      <c r="R1330" s="132" t="s">
        <v>267</v>
      </c>
      <c r="S1330" s="133">
        <v>41649</v>
      </c>
      <c r="T1330" s="134">
        <v>626.4</v>
      </c>
      <c r="U1330" s="132" t="s">
        <v>154</v>
      </c>
      <c r="V1330" s="132" t="s">
        <v>190</v>
      </c>
      <c r="W1330" s="132" t="s">
        <v>153</v>
      </c>
      <c r="X1330" s="133">
        <v>41676</v>
      </c>
      <c r="Y1330" s="134">
        <v>590</v>
      </c>
    </row>
    <row r="1331" spans="1:25" x14ac:dyDescent="0.25">
      <c r="A1331" s="92" t="s">
        <v>148</v>
      </c>
      <c r="B1331" s="12" t="s">
        <v>269</v>
      </c>
      <c r="C1331" s="12" t="s">
        <v>174</v>
      </c>
      <c r="D1331" s="80">
        <v>41664</v>
      </c>
      <c r="E1331" s="81">
        <v>1070</v>
      </c>
      <c r="F1331" s="76" t="s">
        <v>150</v>
      </c>
      <c r="G1331" s="77" t="s">
        <v>162</v>
      </c>
      <c r="H1331" s="77" t="s">
        <v>153</v>
      </c>
      <c r="I1331" s="86">
        <v>41978</v>
      </c>
      <c r="J1331" s="78">
        <v>546</v>
      </c>
      <c r="K1331" s="132" t="s">
        <v>20</v>
      </c>
      <c r="L1331" s="132" t="s">
        <v>308</v>
      </c>
      <c r="M1331" s="132" t="s">
        <v>267</v>
      </c>
      <c r="N1331" s="133">
        <v>41920</v>
      </c>
      <c r="O1331" s="134">
        <v>600</v>
      </c>
      <c r="P1331" s="132" t="s">
        <v>151</v>
      </c>
      <c r="Q1331" s="132" t="s">
        <v>292</v>
      </c>
      <c r="R1331" s="132" t="s">
        <v>267</v>
      </c>
      <c r="S1331" s="133">
        <v>41652</v>
      </c>
      <c r="T1331" s="134">
        <v>435.1</v>
      </c>
      <c r="U1331" s="132" t="s">
        <v>154</v>
      </c>
      <c r="V1331" s="132" t="s">
        <v>190</v>
      </c>
      <c r="W1331" s="132" t="s">
        <v>153</v>
      </c>
      <c r="X1331" s="133">
        <v>41677</v>
      </c>
      <c r="Y1331" s="134">
        <v>624</v>
      </c>
    </row>
    <row r="1332" spans="1:25" x14ac:dyDescent="0.25">
      <c r="A1332" s="92" t="s">
        <v>148</v>
      </c>
      <c r="B1332" s="12" t="s">
        <v>269</v>
      </c>
      <c r="C1332" s="12" t="s">
        <v>174</v>
      </c>
      <c r="D1332" s="80">
        <v>41665</v>
      </c>
      <c r="E1332" s="81">
        <v>816</v>
      </c>
      <c r="F1332" s="76" t="s">
        <v>150</v>
      </c>
      <c r="G1332" s="77" t="s">
        <v>162</v>
      </c>
      <c r="H1332" s="77" t="s">
        <v>153</v>
      </c>
      <c r="I1332" s="86">
        <v>41978</v>
      </c>
      <c r="J1332" s="78">
        <v>1131</v>
      </c>
      <c r="K1332" s="132" t="s">
        <v>20</v>
      </c>
      <c r="L1332" s="132" t="s">
        <v>308</v>
      </c>
      <c r="M1332" s="132" t="s">
        <v>267</v>
      </c>
      <c r="N1332" s="133">
        <v>41921</v>
      </c>
      <c r="O1332" s="134">
        <v>764</v>
      </c>
      <c r="P1332" s="132" t="s">
        <v>151</v>
      </c>
      <c r="Q1332" s="132" t="s">
        <v>292</v>
      </c>
      <c r="R1332" s="132" t="s">
        <v>267</v>
      </c>
      <c r="S1332" s="133">
        <v>41669</v>
      </c>
      <c r="T1332" s="134">
        <v>382.9</v>
      </c>
      <c r="U1332" s="132" t="s">
        <v>154</v>
      </c>
      <c r="V1332" s="132" t="s">
        <v>190</v>
      </c>
      <c r="W1332" s="132" t="s">
        <v>153</v>
      </c>
      <c r="X1332" s="133">
        <v>41677</v>
      </c>
      <c r="Y1332" s="134">
        <v>541</v>
      </c>
    </row>
    <row r="1333" spans="1:25" x14ac:dyDescent="0.25">
      <c r="A1333" s="92" t="s">
        <v>148</v>
      </c>
      <c r="B1333" s="12" t="s">
        <v>269</v>
      </c>
      <c r="C1333" s="12" t="s">
        <v>174</v>
      </c>
      <c r="D1333" s="80">
        <v>41666</v>
      </c>
      <c r="E1333" s="81">
        <v>700</v>
      </c>
      <c r="F1333" s="76" t="s">
        <v>150</v>
      </c>
      <c r="G1333" s="77" t="s">
        <v>162</v>
      </c>
      <c r="H1333" s="77" t="s">
        <v>153</v>
      </c>
      <c r="I1333" s="86">
        <v>41981</v>
      </c>
      <c r="J1333" s="78">
        <v>628</v>
      </c>
      <c r="K1333" s="132" t="s">
        <v>20</v>
      </c>
      <c r="L1333" s="132" t="s">
        <v>308</v>
      </c>
      <c r="M1333" s="132" t="s">
        <v>267</v>
      </c>
      <c r="N1333" s="133">
        <v>41923</v>
      </c>
      <c r="O1333" s="134">
        <v>627</v>
      </c>
      <c r="P1333" s="132" t="s">
        <v>151</v>
      </c>
      <c r="Q1333" s="132" t="s">
        <v>292</v>
      </c>
      <c r="R1333" s="132" t="s">
        <v>267</v>
      </c>
      <c r="S1333" s="133">
        <v>41688</v>
      </c>
      <c r="T1333" s="134">
        <v>1403.1</v>
      </c>
      <c r="U1333" s="132" t="s">
        <v>154</v>
      </c>
      <c r="V1333" s="132" t="s">
        <v>190</v>
      </c>
      <c r="W1333" s="132" t="s">
        <v>153</v>
      </c>
      <c r="X1333" s="133">
        <v>41678</v>
      </c>
      <c r="Y1333" s="134">
        <v>551</v>
      </c>
    </row>
    <row r="1334" spans="1:25" x14ac:dyDescent="0.25">
      <c r="A1334" s="92" t="s">
        <v>148</v>
      </c>
      <c r="B1334" s="12" t="s">
        <v>269</v>
      </c>
      <c r="C1334" s="12" t="s">
        <v>174</v>
      </c>
      <c r="D1334" s="80">
        <v>41667</v>
      </c>
      <c r="E1334" s="81">
        <v>780</v>
      </c>
      <c r="F1334" s="76" t="s">
        <v>150</v>
      </c>
      <c r="G1334" s="77" t="s">
        <v>162</v>
      </c>
      <c r="H1334" s="77" t="s">
        <v>153</v>
      </c>
      <c r="I1334" s="86">
        <v>41983</v>
      </c>
      <c r="J1334" s="78">
        <v>1033</v>
      </c>
      <c r="K1334" s="132" t="s">
        <v>20</v>
      </c>
      <c r="L1334" s="132" t="s">
        <v>308</v>
      </c>
      <c r="M1334" s="132" t="s">
        <v>267</v>
      </c>
      <c r="N1334" s="133">
        <v>41929</v>
      </c>
      <c r="O1334" s="134">
        <v>891</v>
      </c>
      <c r="P1334" s="132" t="s">
        <v>151</v>
      </c>
      <c r="Q1334" s="132" t="s">
        <v>292</v>
      </c>
      <c r="R1334" s="132" t="s">
        <v>267</v>
      </c>
      <c r="S1334" s="133">
        <v>41689</v>
      </c>
      <c r="T1334" s="134">
        <v>279.3</v>
      </c>
      <c r="U1334" s="132" t="s">
        <v>154</v>
      </c>
      <c r="V1334" s="132" t="s">
        <v>190</v>
      </c>
      <c r="W1334" s="132" t="s">
        <v>153</v>
      </c>
      <c r="X1334" s="133">
        <v>41680</v>
      </c>
      <c r="Y1334" s="134">
        <v>680</v>
      </c>
    </row>
    <row r="1335" spans="1:25" x14ac:dyDescent="0.25">
      <c r="A1335" s="92" t="s">
        <v>148</v>
      </c>
      <c r="B1335" s="12" t="s">
        <v>269</v>
      </c>
      <c r="C1335" s="12" t="s">
        <v>174</v>
      </c>
      <c r="D1335" s="80">
        <v>41668</v>
      </c>
      <c r="E1335" s="81">
        <v>910</v>
      </c>
      <c r="F1335" s="76" t="s">
        <v>150</v>
      </c>
      <c r="G1335" s="77" t="s">
        <v>162</v>
      </c>
      <c r="H1335" s="77" t="s">
        <v>153</v>
      </c>
      <c r="I1335" s="86">
        <v>41985</v>
      </c>
      <c r="J1335" s="78">
        <v>655</v>
      </c>
      <c r="K1335" s="132" t="s">
        <v>20</v>
      </c>
      <c r="L1335" s="132" t="s">
        <v>268</v>
      </c>
      <c r="M1335" s="132" t="s">
        <v>174</v>
      </c>
      <c r="N1335" s="133">
        <v>41971</v>
      </c>
      <c r="O1335" s="134">
        <v>1043</v>
      </c>
      <c r="P1335" s="132" t="s">
        <v>151</v>
      </c>
      <c r="Q1335" s="132" t="s">
        <v>292</v>
      </c>
      <c r="R1335" s="132" t="s">
        <v>267</v>
      </c>
      <c r="S1335" s="133">
        <v>41904</v>
      </c>
      <c r="T1335" s="134">
        <v>506.3</v>
      </c>
      <c r="U1335" s="132" t="s">
        <v>154</v>
      </c>
      <c r="V1335" s="132" t="s">
        <v>190</v>
      </c>
      <c r="W1335" s="132" t="s">
        <v>153</v>
      </c>
      <c r="X1335" s="133">
        <v>41681</v>
      </c>
      <c r="Y1335" s="134">
        <v>790</v>
      </c>
    </row>
    <row r="1336" spans="1:25" x14ac:dyDescent="0.25">
      <c r="A1336" s="92" t="s">
        <v>148</v>
      </c>
      <c r="B1336" s="12" t="s">
        <v>269</v>
      </c>
      <c r="C1336" s="12" t="s">
        <v>174</v>
      </c>
      <c r="D1336" s="80">
        <v>41715</v>
      </c>
      <c r="E1336" s="81">
        <v>1305</v>
      </c>
      <c r="F1336" s="76" t="s">
        <v>150</v>
      </c>
      <c r="G1336" s="77" t="s">
        <v>162</v>
      </c>
      <c r="H1336" s="77" t="s">
        <v>153</v>
      </c>
      <c r="I1336" s="86">
        <v>41988</v>
      </c>
      <c r="J1336" s="78">
        <v>892</v>
      </c>
      <c r="K1336" s="132" t="s">
        <v>20</v>
      </c>
      <c r="L1336" s="132" t="s">
        <v>269</v>
      </c>
      <c r="M1336" s="132" t="s">
        <v>174</v>
      </c>
      <c r="N1336" s="133">
        <v>41637</v>
      </c>
      <c r="O1336" s="134">
        <v>1182</v>
      </c>
      <c r="P1336" s="132" t="s">
        <v>151</v>
      </c>
      <c r="Q1336" s="132" t="s">
        <v>292</v>
      </c>
      <c r="R1336" s="132" t="s">
        <v>267</v>
      </c>
      <c r="S1336" s="133">
        <v>41939</v>
      </c>
      <c r="T1336" s="134">
        <v>846.5</v>
      </c>
      <c r="U1336" s="132" t="s">
        <v>154</v>
      </c>
      <c r="V1336" s="132" t="s">
        <v>190</v>
      </c>
      <c r="W1336" s="132" t="s">
        <v>153</v>
      </c>
      <c r="X1336" s="133">
        <v>41682</v>
      </c>
      <c r="Y1336" s="134">
        <v>810</v>
      </c>
    </row>
    <row r="1337" spans="1:25" x14ac:dyDescent="0.25">
      <c r="A1337" s="92" t="s">
        <v>148</v>
      </c>
      <c r="B1337" s="12" t="s">
        <v>269</v>
      </c>
      <c r="C1337" s="12" t="s">
        <v>174</v>
      </c>
      <c r="D1337" s="80">
        <v>41716</v>
      </c>
      <c r="E1337" s="81">
        <v>800</v>
      </c>
      <c r="F1337" s="76" t="s">
        <v>150</v>
      </c>
      <c r="G1337" s="77" t="s">
        <v>183</v>
      </c>
      <c r="H1337" s="77" t="s">
        <v>153</v>
      </c>
      <c r="I1337" s="86">
        <v>41635</v>
      </c>
      <c r="J1337" s="78">
        <v>498</v>
      </c>
      <c r="K1337" s="132" t="s">
        <v>20</v>
      </c>
      <c r="L1337" s="132" t="s">
        <v>269</v>
      </c>
      <c r="M1337" s="132" t="s">
        <v>174</v>
      </c>
      <c r="N1337" s="133">
        <v>41645</v>
      </c>
      <c r="O1337" s="134">
        <v>1053</v>
      </c>
      <c r="P1337" s="132" t="s">
        <v>151</v>
      </c>
      <c r="Q1337" s="132" t="s">
        <v>292</v>
      </c>
      <c r="R1337" s="132" t="s">
        <v>267</v>
      </c>
      <c r="S1337" s="133">
        <v>41940</v>
      </c>
      <c r="T1337" s="134">
        <v>610.20000000000005</v>
      </c>
      <c r="U1337" s="132" t="s">
        <v>154</v>
      </c>
      <c r="V1337" s="132" t="s">
        <v>190</v>
      </c>
      <c r="W1337" s="132" t="s">
        <v>153</v>
      </c>
      <c r="X1337" s="133">
        <v>41683</v>
      </c>
      <c r="Y1337" s="134">
        <v>1362</v>
      </c>
    </row>
    <row r="1338" spans="1:25" x14ac:dyDescent="0.25">
      <c r="A1338" s="92" t="s">
        <v>148</v>
      </c>
      <c r="B1338" s="12" t="s">
        <v>269</v>
      </c>
      <c r="C1338" s="12" t="s">
        <v>174</v>
      </c>
      <c r="D1338" s="80">
        <v>41717</v>
      </c>
      <c r="E1338" s="81">
        <v>810</v>
      </c>
      <c r="F1338" s="76" t="s">
        <v>150</v>
      </c>
      <c r="G1338" s="77" t="s">
        <v>183</v>
      </c>
      <c r="H1338" s="77" t="s">
        <v>153</v>
      </c>
      <c r="I1338" s="86">
        <v>41638</v>
      </c>
      <c r="J1338" s="78">
        <v>809</v>
      </c>
      <c r="K1338" s="132" t="s">
        <v>20</v>
      </c>
      <c r="L1338" s="132" t="s">
        <v>269</v>
      </c>
      <c r="M1338" s="132" t="s">
        <v>174</v>
      </c>
      <c r="N1338" s="133">
        <v>41647</v>
      </c>
      <c r="O1338" s="134">
        <v>1612</v>
      </c>
      <c r="P1338" s="132" t="s">
        <v>151</v>
      </c>
      <c r="Q1338" s="132" t="s">
        <v>292</v>
      </c>
      <c r="R1338" s="132" t="s">
        <v>267</v>
      </c>
      <c r="S1338" s="133">
        <v>41941</v>
      </c>
      <c r="T1338" s="134">
        <v>885.3</v>
      </c>
      <c r="U1338" s="132" t="s">
        <v>154</v>
      </c>
      <c r="V1338" s="132" t="s">
        <v>190</v>
      </c>
      <c r="W1338" s="132" t="s">
        <v>153</v>
      </c>
      <c r="X1338" s="133">
        <v>41827</v>
      </c>
      <c r="Y1338" s="134">
        <v>1010</v>
      </c>
    </row>
    <row r="1339" spans="1:25" x14ac:dyDescent="0.25">
      <c r="A1339" s="92" t="s">
        <v>148</v>
      </c>
      <c r="B1339" s="12" t="s">
        <v>269</v>
      </c>
      <c r="C1339" s="12" t="s">
        <v>174</v>
      </c>
      <c r="D1339" s="80">
        <v>41718</v>
      </c>
      <c r="E1339" s="81">
        <v>825</v>
      </c>
      <c r="F1339" s="76" t="s">
        <v>150</v>
      </c>
      <c r="G1339" s="77" t="s">
        <v>183</v>
      </c>
      <c r="H1339" s="77" t="s">
        <v>153</v>
      </c>
      <c r="I1339" s="86">
        <v>41699</v>
      </c>
      <c r="J1339" s="78">
        <v>1036</v>
      </c>
      <c r="K1339" s="132" t="s">
        <v>20</v>
      </c>
      <c r="L1339" s="132" t="s">
        <v>269</v>
      </c>
      <c r="M1339" s="132" t="s">
        <v>174</v>
      </c>
      <c r="N1339" s="133">
        <v>41711</v>
      </c>
      <c r="O1339" s="134">
        <v>964</v>
      </c>
      <c r="P1339" s="132" t="s">
        <v>151</v>
      </c>
      <c r="Q1339" s="132" t="s">
        <v>292</v>
      </c>
      <c r="R1339" s="132" t="s">
        <v>267</v>
      </c>
      <c r="S1339" s="133">
        <v>41943</v>
      </c>
      <c r="T1339" s="134">
        <v>653.29999999999995</v>
      </c>
      <c r="U1339" s="132" t="s">
        <v>154</v>
      </c>
      <c r="V1339" s="132" t="s">
        <v>190</v>
      </c>
      <c r="W1339" s="132" t="s">
        <v>153</v>
      </c>
      <c r="X1339" s="133">
        <v>41828</v>
      </c>
      <c r="Y1339" s="134">
        <v>686</v>
      </c>
    </row>
    <row r="1340" spans="1:25" x14ac:dyDescent="0.25">
      <c r="A1340" s="92" t="s">
        <v>148</v>
      </c>
      <c r="B1340" s="12" t="s">
        <v>269</v>
      </c>
      <c r="C1340" s="12" t="s">
        <v>174</v>
      </c>
      <c r="D1340" s="80">
        <v>41719</v>
      </c>
      <c r="E1340" s="81">
        <v>801</v>
      </c>
      <c r="F1340" s="76" t="s">
        <v>150</v>
      </c>
      <c r="G1340" s="77" t="s">
        <v>183</v>
      </c>
      <c r="H1340" s="77" t="s">
        <v>153</v>
      </c>
      <c r="I1340" s="86">
        <v>41699</v>
      </c>
      <c r="J1340" s="78">
        <v>1300</v>
      </c>
      <c r="K1340" s="132" t="s">
        <v>20</v>
      </c>
      <c r="L1340" s="132" t="s">
        <v>269</v>
      </c>
      <c r="M1340" s="132" t="s">
        <v>174</v>
      </c>
      <c r="N1340" s="133">
        <v>41726</v>
      </c>
      <c r="O1340" s="134">
        <v>1268</v>
      </c>
      <c r="P1340" s="132" t="s">
        <v>151</v>
      </c>
      <c r="Q1340" s="132" t="s">
        <v>292</v>
      </c>
      <c r="R1340" s="132" t="s">
        <v>267</v>
      </c>
      <c r="S1340" s="133">
        <v>42002</v>
      </c>
      <c r="T1340" s="134">
        <v>392.6</v>
      </c>
      <c r="U1340" s="132" t="s">
        <v>154</v>
      </c>
      <c r="V1340" s="132" t="s">
        <v>190</v>
      </c>
      <c r="W1340" s="132" t="s">
        <v>153</v>
      </c>
      <c r="X1340" s="133">
        <v>41831</v>
      </c>
      <c r="Y1340" s="134">
        <v>877</v>
      </c>
    </row>
    <row r="1341" spans="1:25" x14ac:dyDescent="0.25">
      <c r="A1341" s="92" t="s">
        <v>148</v>
      </c>
      <c r="B1341" s="12" t="s">
        <v>269</v>
      </c>
      <c r="C1341" s="12" t="s">
        <v>174</v>
      </c>
      <c r="D1341" s="80">
        <v>41750</v>
      </c>
      <c r="E1341" s="81">
        <v>950</v>
      </c>
      <c r="F1341" s="76" t="s">
        <v>150</v>
      </c>
      <c r="G1341" s="77" t="s">
        <v>183</v>
      </c>
      <c r="H1341" s="77" t="s">
        <v>153</v>
      </c>
      <c r="I1341" s="86">
        <v>41700</v>
      </c>
      <c r="J1341" s="78">
        <v>1007</v>
      </c>
      <c r="K1341" s="132" t="s">
        <v>20</v>
      </c>
      <c r="L1341" s="132" t="s">
        <v>269</v>
      </c>
      <c r="M1341" s="132" t="s">
        <v>174</v>
      </c>
      <c r="N1341" s="133">
        <v>41743</v>
      </c>
      <c r="O1341" s="134">
        <v>1011</v>
      </c>
      <c r="P1341" s="132" t="s">
        <v>151</v>
      </c>
      <c r="Q1341" s="132" t="s">
        <v>293</v>
      </c>
      <c r="R1341" s="132" t="s">
        <v>267</v>
      </c>
      <c r="S1341" s="133">
        <v>41999</v>
      </c>
      <c r="T1341" s="134">
        <v>139.5</v>
      </c>
      <c r="U1341" s="132" t="s">
        <v>154</v>
      </c>
      <c r="V1341" s="132" t="s">
        <v>190</v>
      </c>
      <c r="W1341" s="132" t="s">
        <v>153</v>
      </c>
      <c r="X1341" s="133">
        <v>41831</v>
      </c>
      <c r="Y1341" s="134">
        <v>850</v>
      </c>
    </row>
    <row r="1342" spans="1:25" x14ac:dyDescent="0.25">
      <c r="A1342" s="92" t="s">
        <v>148</v>
      </c>
      <c r="B1342" s="12" t="s">
        <v>269</v>
      </c>
      <c r="C1342" s="12" t="s">
        <v>174</v>
      </c>
      <c r="D1342" s="80">
        <v>41753</v>
      </c>
      <c r="E1342" s="81">
        <v>1007</v>
      </c>
      <c r="F1342" s="76" t="s">
        <v>150</v>
      </c>
      <c r="G1342" s="77" t="s">
        <v>183</v>
      </c>
      <c r="H1342" s="77" t="s">
        <v>153</v>
      </c>
      <c r="I1342" s="86">
        <v>41702</v>
      </c>
      <c r="J1342" s="78">
        <v>1234</v>
      </c>
      <c r="K1342" s="132" t="s">
        <v>20</v>
      </c>
      <c r="L1342" s="132" t="s">
        <v>269</v>
      </c>
      <c r="M1342" s="132" t="s">
        <v>174</v>
      </c>
      <c r="N1342" s="133">
        <v>41774</v>
      </c>
      <c r="O1342" s="134">
        <v>1826</v>
      </c>
      <c r="P1342" s="132" t="s">
        <v>151</v>
      </c>
      <c r="Q1342" s="132" t="s">
        <v>293</v>
      </c>
      <c r="R1342" s="132" t="s">
        <v>267</v>
      </c>
      <c r="S1342" s="133">
        <v>42002</v>
      </c>
      <c r="T1342" s="134">
        <v>412.2</v>
      </c>
      <c r="U1342" s="132" t="s">
        <v>154</v>
      </c>
      <c r="V1342" s="132" t="s">
        <v>190</v>
      </c>
      <c r="W1342" s="132" t="s">
        <v>153</v>
      </c>
      <c r="X1342" s="133">
        <v>41834</v>
      </c>
      <c r="Y1342" s="134">
        <v>700</v>
      </c>
    </row>
    <row r="1343" spans="1:25" x14ac:dyDescent="0.25">
      <c r="A1343" s="92" t="s">
        <v>148</v>
      </c>
      <c r="B1343" s="12" t="s">
        <v>269</v>
      </c>
      <c r="C1343" s="12" t="s">
        <v>174</v>
      </c>
      <c r="D1343" s="80">
        <v>41758</v>
      </c>
      <c r="E1343" s="81">
        <v>960</v>
      </c>
      <c r="F1343" s="76" t="s">
        <v>150</v>
      </c>
      <c r="G1343" s="77" t="s">
        <v>183</v>
      </c>
      <c r="H1343" s="77" t="s">
        <v>153</v>
      </c>
      <c r="I1343" s="86">
        <v>41704</v>
      </c>
      <c r="J1343" s="78">
        <v>852</v>
      </c>
      <c r="K1343" s="132" t="s">
        <v>20</v>
      </c>
      <c r="L1343" s="132" t="s">
        <v>269</v>
      </c>
      <c r="M1343" s="132" t="s">
        <v>174</v>
      </c>
      <c r="N1343" s="133">
        <v>41826</v>
      </c>
      <c r="O1343" s="134">
        <v>1179</v>
      </c>
      <c r="P1343" s="132" t="s">
        <v>151</v>
      </c>
      <c r="Q1343" s="132" t="s">
        <v>294</v>
      </c>
      <c r="R1343" s="132" t="s">
        <v>267</v>
      </c>
      <c r="S1343" s="133">
        <v>41660</v>
      </c>
      <c r="T1343" s="134">
        <v>1305.0999999999999</v>
      </c>
      <c r="U1343" s="132" t="s">
        <v>154</v>
      </c>
      <c r="V1343" s="132" t="s">
        <v>190</v>
      </c>
      <c r="W1343" s="132" t="s">
        <v>153</v>
      </c>
      <c r="X1343" s="133">
        <v>41842</v>
      </c>
      <c r="Y1343" s="134">
        <v>1059</v>
      </c>
    </row>
    <row r="1344" spans="1:25" x14ac:dyDescent="0.25">
      <c r="A1344" s="92" t="s">
        <v>148</v>
      </c>
      <c r="B1344" s="12" t="s">
        <v>269</v>
      </c>
      <c r="C1344" s="12" t="s">
        <v>174</v>
      </c>
      <c r="D1344" s="80">
        <v>41759</v>
      </c>
      <c r="E1344" s="81">
        <v>760</v>
      </c>
      <c r="F1344" s="76" t="s">
        <v>150</v>
      </c>
      <c r="G1344" s="77" t="s">
        <v>183</v>
      </c>
      <c r="H1344" s="77" t="s">
        <v>153</v>
      </c>
      <c r="I1344" s="86">
        <v>41708</v>
      </c>
      <c r="J1344" s="78">
        <v>1052</v>
      </c>
      <c r="K1344" s="132" t="s">
        <v>20</v>
      </c>
      <c r="L1344" s="132" t="s">
        <v>269</v>
      </c>
      <c r="M1344" s="132" t="s">
        <v>174</v>
      </c>
      <c r="N1344" s="133">
        <v>41874</v>
      </c>
      <c r="O1344" s="134">
        <v>1224</v>
      </c>
      <c r="P1344" s="132" t="s">
        <v>151</v>
      </c>
      <c r="Q1344" s="132" t="s">
        <v>294</v>
      </c>
      <c r="R1344" s="132" t="s">
        <v>267</v>
      </c>
      <c r="S1344" s="133">
        <v>41661</v>
      </c>
      <c r="T1344" s="134">
        <v>780.1</v>
      </c>
      <c r="U1344" s="132" t="s">
        <v>154</v>
      </c>
      <c r="V1344" s="132" t="s">
        <v>190</v>
      </c>
      <c r="W1344" s="132" t="s">
        <v>153</v>
      </c>
      <c r="X1344" s="133">
        <v>41843</v>
      </c>
      <c r="Y1344" s="134">
        <v>691</v>
      </c>
    </row>
    <row r="1345" spans="1:25" x14ac:dyDescent="0.25">
      <c r="A1345" s="92" t="s">
        <v>148</v>
      </c>
      <c r="B1345" s="12" t="s">
        <v>269</v>
      </c>
      <c r="C1345" s="12" t="s">
        <v>174</v>
      </c>
      <c r="D1345" s="80">
        <v>41769</v>
      </c>
      <c r="E1345" s="81">
        <v>653</v>
      </c>
      <c r="F1345" s="76" t="s">
        <v>150</v>
      </c>
      <c r="G1345" s="77" t="s">
        <v>183</v>
      </c>
      <c r="H1345" s="77" t="s">
        <v>153</v>
      </c>
      <c r="I1345" s="86">
        <v>41709</v>
      </c>
      <c r="J1345" s="78">
        <v>509</v>
      </c>
      <c r="K1345" s="132" t="s">
        <v>20</v>
      </c>
      <c r="L1345" s="132" t="s">
        <v>269</v>
      </c>
      <c r="M1345" s="132" t="s">
        <v>174</v>
      </c>
      <c r="N1345" s="133">
        <v>41891</v>
      </c>
      <c r="O1345" s="134">
        <v>789</v>
      </c>
      <c r="P1345" s="132" t="s">
        <v>151</v>
      </c>
      <c r="Q1345" s="132" t="s">
        <v>294</v>
      </c>
      <c r="R1345" s="132" t="s">
        <v>267</v>
      </c>
      <c r="S1345" s="133">
        <v>41683</v>
      </c>
      <c r="T1345" s="134">
        <v>1069.3</v>
      </c>
      <c r="U1345" s="132" t="s">
        <v>154</v>
      </c>
      <c r="V1345" s="132" t="s">
        <v>190</v>
      </c>
      <c r="W1345" s="132" t="s">
        <v>153</v>
      </c>
      <c r="X1345" s="133">
        <v>41844</v>
      </c>
      <c r="Y1345" s="134">
        <v>900</v>
      </c>
    </row>
    <row r="1346" spans="1:25" x14ac:dyDescent="0.25">
      <c r="A1346" s="92" t="s">
        <v>148</v>
      </c>
      <c r="B1346" s="12" t="s">
        <v>269</v>
      </c>
      <c r="C1346" s="12" t="s">
        <v>174</v>
      </c>
      <c r="D1346" s="80">
        <v>41782</v>
      </c>
      <c r="E1346" s="81">
        <v>500</v>
      </c>
      <c r="F1346" s="76" t="s">
        <v>150</v>
      </c>
      <c r="G1346" s="77" t="s">
        <v>183</v>
      </c>
      <c r="H1346" s="77" t="s">
        <v>153</v>
      </c>
      <c r="I1346" s="86">
        <v>41710</v>
      </c>
      <c r="J1346" s="78">
        <v>1389</v>
      </c>
      <c r="K1346" s="132" t="s">
        <v>20</v>
      </c>
      <c r="L1346" s="132" t="s">
        <v>269</v>
      </c>
      <c r="M1346" s="132" t="s">
        <v>174</v>
      </c>
      <c r="N1346" s="133">
        <v>41904</v>
      </c>
      <c r="O1346" s="134">
        <v>643</v>
      </c>
      <c r="P1346" s="132" t="s">
        <v>151</v>
      </c>
      <c r="Q1346" s="132" t="s">
        <v>294</v>
      </c>
      <c r="R1346" s="132" t="s">
        <v>267</v>
      </c>
      <c r="S1346" s="133">
        <v>41754</v>
      </c>
      <c r="T1346" s="134">
        <v>938.7</v>
      </c>
      <c r="U1346" s="132" t="s">
        <v>154</v>
      </c>
      <c r="V1346" s="132" t="s">
        <v>190</v>
      </c>
      <c r="W1346" s="132" t="s">
        <v>153</v>
      </c>
      <c r="X1346" s="133">
        <v>41845</v>
      </c>
      <c r="Y1346" s="134">
        <v>1060</v>
      </c>
    </row>
    <row r="1347" spans="1:25" x14ac:dyDescent="0.25">
      <c r="A1347" s="92" t="s">
        <v>148</v>
      </c>
      <c r="B1347" s="12" t="s">
        <v>269</v>
      </c>
      <c r="C1347" s="12" t="s">
        <v>174</v>
      </c>
      <c r="D1347" s="80">
        <v>41783</v>
      </c>
      <c r="E1347" s="81">
        <v>854</v>
      </c>
      <c r="F1347" s="76" t="s">
        <v>150</v>
      </c>
      <c r="G1347" s="77" t="s">
        <v>183</v>
      </c>
      <c r="H1347" s="77" t="s">
        <v>153</v>
      </c>
      <c r="I1347" s="86">
        <v>41712</v>
      </c>
      <c r="J1347" s="78">
        <v>619</v>
      </c>
      <c r="K1347" s="132" t="s">
        <v>20</v>
      </c>
      <c r="L1347" s="132" t="s">
        <v>269</v>
      </c>
      <c r="M1347" s="132" t="s">
        <v>174</v>
      </c>
      <c r="N1347" s="133">
        <v>41938</v>
      </c>
      <c r="O1347" s="134">
        <v>1982</v>
      </c>
      <c r="P1347" s="132" t="s">
        <v>151</v>
      </c>
      <c r="Q1347" s="132" t="s">
        <v>294</v>
      </c>
      <c r="R1347" s="132" t="s">
        <v>267</v>
      </c>
      <c r="S1347" s="133">
        <v>41759</v>
      </c>
      <c r="T1347" s="134">
        <v>108.5</v>
      </c>
      <c r="U1347" s="132" t="s">
        <v>154</v>
      </c>
      <c r="V1347" s="132" t="s">
        <v>190</v>
      </c>
      <c r="W1347" s="132" t="s">
        <v>153</v>
      </c>
      <c r="X1347" s="133">
        <v>41846</v>
      </c>
      <c r="Y1347" s="134">
        <v>201</v>
      </c>
    </row>
    <row r="1348" spans="1:25" x14ac:dyDescent="0.25">
      <c r="A1348" s="92" t="s">
        <v>148</v>
      </c>
      <c r="B1348" s="12" t="s">
        <v>269</v>
      </c>
      <c r="C1348" s="12" t="s">
        <v>174</v>
      </c>
      <c r="D1348" s="80">
        <v>41785</v>
      </c>
      <c r="E1348" s="81">
        <v>1000</v>
      </c>
      <c r="F1348" s="76" t="s">
        <v>150</v>
      </c>
      <c r="G1348" s="77" t="s">
        <v>183</v>
      </c>
      <c r="H1348" s="77" t="s">
        <v>153</v>
      </c>
      <c r="I1348" s="86">
        <v>41715</v>
      </c>
      <c r="J1348" s="78">
        <v>505</v>
      </c>
      <c r="K1348" s="132" t="s">
        <v>20</v>
      </c>
      <c r="L1348" s="132" t="s">
        <v>269</v>
      </c>
      <c r="M1348" s="132" t="s">
        <v>174</v>
      </c>
      <c r="N1348" s="133">
        <v>41960</v>
      </c>
      <c r="O1348" s="134">
        <v>1706</v>
      </c>
      <c r="P1348" s="132" t="s">
        <v>151</v>
      </c>
      <c r="Q1348" s="132" t="s">
        <v>294</v>
      </c>
      <c r="R1348" s="132" t="s">
        <v>267</v>
      </c>
      <c r="S1348" s="133">
        <v>41760</v>
      </c>
      <c r="T1348" s="134">
        <v>554.6</v>
      </c>
      <c r="U1348" s="132" t="s">
        <v>154</v>
      </c>
      <c r="V1348" s="132" t="s">
        <v>190</v>
      </c>
      <c r="W1348" s="132" t="s">
        <v>153</v>
      </c>
      <c r="X1348" s="133">
        <v>41846</v>
      </c>
      <c r="Y1348" s="134">
        <v>962</v>
      </c>
    </row>
    <row r="1349" spans="1:25" x14ac:dyDescent="0.25">
      <c r="A1349" s="92" t="s">
        <v>148</v>
      </c>
      <c r="B1349" s="12" t="s">
        <v>269</v>
      </c>
      <c r="C1349" s="12" t="s">
        <v>174</v>
      </c>
      <c r="D1349" s="80">
        <v>41788</v>
      </c>
      <c r="E1349" s="81">
        <v>915</v>
      </c>
      <c r="F1349" s="76" t="s">
        <v>150</v>
      </c>
      <c r="G1349" s="77" t="s">
        <v>183</v>
      </c>
      <c r="H1349" s="77" t="s">
        <v>153</v>
      </c>
      <c r="I1349" s="86">
        <v>41717</v>
      </c>
      <c r="J1349" s="78">
        <v>826</v>
      </c>
      <c r="K1349" s="132" t="s">
        <v>20</v>
      </c>
      <c r="L1349" s="132" t="s">
        <v>269</v>
      </c>
      <c r="M1349" s="132" t="s">
        <v>174</v>
      </c>
      <c r="N1349" s="133">
        <v>41981</v>
      </c>
      <c r="O1349" s="134">
        <v>1140</v>
      </c>
      <c r="P1349" s="132" t="s">
        <v>151</v>
      </c>
      <c r="Q1349" s="132" t="s">
        <v>294</v>
      </c>
      <c r="R1349" s="132" t="s">
        <v>267</v>
      </c>
      <c r="S1349" s="133">
        <v>41761</v>
      </c>
      <c r="T1349" s="134">
        <v>489.9</v>
      </c>
      <c r="U1349" s="132" t="s">
        <v>154</v>
      </c>
      <c r="V1349" s="132" t="s">
        <v>190</v>
      </c>
      <c r="W1349" s="132" t="s">
        <v>153</v>
      </c>
      <c r="X1349" s="133">
        <v>41847</v>
      </c>
      <c r="Y1349" s="134">
        <v>623</v>
      </c>
    </row>
    <row r="1350" spans="1:25" x14ac:dyDescent="0.25">
      <c r="A1350" s="92" t="s">
        <v>148</v>
      </c>
      <c r="B1350" s="12" t="s">
        <v>269</v>
      </c>
      <c r="C1350" s="12" t="s">
        <v>174</v>
      </c>
      <c r="D1350" s="80">
        <v>41789</v>
      </c>
      <c r="E1350" s="81">
        <v>803</v>
      </c>
      <c r="F1350" s="76" t="s">
        <v>150</v>
      </c>
      <c r="G1350" s="77" t="s">
        <v>183</v>
      </c>
      <c r="H1350" s="77" t="s">
        <v>153</v>
      </c>
      <c r="I1350" s="86">
        <v>41718</v>
      </c>
      <c r="J1350" s="78">
        <v>1004</v>
      </c>
      <c r="K1350" s="132" t="s">
        <v>20</v>
      </c>
      <c r="L1350" s="132" t="s">
        <v>269</v>
      </c>
      <c r="M1350" s="132" t="s">
        <v>174</v>
      </c>
      <c r="N1350" s="133">
        <v>41990</v>
      </c>
      <c r="O1350" s="134">
        <v>1612</v>
      </c>
      <c r="P1350" s="132" t="s">
        <v>151</v>
      </c>
      <c r="Q1350" s="132" t="s">
        <v>294</v>
      </c>
      <c r="R1350" s="132" t="s">
        <v>267</v>
      </c>
      <c r="S1350" s="133">
        <v>41763</v>
      </c>
      <c r="T1350" s="134">
        <v>350.3</v>
      </c>
      <c r="U1350" s="132" t="s">
        <v>154</v>
      </c>
      <c r="V1350" s="132" t="s">
        <v>190</v>
      </c>
      <c r="W1350" s="132" t="s">
        <v>153</v>
      </c>
      <c r="X1350" s="133">
        <v>41847</v>
      </c>
      <c r="Y1350" s="134">
        <v>963</v>
      </c>
    </row>
    <row r="1351" spans="1:25" x14ac:dyDescent="0.25">
      <c r="A1351" s="92" t="s">
        <v>148</v>
      </c>
      <c r="B1351" s="12" t="s">
        <v>269</v>
      </c>
      <c r="C1351" s="12" t="s">
        <v>174</v>
      </c>
      <c r="D1351" s="80">
        <v>41793</v>
      </c>
      <c r="E1351" s="81">
        <v>700</v>
      </c>
      <c r="F1351" s="76" t="s">
        <v>150</v>
      </c>
      <c r="G1351" s="77" t="s">
        <v>183</v>
      </c>
      <c r="H1351" s="77" t="s">
        <v>153</v>
      </c>
      <c r="I1351" s="86">
        <v>41721</v>
      </c>
      <c r="J1351" s="78">
        <v>327</v>
      </c>
      <c r="K1351" s="132" t="s">
        <v>20</v>
      </c>
      <c r="L1351" s="132" t="s">
        <v>270</v>
      </c>
      <c r="M1351" s="132" t="s">
        <v>174</v>
      </c>
      <c r="N1351" s="133">
        <v>41669</v>
      </c>
      <c r="O1351" s="134">
        <v>932</v>
      </c>
      <c r="P1351" s="132" t="s">
        <v>151</v>
      </c>
      <c r="Q1351" s="132" t="s">
        <v>294</v>
      </c>
      <c r="R1351" s="132" t="s">
        <v>267</v>
      </c>
      <c r="S1351" s="133">
        <v>41793</v>
      </c>
      <c r="T1351" s="134">
        <v>408.4</v>
      </c>
      <c r="U1351" s="132" t="s">
        <v>154</v>
      </c>
      <c r="V1351" s="132" t="s">
        <v>190</v>
      </c>
      <c r="W1351" s="132" t="s">
        <v>153</v>
      </c>
      <c r="X1351" s="133">
        <v>41848</v>
      </c>
      <c r="Y1351" s="134">
        <v>760</v>
      </c>
    </row>
    <row r="1352" spans="1:25" x14ac:dyDescent="0.25">
      <c r="A1352" s="92" t="s">
        <v>148</v>
      </c>
      <c r="B1352" s="12" t="s">
        <v>269</v>
      </c>
      <c r="C1352" s="12" t="s">
        <v>174</v>
      </c>
      <c r="D1352" s="80">
        <v>41794</v>
      </c>
      <c r="E1352" s="81">
        <v>1050</v>
      </c>
      <c r="F1352" s="76" t="s">
        <v>150</v>
      </c>
      <c r="G1352" s="77" t="s">
        <v>183</v>
      </c>
      <c r="H1352" s="77" t="s">
        <v>153</v>
      </c>
      <c r="I1352" s="86">
        <v>41721</v>
      </c>
      <c r="J1352" s="78">
        <v>887</v>
      </c>
      <c r="K1352" s="132" t="s">
        <v>20</v>
      </c>
      <c r="L1352" s="132" t="s">
        <v>270</v>
      </c>
      <c r="M1352" s="132" t="s">
        <v>174</v>
      </c>
      <c r="N1352" s="133">
        <v>41716</v>
      </c>
      <c r="O1352" s="134">
        <v>1617</v>
      </c>
      <c r="P1352" s="132" t="s">
        <v>151</v>
      </c>
      <c r="Q1352" s="132" t="s">
        <v>294</v>
      </c>
      <c r="R1352" s="132" t="s">
        <v>267</v>
      </c>
      <c r="S1352" s="133">
        <v>41838</v>
      </c>
      <c r="T1352" s="134">
        <v>450.5</v>
      </c>
      <c r="U1352" s="132" t="s">
        <v>154</v>
      </c>
      <c r="V1352" s="132" t="s">
        <v>190</v>
      </c>
      <c r="W1352" s="132" t="s">
        <v>153</v>
      </c>
      <c r="X1352" s="133">
        <v>41849</v>
      </c>
      <c r="Y1352" s="134">
        <v>1035</v>
      </c>
    </row>
    <row r="1353" spans="1:25" x14ac:dyDescent="0.25">
      <c r="A1353" s="92" t="s">
        <v>148</v>
      </c>
      <c r="B1353" s="12" t="s">
        <v>269</v>
      </c>
      <c r="C1353" s="12" t="s">
        <v>174</v>
      </c>
      <c r="D1353" s="80">
        <v>41795</v>
      </c>
      <c r="E1353" s="81">
        <v>1207</v>
      </c>
      <c r="F1353" s="76" t="s">
        <v>150</v>
      </c>
      <c r="G1353" s="77" t="s">
        <v>183</v>
      </c>
      <c r="H1353" s="77" t="s">
        <v>153</v>
      </c>
      <c r="I1353" s="86">
        <v>41723</v>
      </c>
      <c r="J1353" s="78">
        <v>880</v>
      </c>
      <c r="K1353" s="132" t="s">
        <v>20</v>
      </c>
      <c r="L1353" s="132" t="s">
        <v>270</v>
      </c>
      <c r="M1353" s="132" t="s">
        <v>174</v>
      </c>
      <c r="N1353" s="133">
        <v>41760</v>
      </c>
      <c r="O1353" s="134">
        <v>1576</v>
      </c>
      <c r="P1353" s="132" t="s">
        <v>151</v>
      </c>
      <c r="Q1353" s="132" t="s">
        <v>294</v>
      </c>
      <c r="R1353" s="132" t="s">
        <v>267</v>
      </c>
      <c r="S1353" s="133">
        <v>41850</v>
      </c>
      <c r="T1353" s="134">
        <v>840.1</v>
      </c>
      <c r="U1353" s="132" t="s">
        <v>154</v>
      </c>
      <c r="V1353" s="132" t="s">
        <v>190</v>
      </c>
      <c r="W1353" s="132" t="s">
        <v>153</v>
      </c>
      <c r="X1353" s="133">
        <v>41850</v>
      </c>
      <c r="Y1353" s="134">
        <v>820</v>
      </c>
    </row>
    <row r="1354" spans="1:25" x14ac:dyDescent="0.25">
      <c r="A1354" s="92" t="s">
        <v>148</v>
      </c>
      <c r="B1354" s="12" t="s">
        <v>269</v>
      </c>
      <c r="C1354" s="12" t="s">
        <v>174</v>
      </c>
      <c r="D1354" s="80">
        <v>41804</v>
      </c>
      <c r="E1354" s="81">
        <v>1300</v>
      </c>
      <c r="F1354" s="76" t="s">
        <v>150</v>
      </c>
      <c r="G1354" s="77" t="s">
        <v>183</v>
      </c>
      <c r="H1354" s="77" t="s">
        <v>153</v>
      </c>
      <c r="I1354" s="86">
        <v>41726</v>
      </c>
      <c r="J1354" s="78">
        <v>653</v>
      </c>
      <c r="K1354" s="132" t="s">
        <v>20</v>
      </c>
      <c r="L1354" s="132" t="s">
        <v>270</v>
      </c>
      <c r="M1354" s="132" t="s">
        <v>174</v>
      </c>
      <c r="N1354" s="133">
        <v>41782</v>
      </c>
      <c r="O1354" s="134">
        <v>1351</v>
      </c>
      <c r="P1354" s="132" t="s">
        <v>151</v>
      </c>
      <c r="Q1354" s="132" t="s">
        <v>294</v>
      </c>
      <c r="R1354" s="132" t="s">
        <v>267</v>
      </c>
      <c r="S1354" s="133">
        <v>41852</v>
      </c>
      <c r="T1354" s="134">
        <v>891.9</v>
      </c>
      <c r="U1354" s="132" t="s">
        <v>154</v>
      </c>
      <c r="V1354" s="132" t="s">
        <v>190</v>
      </c>
      <c r="W1354" s="132" t="s">
        <v>153</v>
      </c>
      <c r="X1354" s="133">
        <v>41851</v>
      </c>
      <c r="Y1354" s="134">
        <v>1030</v>
      </c>
    </row>
    <row r="1355" spans="1:25" x14ac:dyDescent="0.25">
      <c r="A1355" s="92" t="s">
        <v>148</v>
      </c>
      <c r="B1355" s="12" t="s">
        <v>269</v>
      </c>
      <c r="C1355" s="12" t="s">
        <v>174</v>
      </c>
      <c r="D1355" s="80">
        <v>41805</v>
      </c>
      <c r="E1355" s="81">
        <v>740</v>
      </c>
      <c r="F1355" s="76" t="s">
        <v>150</v>
      </c>
      <c r="G1355" s="77" t="s">
        <v>183</v>
      </c>
      <c r="H1355" s="77" t="s">
        <v>153</v>
      </c>
      <c r="I1355" s="86">
        <v>41730</v>
      </c>
      <c r="J1355" s="78">
        <v>1015</v>
      </c>
      <c r="K1355" s="132" t="s">
        <v>20</v>
      </c>
      <c r="L1355" s="132" t="s">
        <v>270</v>
      </c>
      <c r="M1355" s="132" t="s">
        <v>174</v>
      </c>
      <c r="N1355" s="133">
        <v>41787</v>
      </c>
      <c r="O1355" s="134">
        <v>1301</v>
      </c>
      <c r="P1355" s="132" t="s">
        <v>151</v>
      </c>
      <c r="Q1355" s="132" t="s">
        <v>294</v>
      </c>
      <c r="R1355" s="132" t="s">
        <v>267</v>
      </c>
      <c r="S1355" s="133">
        <v>41857</v>
      </c>
      <c r="T1355" s="134">
        <v>553</v>
      </c>
      <c r="U1355" s="132" t="s">
        <v>154</v>
      </c>
      <c r="V1355" s="132" t="s">
        <v>190</v>
      </c>
      <c r="W1355" s="132" t="s">
        <v>153</v>
      </c>
      <c r="X1355" s="133">
        <v>41852</v>
      </c>
      <c r="Y1355" s="134">
        <v>851</v>
      </c>
    </row>
    <row r="1356" spans="1:25" x14ac:dyDescent="0.25">
      <c r="A1356" s="92" t="s">
        <v>148</v>
      </c>
      <c r="B1356" s="12" t="s">
        <v>269</v>
      </c>
      <c r="C1356" s="12" t="s">
        <v>174</v>
      </c>
      <c r="D1356" s="80">
        <v>41806</v>
      </c>
      <c r="E1356" s="81">
        <v>800</v>
      </c>
      <c r="F1356" s="76" t="s">
        <v>150</v>
      </c>
      <c r="G1356" s="77" t="s">
        <v>183</v>
      </c>
      <c r="H1356" s="77" t="s">
        <v>153</v>
      </c>
      <c r="I1356" s="86">
        <v>41738</v>
      </c>
      <c r="J1356" s="78">
        <v>1072</v>
      </c>
      <c r="K1356" s="132" t="s">
        <v>20</v>
      </c>
      <c r="L1356" s="132" t="s">
        <v>271</v>
      </c>
      <c r="M1356" s="132" t="s">
        <v>174</v>
      </c>
      <c r="N1356" s="133">
        <v>41649</v>
      </c>
      <c r="O1356" s="134">
        <v>1240</v>
      </c>
      <c r="P1356" s="132" t="s">
        <v>151</v>
      </c>
      <c r="Q1356" s="132" t="s">
        <v>294</v>
      </c>
      <c r="R1356" s="132" t="s">
        <v>267</v>
      </c>
      <c r="S1356" s="133">
        <v>41858</v>
      </c>
      <c r="T1356" s="134">
        <v>888.1</v>
      </c>
      <c r="U1356" s="132" t="s">
        <v>154</v>
      </c>
      <c r="V1356" s="132" t="s">
        <v>190</v>
      </c>
      <c r="W1356" s="132" t="s">
        <v>153</v>
      </c>
      <c r="X1356" s="133">
        <v>41854</v>
      </c>
      <c r="Y1356" s="134">
        <v>464</v>
      </c>
    </row>
    <row r="1357" spans="1:25" x14ac:dyDescent="0.25">
      <c r="A1357" s="92" t="s">
        <v>148</v>
      </c>
      <c r="B1357" s="12" t="s">
        <v>269</v>
      </c>
      <c r="C1357" s="12" t="s">
        <v>174</v>
      </c>
      <c r="D1357" s="80">
        <v>41807</v>
      </c>
      <c r="E1357" s="81">
        <v>800</v>
      </c>
      <c r="F1357" s="76" t="s">
        <v>150</v>
      </c>
      <c r="G1357" s="77" t="s">
        <v>183</v>
      </c>
      <c r="H1357" s="77" t="s">
        <v>153</v>
      </c>
      <c r="I1357" s="86">
        <v>41740</v>
      </c>
      <c r="J1357" s="78">
        <v>523</v>
      </c>
      <c r="K1357" s="132" t="s">
        <v>20</v>
      </c>
      <c r="L1357" s="132" t="s">
        <v>271</v>
      </c>
      <c r="M1357" s="132" t="s">
        <v>174</v>
      </c>
      <c r="N1357" s="133">
        <v>41680</v>
      </c>
      <c r="O1357" s="134">
        <v>654</v>
      </c>
      <c r="P1357" s="132" t="s">
        <v>151</v>
      </c>
      <c r="Q1357" s="132" t="s">
        <v>294</v>
      </c>
      <c r="R1357" s="132" t="s">
        <v>267</v>
      </c>
      <c r="S1357" s="133">
        <v>41859</v>
      </c>
      <c r="T1357" s="134">
        <v>888.8</v>
      </c>
      <c r="U1357" s="132" t="s">
        <v>154</v>
      </c>
      <c r="V1357" s="132" t="s">
        <v>190</v>
      </c>
      <c r="W1357" s="132" t="s">
        <v>153</v>
      </c>
      <c r="X1357" s="133">
        <v>41855</v>
      </c>
      <c r="Y1357" s="134">
        <v>1030</v>
      </c>
    </row>
    <row r="1358" spans="1:25" x14ac:dyDescent="0.25">
      <c r="A1358" s="92" t="s">
        <v>148</v>
      </c>
      <c r="B1358" s="12" t="s">
        <v>269</v>
      </c>
      <c r="C1358" s="12" t="s">
        <v>174</v>
      </c>
      <c r="D1358" s="80">
        <v>41839</v>
      </c>
      <c r="E1358" s="81">
        <v>530</v>
      </c>
      <c r="F1358" s="76" t="s">
        <v>150</v>
      </c>
      <c r="G1358" s="77" t="s">
        <v>183</v>
      </c>
      <c r="H1358" s="77" t="s">
        <v>153</v>
      </c>
      <c r="I1358" s="86">
        <v>41743</v>
      </c>
      <c r="J1358" s="78">
        <v>829</v>
      </c>
      <c r="K1358" s="132" t="s">
        <v>20</v>
      </c>
      <c r="L1358" s="132" t="s">
        <v>271</v>
      </c>
      <c r="M1358" s="132" t="s">
        <v>174</v>
      </c>
      <c r="N1358" s="133">
        <v>41794</v>
      </c>
      <c r="O1358" s="134">
        <v>1700</v>
      </c>
      <c r="P1358" s="132" t="s">
        <v>151</v>
      </c>
      <c r="Q1358" s="132" t="s">
        <v>294</v>
      </c>
      <c r="R1358" s="132" t="s">
        <v>267</v>
      </c>
      <c r="S1358" s="133">
        <v>41862</v>
      </c>
      <c r="T1358" s="134">
        <v>931.2</v>
      </c>
      <c r="U1358" s="132" t="s">
        <v>154</v>
      </c>
      <c r="V1358" s="132" t="s">
        <v>190</v>
      </c>
      <c r="W1358" s="132" t="s">
        <v>153</v>
      </c>
      <c r="X1358" s="133">
        <v>41856</v>
      </c>
      <c r="Y1358" s="134">
        <v>801</v>
      </c>
    </row>
    <row r="1359" spans="1:25" x14ac:dyDescent="0.25">
      <c r="A1359" s="92" t="s">
        <v>148</v>
      </c>
      <c r="B1359" s="12" t="s">
        <v>269</v>
      </c>
      <c r="C1359" s="12" t="s">
        <v>174</v>
      </c>
      <c r="D1359" s="80">
        <v>41840</v>
      </c>
      <c r="E1359" s="81">
        <v>704</v>
      </c>
      <c r="F1359" s="76" t="s">
        <v>150</v>
      </c>
      <c r="G1359" s="77" t="s">
        <v>183</v>
      </c>
      <c r="H1359" s="77" t="s">
        <v>153</v>
      </c>
      <c r="I1359" s="86">
        <v>41745</v>
      </c>
      <c r="J1359" s="78">
        <v>797</v>
      </c>
      <c r="K1359" s="132" t="s">
        <v>20</v>
      </c>
      <c r="L1359" s="132" t="s">
        <v>271</v>
      </c>
      <c r="M1359" s="132" t="s">
        <v>174</v>
      </c>
      <c r="N1359" s="133">
        <v>41874</v>
      </c>
      <c r="O1359" s="134">
        <v>465</v>
      </c>
      <c r="P1359" s="132" t="s">
        <v>151</v>
      </c>
      <c r="Q1359" s="132" t="s">
        <v>294</v>
      </c>
      <c r="R1359" s="132" t="s">
        <v>267</v>
      </c>
      <c r="S1359" s="133">
        <v>41863</v>
      </c>
      <c r="T1359" s="134">
        <v>866.6</v>
      </c>
      <c r="U1359" s="132" t="s">
        <v>154</v>
      </c>
      <c r="V1359" s="132" t="s">
        <v>240</v>
      </c>
      <c r="W1359" s="132" t="s">
        <v>153</v>
      </c>
      <c r="X1359" s="133">
        <v>41982</v>
      </c>
      <c r="Y1359" s="134">
        <v>399</v>
      </c>
    </row>
    <row r="1360" spans="1:25" x14ac:dyDescent="0.25">
      <c r="A1360" s="92" t="s">
        <v>148</v>
      </c>
      <c r="B1360" s="12" t="s">
        <v>269</v>
      </c>
      <c r="C1360" s="12" t="s">
        <v>174</v>
      </c>
      <c r="D1360" s="80">
        <v>41841</v>
      </c>
      <c r="E1360" s="81">
        <v>670</v>
      </c>
      <c r="F1360" s="76" t="s">
        <v>150</v>
      </c>
      <c r="G1360" s="77" t="s">
        <v>183</v>
      </c>
      <c r="H1360" s="77" t="s">
        <v>153</v>
      </c>
      <c r="I1360" s="86">
        <v>41746</v>
      </c>
      <c r="J1360" s="78">
        <v>738</v>
      </c>
      <c r="K1360" s="132" t="s">
        <v>20</v>
      </c>
      <c r="L1360" s="132" t="s">
        <v>271</v>
      </c>
      <c r="M1360" s="132" t="s">
        <v>174</v>
      </c>
      <c r="N1360" s="133">
        <v>41960</v>
      </c>
      <c r="O1360" s="134">
        <v>466</v>
      </c>
      <c r="P1360" s="132" t="s">
        <v>151</v>
      </c>
      <c r="Q1360" s="132" t="s">
        <v>294</v>
      </c>
      <c r="R1360" s="132" t="s">
        <v>267</v>
      </c>
      <c r="S1360" s="133">
        <v>41880</v>
      </c>
      <c r="T1360" s="134">
        <v>745.7</v>
      </c>
      <c r="U1360" s="132" t="s">
        <v>154</v>
      </c>
      <c r="V1360" s="132" t="s">
        <v>240</v>
      </c>
      <c r="W1360" s="132" t="s">
        <v>153</v>
      </c>
      <c r="X1360" s="133">
        <v>41983</v>
      </c>
      <c r="Y1360" s="134">
        <v>606</v>
      </c>
    </row>
    <row r="1361" spans="1:25" x14ac:dyDescent="0.25">
      <c r="A1361" s="92" t="s">
        <v>148</v>
      </c>
      <c r="B1361" s="12" t="s">
        <v>269</v>
      </c>
      <c r="C1361" s="12" t="s">
        <v>174</v>
      </c>
      <c r="D1361" s="80">
        <v>41842</v>
      </c>
      <c r="E1361" s="81">
        <v>900</v>
      </c>
      <c r="F1361" s="76" t="s">
        <v>150</v>
      </c>
      <c r="G1361" s="77" t="s">
        <v>183</v>
      </c>
      <c r="H1361" s="77" t="s">
        <v>153</v>
      </c>
      <c r="I1361" s="86">
        <v>41747</v>
      </c>
      <c r="J1361" s="78">
        <v>620</v>
      </c>
      <c r="K1361" s="132" t="s">
        <v>20</v>
      </c>
      <c r="L1361" s="132" t="s">
        <v>271</v>
      </c>
      <c r="M1361" s="132" t="s">
        <v>174</v>
      </c>
      <c r="N1361" s="133">
        <v>41971</v>
      </c>
      <c r="O1361" s="134">
        <v>1515</v>
      </c>
      <c r="P1361" s="132" t="s">
        <v>151</v>
      </c>
      <c r="Q1361" s="132" t="s">
        <v>294</v>
      </c>
      <c r="R1361" s="132" t="s">
        <v>267</v>
      </c>
      <c r="S1361" s="133">
        <v>41884</v>
      </c>
      <c r="T1361" s="134">
        <v>533.6</v>
      </c>
      <c r="U1361" s="132" t="s">
        <v>154</v>
      </c>
      <c r="V1361" s="132" t="s">
        <v>240</v>
      </c>
      <c r="W1361" s="132" t="s">
        <v>153</v>
      </c>
      <c r="X1361" s="133">
        <v>41984</v>
      </c>
      <c r="Y1361" s="134">
        <v>388</v>
      </c>
    </row>
    <row r="1362" spans="1:25" x14ac:dyDescent="0.25">
      <c r="A1362" s="92" t="s">
        <v>148</v>
      </c>
      <c r="B1362" s="12" t="s">
        <v>269</v>
      </c>
      <c r="C1362" s="12" t="s">
        <v>174</v>
      </c>
      <c r="D1362" s="80">
        <v>41843</v>
      </c>
      <c r="E1362" s="81">
        <v>600</v>
      </c>
      <c r="F1362" s="76" t="s">
        <v>150</v>
      </c>
      <c r="G1362" s="77" t="s">
        <v>183</v>
      </c>
      <c r="H1362" s="77" t="s">
        <v>153</v>
      </c>
      <c r="I1362" s="86">
        <v>41750</v>
      </c>
      <c r="J1362" s="78">
        <v>1154</v>
      </c>
      <c r="K1362" s="132" t="s">
        <v>20</v>
      </c>
      <c r="L1362" s="132" t="s">
        <v>271</v>
      </c>
      <c r="M1362" s="132" t="s">
        <v>174</v>
      </c>
      <c r="N1362" s="133">
        <v>41973</v>
      </c>
      <c r="O1362" s="134">
        <v>1659</v>
      </c>
      <c r="P1362" s="132" t="s">
        <v>151</v>
      </c>
      <c r="Q1362" s="132" t="s">
        <v>294</v>
      </c>
      <c r="R1362" s="132" t="s">
        <v>267</v>
      </c>
      <c r="S1362" s="133">
        <v>41886</v>
      </c>
      <c r="T1362" s="134">
        <v>808.5</v>
      </c>
      <c r="U1362" s="132" t="s">
        <v>154</v>
      </c>
      <c r="V1362" s="132" t="s">
        <v>240</v>
      </c>
      <c r="W1362" s="132" t="s">
        <v>153</v>
      </c>
      <c r="X1362" s="133">
        <v>41985</v>
      </c>
      <c r="Y1362" s="134">
        <v>859</v>
      </c>
    </row>
    <row r="1363" spans="1:25" x14ac:dyDescent="0.25">
      <c r="A1363" s="92" t="s">
        <v>148</v>
      </c>
      <c r="B1363" s="12" t="s">
        <v>269</v>
      </c>
      <c r="C1363" s="12" t="s">
        <v>174</v>
      </c>
      <c r="D1363" s="80">
        <v>41844</v>
      </c>
      <c r="E1363" s="81">
        <v>950</v>
      </c>
      <c r="F1363" s="76" t="s">
        <v>150</v>
      </c>
      <c r="G1363" s="77" t="s">
        <v>183</v>
      </c>
      <c r="H1363" s="77" t="s">
        <v>153</v>
      </c>
      <c r="I1363" s="86">
        <v>41752</v>
      </c>
      <c r="J1363" s="78">
        <v>1047</v>
      </c>
      <c r="K1363" s="132" t="s">
        <v>20</v>
      </c>
      <c r="L1363" s="132" t="s">
        <v>271</v>
      </c>
      <c r="M1363" s="132" t="s">
        <v>174</v>
      </c>
      <c r="N1363" s="133">
        <v>41987</v>
      </c>
      <c r="O1363" s="134">
        <v>1797</v>
      </c>
      <c r="P1363" s="132" t="s">
        <v>151</v>
      </c>
      <c r="Q1363" s="132" t="s">
        <v>294</v>
      </c>
      <c r="R1363" s="132" t="s">
        <v>267</v>
      </c>
      <c r="S1363" s="133">
        <v>41887</v>
      </c>
      <c r="T1363" s="134">
        <v>525.29999999999995</v>
      </c>
      <c r="U1363" s="132" t="s">
        <v>154</v>
      </c>
      <c r="V1363" s="132" t="s">
        <v>240</v>
      </c>
      <c r="W1363" s="132" t="s">
        <v>153</v>
      </c>
      <c r="X1363" s="133">
        <v>41987</v>
      </c>
      <c r="Y1363" s="134">
        <v>334</v>
      </c>
    </row>
    <row r="1364" spans="1:25" x14ac:dyDescent="0.25">
      <c r="A1364" s="92" t="s">
        <v>148</v>
      </c>
      <c r="B1364" s="12" t="s">
        <v>269</v>
      </c>
      <c r="C1364" s="12" t="s">
        <v>174</v>
      </c>
      <c r="D1364" s="80">
        <v>41845</v>
      </c>
      <c r="E1364" s="81">
        <v>860</v>
      </c>
      <c r="F1364" s="76" t="s">
        <v>150</v>
      </c>
      <c r="G1364" s="77" t="s">
        <v>183</v>
      </c>
      <c r="H1364" s="77" t="s">
        <v>153</v>
      </c>
      <c r="I1364" s="86">
        <v>41754</v>
      </c>
      <c r="J1364" s="78">
        <v>1023</v>
      </c>
      <c r="K1364" s="132" t="s">
        <v>20</v>
      </c>
      <c r="L1364" s="132" t="s">
        <v>271</v>
      </c>
      <c r="M1364" s="132" t="s">
        <v>174</v>
      </c>
      <c r="N1364" s="133">
        <v>42001</v>
      </c>
      <c r="O1364" s="134">
        <v>1824</v>
      </c>
      <c r="P1364" s="132" t="s">
        <v>151</v>
      </c>
      <c r="Q1364" s="132" t="s">
        <v>294</v>
      </c>
      <c r="R1364" s="132" t="s">
        <v>267</v>
      </c>
      <c r="S1364" s="133">
        <v>41890</v>
      </c>
      <c r="T1364" s="134">
        <v>1050.3</v>
      </c>
      <c r="U1364" s="132" t="s">
        <v>154</v>
      </c>
      <c r="V1364" s="132" t="s">
        <v>240</v>
      </c>
      <c r="W1364" s="132" t="s">
        <v>153</v>
      </c>
      <c r="X1364" s="133">
        <v>41988</v>
      </c>
      <c r="Y1364" s="134">
        <v>692</v>
      </c>
    </row>
    <row r="1365" spans="1:25" x14ac:dyDescent="0.25">
      <c r="A1365" s="92" t="s">
        <v>148</v>
      </c>
      <c r="B1365" s="12" t="s">
        <v>270</v>
      </c>
      <c r="C1365" s="12" t="s">
        <v>174</v>
      </c>
      <c r="D1365" s="80">
        <v>41654</v>
      </c>
      <c r="E1365" s="81">
        <v>810</v>
      </c>
      <c r="F1365" s="76" t="s">
        <v>150</v>
      </c>
      <c r="G1365" s="77" t="s">
        <v>183</v>
      </c>
      <c r="H1365" s="77" t="s">
        <v>153</v>
      </c>
      <c r="I1365" s="86">
        <v>41755</v>
      </c>
      <c r="J1365" s="78">
        <v>545</v>
      </c>
      <c r="K1365" s="132" t="s">
        <v>20</v>
      </c>
      <c r="L1365" s="132" t="s">
        <v>242</v>
      </c>
      <c r="M1365" s="132" t="s">
        <v>174</v>
      </c>
      <c r="N1365" s="133">
        <v>41841</v>
      </c>
      <c r="O1365" s="134">
        <v>2221</v>
      </c>
      <c r="P1365" s="132" t="s">
        <v>151</v>
      </c>
      <c r="Q1365" s="132" t="s">
        <v>294</v>
      </c>
      <c r="R1365" s="132" t="s">
        <v>267</v>
      </c>
      <c r="S1365" s="133">
        <v>41901</v>
      </c>
      <c r="T1365" s="134">
        <v>417.2</v>
      </c>
      <c r="U1365" s="132" t="s">
        <v>154</v>
      </c>
      <c r="V1365" s="132" t="s">
        <v>191</v>
      </c>
      <c r="W1365" s="132" t="s">
        <v>153</v>
      </c>
      <c r="X1365" s="133">
        <v>41645</v>
      </c>
      <c r="Y1365" s="134">
        <v>712</v>
      </c>
    </row>
    <row r="1366" spans="1:25" x14ac:dyDescent="0.25">
      <c r="A1366" s="92" t="s">
        <v>148</v>
      </c>
      <c r="B1366" s="12" t="s">
        <v>270</v>
      </c>
      <c r="C1366" s="12" t="s">
        <v>174</v>
      </c>
      <c r="D1366" s="80">
        <v>41668</v>
      </c>
      <c r="E1366" s="81">
        <v>1230</v>
      </c>
      <c r="F1366" s="76" t="s">
        <v>150</v>
      </c>
      <c r="G1366" s="77" t="s">
        <v>183</v>
      </c>
      <c r="H1366" s="77" t="s">
        <v>153</v>
      </c>
      <c r="I1366" s="86">
        <v>41757</v>
      </c>
      <c r="J1366" s="78">
        <v>1001</v>
      </c>
      <c r="K1366" s="132" t="s">
        <v>20</v>
      </c>
      <c r="L1366" s="132" t="s">
        <v>242</v>
      </c>
      <c r="M1366" s="132" t="s">
        <v>174</v>
      </c>
      <c r="N1366" s="133">
        <v>41879</v>
      </c>
      <c r="O1366" s="134">
        <v>1664</v>
      </c>
      <c r="P1366" s="132" t="s">
        <v>151</v>
      </c>
      <c r="Q1366" s="132" t="s">
        <v>294</v>
      </c>
      <c r="R1366" s="132" t="s">
        <v>267</v>
      </c>
      <c r="S1366" s="133">
        <v>41904</v>
      </c>
      <c r="T1366" s="134">
        <v>522.4</v>
      </c>
      <c r="U1366" s="132" t="s">
        <v>154</v>
      </c>
      <c r="V1366" s="132" t="s">
        <v>191</v>
      </c>
      <c r="W1366" s="132" t="s">
        <v>153</v>
      </c>
      <c r="X1366" s="133">
        <v>41646</v>
      </c>
      <c r="Y1366" s="134">
        <v>1050</v>
      </c>
    </row>
    <row r="1367" spans="1:25" x14ac:dyDescent="0.25">
      <c r="A1367" s="92" t="s">
        <v>148</v>
      </c>
      <c r="B1367" s="12" t="s">
        <v>270</v>
      </c>
      <c r="C1367" s="12" t="s">
        <v>174</v>
      </c>
      <c r="D1367" s="80">
        <v>41670</v>
      </c>
      <c r="E1367" s="81">
        <v>1060</v>
      </c>
      <c r="F1367" s="76" t="s">
        <v>150</v>
      </c>
      <c r="G1367" s="77" t="s">
        <v>183</v>
      </c>
      <c r="H1367" s="77" t="s">
        <v>153</v>
      </c>
      <c r="I1367" s="86">
        <v>41758</v>
      </c>
      <c r="J1367" s="78">
        <v>791</v>
      </c>
      <c r="K1367" s="132" t="s">
        <v>20</v>
      </c>
      <c r="L1367" s="132" t="s">
        <v>242</v>
      </c>
      <c r="M1367" s="132" t="s">
        <v>174</v>
      </c>
      <c r="N1367" s="133">
        <v>41892</v>
      </c>
      <c r="O1367" s="134">
        <v>1513</v>
      </c>
      <c r="P1367" s="132" t="s">
        <v>151</v>
      </c>
      <c r="Q1367" s="132" t="s">
        <v>294</v>
      </c>
      <c r="R1367" s="132" t="s">
        <v>267</v>
      </c>
      <c r="S1367" s="133">
        <v>41926</v>
      </c>
      <c r="T1367" s="134">
        <v>751.9</v>
      </c>
      <c r="U1367" s="132" t="s">
        <v>154</v>
      </c>
      <c r="V1367" s="132" t="s">
        <v>191</v>
      </c>
      <c r="W1367" s="132" t="s">
        <v>153</v>
      </c>
      <c r="X1367" s="133">
        <v>41647</v>
      </c>
      <c r="Y1367" s="134">
        <v>890</v>
      </c>
    </row>
    <row r="1368" spans="1:25" x14ac:dyDescent="0.25">
      <c r="A1368" s="92" t="s">
        <v>148</v>
      </c>
      <c r="B1368" s="12" t="s">
        <v>270</v>
      </c>
      <c r="C1368" s="12" t="s">
        <v>174</v>
      </c>
      <c r="D1368" s="80">
        <v>41671</v>
      </c>
      <c r="E1368" s="81">
        <v>1258</v>
      </c>
      <c r="F1368" s="76" t="s">
        <v>150</v>
      </c>
      <c r="G1368" s="77" t="s">
        <v>183</v>
      </c>
      <c r="H1368" s="77" t="s">
        <v>153</v>
      </c>
      <c r="I1368" s="86">
        <v>41760</v>
      </c>
      <c r="J1368" s="78">
        <v>583</v>
      </c>
      <c r="K1368" s="132" t="s">
        <v>20</v>
      </c>
      <c r="L1368" s="132" t="s">
        <v>242</v>
      </c>
      <c r="M1368" s="132" t="s">
        <v>174</v>
      </c>
      <c r="N1368" s="133">
        <v>41910</v>
      </c>
      <c r="O1368" s="134">
        <v>1808</v>
      </c>
      <c r="P1368" s="132" t="s">
        <v>151</v>
      </c>
      <c r="Q1368" s="132" t="s">
        <v>295</v>
      </c>
      <c r="R1368" s="132" t="s">
        <v>267</v>
      </c>
      <c r="S1368" s="133">
        <v>41827</v>
      </c>
      <c r="T1368" s="134">
        <v>643.5</v>
      </c>
      <c r="U1368" s="132" t="s">
        <v>154</v>
      </c>
      <c r="V1368" s="132" t="s">
        <v>191</v>
      </c>
      <c r="W1368" s="132" t="s">
        <v>153</v>
      </c>
      <c r="X1368" s="133">
        <v>41647</v>
      </c>
      <c r="Y1368" s="134">
        <v>330</v>
      </c>
    </row>
    <row r="1369" spans="1:25" x14ac:dyDescent="0.25">
      <c r="A1369" s="92" t="s">
        <v>148</v>
      </c>
      <c r="B1369" s="12" t="s">
        <v>270</v>
      </c>
      <c r="C1369" s="12" t="s">
        <v>174</v>
      </c>
      <c r="D1369" s="80">
        <v>41672</v>
      </c>
      <c r="E1369" s="81">
        <v>625</v>
      </c>
      <c r="F1369" s="76" t="s">
        <v>150</v>
      </c>
      <c r="G1369" s="77" t="s">
        <v>183</v>
      </c>
      <c r="H1369" s="77" t="s">
        <v>153</v>
      </c>
      <c r="I1369" s="86">
        <v>41765</v>
      </c>
      <c r="J1369" s="78">
        <v>762</v>
      </c>
      <c r="K1369" s="132" t="s">
        <v>20</v>
      </c>
      <c r="L1369" s="132" t="s">
        <v>242</v>
      </c>
      <c r="M1369" s="132" t="s">
        <v>174</v>
      </c>
      <c r="N1369" s="133">
        <v>41928</v>
      </c>
      <c r="O1369" s="134">
        <v>1641</v>
      </c>
      <c r="P1369" s="132" t="s">
        <v>151</v>
      </c>
      <c r="Q1369" s="132" t="s">
        <v>295</v>
      </c>
      <c r="R1369" s="132" t="s">
        <v>267</v>
      </c>
      <c r="S1369" s="133">
        <v>41837</v>
      </c>
      <c r="T1369" s="134">
        <v>601.29999999999995</v>
      </c>
      <c r="U1369" s="132" t="s">
        <v>154</v>
      </c>
      <c r="V1369" s="132" t="s">
        <v>191</v>
      </c>
      <c r="W1369" s="132" t="s">
        <v>153</v>
      </c>
      <c r="X1369" s="133">
        <v>41648</v>
      </c>
      <c r="Y1369" s="134">
        <v>665</v>
      </c>
    </row>
    <row r="1370" spans="1:25" x14ac:dyDescent="0.25">
      <c r="A1370" s="92" t="s">
        <v>148</v>
      </c>
      <c r="B1370" s="12" t="s">
        <v>270</v>
      </c>
      <c r="C1370" s="12" t="s">
        <v>174</v>
      </c>
      <c r="D1370" s="80">
        <v>41673</v>
      </c>
      <c r="E1370" s="81">
        <v>1088</v>
      </c>
      <c r="F1370" s="76" t="s">
        <v>150</v>
      </c>
      <c r="G1370" s="77" t="s">
        <v>183</v>
      </c>
      <c r="H1370" s="77" t="s">
        <v>153</v>
      </c>
      <c r="I1370" s="86">
        <v>41766</v>
      </c>
      <c r="J1370" s="78">
        <v>989</v>
      </c>
      <c r="K1370" s="132" t="s">
        <v>20</v>
      </c>
      <c r="L1370" s="132" t="s">
        <v>242</v>
      </c>
      <c r="M1370" s="132" t="s">
        <v>174</v>
      </c>
      <c r="N1370" s="133">
        <v>41950</v>
      </c>
      <c r="O1370" s="134">
        <v>2124</v>
      </c>
      <c r="P1370" s="132" t="s">
        <v>151</v>
      </c>
      <c r="Q1370" s="132" t="s">
        <v>295</v>
      </c>
      <c r="R1370" s="132" t="s">
        <v>267</v>
      </c>
      <c r="S1370" s="133">
        <v>41845</v>
      </c>
      <c r="T1370" s="134">
        <v>101.8</v>
      </c>
      <c r="U1370" s="132" t="s">
        <v>154</v>
      </c>
      <c r="V1370" s="132" t="s">
        <v>191</v>
      </c>
      <c r="W1370" s="132" t="s">
        <v>153</v>
      </c>
      <c r="X1370" s="133">
        <v>41648</v>
      </c>
      <c r="Y1370" s="134">
        <v>430</v>
      </c>
    </row>
    <row r="1371" spans="1:25" x14ac:dyDescent="0.25">
      <c r="A1371" s="92" t="s">
        <v>148</v>
      </c>
      <c r="B1371" s="12" t="s">
        <v>270</v>
      </c>
      <c r="C1371" s="12" t="s">
        <v>174</v>
      </c>
      <c r="D1371" s="80">
        <v>41674</v>
      </c>
      <c r="E1371" s="81">
        <v>600</v>
      </c>
      <c r="F1371" s="76" t="s">
        <v>150</v>
      </c>
      <c r="G1371" s="77" t="s">
        <v>183</v>
      </c>
      <c r="H1371" s="77" t="s">
        <v>153</v>
      </c>
      <c r="I1371" s="86">
        <v>41769</v>
      </c>
      <c r="J1371" s="78">
        <v>612</v>
      </c>
      <c r="K1371" s="132" t="s">
        <v>20</v>
      </c>
      <c r="L1371" s="132" t="s">
        <v>242</v>
      </c>
      <c r="M1371" s="132" t="s">
        <v>174</v>
      </c>
      <c r="N1371" s="133">
        <v>41962</v>
      </c>
      <c r="O1371" s="134">
        <v>1545</v>
      </c>
      <c r="P1371" s="132" t="s">
        <v>151</v>
      </c>
      <c r="Q1371" s="132" t="s">
        <v>295</v>
      </c>
      <c r="R1371" s="132" t="s">
        <v>267</v>
      </c>
      <c r="S1371" s="133">
        <v>41848</v>
      </c>
      <c r="T1371" s="134">
        <v>691.7</v>
      </c>
      <c r="U1371" s="132" t="s">
        <v>154</v>
      </c>
      <c r="V1371" s="132" t="s">
        <v>191</v>
      </c>
      <c r="W1371" s="132" t="s">
        <v>153</v>
      </c>
      <c r="X1371" s="133">
        <v>41649</v>
      </c>
      <c r="Y1371" s="134">
        <v>830</v>
      </c>
    </row>
    <row r="1372" spans="1:25" x14ac:dyDescent="0.25">
      <c r="A1372" s="92" t="s">
        <v>148</v>
      </c>
      <c r="B1372" s="12" t="s">
        <v>270</v>
      </c>
      <c r="C1372" s="12" t="s">
        <v>174</v>
      </c>
      <c r="D1372" s="80">
        <v>41675</v>
      </c>
      <c r="E1372" s="81">
        <v>750</v>
      </c>
      <c r="F1372" s="76" t="s">
        <v>150</v>
      </c>
      <c r="G1372" s="77" t="s">
        <v>183</v>
      </c>
      <c r="H1372" s="77" t="s">
        <v>153</v>
      </c>
      <c r="I1372" s="86">
        <v>41769</v>
      </c>
      <c r="J1372" s="78">
        <v>1325</v>
      </c>
      <c r="K1372" s="132" t="s">
        <v>20</v>
      </c>
      <c r="L1372" s="132" t="s">
        <v>242</v>
      </c>
      <c r="M1372" s="132" t="s">
        <v>174</v>
      </c>
      <c r="N1372" s="133">
        <v>41980</v>
      </c>
      <c r="O1372" s="134">
        <v>2175</v>
      </c>
      <c r="P1372" s="132" t="s">
        <v>151</v>
      </c>
      <c r="Q1372" s="132" t="s">
        <v>295</v>
      </c>
      <c r="R1372" s="132" t="s">
        <v>267</v>
      </c>
      <c r="S1372" s="133">
        <v>41849</v>
      </c>
      <c r="T1372" s="134">
        <v>931</v>
      </c>
      <c r="U1372" s="132" t="s">
        <v>154</v>
      </c>
      <c r="V1372" s="132" t="s">
        <v>191</v>
      </c>
      <c r="W1372" s="132" t="s">
        <v>153</v>
      </c>
      <c r="X1372" s="133">
        <v>41650</v>
      </c>
      <c r="Y1372" s="134">
        <v>620</v>
      </c>
    </row>
    <row r="1373" spans="1:25" x14ac:dyDescent="0.25">
      <c r="A1373" s="92" t="s">
        <v>148</v>
      </c>
      <c r="B1373" s="12" t="s">
        <v>270</v>
      </c>
      <c r="C1373" s="12" t="s">
        <v>174</v>
      </c>
      <c r="D1373" s="80">
        <v>41676</v>
      </c>
      <c r="E1373" s="81">
        <v>1008</v>
      </c>
      <c r="F1373" s="76" t="s">
        <v>150</v>
      </c>
      <c r="G1373" s="77" t="s">
        <v>183</v>
      </c>
      <c r="H1373" s="77" t="s">
        <v>153</v>
      </c>
      <c r="I1373" s="86">
        <v>41770</v>
      </c>
      <c r="J1373" s="78">
        <v>977</v>
      </c>
      <c r="K1373" s="132" t="s">
        <v>20</v>
      </c>
      <c r="L1373" s="132" t="s">
        <v>242</v>
      </c>
      <c r="M1373" s="132" t="s">
        <v>174</v>
      </c>
      <c r="N1373" s="133">
        <v>42000</v>
      </c>
      <c r="O1373" s="134">
        <v>2004</v>
      </c>
      <c r="P1373" s="132" t="s">
        <v>151</v>
      </c>
      <c r="Q1373" s="132" t="s">
        <v>295</v>
      </c>
      <c r="R1373" s="132" t="s">
        <v>267</v>
      </c>
      <c r="S1373" s="133">
        <v>41892</v>
      </c>
      <c r="T1373" s="134">
        <v>994.6</v>
      </c>
      <c r="U1373" s="132" t="s">
        <v>154</v>
      </c>
      <c r="V1373" s="132" t="s">
        <v>191</v>
      </c>
      <c r="W1373" s="132" t="s">
        <v>153</v>
      </c>
      <c r="X1373" s="133">
        <v>41650</v>
      </c>
      <c r="Y1373" s="134">
        <v>220</v>
      </c>
    </row>
    <row r="1374" spans="1:25" x14ac:dyDescent="0.25">
      <c r="A1374" s="92" t="s">
        <v>148</v>
      </c>
      <c r="B1374" s="12" t="s">
        <v>270</v>
      </c>
      <c r="C1374" s="12" t="s">
        <v>174</v>
      </c>
      <c r="D1374" s="80">
        <v>41677</v>
      </c>
      <c r="E1374" s="81">
        <v>590</v>
      </c>
      <c r="F1374" s="76" t="s">
        <v>150</v>
      </c>
      <c r="G1374" s="77" t="s">
        <v>183</v>
      </c>
      <c r="H1374" s="77" t="s">
        <v>153</v>
      </c>
      <c r="I1374" s="86">
        <v>41772</v>
      </c>
      <c r="J1374" s="78">
        <v>1287</v>
      </c>
      <c r="K1374" s="132" t="s">
        <v>20</v>
      </c>
      <c r="L1374" s="132" t="s">
        <v>309</v>
      </c>
      <c r="M1374" s="132" t="s">
        <v>174</v>
      </c>
      <c r="N1374" s="133">
        <v>41658</v>
      </c>
      <c r="O1374" s="134">
        <v>1590</v>
      </c>
      <c r="P1374" s="132" t="s">
        <v>151</v>
      </c>
      <c r="Q1374" s="132" t="s">
        <v>296</v>
      </c>
      <c r="R1374" s="132" t="s">
        <v>267</v>
      </c>
      <c r="S1374" s="133">
        <v>41645</v>
      </c>
      <c r="T1374" s="134">
        <v>617.70000000000005</v>
      </c>
      <c r="U1374" s="132" t="s">
        <v>154</v>
      </c>
      <c r="V1374" s="132" t="s">
        <v>191</v>
      </c>
      <c r="W1374" s="132" t="s">
        <v>153</v>
      </c>
      <c r="X1374" s="133">
        <v>41651</v>
      </c>
      <c r="Y1374" s="134">
        <v>523</v>
      </c>
    </row>
    <row r="1375" spans="1:25" x14ac:dyDescent="0.25">
      <c r="A1375" s="92" t="s">
        <v>148</v>
      </c>
      <c r="B1375" s="12" t="s">
        <v>270</v>
      </c>
      <c r="C1375" s="12" t="s">
        <v>174</v>
      </c>
      <c r="D1375" s="80">
        <v>41678</v>
      </c>
      <c r="E1375" s="81">
        <v>710</v>
      </c>
      <c r="F1375" s="76" t="s">
        <v>150</v>
      </c>
      <c r="G1375" s="77" t="s">
        <v>183</v>
      </c>
      <c r="H1375" s="77" t="s">
        <v>153</v>
      </c>
      <c r="I1375" s="86">
        <v>41799</v>
      </c>
      <c r="J1375" s="78">
        <v>1176</v>
      </c>
      <c r="K1375" s="132" t="s">
        <v>20</v>
      </c>
      <c r="L1375" s="132" t="s">
        <v>309</v>
      </c>
      <c r="M1375" s="132" t="s">
        <v>174</v>
      </c>
      <c r="N1375" s="133">
        <v>41679</v>
      </c>
      <c r="O1375" s="134">
        <v>1989</v>
      </c>
      <c r="P1375" s="132" t="s">
        <v>151</v>
      </c>
      <c r="Q1375" s="132" t="s">
        <v>296</v>
      </c>
      <c r="R1375" s="132" t="s">
        <v>267</v>
      </c>
      <c r="S1375" s="133">
        <v>41646</v>
      </c>
      <c r="T1375" s="134">
        <v>1120.0999999999999</v>
      </c>
      <c r="U1375" s="132" t="s">
        <v>154</v>
      </c>
      <c r="V1375" s="132" t="s">
        <v>191</v>
      </c>
      <c r="W1375" s="132" t="s">
        <v>153</v>
      </c>
      <c r="X1375" s="133">
        <v>41652</v>
      </c>
      <c r="Y1375" s="134">
        <v>921</v>
      </c>
    </row>
    <row r="1376" spans="1:25" x14ac:dyDescent="0.25">
      <c r="A1376" s="92" t="s">
        <v>148</v>
      </c>
      <c r="B1376" s="12" t="s">
        <v>270</v>
      </c>
      <c r="C1376" s="12" t="s">
        <v>174</v>
      </c>
      <c r="D1376" s="80">
        <v>41679</v>
      </c>
      <c r="E1376" s="81">
        <v>1017</v>
      </c>
      <c r="F1376" s="76" t="s">
        <v>150</v>
      </c>
      <c r="G1376" s="77" t="s">
        <v>183</v>
      </c>
      <c r="H1376" s="77" t="s">
        <v>153</v>
      </c>
      <c r="I1376" s="86">
        <v>41800</v>
      </c>
      <c r="J1376" s="78">
        <v>1342</v>
      </c>
      <c r="K1376" s="132" t="s">
        <v>20</v>
      </c>
      <c r="L1376" s="132" t="s">
        <v>309</v>
      </c>
      <c r="M1376" s="132" t="s">
        <v>174</v>
      </c>
      <c r="N1376" s="133">
        <v>41691</v>
      </c>
      <c r="O1376" s="134">
        <v>1120</v>
      </c>
      <c r="P1376" s="132" t="s">
        <v>151</v>
      </c>
      <c r="Q1376" s="132" t="s">
        <v>296</v>
      </c>
      <c r="R1376" s="132" t="s">
        <v>267</v>
      </c>
      <c r="S1376" s="133">
        <v>41647</v>
      </c>
      <c r="T1376" s="134">
        <v>1042.9000000000001</v>
      </c>
      <c r="U1376" s="132" t="s">
        <v>154</v>
      </c>
      <c r="V1376" s="132" t="s">
        <v>191</v>
      </c>
      <c r="W1376" s="132" t="s">
        <v>153</v>
      </c>
      <c r="X1376" s="133">
        <v>41767</v>
      </c>
      <c r="Y1376" s="134">
        <v>1026</v>
      </c>
    </row>
    <row r="1377" spans="1:25" x14ac:dyDescent="0.25">
      <c r="A1377" s="92" t="s">
        <v>148</v>
      </c>
      <c r="B1377" s="12" t="s">
        <v>270</v>
      </c>
      <c r="C1377" s="12" t="s">
        <v>174</v>
      </c>
      <c r="D1377" s="80">
        <v>41680</v>
      </c>
      <c r="E1377" s="81">
        <v>840</v>
      </c>
      <c r="F1377" s="76" t="s">
        <v>150</v>
      </c>
      <c r="G1377" s="77" t="s">
        <v>183</v>
      </c>
      <c r="H1377" s="77" t="s">
        <v>153</v>
      </c>
      <c r="I1377" s="86">
        <v>41802</v>
      </c>
      <c r="J1377" s="78">
        <v>1323</v>
      </c>
      <c r="K1377" s="132" t="s">
        <v>20</v>
      </c>
      <c r="L1377" s="132" t="s">
        <v>309</v>
      </c>
      <c r="M1377" s="132" t="s">
        <v>174</v>
      </c>
      <c r="N1377" s="133">
        <v>41820</v>
      </c>
      <c r="O1377" s="134">
        <v>1729</v>
      </c>
      <c r="P1377" s="132" t="s">
        <v>151</v>
      </c>
      <c r="Q1377" s="132" t="s">
        <v>296</v>
      </c>
      <c r="R1377" s="132" t="s">
        <v>267</v>
      </c>
      <c r="S1377" s="133">
        <v>41649</v>
      </c>
      <c r="T1377" s="134">
        <v>545.1</v>
      </c>
      <c r="U1377" s="132" t="s">
        <v>154</v>
      </c>
      <c r="V1377" s="132" t="s">
        <v>191</v>
      </c>
      <c r="W1377" s="132" t="s">
        <v>153</v>
      </c>
      <c r="X1377" s="133">
        <v>41768</v>
      </c>
      <c r="Y1377" s="134">
        <v>1100</v>
      </c>
    </row>
    <row r="1378" spans="1:25" x14ac:dyDescent="0.25">
      <c r="A1378" s="92" t="s">
        <v>148</v>
      </c>
      <c r="B1378" s="12" t="s">
        <v>270</v>
      </c>
      <c r="C1378" s="12" t="s">
        <v>174</v>
      </c>
      <c r="D1378" s="80">
        <v>41681</v>
      </c>
      <c r="E1378" s="81">
        <v>901</v>
      </c>
      <c r="F1378" s="76" t="s">
        <v>150</v>
      </c>
      <c r="G1378" s="77" t="s">
        <v>183</v>
      </c>
      <c r="H1378" s="77" t="s">
        <v>153</v>
      </c>
      <c r="I1378" s="86">
        <v>41806</v>
      </c>
      <c r="J1378" s="78">
        <v>1058</v>
      </c>
      <c r="K1378" s="132" t="s">
        <v>20</v>
      </c>
      <c r="L1378" s="132" t="s">
        <v>309</v>
      </c>
      <c r="M1378" s="132" t="s">
        <v>174</v>
      </c>
      <c r="N1378" s="133">
        <v>41837</v>
      </c>
      <c r="O1378" s="134">
        <v>1307</v>
      </c>
      <c r="P1378" s="132" t="s">
        <v>151</v>
      </c>
      <c r="Q1378" s="132" t="s">
        <v>296</v>
      </c>
      <c r="R1378" s="132" t="s">
        <v>267</v>
      </c>
      <c r="S1378" s="133">
        <v>41654</v>
      </c>
      <c r="T1378" s="134">
        <v>972.9</v>
      </c>
      <c r="U1378" s="132" t="s">
        <v>154</v>
      </c>
      <c r="V1378" s="132" t="s">
        <v>191</v>
      </c>
      <c r="W1378" s="132" t="s">
        <v>153</v>
      </c>
      <c r="X1378" s="133">
        <v>41769</v>
      </c>
      <c r="Y1378" s="134">
        <v>400</v>
      </c>
    </row>
    <row r="1379" spans="1:25" x14ac:dyDescent="0.25">
      <c r="A1379" s="92" t="s">
        <v>148</v>
      </c>
      <c r="B1379" s="12" t="s">
        <v>270</v>
      </c>
      <c r="C1379" s="12" t="s">
        <v>174</v>
      </c>
      <c r="D1379" s="80">
        <v>41682</v>
      </c>
      <c r="E1379" s="81">
        <v>900</v>
      </c>
      <c r="F1379" s="76" t="s">
        <v>150</v>
      </c>
      <c r="G1379" s="77" t="s">
        <v>183</v>
      </c>
      <c r="H1379" s="77" t="s">
        <v>153</v>
      </c>
      <c r="I1379" s="86">
        <v>41808</v>
      </c>
      <c r="J1379" s="78">
        <v>894</v>
      </c>
      <c r="K1379" s="132" t="s">
        <v>20</v>
      </c>
      <c r="L1379" s="132" t="s">
        <v>309</v>
      </c>
      <c r="M1379" s="132" t="s">
        <v>174</v>
      </c>
      <c r="N1379" s="133">
        <v>41839</v>
      </c>
      <c r="O1379" s="134">
        <v>288</v>
      </c>
      <c r="P1379" s="132" t="s">
        <v>151</v>
      </c>
      <c r="Q1379" s="132" t="s">
        <v>296</v>
      </c>
      <c r="R1379" s="132" t="s">
        <v>267</v>
      </c>
      <c r="S1379" s="133">
        <v>41655</v>
      </c>
      <c r="T1379" s="134">
        <v>528.1</v>
      </c>
      <c r="U1379" s="132" t="s">
        <v>154</v>
      </c>
      <c r="V1379" s="132" t="s">
        <v>191</v>
      </c>
      <c r="W1379" s="132" t="s">
        <v>153</v>
      </c>
      <c r="X1379" s="133">
        <v>41770</v>
      </c>
      <c r="Y1379" s="134">
        <v>705</v>
      </c>
    </row>
    <row r="1380" spans="1:25" x14ac:dyDescent="0.25">
      <c r="A1380" s="92" t="s">
        <v>148</v>
      </c>
      <c r="B1380" s="12" t="s">
        <v>270</v>
      </c>
      <c r="C1380" s="12" t="s">
        <v>174</v>
      </c>
      <c r="D1380" s="80">
        <v>41683</v>
      </c>
      <c r="E1380" s="81">
        <v>861</v>
      </c>
      <c r="F1380" s="76" t="s">
        <v>150</v>
      </c>
      <c r="G1380" s="77" t="s">
        <v>183</v>
      </c>
      <c r="H1380" s="77" t="s">
        <v>153</v>
      </c>
      <c r="I1380" s="86">
        <v>41810</v>
      </c>
      <c r="J1380" s="78">
        <v>1158</v>
      </c>
      <c r="K1380" s="132" t="s">
        <v>20</v>
      </c>
      <c r="L1380" s="132" t="s">
        <v>309</v>
      </c>
      <c r="M1380" s="132" t="s">
        <v>174</v>
      </c>
      <c r="N1380" s="133">
        <v>41980</v>
      </c>
      <c r="O1380" s="134">
        <v>1800</v>
      </c>
      <c r="P1380" s="132" t="s">
        <v>151</v>
      </c>
      <c r="Q1380" s="132" t="s">
        <v>296</v>
      </c>
      <c r="R1380" s="132" t="s">
        <v>267</v>
      </c>
      <c r="S1380" s="133">
        <v>41697</v>
      </c>
      <c r="T1380" s="134">
        <v>368.9</v>
      </c>
      <c r="U1380" s="132" t="s">
        <v>154</v>
      </c>
      <c r="V1380" s="132" t="s">
        <v>191</v>
      </c>
      <c r="W1380" s="132" t="s">
        <v>153</v>
      </c>
      <c r="X1380" s="133">
        <v>41770</v>
      </c>
      <c r="Y1380" s="134">
        <v>511</v>
      </c>
    </row>
    <row r="1381" spans="1:25" x14ac:dyDescent="0.25">
      <c r="A1381" s="92" t="s">
        <v>148</v>
      </c>
      <c r="B1381" s="12" t="s">
        <v>270</v>
      </c>
      <c r="C1381" s="12" t="s">
        <v>174</v>
      </c>
      <c r="D1381" s="80">
        <v>41684</v>
      </c>
      <c r="E1381" s="81">
        <v>1039</v>
      </c>
      <c r="F1381" s="76" t="s">
        <v>150</v>
      </c>
      <c r="G1381" s="77" t="s">
        <v>183</v>
      </c>
      <c r="H1381" s="77" t="s">
        <v>153</v>
      </c>
      <c r="I1381" s="86">
        <v>41813</v>
      </c>
      <c r="J1381" s="78">
        <v>1122</v>
      </c>
      <c r="K1381" s="132" t="s">
        <v>20</v>
      </c>
      <c r="L1381" s="132" t="s">
        <v>243</v>
      </c>
      <c r="M1381" s="132" t="s">
        <v>174</v>
      </c>
      <c r="N1381" s="133">
        <v>41670</v>
      </c>
      <c r="O1381" s="134">
        <v>1705</v>
      </c>
      <c r="P1381" s="132" t="s">
        <v>151</v>
      </c>
      <c r="Q1381" s="132" t="s">
        <v>296</v>
      </c>
      <c r="R1381" s="132" t="s">
        <v>267</v>
      </c>
      <c r="S1381" s="133">
        <v>41705</v>
      </c>
      <c r="T1381" s="134">
        <v>330.3</v>
      </c>
      <c r="U1381" s="132" t="s">
        <v>154</v>
      </c>
      <c r="V1381" s="132" t="s">
        <v>191</v>
      </c>
      <c r="W1381" s="132" t="s">
        <v>153</v>
      </c>
      <c r="X1381" s="133">
        <v>41770</v>
      </c>
      <c r="Y1381" s="134">
        <v>277</v>
      </c>
    </row>
    <row r="1382" spans="1:25" x14ac:dyDescent="0.25">
      <c r="A1382" s="92" t="s">
        <v>148</v>
      </c>
      <c r="B1382" s="12" t="s">
        <v>270</v>
      </c>
      <c r="C1382" s="12" t="s">
        <v>174</v>
      </c>
      <c r="D1382" s="80">
        <v>41685</v>
      </c>
      <c r="E1382" s="81">
        <v>870</v>
      </c>
      <c r="F1382" s="76" t="s">
        <v>150</v>
      </c>
      <c r="G1382" s="77" t="s">
        <v>183</v>
      </c>
      <c r="H1382" s="77" t="s">
        <v>153</v>
      </c>
      <c r="I1382" s="86">
        <v>41815</v>
      </c>
      <c r="J1382" s="78">
        <v>804</v>
      </c>
      <c r="K1382" s="132" t="s">
        <v>20</v>
      </c>
      <c r="L1382" s="132" t="s">
        <v>243</v>
      </c>
      <c r="M1382" s="132" t="s">
        <v>174</v>
      </c>
      <c r="N1382" s="133">
        <v>41682</v>
      </c>
      <c r="O1382" s="134">
        <v>590</v>
      </c>
      <c r="P1382" s="132" t="s">
        <v>151</v>
      </c>
      <c r="Q1382" s="132" t="s">
        <v>296</v>
      </c>
      <c r="R1382" s="132" t="s">
        <v>267</v>
      </c>
      <c r="S1382" s="133">
        <v>41814</v>
      </c>
      <c r="T1382" s="134">
        <v>565.79999999999995</v>
      </c>
      <c r="U1382" s="132" t="s">
        <v>154</v>
      </c>
      <c r="V1382" s="132" t="s">
        <v>191</v>
      </c>
      <c r="W1382" s="132" t="s">
        <v>153</v>
      </c>
      <c r="X1382" s="133">
        <v>41771</v>
      </c>
      <c r="Y1382" s="134">
        <v>1050</v>
      </c>
    </row>
    <row r="1383" spans="1:25" x14ac:dyDescent="0.25">
      <c r="A1383" s="92" t="s">
        <v>148</v>
      </c>
      <c r="B1383" s="12" t="s">
        <v>270</v>
      </c>
      <c r="C1383" s="12" t="s">
        <v>174</v>
      </c>
      <c r="D1383" s="80">
        <v>41686</v>
      </c>
      <c r="E1383" s="81">
        <v>650</v>
      </c>
      <c r="F1383" s="76" t="s">
        <v>150</v>
      </c>
      <c r="G1383" s="77" t="s">
        <v>183</v>
      </c>
      <c r="H1383" s="77" t="s">
        <v>153</v>
      </c>
      <c r="I1383" s="86">
        <v>41816</v>
      </c>
      <c r="J1383" s="78">
        <v>860</v>
      </c>
      <c r="K1383" s="132" t="s">
        <v>20</v>
      </c>
      <c r="L1383" s="132" t="s">
        <v>243</v>
      </c>
      <c r="M1383" s="132" t="s">
        <v>174</v>
      </c>
      <c r="N1383" s="133">
        <v>41931</v>
      </c>
      <c r="O1383" s="134">
        <v>840</v>
      </c>
      <c r="P1383" s="132" t="s">
        <v>151</v>
      </c>
      <c r="Q1383" s="132" t="s">
        <v>296</v>
      </c>
      <c r="R1383" s="132" t="s">
        <v>267</v>
      </c>
      <c r="S1383" s="133">
        <v>41821</v>
      </c>
      <c r="T1383" s="134">
        <v>639.70000000000005</v>
      </c>
      <c r="U1383" s="132" t="s">
        <v>154</v>
      </c>
      <c r="V1383" s="132" t="s">
        <v>191</v>
      </c>
      <c r="W1383" s="132" t="s">
        <v>153</v>
      </c>
      <c r="X1383" s="133">
        <v>41780</v>
      </c>
      <c r="Y1383" s="134">
        <v>1300</v>
      </c>
    </row>
    <row r="1384" spans="1:25" x14ac:dyDescent="0.25">
      <c r="A1384" s="92" t="s">
        <v>148</v>
      </c>
      <c r="B1384" s="12" t="s">
        <v>270</v>
      </c>
      <c r="C1384" s="12" t="s">
        <v>174</v>
      </c>
      <c r="D1384" s="80">
        <v>41687</v>
      </c>
      <c r="E1384" s="81">
        <v>1180</v>
      </c>
      <c r="F1384" s="76" t="s">
        <v>150</v>
      </c>
      <c r="G1384" s="77" t="s">
        <v>183</v>
      </c>
      <c r="H1384" s="77" t="s">
        <v>153</v>
      </c>
      <c r="I1384" s="86">
        <v>41818</v>
      </c>
      <c r="J1384" s="78">
        <v>1268</v>
      </c>
      <c r="K1384" s="132" t="s">
        <v>20</v>
      </c>
      <c r="L1384" s="132" t="s">
        <v>243</v>
      </c>
      <c r="M1384" s="132" t="s">
        <v>174</v>
      </c>
      <c r="N1384" s="133">
        <v>41944</v>
      </c>
      <c r="O1384" s="134">
        <v>1180</v>
      </c>
      <c r="P1384" s="132" t="s">
        <v>151</v>
      </c>
      <c r="Q1384" s="132" t="s">
        <v>296</v>
      </c>
      <c r="R1384" s="132" t="s">
        <v>267</v>
      </c>
      <c r="S1384" s="133">
        <v>41822</v>
      </c>
      <c r="T1384" s="134">
        <v>937.1</v>
      </c>
      <c r="U1384" s="132" t="s">
        <v>154</v>
      </c>
      <c r="V1384" s="132" t="s">
        <v>191</v>
      </c>
      <c r="W1384" s="132" t="s">
        <v>153</v>
      </c>
      <c r="X1384" s="133">
        <v>41781</v>
      </c>
      <c r="Y1384" s="134">
        <v>856</v>
      </c>
    </row>
    <row r="1385" spans="1:25" x14ac:dyDescent="0.25">
      <c r="A1385" s="92" t="s">
        <v>148</v>
      </c>
      <c r="B1385" s="12" t="s">
        <v>270</v>
      </c>
      <c r="C1385" s="12" t="s">
        <v>174</v>
      </c>
      <c r="D1385" s="80">
        <v>41688</v>
      </c>
      <c r="E1385" s="81">
        <v>800</v>
      </c>
      <c r="F1385" s="76" t="s">
        <v>150</v>
      </c>
      <c r="G1385" s="77" t="s">
        <v>183</v>
      </c>
      <c r="H1385" s="77" t="s">
        <v>153</v>
      </c>
      <c r="I1385" s="86">
        <v>41818</v>
      </c>
      <c r="J1385" s="78">
        <v>665</v>
      </c>
      <c r="K1385" s="132" t="s">
        <v>20</v>
      </c>
      <c r="L1385" s="132" t="s">
        <v>243</v>
      </c>
      <c r="M1385" s="132" t="s">
        <v>174</v>
      </c>
      <c r="N1385" s="133">
        <v>41962</v>
      </c>
      <c r="O1385" s="134">
        <v>1544</v>
      </c>
      <c r="P1385" s="132" t="s">
        <v>151</v>
      </c>
      <c r="Q1385" s="132" t="s">
        <v>296</v>
      </c>
      <c r="R1385" s="132" t="s">
        <v>267</v>
      </c>
      <c r="S1385" s="133">
        <v>41823</v>
      </c>
      <c r="T1385" s="134">
        <v>970.2</v>
      </c>
      <c r="U1385" s="132" t="s">
        <v>154</v>
      </c>
      <c r="V1385" s="132" t="s">
        <v>191</v>
      </c>
      <c r="W1385" s="132" t="s">
        <v>153</v>
      </c>
      <c r="X1385" s="133">
        <v>41782</v>
      </c>
      <c r="Y1385" s="134">
        <v>614</v>
      </c>
    </row>
    <row r="1386" spans="1:25" x14ac:dyDescent="0.25">
      <c r="A1386" s="92" t="s">
        <v>148</v>
      </c>
      <c r="B1386" s="12" t="s">
        <v>270</v>
      </c>
      <c r="C1386" s="12" t="s">
        <v>174</v>
      </c>
      <c r="D1386" s="80">
        <v>41689</v>
      </c>
      <c r="E1386" s="81">
        <v>800</v>
      </c>
      <c r="F1386" s="76" t="s">
        <v>150</v>
      </c>
      <c r="G1386" s="77" t="s">
        <v>183</v>
      </c>
      <c r="H1386" s="77" t="s">
        <v>153</v>
      </c>
      <c r="I1386" s="86">
        <v>41819</v>
      </c>
      <c r="J1386" s="78">
        <v>754</v>
      </c>
      <c r="K1386" s="132" t="s">
        <v>20</v>
      </c>
      <c r="L1386" s="132" t="s">
        <v>238</v>
      </c>
      <c r="M1386" s="132" t="s">
        <v>174</v>
      </c>
      <c r="N1386" s="133">
        <v>41638</v>
      </c>
      <c r="O1386" s="134">
        <v>1669</v>
      </c>
      <c r="P1386" s="132" t="s">
        <v>151</v>
      </c>
      <c r="Q1386" s="132" t="s">
        <v>296</v>
      </c>
      <c r="R1386" s="132" t="s">
        <v>267</v>
      </c>
      <c r="S1386" s="133">
        <v>41827</v>
      </c>
      <c r="T1386" s="134">
        <v>964.2</v>
      </c>
      <c r="U1386" s="132" t="s">
        <v>154</v>
      </c>
      <c r="V1386" s="132" t="s">
        <v>191</v>
      </c>
      <c r="W1386" s="132" t="s">
        <v>153</v>
      </c>
      <c r="X1386" s="133">
        <v>41782</v>
      </c>
      <c r="Y1386" s="134">
        <v>319</v>
      </c>
    </row>
    <row r="1387" spans="1:25" x14ac:dyDescent="0.25">
      <c r="A1387" s="92" t="s">
        <v>148</v>
      </c>
      <c r="B1387" s="12" t="s">
        <v>270</v>
      </c>
      <c r="C1387" s="12" t="s">
        <v>174</v>
      </c>
      <c r="D1387" s="80">
        <v>41690</v>
      </c>
      <c r="E1387" s="81">
        <v>875</v>
      </c>
      <c r="F1387" s="76" t="s">
        <v>150</v>
      </c>
      <c r="G1387" s="77" t="s">
        <v>183</v>
      </c>
      <c r="H1387" s="77" t="s">
        <v>153</v>
      </c>
      <c r="I1387" s="86">
        <v>41820</v>
      </c>
      <c r="J1387" s="78">
        <v>1289</v>
      </c>
      <c r="K1387" s="132" t="s">
        <v>20</v>
      </c>
      <c r="L1387" s="132" t="s">
        <v>238</v>
      </c>
      <c r="M1387" s="132" t="s">
        <v>174</v>
      </c>
      <c r="N1387" s="133">
        <v>41754</v>
      </c>
      <c r="O1387" s="134">
        <v>1202</v>
      </c>
      <c r="P1387" s="132" t="s">
        <v>151</v>
      </c>
      <c r="Q1387" s="132" t="s">
        <v>296</v>
      </c>
      <c r="R1387" s="132" t="s">
        <v>267</v>
      </c>
      <c r="S1387" s="133">
        <v>41830</v>
      </c>
      <c r="T1387" s="134">
        <v>89.6</v>
      </c>
      <c r="U1387" s="132" t="s">
        <v>154</v>
      </c>
      <c r="V1387" s="132" t="s">
        <v>191</v>
      </c>
      <c r="W1387" s="132" t="s">
        <v>153</v>
      </c>
      <c r="X1387" s="133">
        <v>41792</v>
      </c>
      <c r="Y1387" s="134">
        <v>676</v>
      </c>
    </row>
    <row r="1388" spans="1:25" x14ac:dyDescent="0.25">
      <c r="A1388" s="92" t="s">
        <v>148</v>
      </c>
      <c r="B1388" s="12" t="s">
        <v>270</v>
      </c>
      <c r="C1388" s="12" t="s">
        <v>174</v>
      </c>
      <c r="D1388" s="80">
        <v>41691</v>
      </c>
      <c r="E1388" s="81">
        <v>700</v>
      </c>
      <c r="F1388" s="76" t="s">
        <v>150</v>
      </c>
      <c r="G1388" s="77" t="s">
        <v>183</v>
      </c>
      <c r="H1388" s="77" t="s">
        <v>153</v>
      </c>
      <c r="I1388" s="86">
        <v>41821</v>
      </c>
      <c r="J1388" s="78">
        <v>1310</v>
      </c>
      <c r="K1388" s="132" t="s">
        <v>20</v>
      </c>
      <c r="L1388" s="132" t="s">
        <v>238</v>
      </c>
      <c r="M1388" s="132" t="s">
        <v>174</v>
      </c>
      <c r="N1388" s="133">
        <v>41931</v>
      </c>
      <c r="O1388" s="134">
        <v>1740</v>
      </c>
      <c r="P1388" s="132" t="s">
        <v>151</v>
      </c>
      <c r="Q1388" s="132" t="s">
        <v>296</v>
      </c>
      <c r="R1388" s="132" t="s">
        <v>267</v>
      </c>
      <c r="S1388" s="133">
        <v>41836</v>
      </c>
      <c r="T1388" s="134">
        <v>868.8</v>
      </c>
      <c r="U1388" s="132" t="s">
        <v>154</v>
      </c>
      <c r="V1388" s="132" t="s">
        <v>191</v>
      </c>
      <c r="W1388" s="132" t="s">
        <v>153</v>
      </c>
      <c r="X1388" s="133">
        <v>41793</v>
      </c>
      <c r="Y1388" s="134">
        <v>575</v>
      </c>
    </row>
    <row r="1389" spans="1:25" x14ac:dyDescent="0.25">
      <c r="A1389" s="92" t="s">
        <v>148</v>
      </c>
      <c r="B1389" s="12" t="s">
        <v>270</v>
      </c>
      <c r="C1389" s="12" t="s">
        <v>174</v>
      </c>
      <c r="D1389" s="80">
        <v>41692</v>
      </c>
      <c r="E1389" s="81">
        <v>1190</v>
      </c>
      <c r="F1389" s="76" t="s">
        <v>150</v>
      </c>
      <c r="G1389" s="77" t="s">
        <v>183</v>
      </c>
      <c r="H1389" s="77" t="s">
        <v>153</v>
      </c>
      <c r="I1389" s="86">
        <v>41823</v>
      </c>
      <c r="J1389" s="78">
        <v>1275</v>
      </c>
      <c r="K1389" s="132" t="s">
        <v>20</v>
      </c>
      <c r="L1389" s="132" t="s">
        <v>238</v>
      </c>
      <c r="M1389" s="132" t="s">
        <v>174</v>
      </c>
      <c r="N1389" s="133">
        <v>42001</v>
      </c>
      <c r="O1389" s="134">
        <v>1096</v>
      </c>
      <c r="P1389" s="132" t="s">
        <v>151</v>
      </c>
      <c r="Q1389" s="132" t="s">
        <v>296</v>
      </c>
      <c r="R1389" s="132" t="s">
        <v>267</v>
      </c>
      <c r="S1389" s="133">
        <v>41844</v>
      </c>
      <c r="T1389" s="134">
        <v>704.4</v>
      </c>
      <c r="U1389" s="132" t="s">
        <v>154</v>
      </c>
      <c r="V1389" s="132" t="s">
        <v>191</v>
      </c>
      <c r="W1389" s="132" t="s">
        <v>153</v>
      </c>
      <c r="X1389" s="133">
        <v>41794</v>
      </c>
      <c r="Y1389" s="134">
        <v>688</v>
      </c>
    </row>
    <row r="1390" spans="1:25" x14ac:dyDescent="0.25">
      <c r="A1390" s="92" t="s">
        <v>148</v>
      </c>
      <c r="B1390" s="12" t="s">
        <v>270</v>
      </c>
      <c r="C1390" s="12" t="s">
        <v>174</v>
      </c>
      <c r="D1390" s="80">
        <v>41693</v>
      </c>
      <c r="E1390" s="81">
        <v>940</v>
      </c>
      <c r="F1390" s="76" t="s">
        <v>150</v>
      </c>
      <c r="G1390" s="77" t="s">
        <v>183</v>
      </c>
      <c r="H1390" s="77" t="s">
        <v>153</v>
      </c>
      <c r="I1390" s="86">
        <v>41828</v>
      </c>
      <c r="J1390" s="78">
        <v>624</v>
      </c>
      <c r="K1390" s="132" t="s">
        <v>20</v>
      </c>
      <c r="L1390" s="132" t="s">
        <v>310</v>
      </c>
      <c r="M1390" s="132" t="s">
        <v>174</v>
      </c>
      <c r="N1390" s="133">
        <v>41696</v>
      </c>
      <c r="O1390" s="134">
        <v>1642</v>
      </c>
      <c r="P1390" s="132" t="s">
        <v>151</v>
      </c>
      <c r="Q1390" s="132" t="s">
        <v>296</v>
      </c>
      <c r="R1390" s="132" t="s">
        <v>267</v>
      </c>
      <c r="S1390" s="133">
        <v>41845</v>
      </c>
      <c r="T1390" s="134">
        <v>484.4</v>
      </c>
      <c r="U1390" s="132" t="s">
        <v>154</v>
      </c>
      <c r="V1390" s="132" t="s">
        <v>191</v>
      </c>
      <c r="W1390" s="132" t="s">
        <v>153</v>
      </c>
      <c r="X1390" s="133">
        <v>41802</v>
      </c>
      <c r="Y1390" s="134">
        <v>435</v>
      </c>
    </row>
    <row r="1391" spans="1:25" x14ac:dyDescent="0.25">
      <c r="A1391" s="92" t="s">
        <v>148</v>
      </c>
      <c r="B1391" s="12" t="s">
        <v>270</v>
      </c>
      <c r="C1391" s="12" t="s">
        <v>174</v>
      </c>
      <c r="D1391" s="80">
        <v>41694</v>
      </c>
      <c r="E1391" s="81">
        <v>525</v>
      </c>
      <c r="F1391" s="76" t="s">
        <v>150</v>
      </c>
      <c r="G1391" s="77" t="s">
        <v>183</v>
      </c>
      <c r="H1391" s="77" t="s">
        <v>153</v>
      </c>
      <c r="I1391" s="86">
        <v>41831</v>
      </c>
      <c r="J1391" s="78">
        <v>1118</v>
      </c>
      <c r="K1391" s="132" t="s">
        <v>20</v>
      </c>
      <c r="L1391" s="132" t="s">
        <v>239</v>
      </c>
      <c r="M1391" s="132" t="s">
        <v>174</v>
      </c>
      <c r="N1391" s="133">
        <v>41639</v>
      </c>
      <c r="O1391" s="134">
        <v>1295</v>
      </c>
      <c r="P1391" s="132" t="s">
        <v>151</v>
      </c>
      <c r="Q1391" s="132" t="s">
        <v>296</v>
      </c>
      <c r="R1391" s="132" t="s">
        <v>267</v>
      </c>
      <c r="S1391" s="133">
        <v>41848</v>
      </c>
      <c r="T1391" s="134">
        <v>596</v>
      </c>
      <c r="U1391" s="132" t="s">
        <v>154</v>
      </c>
      <c r="V1391" s="132" t="s">
        <v>191</v>
      </c>
      <c r="W1391" s="132" t="s">
        <v>153</v>
      </c>
      <c r="X1391" s="133">
        <v>41803</v>
      </c>
      <c r="Y1391" s="134">
        <v>1050</v>
      </c>
    </row>
    <row r="1392" spans="1:25" x14ac:dyDescent="0.25">
      <c r="A1392" s="92" t="s">
        <v>148</v>
      </c>
      <c r="B1392" s="12" t="s">
        <v>270</v>
      </c>
      <c r="C1392" s="12" t="s">
        <v>174</v>
      </c>
      <c r="D1392" s="80">
        <v>41695</v>
      </c>
      <c r="E1392" s="81">
        <v>780</v>
      </c>
      <c r="F1392" s="76" t="s">
        <v>150</v>
      </c>
      <c r="G1392" s="77" t="s">
        <v>183</v>
      </c>
      <c r="H1392" s="77" t="s">
        <v>153</v>
      </c>
      <c r="I1392" s="86">
        <v>41835</v>
      </c>
      <c r="J1392" s="78">
        <v>1195</v>
      </c>
      <c r="K1392" s="132" t="s">
        <v>20</v>
      </c>
      <c r="L1392" s="132" t="s">
        <v>239</v>
      </c>
      <c r="M1392" s="132" t="s">
        <v>174</v>
      </c>
      <c r="N1392" s="133">
        <v>41650</v>
      </c>
      <c r="O1392" s="134">
        <v>1771</v>
      </c>
      <c r="P1392" s="132" t="s">
        <v>151</v>
      </c>
      <c r="Q1392" s="132" t="s">
        <v>296</v>
      </c>
      <c r="R1392" s="132" t="s">
        <v>267</v>
      </c>
      <c r="S1392" s="133">
        <v>41849</v>
      </c>
      <c r="T1392" s="134">
        <v>528.20000000000005</v>
      </c>
      <c r="U1392" s="132" t="s">
        <v>154</v>
      </c>
      <c r="V1392" s="132" t="s">
        <v>191</v>
      </c>
      <c r="W1392" s="132" t="s">
        <v>153</v>
      </c>
      <c r="X1392" s="133">
        <v>41804</v>
      </c>
      <c r="Y1392" s="134">
        <v>706</v>
      </c>
    </row>
    <row r="1393" spans="1:25" x14ac:dyDescent="0.25">
      <c r="A1393" s="92" t="s">
        <v>148</v>
      </c>
      <c r="B1393" s="12" t="s">
        <v>270</v>
      </c>
      <c r="C1393" s="12" t="s">
        <v>174</v>
      </c>
      <c r="D1393" s="80">
        <v>41696</v>
      </c>
      <c r="E1393" s="81">
        <v>820</v>
      </c>
      <c r="F1393" s="76" t="s">
        <v>150</v>
      </c>
      <c r="G1393" s="77" t="s">
        <v>183</v>
      </c>
      <c r="H1393" s="77" t="s">
        <v>153</v>
      </c>
      <c r="I1393" s="86">
        <v>41836</v>
      </c>
      <c r="J1393" s="78">
        <v>832</v>
      </c>
      <c r="K1393" s="132" t="s">
        <v>20</v>
      </c>
      <c r="L1393" s="132" t="s">
        <v>239</v>
      </c>
      <c r="M1393" s="132" t="s">
        <v>174</v>
      </c>
      <c r="N1393" s="133">
        <v>41676</v>
      </c>
      <c r="O1393" s="134">
        <v>1301</v>
      </c>
      <c r="P1393" s="132" t="s">
        <v>151</v>
      </c>
      <c r="Q1393" s="132" t="s">
        <v>296</v>
      </c>
      <c r="R1393" s="132" t="s">
        <v>267</v>
      </c>
      <c r="S1393" s="133">
        <v>41850</v>
      </c>
      <c r="T1393" s="134">
        <v>532.70000000000005</v>
      </c>
      <c r="U1393" s="132" t="s">
        <v>154</v>
      </c>
      <c r="V1393" s="132" t="s">
        <v>191</v>
      </c>
      <c r="W1393" s="132" t="s">
        <v>153</v>
      </c>
      <c r="X1393" s="133">
        <v>41804</v>
      </c>
      <c r="Y1393" s="134">
        <v>347</v>
      </c>
    </row>
    <row r="1394" spans="1:25" x14ac:dyDescent="0.25">
      <c r="A1394" s="92" t="s">
        <v>148</v>
      </c>
      <c r="B1394" s="12" t="s">
        <v>270</v>
      </c>
      <c r="C1394" s="12" t="s">
        <v>174</v>
      </c>
      <c r="D1394" s="80">
        <v>41697</v>
      </c>
      <c r="E1394" s="81">
        <v>800</v>
      </c>
      <c r="F1394" s="76" t="s">
        <v>150</v>
      </c>
      <c r="G1394" s="77" t="s">
        <v>183</v>
      </c>
      <c r="H1394" s="77" t="s">
        <v>153</v>
      </c>
      <c r="I1394" s="86">
        <v>41837</v>
      </c>
      <c r="J1394" s="78">
        <v>572</v>
      </c>
      <c r="K1394" s="132" t="s">
        <v>20</v>
      </c>
      <c r="L1394" s="132" t="s">
        <v>311</v>
      </c>
      <c r="M1394" s="132" t="s">
        <v>174</v>
      </c>
      <c r="N1394" s="133">
        <v>41784</v>
      </c>
      <c r="O1394" s="134">
        <v>1148</v>
      </c>
      <c r="P1394" s="132" t="s">
        <v>151</v>
      </c>
      <c r="Q1394" s="132" t="s">
        <v>296</v>
      </c>
      <c r="R1394" s="132" t="s">
        <v>267</v>
      </c>
      <c r="S1394" s="133">
        <v>41851</v>
      </c>
      <c r="T1394" s="134">
        <v>559.29999999999995</v>
      </c>
      <c r="U1394" s="132" t="s">
        <v>154</v>
      </c>
      <c r="V1394" s="132" t="s">
        <v>191</v>
      </c>
      <c r="W1394" s="132" t="s">
        <v>153</v>
      </c>
      <c r="X1394" s="133">
        <v>41805</v>
      </c>
      <c r="Y1394" s="134">
        <v>807</v>
      </c>
    </row>
    <row r="1395" spans="1:25" x14ac:dyDescent="0.25">
      <c r="A1395" s="92" t="s">
        <v>148</v>
      </c>
      <c r="B1395" s="12" t="s">
        <v>270</v>
      </c>
      <c r="C1395" s="12" t="s">
        <v>174</v>
      </c>
      <c r="D1395" s="80">
        <v>41698</v>
      </c>
      <c r="E1395" s="81">
        <v>900</v>
      </c>
      <c r="F1395" s="76" t="s">
        <v>150</v>
      </c>
      <c r="G1395" s="77" t="s">
        <v>183</v>
      </c>
      <c r="H1395" s="77" t="s">
        <v>153</v>
      </c>
      <c r="I1395" s="86">
        <v>41838</v>
      </c>
      <c r="J1395" s="78">
        <v>463</v>
      </c>
      <c r="K1395" s="132" t="s">
        <v>20</v>
      </c>
      <c r="L1395" s="132" t="s">
        <v>311</v>
      </c>
      <c r="M1395" s="132" t="s">
        <v>174</v>
      </c>
      <c r="N1395" s="133">
        <v>41939</v>
      </c>
      <c r="O1395" s="134">
        <v>1144</v>
      </c>
      <c r="P1395" s="132" t="s">
        <v>151</v>
      </c>
      <c r="Q1395" s="132" t="s">
        <v>296</v>
      </c>
      <c r="R1395" s="132" t="s">
        <v>267</v>
      </c>
      <c r="S1395" s="133">
        <v>41852</v>
      </c>
      <c r="T1395" s="134">
        <v>1106.5999999999999</v>
      </c>
      <c r="U1395" s="132" t="s">
        <v>154</v>
      </c>
      <c r="V1395" s="132" t="s">
        <v>191</v>
      </c>
      <c r="W1395" s="132" t="s">
        <v>153</v>
      </c>
      <c r="X1395" s="133">
        <v>41805</v>
      </c>
      <c r="Y1395" s="134">
        <v>542</v>
      </c>
    </row>
    <row r="1396" spans="1:25" x14ac:dyDescent="0.25">
      <c r="A1396" s="92" t="s">
        <v>148</v>
      </c>
      <c r="B1396" s="12" t="s">
        <v>270</v>
      </c>
      <c r="C1396" s="12" t="s">
        <v>174</v>
      </c>
      <c r="D1396" s="80">
        <v>41699</v>
      </c>
      <c r="E1396" s="81">
        <v>875</v>
      </c>
      <c r="F1396" s="76" t="s">
        <v>150</v>
      </c>
      <c r="G1396" s="77" t="s">
        <v>183</v>
      </c>
      <c r="H1396" s="77" t="s">
        <v>153</v>
      </c>
      <c r="I1396" s="86">
        <v>41856</v>
      </c>
      <c r="J1396" s="78">
        <v>835</v>
      </c>
      <c r="K1396" s="132" t="s">
        <v>20</v>
      </c>
      <c r="L1396" s="132" t="s">
        <v>312</v>
      </c>
      <c r="M1396" s="132" t="s">
        <v>174</v>
      </c>
      <c r="N1396" s="133">
        <v>41692</v>
      </c>
      <c r="O1396" s="134">
        <v>1462</v>
      </c>
      <c r="P1396" s="132" t="s">
        <v>151</v>
      </c>
      <c r="Q1396" s="132" t="s">
        <v>296</v>
      </c>
      <c r="R1396" s="132" t="s">
        <v>267</v>
      </c>
      <c r="S1396" s="133">
        <v>41855</v>
      </c>
      <c r="T1396" s="134">
        <v>541.29999999999995</v>
      </c>
      <c r="U1396" s="132" t="s">
        <v>154</v>
      </c>
      <c r="V1396" s="132" t="s">
        <v>191</v>
      </c>
      <c r="W1396" s="132" t="s">
        <v>153</v>
      </c>
      <c r="X1396" s="133">
        <v>41806</v>
      </c>
      <c r="Y1396" s="134">
        <v>1130</v>
      </c>
    </row>
    <row r="1397" spans="1:25" x14ac:dyDescent="0.25">
      <c r="A1397" s="92" t="s">
        <v>148</v>
      </c>
      <c r="B1397" s="12" t="s">
        <v>270</v>
      </c>
      <c r="C1397" s="12" t="s">
        <v>174</v>
      </c>
      <c r="D1397" s="80">
        <v>41700</v>
      </c>
      <c r="E1397" s="81">
        <v>950</v>
      </c>
      <c r="F1397" s="76" t="s">
        <v>150</v>
      </c>
      <c r="G1397" s="77" t="s">
        <v>183</v>
      </c>
      <c r="H1397" s="77" t="s">
        <v>153</v>
      </c>
      <c r="I1397" s="86">
        <v>41857</v>
      </c>
      <c r="J1397" s="78">
        <v>1025</v>
      </c>
      <c r="K1397" s="132" t="s">
        <v>20</v>
      </c>
      <c r="L1397" s="132" t="s">
        <v>312</v>
      </c>
      <c r="M1397" s="132" t="s">
        <v>174</v>
      </c>
      <c r="N1397" s="133">
        <v>41824</v>
      </c>
      <c r="O1397" s="134">
        <v>1576</v>
      </c>
      <c r="P1397" s="132" t="s">
        <v>151</v>
      </c>
      <c r="Q1397" s="132" t="s">
        <v>296</v>
      </c>
      <c r="R1397" s="132" t="s">
        <v>267</v>
      </c>
      <c r="S1397" s="133">
        <v>41856</v>
      </c>
      <c r="T1397" s="134">
        <v>623.6</v>
      </c>
      <c r="U1397" s="132" t="s">
        <v>154</v>
      </c>
      <c r="V1397" s="132" t="s">
        <v>191</v>
      </c>
      <c r="W1397" s="132" t="s">
        <v>153</v>
      </c>
      <c r="X1397" s="133">
        <v>41994</v>
      </c>
      <c r="Y1397" s="134">
        <v>446</v>
      </c>
    </row>
    <row r="1398" spans="1:25" x14ac:dyDescent="0.25">
      <c r="A1398" s="92" t="s">
        <v>148</v>
      </c>
      <c r="B1398" s="12" t="s">
        <v>270</v>
      </c>
      <c r="C1398" s="12" t="s">
        <v>174</v>
      </c>
      <c r="D1398" s="80">
        <v>41701</v>
      </c>
      <c r="E1398" s="81">
        <v>850</v>
      </c>
      <c r="F1398" s="76" t="s">
        <v>150</v>
      </c>
      <c r="G1398" s="77" t="s">
        <v>183</v>
      </c>
      <c r="H1398" s="77" t="s">
        <v>153</v>
      </c>
      <c r="I1398" s="86">
        <v>41858</v>
      </c>
      <c r="J1398" s="78">
        <v>1131</v>
      </c>
      <c r="K1398" s="132" t="s">
        <v>20</v>
      </c>
      <c r="L1398" s="132" t="s">
        <v>312</v>
      </c>
      <c r="M1398" s="132" t="s">
        <v>174</v>
      </c>
      <c r="N1398" s="133">
        <v>41955</v>
      </c>
      <c r="O1398" s="134">
        <v>1802</v>
      </c>
      <c r="P1398" s="132" t="s">
        <v>151</v>
      </c>
      <c r="Q1398" s="132" t="s">
        <v>296</v>
      </c>
      <c r="R1398" s="132" t="s">
        <v>267</v>
      </c>
      <c r="S1398" s="133">
        <v>41857</v>
      </c>
      <c r="T1398" s="134">
        <v>545.5</v>
      </c>
      <c r="U1398" s="132" t="s">
        <v>154</v>
      </c>
      <c r="V1398" s="132" t="s">
        <v>191</v>
      </c>
      <c r="W1398" s="132" t="s">
        <v>153</v>
      </c>
      <c r="X1398" s="133">
        <v>41995</v>
      </c>
      <c r="Y1398" s="134">
        <v>712</v>
      </c>
    </row>
    <row r="1399" spans="1:25" x14ac:dyDescent="0.25">
      <c r="A1399" s="92" t="s">
        <v>148</v>
      </c>
      <c r="B1399" s="12" t="s">
        <v>270</v>
      </c>
      <c r="C1399" s="12" t="s">
        <v>174</v>
      </c>
      <c r="D1399" s="80">
        <v>41702</v>
      </c>
      <c r="E1399" s="81">
        <v>920</v>
      </c>
      <c r="F1399" s="76" t="s">
        <v>150</v>
      </c>
      <c r="G1399" s="77" t="s">
        <v>183</v>
      </c>
      <c r="H1399" s="77" t="s">
        <v>153</v>
      </c>
      <c r="I1399" s="86">
        <v>41860</v>
      </c>
      <c r="J1399" s="78">
        <v>1105</v>
      </c>
      <c r="K1399" s="132" t="s">
        <v>20</v>
      </c>
      <c r="L1399" s="132" t="s">
        <v>312</v>
      </c>
      <c r="M1399" s="132" t="s">
        <v>174</v>
      </c>
      <c r="N1399" s="133">
        <v>41986</v>
      </c>
      <c r="O1399" s="134">
        <v>1688</v>
      </c>
      <c r="P1399" s="132" t="s">
        <v>151</v>
      </c>
      <c r="Q1399" s="132" t="s">
        <v>296</v>
      </c>
      <c r="R1399" s="132" t="s">
        <v>267</v>
      </c>
      <c r="S1399" s="133">
        <v>41858</v>
      </c>
      <c r="T1399" s="134">
        <v>599.79999999999995</v>
      </c>
      <c r="U1399" s="132" t="s">
        <v>154</v>
      </c>
      <c r="V1399" s="132" t="s">
        <v>191</v>
      </c>
      <c r="W1399" s="132" t="s">
        <v>153</v>
      </c>
      <c r="X1399" s="133">
        <v>41997</v>
      </c>
      <c r="Y1399" s="134">
        <v>594</v>
      </c>
    </row>
    <row r="1400" spans="1:25" x14ac:dyDescent="0.25">
      <c r="A1400" s="92" t="s">
        <v>148</v>
      </c>
      <c r="B1400" s="12" t="s">
        <v>270</v>
      </c>
      <c r="C1400" s="12" t="s">
        <v>174</v>
      </c>
      <c r="D1400" s="80">
        <v>41703</v>
      </c>
      <c r="E1400" s="81">
        <v>750</v>
      </c>
      <c r="F1400" s="76" t="s">
        <v>150</v>
      </c>
      <c r="G1400" s="77" t="s">
        <v>183</v>
      </c>
      <c r="H1400" s="77" t="s">
        <v>153</v>
      </c>
      <c r="I1400" s="86">
        <v>41860</v>
      </c>
      <c r="J1400" s="78">
        <v>816</v>
      </c>
      <c r="K1400" s="132" t="s">
        <v>20</v>
      </c>
      <c r="L1400" s="132" t="s">
        <v>313</v>
      </c>
      <c r="M1400" s="132" t="s">
        <v>174</v>
      </c>
      <c r="N1400" s="133">
        <v>41655</v>
      </c>
      <c r="O1400" s="134">
        <v>1638</v>
      </c>
      <c r="P1400" s="132" t="s">
        <v>151</v>
      </c>
      <c r="Q1400" s="132" t="s">
        <v>296</v>
      </c>
      <c r="R1400" s="132" t="s">
        <v>267</v>
      </c>
      <c r="S1400" s="133">
        <v>41859</v>
      </c>
      <c r="T1400" s="134">
        <v>558</v>
      </c>
      <c r="U1400" s="132" t="s">
        <v>154</v>
      </c>
      <c r="V1400" s="132" t="s">
        <v>191</v>
      </c>
      <c r="W1400" s="132" t="s">
        <v>153</v>
      </c>
      <c r="X1400" s="133">
        <v>41999</v>
      </c>
      <c r="Y1400" s="134">
        <v>700</v>
      </c>
    </row>
    <row r="1401" spans="1:25" x14ac:dyDescent="0.25">
      <c r="A1401" s="92" t="s">
        <v>148</v>
      </c>
      <c r="B1401" s="12" t="s">
        <v>270</v>
      </c>
      <c r="C1401" s="12" t="s">
        <v>174</v>
      </c>
      <c r="D1401" s="80">
        <v>41704</v>
      </c>
      <c r="E1401" s="81">
        <v>400</v>
      </c>
      <c r="F1401" s="76" t="s">
        <v>150</v>
      </c>
      <c r="G1401" s="77" t="s">
        <v>183</v>
      </c>
      <c r="H1401" s="77" t="s">
        <v>153</v>
      </c>
      <c r="I1401" s="86">
        <v>41861</v>
      </c>
      <c r="J1401" s="78">
        <v>480</v>
      </c>
      <c r="K1401" s="132" t="s">
        <v>20</v>
      </c>
      <c r="L1401" s="132" t="s">
        <v>313</v>
      </c>
      <c r="M1401" s="132" t="s">
        <v>174</v>
      </c>
      <c r="N1401" s="133">
        <v>41887</v>
      </c>
      <c r="O1401" s="134">
        <v>1664</v>
      </c>
      <c r="P1401" s="132" t="s">
        <v>151</v>
      </c>
      <c r="Q1401" s="132" t="s">
        <v>296</v>
      </c>
      <c r="R1401" s="132" t="s">
        <v>267</v>
      </c>
      <c r="S1401" s="133">
        <v>41862</v>
      </c>
      <c r="T1401" s="134">
        <v>555.20000000000005</v>
      </c>
      <c r="U1401" s="132" t="s">
        <v>154</v>
      </c>
      <c r="V1401" s="132" t="s">
        <v>191</v>
      </c>
      <c r="W1401" s="132" t="s">
        <v>153</v>
      </c>
      <c r="X1401" s="133">
        <v>42002</v>
      </c>
      <c r="Y1401" s="134">
        <v>747</v>
      </c>
    </row>
    <row r="1402" spans="1:25" x14ac:dyDescent="0.25">
      <c r="A1402" s="92" t="s">
        <v>148</v>
      </c>
      <c r="B1402" s="12" t="s">
        <v>270</v>
      </c>
      <c r="C1402" s="12" t="s">
        <v>174</v>
      </c>
      <c r="D1402" s="80">
        <v>41706</v>
      </c>
      <c r="E1402" s="81">
        <v>950</v>
      </c>
      <c r="F1402" s="76" t="s">
        <v>150</v>
      </c>
      <c r="G1402" s="77" t="s">
        <v>183</v>
      </c>
      <c r="H1402" s="77" t="s">
        <v>153</v>
      </c>
      <c r="I1402" s="86">
        <v>41873</v>
      </c>
      <c r="J1402" s="78">
        <v>1490</v>
      </c>
      <c r="K1402" s="132" t="s">
        <v>20</v>
      </c>
      <c r="L1402" s="132" t="s">
        <v>313</v>
      </c>
      <c r="M1402" s="132" t="s">
        <v>174</v>
      </c>
      <c r="N1402" s="133">
        <v>41902</v>
      </c>
      <c r="O1402" s="134">
        <v>399</v>
      </c>
      <c r="P1402" s="132" t="s">
        <v>151</v>
      </c>
      <c r="Q1402" s="132" t="s">
        <v>296</v>
      </c>
      <c r="R1402" s="132" t="s">
        <v>267</v>
      </c>
      <c r="S1402" s="133">
        <v>41864</v>
      </c>
      <c r="T1402" s="134">
        <v>530.29999999999995</v>
      </c>
      <c r="U1402" s="132" t="s">
        <v>154</v>
      </c>
      <c r="V1402" s="132" t="s">
        <v>192</v>
      </c>
      <c r="W1402" s="132" t="s">
        <v>153</v>
      </c>
      <c r="X1402" s="133">
        <v>41822</v>
      </c>
      <c r="Y1402" s="134">
        <v>716</v>
      </c>
    </row>
    <row r="1403" spans="1:25" x14ac:dyDescent="0.25">
      <c r="A1403" s="92" t="s">
        <v>148</v>
      </c>
      <c r="B1403" s="12" t="s">
        <v>270</v>
      </c>
      <c r="C1403" s="12" t="s">
        <v>174</v>
      </c>
      <c r="D1403" s="80">
        <v>41707</v>
      </c>
      <c r="E1403" s="81">
        <v>800</v>
      </c>
      <c r="F1403" s="76" t="s">
        <v>150</v>
      </c>
      <c r="G1403" s="77" t="s">
        <v>183</v>
      </c>
      <c r="H1403" s="77" t="s">
        <v>153</v>
      </c>
      <c r="I1403" s="86">
        <v>41885</v>
      </c>
      <c r="J1403" s="78">
        <v>900</v>
      </c>
      <c r="K1403" s="132" t="s">
        <v>20</v>
      </c>
      <c r="L1403" s="132" t="s">
        <v>314</v>
      </c>
      <c r="M1403" s="132" t="s">
        <v>174</v>
      </c>
      <c r="N1403" s="133">
        <v>41676</v>
      </c>
      <c r="O1403" s="134">
        <v>1341</v>
      </c>
      <c r="P1403" s="132" t="s">
        <v>151</v>
      </c>
      <c r="Q1403" s="132" t="s">
        <v>296</v>
      </c>
      <c r="R1403" s="132" t="s">
        <v>267</v>
      </c>
      <c r="S1403" s="133">
        <v>41865</v>
      </c>
      <c r="T1403" s="134">
        <v>891.1</v>
      </c>
      <c r="U1403" s="132" t="s">
        <v>154</v>
      </c>
      <c r="V1403" s="132" t="s">
        <v>192</v>
      </c>
      <c r="W1403" s="132" t="s">
        <v>153</v>
      </c>
      <c r="X1403" s="133">
        <v>41823</v>
      </c>
      <c r="Y1403" s="134">
        <v>933</v>
      </c>
    </row>
    <row r="1404" spans="1:25" x14ac:dyDescent="0.25">
      <c r="A1404" s="92" t="s">
        <v>148</v>
      </c>
      <c r="B1404" s="12" t="s">
        <v>270</v>
      </c>
      <c r="C1404" s="12" t="s">
        <v>174</v>
      </c>
      <c r="D1404" s="80">
        <v>41708</v>
      </c>
      <c r="E1404" s="81">
        <v>850</v>
      </c>
      <c r="F1404" s="76" t="s">
        <v>150</v>
      </c>
      <c r="G1404" s="77" t="s">
        <v>183</v>
      </c>
      <c r="H1404" s="77" t="s">
        <v>153</v>
      </c>
      <c r="I1404" s="86">
        <v>41886</v>
      </c>
      <c r="J1404" s="78">
        <v>759</v>
      </c>
      <c r="K1404" s="132" t="s">
        <v>20</v>
      </c>
      <c r="L1404" s="132" t="s">
        <v>314</v>
      </c>
      <c r="M1404" s="132" t="s">
        <v>174</v>
      </c>
      <c r="N1404" s="133">
        <v>41677</v>
      </c>
      <c r="O1404" s="134">
        <v>242</v>
      </c>
      <c r="P1404" s="132" t="s">
        <v>151</v>
      </c>
      <c r="Q1404" s="132" t="s">
        <v>296</v>
      </c>
      <c r="R1404" s="132" t="s">
        <v>267</v>
      </c>
      <c r="S1404" s="133">
        <v>41866</v>
      </c>
      <c r="T1404" s="134">
        <v>862.2</v>
      </c>
      <c r="U1404" s="132" t="s">
        <v>154</v>
      </c>
      <c r="V1404" s="132" t="s">
        <v>192</v>
      </c>
      <c r="W1404" s="132" t="s">
        <v>153</v>
      </c>
      <c r="X1404" s="133">
        <v>41827</v>
      </c>
      <c r="Y1404" s="134">
        <v>1043</v>
      </c>
    </row>
    <row r="1405" spans="1:25" x14ac:dyDescent="0.25">
      <c r="A1405" s="92" t="s">
        <v>148</v>
      </c>
      <c r="B1405" s="12" t="s">
        <v>270</v>
      </c>
      <c r="C1405" s="12" t="s">
        <v>174</v>
      </c>
      <c r="D1405" s="80">
        <v>41709</v>
      </c>
      <c r="E1405" s="81">
        <v>750</v>
      </c>
      <c r="F1405" s="76" t="s">
        <v>150</v>
      </c>
      <c r="G1405" s="77" t="s">
        <v>183</v>
      </c>
      <c r="H1405" s="77" t="s">
        <v>153</v>
      </c>
      <c r="I1405" s="86">
        <v>41887</v>
      </c>
      <c r="J1405" s="78">
        <v>622</v>
      </c>
      <c r="K1405" s="132" t="s">
        <v>20</v>
      </c>
      <c r="L1405" s="132" t="s">
        <v>314</v>
      </c>
      <c r="M1405" s="132" t="s">
        <v>174</v>
      </c>
      <c r="N1405" s="133">
        <v>41684</v>
      </c>
      <c r="O1405" s="134">
        <v>485</v>
      </c>
      <c r="P1405" s="132" t="s">
        <v>151</v>
      </c>
      <c r="Q1405" s="132" t="s">
        <v>296</v>
      </c>
      <c r="R1405" s="132" t="s">
        <v>267</v>
      </c>
      <c r="S1405" s="133">
        <v>41869</v>
      </c>
      <c r="T1405" s="134">
        <v>850.6</v>
      </c>
      <c r="U1405" s="132" t="s">
        <v>154</v>
      </c>
      <c r="V1405" s="132" t="s">
        <v>192</v>
      </c>
      <c r="W1405" s="132" t="s">
        <v>153</v>
      </c>
      <c r="X1405" s="133">
        <v>41827</v>
      </c>
      <c r="Y1405" s="134">
        <v>451</v>
      </c>
    </row>
    <row r="1406" spans="1:25" x14ac:dyDescent="0.25">
      <c r="A1406" s="92" t="s">
        <v>148</v>
      </c>
      <c r="B1406" s="12" t="s">
        <v>270</v>
      </c>
      <c r="C1406" s="12" t="s">
        <v>174</v>
      </c>
      <c r="D1406" s="80">
        <v>41710</v>
      </c>
      <c r="E1406" s="81">
        <v>760</v>
      </c>
      <c r="F1406" s="76" t="s">
        <v>150</v>
      </c>
      <c r="G1406" s="77" t="s">
        <v>183</v>
      </c>
      <c r="H1406" s="77" t="s">
        <v>153</v>
      </c>
      <c r="I1406" s="86">
        <v>41892</v>
      </c>
      <c r="J1406" s="78">
        <v>878</v>
      </c>
      <c r="K1406" s="132" t="s">
        <v>20</v>
      </c>
      <c r="L1406" s="132" t="s">
        <v>314</v>
      </c>
      <c r="M1406" s="132" t="s">
        <v>174</v>
      </c>
      <c r="N1406" s="133">
        <v>41794</v>
      </c>
      <c r="O1406" s="134">
        <v>1227</v>
      </c>
      <c r="P1406" s="132" t="s">
        <v>151</v>
      </c>
      <c r="Q1406" s="132" t="s">
        <v>296</v>
      </c>
      <c r="R1406" s="132" t="s">
        <v>267</v>
      </c>
      <c r="S1406" s="133">
        <v>41878</v>
      </c>
      <c r="T1406" s="134">
        <v>111.4</v>
      </c>
      <c r="U1406" s="132" t="s">
        <v>154</v>
      </c>
      <c r="V1406" s="132" t="s">
        <v>192</v>
      </c>
      <c r="W1406" s="132" t="s">
        <v>153</v>
      </c>
      <c r="X1406" s="133">
        <v>41828</v>
      </c>
      <c r="Y1406" s="134">
        <v>809</v>
      </c>
    </row>
    <row r="1407" spans="1:25" x14ac:dyDescent="0.25">
      <c r="A1407" s="92" t="s">
        <v>148</v>
      </c>
      <c r="B1407" s="12" t="s">
        <v>270</v>
      </c>
      <c r="C1407" s="12" t="s">
        <v>174</v>
      </c>
      <c r="D1407" s="80">
        <v>41720</v>
      </c>
      <c r="E1407" s="81">
        <v>785</v>
      </c>
      <c r="F1407" s="76" t="s">
        <v>150</v>
      </c>
      <c r="G1407" s="77" t="s">
        <v>183</v>
      </c>
      <c r="H1407" s="77" t="s">
        <v>153</v>
      </c>
      <c r="I1407" s="86">
        <v>41894</v>
      </c>
      <c r="J1407" s="78">
        <v>611</v>
      </c>
      <c r="K1407" s="132" t="s">
        <v>20</v>
      </c>
      <c r="L1407" s="132" t="s">
        <v>314</v>
      </c>
      <c r="M1407" s="132" t="s">
        <v>174</v>
      </c>
      <c r="N1407" s="133">
        <v>41802</v>
      </c>
      <c r="O1407" s="134">
        <v>560</v>
      </c>
      <c r="P1407" s="132" t="s">
        <v>151</v>
      </c>
      <c r="Q1407" s="132" t="s">
        <v>296</v>
      </c>
      <c r="R1407" s="132" t="s">
        <v>267</v>
      </c>
      <c r="S1407" s="133">
        <v>41879</v>
      </c>
      <c r="T1407" s="134">
        <v>978.1</v>
      </c>
      <c r="U1407" s="132" t="s">
        <v>154</v>
      </c>
      <c r="V1407" s="132" t="s">
        <v>192</v>
      </c>
      <c r="W1407" s="132" t="s">
        <v>153</v>
      </c>
      <c r="X1407" s="133">
        <v>41829</v>
      </c>
      <c r="Y1407" s="134">
        <v>951</v>
      </c>
    </row>
    <row r="1408" spans="1:25" x14ac:dyDescent="0.25">
      <c r="A1408" s="92" t="s">
        <v>148</v>
      </c>
      <c r="B1408" s="12" t="s">
        <v>270</v>
      </c>
      <c r="C1408" s="12" t="s">
        <v>174</v>
      </c>
      <c r="D1408" s="80">
        <v>41721</v>
      </c>
      <c r="E1408" s="81">
        <v>990</v>
      </c>
      <c r="F1408" s="76" t="s">
        <v>150</v>
      </c>
      <c r="G1408" s="77" t="s">
        <v>183</v>
      </c>
      <c r="H1408" s="77" t="s">
        <v>153</v>
      </c>
      <c r="I1408" s="86">
        <v>41897</v>
      </c>
      <c r="J1408" s="78">
        <v>560</v>
      </c>
      <c r="K1408" s="132" t="s">
        <v>20</v>
      </c>
      <c r="L1408" s="132" t="s">
        <v>314</v>
      </c>
      <c r="M1408" s="132" t="s">
        <v>174</v>
      </c>
      <c r="N1408" s="133">
        <v>41849</v>
      </c>
      <c r="O1408" s="134">
        <v>804</v>
      </c>
      <c r="P1408" s="132" t="s">
        <v>151</v>
      </c>
      <c r="Q1408" s="132" t="s">
        <v>296</v>
      </c>
      <c r="R1408" s="132" t="s">
        <v>267</v>
      </c>
      <c r="S1408" s="133">
        <v>41893</v>
      </c>
      <c r="T1408" s="134">
        <v>1302.9000000000001</v>
      </c>
      <c r="U1408" s="132" t="s">
        <v>154</v>
      </c>
      <c r="V1408" s="132" t="s">
        <v>192</v>
      </c>
      <c r="W1408" s="132" t="s">
        <v>153</v>
      </c>
      <c r="X1408" s="133">
        <v>41830</v>
      </c>
      <c r="Y1408" s="134">
        <v>688</v>
      </c>
    </row>
    <row r="1409" spans="1:25" x14ac:dyDescent="0.25">
      <c r="A1409" s="92" t="s">
        <v>148</v>
      </c>
      <c r="B1409" s="12" t="s">
        <v>270</v>
      </c>
      <c r="C1409" s="12" t="s">
        <v>174</v>
      </c>
      <c r="D1409" s="80">
        <v>41722</v>
      </c>
      <c r="E1409" s="81">
        <v>510</v>
      </c>
      <c r="F1409" s="76" t="s">
        <v>150</v>
      </c>
      <c r="G1409" s="77" t="s">
        <v>183</v>
      </c>
      <c r="H1409" s="77" t="s">
        <v>153</v>
      </c>
      <c r="I1409" s="86">
        <v>41898</v>
      </c>
      <c r="J1409" s="78">
        <v>586</v>
      </c>
      <c r="K1409" s="132" t="s">
        <v>20</v>
      </c>
      <c r="L1409" s="132" t="s">
        <v>314</v>
      </c>
      <c r="M1409" s="132" t="s">
        <v>174</v>
      </c>
      <c r="N1409" s="133">
        <v>41939</v>
      </c>
      <c r="O1409" s="134">
        <v>910</v>
      </c>
      <c r="P1409" s="132" t="s">
        <v>151</v>
      </c>
      <c r="Q1409" s="132" t="s">
        <v>296</v>
      </c>
      <c r="R1409" s="132" t="s">
        <v>267</v>
      </c>
      <c r="S1409" s="133">
        <v>41928</v>
      </c>
      <c r="T1409" s="134">
        <v>450.1</v>
      </c>
      <c r="U1409" s="132" t="s">
        <v>154</v>
      </c>
      <c r="V1409" s="132" t="s">
        <v>192</v>
      </c>
      <c r="W1409" s="132" t="s">
        <v>153</v>
      </c>
      <c r="X1409" s="133">
        <v>41831</v>
      </c>
      <c r="Y1409" s="134">
        <v>1129</v>
      </c>
    </row>
    <row r="1410" spans="1:25" x14ac:dyDescent="0.25">
      <c r="A1410" s="92" t="s">
        <v>148</v>
      </c>
      <c r="B1410" s="12" t="s">
        <v>270</v>
      </c>
      <c r="C1410" s="12" t="s">
        <v>174</v>
      </c>
      <c r="D1410" s="80">
        <v>41723</v>
      </c>
      <c r="E1410" s="81">
        <v>880</v>
      </c>
      <c r="F1410" s="76" t="s">
        <v>150</v>
      </c>
      <c r="G1410" s="77" t="s">
        <v>183</v>
      </c>
      <c r="H1410" s="77" t="s">
        <v>153</v>
      </c>
      <c r="I1410" s="86">
        <v>41900</v>
      </c>
      <c r="J1410" s="78">
        <v>779</v>
      </c>
      <c r="K1410" s="132" t="s">
        <v>20</v>
      </c>
      <c r="L1410" s="132" t="s">
        <v>314</v>
      </c>
      <c r="M1410" s="132" t="s">
        <v>174</v>
      </c>
      <c r="N1410" s="133">
        <v>41953</v>
      </c>
      <c r="O1410" s="134">
        <v>1026</v>
      </c>
      <c r="P1410" s="132" t="s">
        <v>151</v>
      </c>
      <c r="Q1410" s="132" t="s">
        <v>297</v>
      </c>
      <c r="R1410" s="132" t="s">
        <v>267</v>
      </c>
      <c r="S1410" s="133">
        <v>41667</v>
      </c>
      <c r="T1410" s="134">
        <v>1289.0999999999999</v>
      </c>
      <c r="U1410" s="132" t="s">
        <v>154</v>
      </c>
      <c r="V1410" s="132" t="s">
        <v>192</v>
      </c>
      <c r="W1410" s="132" t="s">
        <v>153</v>
      </c>
      <c r="X1410" s="133">
        <v>41832</v>
      </c>
      <c r="Y1410" s="134">
        <v>804</v>
      </c>
    </row>
    <row r="1411" spans="1:25" x14ac:dyDescent="0.25">
      <c r="A1411" s="92" t="s">
        <v>148</v>
      </c>
      <c r="B1411" s="12" t="s">
        <v>270</v>
      </c>
      <c r="C1411" s="12" t="s">
        <v>174</v>
      </c>
      <c r="D1411" s="80">
        <v>41724</v>
      </c>
      <c r="E1411" s="81">
        <v>850</v>
      </c>
      <c r="F1411" s="76" t="s">
        <v>150</v>
      </c>
      <c r="G1411" s="77" t="s">
        <v>183</v>
      </c>
      <c r="H1411" s="77" t="s">
        <v>153</v>
      </c>
      <c r="I1411" s="86">
        <v>41900</v>
      </c>
      <c r="J1411" s="78">
        <v>862</v>
      </c>
      <c r="K1411" s="132" t="s">
        <v>20</v>
      </c>
      <c r="L1411" s="132" t="s">
        <v>314</v>
      </c>
      <c r="M1411" s="132" t="s">
        <v>174</v>
      </c>
      <c r="N1411" s="133">
        <v>41999</v>
      </c>
      <c r="O1411" s="134">
        <v>1779</v>
      </c>
      <c r="P1411" s="132" t="s">
        <v>151</v>
      </c>
      <c r="Q1411" s="132" t="s">
        <v>297</v>
      </c>
      <c r="R1411" s="132" t="s">
        <v>267</v>
      </c>
      <c r="S1411" s="133">
        <v>41737</v>
      </c>
      <c r="T1411" s="134">
        <v>952.2</v>
      </c>
      <c r="U1411" s="132" t="s">
        <v>154</v>
      </c>
      <c r="V1411" s="132" t="s">
        <v>192</v>
      </c>
      <c r="W1411" s="132" t="s">
        <v>153</v>
      </c>
      <c r="X1411" s="133">
        <v>41833</v>
      </c>
      <c r="Y1411" s="134">
        <v>436</v>
      </c>
    </row>
    <row r="1412" spans="1:25" x14ac:dyDescent="0.25">
      <c r="A1412" s="92" t="s">
        <v>148</v>
      </c>
      <c r="B1412" s="12" t="s">
        <v>270</v>
      </c>
      <c r="C1412" s="12" t="s">
        <v>174</v>
      </c>
      <c r="D1412" s="80">
        <v>41727</v>
      </c>
      <c r="E1412" s="81">
        <v>1300</v>
      </c>
      <c r="F1412" s="76" t="s">
        <v>150</v>
      </c>
      <c r="G1412" s="77" t="s">
        <v>183</v>
      </c>
      <c r="H1412" s="77" t="s">
        <v>153</v>
      </c>
      <c r="I1412" s="86">
        <v>41901</v>
      </c>
      <c r="J1412" s="78">
        <v>770</v>
      </c>
      <c r="K1412" s="132" t="s">
        <v>20</v>
      </c>
      <c r="L1412" s="132" t="s">
        <v>315</v>
      </c>
      <c r="M1412" s="132" t="s">
        <v>174</v>
      </c>
      <c r="N1412" s="133">
        <v>41695</v>
      </c>
      <c r="O1412" s="134">
        <v>2116</v>
      </c>
      <c r="P1412" s="132" t="s">
        <v>151</v>
      </c>
      <c r="Q1412" s="132" t="s">
        <v>297</v>
      </c>
      <c r="R1412" s="132" t="s">
        <v>267</v>
      </c>
      <c r="S1412" s="133">
        <v>41738</v>
      </c>
      <c r="T1412" s="134">
        <v>532.4</v>
      </c>
      <c r="U1412" s="132" t="s">
        <v>154</v>
      </c>
      <c r="V1412" s="132" t="s">
        <v>192</v>
      </c>
      <c r="W1412" s="132" t="s">
        <v>153</v>
      </c>
      <c r="X1412" s="133">
        <v>41833</v>
      </c>
      <c r="Y1412" s="134">
        <v>272</v>
      </c>
    </row>
    <row r="1413" spans="1:25" x14ac:dyDescent="0.25">
      <c r="A1413" s="92" t="s">
        <v>148</v>
      </c>
      <c r="B1413" s="12" t="s">
        <v>270</v>
      </c>
      <c r="C1413" s="12" t="s">
        <v>174</v>
      </c>
      <c r="D1413" s="80">
        <v>41727</v>
      </c>
      <c r="E1413" s="81">
        <v>424</v>
      </c>
      <c r="F1413" s="76" t="s">
        <v>150</v>
      </c>
      <c r="G1413" s="77" t="s">
        <v>183</v>
      </c>
      <c r="H1413" s="77" t="s">
        <v>153</v>
      </c>
      <c r="I1413" s="86">
        <v>41904</v>
      </c>
      <c r="J1413" s="78">
        <v>613</v>
      </c>
      <c r="K1413" s="132" t="s">
        <v>20</v>
      </c>
      <c r="L1413" s="132" t="s">
        <v>315</v>
      </c>
      <c r="M1413" s="132" t="s">
        <v>174</v>
      </c>
      <c r="N1413" s="133">
        <v>41754</v>
      </c>
      <c r="O1413" s="134">
        <v>1203</v>
      </c>
      <c r="P1413" s="132" t="s">
        <v>151</v>
      </c>
      <c r="Q1413" s="132" t="s">
        <v>297</v>
      </c>
      <c r="R1413" s="132" t="s">
        <v>267</v>
      </c>
      <c r="S1413" s="133">
        <v>41739</v>
      </c>
      <c r="T1413" s="134">
        <v>874.9</v>
      </c>
      <c r="U1413" s="132" t="s">
        <v>154</v>
      </c>
      <c r="V1413" s="132" t="s">
        <v>192</v>
      </c>
      <c r="W1413" s="132" t="s">
        <v>153</v>
      </c>
      <c r="X1413" s="133">
        <v>41833</v>
      </c>
      <c r="Y1413" s="134">
        <v>817</v>
      </c>
    </row>
    <row r="1414" spans="1:25" x14ac:dyDescent="0.25">
      <c r="A1414" s="92" t="s">
        <v>148</v>
      </c>
      <c r="B1414" s="12" t="s">
        <v>270</v>
      </c>
      <c r="C1414" s="12" t="s">
        <v>174</v>
      </c>
      <c r="D1414" s="80">
        <v>41728</v>
      </c>
      <c r="E1414" s="81">
        <v>775</v>
      </c>
      <c r="F1414" s="76" t="s">
        <v>150</v>
      </c>
      <c r="G1414" s="77" t="s">
        <v>183</v>
      </c>
      <c r="H1414" s="77" t="s">
        <v>153</v>
      </c>
      <c r="I1414" s="86">
        <v>41906</v>
      </c>
      <c r="J1414" s="78">
        <v>814</v>
      </c>
      <c r="K1414" s="132" t="s">
        <v>20</v>
      </c>
      <c r="L1414" s="132" t="s">
        <v>315</v>
      </c>
      <c r="M1414" s="132" t="s">
        <v>174</v>
      </c>
      <c r="N1414" s="133">
        <v>41789</v>
      </c>
      <c r="O1414" s="134">
        <v>1867</v>
      </c>
      <c r="P1414" s="132" t="s">
        <v>151</v>
      </c>
      <c r="Q1414" s="132" t="s">
        <v>297</v>
      </c>
      <c r="R1414" s="132" t="s">
        <v>267</v>
      </c>
      <c r="S1414" s="133">
        <v>41752</v>
      </c>
      <c r="T1414" s="134">
        <v>229.7</v>
      </c>
      <c r="U1414" s="132" t="s">
        <v>154</v>
      </c>
      <c r="V1414" s="132" t="s">
        <v>192</v>
      </c>
      <c r="W1414" s="132" t="s">
        <v>153</v>
      </c>
      <c r="X1414" s="133">
        <v>41834</v>
      </c>
      <c r="Y1414" s="134">
        <v>1020</v>
      </c>
    </row>
    <row r="1415" spans="1:25" x14ac:dyDescent="0.25">
      <c r="A1415" s="92" t="s">
        <v>148</v>
      </c>
      <c r="B1415" s="12" t="s">
        <v>270</v>
      </c>
      <c r="C1415" s="12" t="s">
        <v>174</v>
      </c>
      <c r="D1415" s="80">
        <v>41729</v>
      </c>
      <c r="E1415" s="81">
        <v>670</v>
      </c>
      <c r="F1415" s="76" t="s">
        <v>150</v>
      </c>
      <c r="G1415" s="77" t="s">
        <v>183</v>
      </c>
      <c r="H1415" s="77" t="s">
        <v>153</v>
      </c>
      <c r="I1415" s="86">
        <v>41909</v>
      </c>
      <c r="J1415" s="78">
        <v>648</v>
      </c>
      <c r="K1415" s="132" t="s">
        <v>20</v>
      </c>
      <c r="L1415" s="132" t="s">
        <v>315</v>
      </c>
      <c r="M1415" s="132" t="s">
        <v>174</v>
      </c>
      <c r="N1415" s="133">
        <v>41806</v>
      </c>
      <c r="O1415" s="134">
        <v>1355</v>
      </c>
      <c r="P1415" s="132" t="s">
        <v>151</v>
      </c>
      <c r="Q1415" s="132" t="s">
        <v>297</v>
      </c>
      <c r="R1415" s="132" t="s">
        <v>267</v>
      </c>
      <c r="S1415" s="133">
        <v>41753</v>
      </c>
      <c r="T1415" s="134">
        <v>443.2</v>
      </c>
      <c r="U1415" s="132" t="s">
        <v>154</v>
      </c>
      <c r="V1415" s="132" t="s">
        <v>192</v>
      </c>
      <c r="W1415" s="132" t="s">
        <v>153</v>
      </c>
      <c r="X1415" s="133">
        <v>41835</v>
      </c>
      <c r="Y1415" s="134">
        <v>1203</v>
      </c>
    </row>
    <row r="1416" spans="1:25" x14ac:dyDescent="0.25">
      <c r="A1416" s="92" t="s">
        <v>148</v>
      </c>
      <c r="B1416" s="12" t="s">
        <v>270</v>
      </c>
      <c r="C1416" s="12" t="s">
        <v>174</v>
      </c>
      <c r="D1416" s="80">
        <v>41730</v>
      </c>
      <c r="E1416" s="81">
        <v>870</v>
      </c>
      <c r="F1416" s="76" t="s">
        <v>150</v>
      </c>
      <c r="G1416" s="77" t="s">
        <v>183</v>
      </c>
      <c r="H1416" s="77" t="s">
        <v>153</v>
      </c>
      <c r="I1416" s="86">
        <v>41912</v>
      </c>
      <c r="J1416" s="78">
        <v>1016</v>
      </c>
      <c r="K1416" s="132" t="s">
        <v>20</v>
      </c>
      <c r="L1416" s="132" t="s">
        <v>315</v>
      </c>
      <c r="M1416" s="132" t="s">
        <v>174</v>
      </c>
      <c r="N1416" s="133">
        <v>41859</v>
      </c>
      <c r="O1416" s="134">
        <v>1285</v>
      </c>
      <c r="P1416" s="132" t="s">
        <v>151</v>
      </c>
      <c r="Q1416" s="132" t="s">
        <v>297</v>
      </c>
      <c r="R1416" s="132" t="s">
        <v>267</v>
      </c>
      <c r="S1416" s="133">
        <v>41754</v>
      </c>
      <c r="T1416" s="134">
        <v>422.7</v>
      </c>
      <c r="U1416" s="132" t="s">
        <v>154</v>
      </c>
      <c r="V1416" s="132" t="s">
        <v>192</v>
      </c>
      <c r="W1416" s="132" t="s">
        <v>153</v>
      </c>
      <c r="X1416" s="133">
        <v>41836</v>
      </c>
      <c r="Y1416" s="134">
        <v>1181</v>
      </c>
    </row>
    <row r="1417" spans="1:25" x14ac:dyDescent="0.25">
      <c r="A1417" s="92" t="s">
        <v>148</v>
      </c>
      <c r="B1417" s="12" t="s">
        <v>270</v>
      </c>
      <c r="C1417" s="12" t="s">
        <v>174</v>
      </c>
      <c r="D1417" s="80">
        <v>41731</v>
      </c>
      <c r="E1417" s="81">
        <v>830</v>
      </c>
      <c r="F1417" s="76" t="s">
        <v>150</v>
      </c>
      <c r="G1417" s="77" t="s">
        <v>183</v>
      </c>
      <c r="H1417" s="77" t="s">
        <v>153</v>
      </c>
      <c r="I1417" s="86">
        <v>41971</v>
      </c>
      <c r="J1417" s="78">
        <v>602</v>
      </c>
      <c r="K1417" s="132" t="s">
        <v>20</v>
      </c>
      <c r="L1417" s="132" t="s">
        <v>315</v>
      </c>
      <c r="M1417" s="132" t="s">
        <v>174</v>
      </c>
      <c r="N1417" s="133">
        <v>41939</v>
      </c>
      <c r="O1417" s="134">
        <v>1118</v>
      </c>
      <c r="P1417" s="132" t="s">
        <v>151</v>
      </c>
      <c r="Q1417" s="132" t="s">
        <v>297</v>
      </c>
      <c r="R1417" s="132" t="s">
        <v>267</v>
      </c>
      <c r="S1417" s="133">
        <v>41757</v>
      </c>
      <c r="T1417" s="134">
        <v>387.1</v>
      </c>
      <c r="U1417" s="132" t="s">
        <v>154</v>
      </c>
      <c r="V1417" s="132" t="s">
        <v>192</v>
      </c>
      <c r="W1417" s="132" t="s">
        <v>153</v>
      </c>
      <c r="X1417" s="133">
        <v>41837</v>
      </c>
      <c r="Y1417" s="134">
        <v>936</v>
      </c>
    </row>
    <row r="1418" spans="1:25" x14ac:dyDescent="0.25">
      <c r="A1418" s="92" t="s">
        <v>148</v>
      </c>
      <c r="B1418" s="12" t="s">
        <v>270</v>
      </c>
      <c r="C1418" s="12" t="s">
        <v>174</v>
      </c>
      <c r="D1418" s="80">
        <v>41732</v>
      </c>
      <c r="E1418" s="81">
        <v>800</v>
      </c>
      <c r="F1418" s="76" t="s">
        <v>150</v>
      </c>
      <c r="G1418" s="77" t="s">
        <v>183</v>
      </c>
      <c r="H1418" s="77" t="s">
        <v>153</v>
      </c>
      <c r="I1418" s="86">
        <v>41980</v>
      </c>
      <c r="J1418" s="78">
        <v>137</v>
      </c>
      <c r="K1418" s="132" t="s">
        <v>20</v>
      </c>
      <c r="L1418" s="132" t="s">
        <v>315</v>
      </c>
      <c r="M1418" s="132" t="s">
        <v>174</v>
      </c>
      <c r="N1418" s="133">
        <v>41960</v>
      </c>
      <c r="O1418" s="134">
        <v>1265</v>
      </c>
      <c r="P1418" s="132" t="s">
        <v>151</v>
      </c>
      <c r="Q1418" s="132" t="s">
        <v>297</v>
      </c>
      <c r="R1418" s="132" t="s">
        <v>267</v>
      </c>
      <c r="S1418" s="133">
        <v>41758</v>
      </c>
      <c r="T1418" s="134">
        <v>406.8</v>
      </c>
      <c r="U1418" s="132" t="s">
        <v>154</v>
      </c>
      <c r="V1418" s="132" t="s">
        <v>192</v>
      </c>
      <c r="W1418" s="132" t="s">
        <v>153</v>
      </c>
      <c r="X1418" s="133">
        <v>41838</v>
      </c>
      <c r="Y1418" s="134">
        <v>793</v>
      </c>
    </row>
    <row r="1419" spans="1:25" x14ac:dyDescent="0.25">
      <c r="A1419" s="92" t="s">
        <v>148</v>
      </c>
      <c r="B1419" s="12" t="s">
        <v>270</v>
      </c>
      <c r="C1419" s="12" t="s">
        <v>174</v>
      </c>
      <c r="D1419" s="80">
        <v>41733</v>
      </c>
      <c r="E1419" s="81">
        <v>830</v>
      </c>
      <c r="F1419" s="76" t="s">
        <v>150</v>
      </c>
      <c r="G1419" s="77" t="s">
        <v>183</v>
      </c>
      <c r="H1419" s="77" t="s">
        <v>153</v>
      </c>
      <c r="I1419" s="86">
        <v>41981</v>
      </c>
      <c r="J1419" s="78">
        <v>809</v>
      </c>
      <c r="K1419" s="132" t="s">
        <v>20</v>
      </c>
      <c r="L1419" s="132" t="s">
        <v>316</v>
      </c>
      <c r="M1419" s="132" t="s">
        <v>174</v>
      </c>
      <c r="N1419" s="133">
        <v>41717</v>
      </c>
      <c r="O1419" s="134">
        <v>1075</v>
      </c>
      <c r="P1419" s="132" t="s">
        <v>151</v>
      </c>
      <c r="Q1419" s="132" t="s">
        <v>297</v>
      </c>
      <c r="R1419" s="132" t="s">
        <v>267</v>
      </c>
      <c r="S1419" s="133">
        <v>41759</v>
      </c>
      <c r="T1419" s="134">
        <v>940.5</v>
      </c>
      <c r="U1419" s="132" t="s">
        <v>154</v>
      </c>
      <c r="V1419" s="132" t="s">
        <v>192</v>
      </c>
      <c r="W1419" s="132" t="s">
        <v>153</v>
      </c>
      <c r="X1419" s="133">
        <v>41841</v>
      </c>
      <c r="Y1419" s="134">
        <v>950</v>
      </c>
    </row>
    <row r="1420" spans="1:25" x14ac:dyDescent="0.25">
      <c r="A1420" s="92" t="s">
        <v>148</v>
      </c>
      <c r="B1420" s="12" t="s">
        <v>270</v>
      </c>
      <c r="C1420" s="12" t="s">
        <v>174</v>
      </c>
      <c r="D1420" s="80">
        <v>41734</v>
      </c>
      <c r="E1420" s="81">
        <v>940</v>
      </c>
      <c r="F1420" s="76" t="s">
        <v>150</v>
      </c>
      <c r="G1420" s="77" t="s">
        <v>183</v>
      </c>
      <c r="H1420" s="77" t="s">
        <v>153</v>
      </c>
      <c r="I1420" s="86">
        <v>41982</v>
      </c>
      <c r="J1420" s="78">
        <v>869</v>
      </c>
      <c r="K1420" s="132" t="s">
        <v>20</v>
      </c>
      <c r="L1420" s="132" t="s">
        <v>316</v>
      </c>
      <c r="M1420" s="132" t="s">
        <v>174</v>
      </c>
      <c r="N1420" s="133">
        <v>41773</v>
      </c>
      <c r="O1420" s="134">
        <v>1365</v>
      </c>
      <c r="P1420" s="132" t="s">
        <v>151</v>
      </c>
      <c r="Q1420" s="132" t="s">
        <v>297</v>
      </c>
      <c r="R1420" s="132" t="s">
        <v>267</v>
      </c>
      <c r="S1420" s="133">
        <v>41760</v>
      </c>
      <c r="T1420" s="134">
        <v>787.5</v>
      </c>
      <c r="U1420" s="132" t="s">
        <v>154</v>
      </c>
      <c r="V1420" s="132" t="s">
        <v>192</v>
      </c>
      <c r="W1420" s="132" t="s">
        <v>153</v>
      </c>
      <c r="X1420" s="133">
        <v>41877</v>
      </c>
      <c r="Y1420" s="134">
        <v>677</v>
      </c>
    </row>
    <row r="1421" spans="1:25" x14ac:dyDescent="0.25">
      <c r="A1421" s="92" t="s">
        <v>148</v>
      </c>
      <c r="B1421" s="12" t="s">
        <v>270</v>
      </c>
      <c r="C1421" s="12" t="s">
        <v>174</v>
      </c>
      <c r="D1421" s="80">
        <v>41735</v>
      </c>
      <c r="E1421" s="81">
        <v>751</v>
      </c>
      <c r="F1421" s="76" t="s">
        <v>150</v>
      </c>
      <c r="G1421" s="77" t="s">
        <v>183</v>
      </c>
      <c r="H1421" s="77" t="s">
        <v>153</v>
      </c>
      <c r="I1421" s="86">
        <v>41988</v>
      </c>
      <c r="J1421" s="78">
        <v>852</v>
      </c>
      <c r="K1421" s="132" t="s">
        <v>20</v>
      </c>
      <c r="L1421" s="132" t="s">
        <v>316</v>
      </c>
      <c r="M1421" s="132" t="s">
        <v>174</v>
      </c>
      <c r="N1421" s="133">
        <v>41805</v>
      </c>
      <c r="O1421" s="134">
        <v>1621</v>
      </c>
      <c r="P1421" s="132" t="s">
        <v>151</v>
      </c>
      <c r="Q1421" s="132" t="s">
        <v>297</v>
      </c>
      <c r="R1421" s="132" t="s">
        <v>267</v>
      </c>
      <c r="S1421" s="133">
        <v>41779</v>
      </c>
      <c r="T1421" s="134">
        <v>920.7</v>
      </c>
      <c r="U1421" s="132" t="s">
        <v>154</v>
      </c>
      <c r="V1421" s="132" t="s">
        <v>192</v>
      </c>
      <c r="W1421" s="132" t="s">
        <v>153</v>
      </c>
      <c r="X1421" s="133">
        <v>41878</v>
      </c>
      <c r="Y1421" s="134">
        <v>825</v>
      </c>
    </row>
    <row r="1422" spans="1:25" x14ac:dyDescent="0.25">
      <c r="A1422" s="92" t="s">
        <v>148</v>
      </c>
      <c r="B1422" s="12" t="s">
        <v>270</v>
      </c>
      <c r="C1422" s="12" t="s">
        <v>174</v>
      </c>
      <c r="D1422" s="80">
        <v>41767</v>
      </c>
      <c r="E1422" s="81">
        <v>800</v>
      </c>
      <c r="F1422" s="76" t="s">
        <v>150</v>
      </c>
      <c r="G1422" s="77" t="s">
        <v>183</v>
      </c>
      <c r="H1422" s="77" t="s">
        <v>153</v>
      </c>
      <c r="I1422" s="86">
        <v>41991</v>
      </c>
      <c r="J1422" s="78">
        <v>1054</v>
      </c>
      <c r="K1422" s="132" t="s">
        <v>20</v>
      </c>
      <c r="L1422" s="132" t="s">
        <v>316</v>
      </c>
      <c r="M1422" s="132" t="s">
        <v>174</v>
      </c>
      <c r="N1422" s="133">
        <v>41836</v>
      </c>
      <c r="O1422" s="134">
        <v>1623</v>
      </c>
      <c r="P1422" s="132" t="s">
        <v>151</v>
      </c>
      <c r="Q1422" s="132" t="s">
        <v>297</v>
      </c>
      <c r="R1422" s="132" t="s">
        <v>267</v>
      </c>
      <c r="S1422" s="133">
        <v>41780</v>
      </c>
      <c r="T1422" s="134">
        <v>552.4</v>
      </c>
      <c r="U1422" s="132" t="s">
        <v>154</v>
      </c>
      <c r="V1422" s="132" t="s">
        <v>192</v>
      </c>
      <c r="W1422" s="132" t="s">
        <v>153</v>
      </c>
      <c r="X1422" s="133">
        <v>41879</v>
      </c>
      <c r="Y1422" s="134">
        <v>1071</v>
      </c>
    </row>
    <row r="1423" spans="1:25" x14ac:dyDescent="0.25">
      <c r="A1423" s="92" t="s">
        <v>148</v>
      </c>
      <c r="B1423" s="12" t="s">
        <v>270</v>
      </c>
      <c r="C1423" s="12" t="s">
        <v>174</v>
      </c>
      <c r="D1423" s="80">
        <v>41768</v>
      </c>
      <c r="E1423" s="81">
        <v>850</v>
      </c>
      <c r="F1423" s="76" t="s">
        <v>150</v>
      </c>
      <c r="G1423" s="77" t="s">
        <v>183</v>
      </c>
      <c r="H1423" s="77" t="s">
        <v>153</v>
      </c>
      <c r="I1423" s="86">
        <v>41996</v>
      </c>
      <c r="J1423" s="78">
        <v>1004</v>
      </c>
      <c r="K1423" s="132" t="s">
        <v>20</v>
      </c>
      <c r="L1423" s="132" t="s">
        <v>316</v>
      </c>
      <c r="M1423" s="132" t="s">
        <v>174</v>
      </c>
      <c r="N1423" s="133">
        <v>41997</v>
      </c>
      <c r="O1423" s="134">
        <v>1255</v>
      </c>
      <c r="P1423" s="132" t="s">
        <v>151</v>
      </c>
      <c r="Q1423" s="132" t="s">
        <v>297</v>
      </c>
      <c r="R1423" s="132" t="s">
        <v>267</v>
      </c>
      <c r="S1423" s="133">
        <v>41782</v>
      </c>
      <c r="T1423" s="134">
        <v>328.9</v>
      </c>
      <c r="U1423" s="132" t="s">
        <v>154</v>
      </c>
      <c r="V1423" s="132" t="s">
        <v>192</v>
      </c>
      <c r="W1423" s="132" t="s">
        <v>153</v>
      </c>
      <c r="X1423" s="133">
        <v>41880</v>
      </c>
      <c r="Y1423" s="134">
        <v>1025</v>
      </c>
    </row>
    <row r="1424" spans="1:25" x14ac:dyDescent="0.25">
      <c r="A1424" s="92" t="s">
        <v>148</v>
      </c>
      <c r="B1424" s="12" t="s">
        <v>270</v>
      </c>
      <c r="C1424" s="12" t="s">
        <v>174</v>
      </c>
      <c r="D1424" s="80">
        <v>41769</v>
      </c>
      <c r="E1424" s="81">
        <v>500</v>
      </c>
      <c r="F1424" s="76" t="s">
        <v>150</v>
      </c>
      <c r="G1424" s="77" t="s">
        <v>183</v>
      </c>
      <c r="H1424" s="77" t="s">
        <v>153</v>
      </c>
      <c r="I1424" s="86">
        <v>42002</v>
      </c>
      <c r="J1424" s="78">
        <v>870</v>
      </c>
      <c r="K1424" s="132" t="s">
        <v>20</v>
      </c>
      <c r="L1424" s="132" t="s">
        <v>317</v>
      </c>
      <c r="M1424" s="132" t="s">
        <v>174</v>
      </c>
      <c r="N1424" s="133">
        <v>41741</v>
      </c>
      <c r="O1424" s="134">
        <v>1404</v>
      </c>
      <c r="P1424" s="132" t="s">
        <v>151</v>
      </c>
      <c r="Q1424" s="132" t="s">
        <v>297</v>
      </c>
      <c r="R1424" s="132" t="s">
        <v>267</v>
      </c>
      <c r="S1424" s="133">
        <v>41787</v>
      </c>
      <c r="T1424" s="134">
        <v>598.9</v>
      </c>
      <c r="U1424" s="132" t="s">
        <v>154</v>
      </c>
      <c r="V1424" s="132" t="s">
        <v>192</v>
      </c>
      <c r="W1424" s="132" t="s">
        <v>153</v>
      </c>
      <c r="X1424" s="133">
        <v>41880</v>
      </c>
      <c r="Y1424" s="134">
        <v>305</v>
      </c>
    </row>
    <row r="1425" spans="1:25" x14ac:dyDescent="0.25">
      <c r="A1425" s="92" t="s">
        <v>148</v>
      </c>
      <c r="B1425" s="12" t="s">
        <v>270</v>
      </c>
      <c r="C1425" s="12" t="s">
        <v>174</v>
      </c>
      <c r="D1425" s="80">
        <v>41770</v>
      </c>
      <c r="E1425" s="81">
        <v>375</v>
      </c>
      <c r="F1425" s="76" t="s">
        <v>150</v>
      </c>
      <c r="G1425" s="77" t="s">
        <v>184</v>
      </c>
      <c r="H1425" s="77" t="s">
        <v>153</v>
      </c>
      <c r="I1425" s="86">
        <v>41674</v>
      </c>
      <c r="J1425" s="78">
        <v>793</v>
      </c>
      <c r="K1425" s="132" t="s">
        <v>20</v>
      </c>
      <c r="L1425" s="132" t="s">
        <v>317</v>
      </c>
      <c r="M1425" s="132" t="s">
        <v>174</v>
      </c>
      <c r="N1425" s="133">
        <v>41846</v>
      </c>
      <c r="O1425" s="134">
        <v>1308</v>
      </c>
      <c r="P1425" s="132" t="s">
        <v>151</v>
      </c>
      <c r="Q1425" s="132" t="s">
        <v>297</v>
      </c>
      <c r="R1425" s="132" t="s">
        <v>267</v>
      </c>
      <c r="S1425" s="133">
        <v>41788</v>
      </c>
      <c r="T1425" s="134">
        <v>641.70000000000005</v>
      </c>
      <c r="U1425" s="132" t="s">
        <v>154</v>
      </c>
      <c r="V1425" s="132" t="s">
        <v>192</v>
      </c>
      <c r="W1425" s="132" t="s">
        <v>153</v>
      </c>
      <c r="X1425" s="133">
        <v>41883</v>
      </c>
      <c r="Y1425" s="134">
        <v>610</v>
      </c>
    </row>
    <row r="1426" spans="1:25" x14ac:dyDescent="0.25">
      <c r="A1426" s="92" t="s">
        <v>148</v>
      </c>
      <c r="B1426" s="12" t="s">
        <v>270</v>
      </c>
      <c r="C1426" s="12" t="s">
        <v>174</v>
      </c>
      <c r="D1426" s="80">
        <v>41771</v>
      </c>
      <c r="E1426" s="81">
        <v>500</v>
      </c>
      <c r="F1426" s="76" t="s">
        <v>150</v>
      </c>
      <c r="G1426" s="77" t="s">
        <v>184</v>
      </c>
      <c r="H1426" s="77" t="s">
        <v>153</v>
      </c>
      <c r="I1426" s="86">
        <v>41674</v>
      </c>
      <c r="J1426" s="78">
        <v>557</v>
      </c>
      <c r="K1426" s="132" t="s">
        <v>20</v>
      </c>
      <c r="L1426" s="132" t="s">
        <v>317</v>
      </c>
      <c r="M1426" s="132" t="s">
        <v>174</v>
      </c>
      <c r="N1426" s="133">
        <v>41881</v>
      </c>
      <c r="O1426" s="134">
        <v>421</v>
      </c>
      <c r="P1426" s="132" t="s">
        <v>151</v>
      </c>
      <c r="Q1426" s="132" t="s">
        <v>297</v>
      </c>
      <c r="R1426" s="132" t="s">
        <v>267</v>
      </c>
      <c r="S1426" s="133">
        <v>41789</v>
      </c>
      <c r="T1426" s="134">
        <v>566.9</v>
      </c>
      <c r="U1426" s="132" t="s">
        <v>154</v>
      </c>
      <c r="V1426" s="132" t="s">
        <v>192</v>
      </c>
      <c r="W1426" s="132" t="s">
        <v>153</v>
      </c>
      <c r="X1426" s="133">
        <v>41884</v>
      </c>
      <c r="Y1426" s="134">
        <v>1100</v>
      </c>
    </row>
    <row r="1427" spans="1:25" x14ac:dyDescent="0.25">
      <c r="A1427" s="92" t="s">
        <v>148</v>
      </c>
      <c r="B1427" s="12" t="s">
        <v>270</v>
      </c>
      <c r="C1427" s="12" t="s">
        <v>174</v>
      </c>
      <c r="D1427" s="80">
        <v>41772</v>
      </c>
      <c r="E1427" s="81">
        <v>860</v>
      </c>
      <c r="F1427" s="76" t="s">
        <v>150</v>
      </c>
      <c r="G1427" s="77" t="s">
        <v>184</v>
      </c>
      <c r="H1427" s="77" t="s">
        <v>153</v>
      </c>
      <c r="I1427" s="86">
        <v>41677</v>
      </c>
      <c r="J1427" s="78">
        <v>958</v>
      </c>
      <c r="K1427" s="132" t="s">
        <v>20</v>
      </c>
      <c r="L1427" s="132" t="s">
        <v>317</v>
      </c>
      <c r="M1427" s="132" t="s">
        <v>174</v>
      </c>
      <c r="N1427" s="133">
        <v>41968</v>
      </c>
      <c r="O1427" s="134">
        <v>1385</v>
      </c>
      <c r="P1427" s="132" t="s">
        <v>151</v>
      </c>
      <c r="Q1427" s="132" t="s">
        <v>297</v>
      </c>
      <c r="R1427" s="132" t="s">
        <v>267</v>
      </c>
      <c r="S1427" s="133">
        <v>41841</v>
      </c>
      <c r="T1427" s="134">
        <v>732.4</v>
      </c>
      <c r="U1427" s="132" t="s">
        <v>154</v>
      </c>
      <c r="V1427" s="132" t="s">
        <v>192</v>
      </c>
      <c r="W1427" s="132" t="s">
        <v>153</v>
      </c>
      <c r="X1427" s="133">
        <v>41885</v>
      </c>
      <c r="Y1427" s="134">
        <v>1021</v>
      </c>
    </row>
    <row r="1428" spans="1:25" x14ac:dyDescent="0.25">
      <c r="A1428" s="92" t="s">
        <v>148</v>
      </c>
      <c r="B1428" s="12" t="s">
        <v>270</v>
      </c>
      <c r="C1428" s="12" t="s">
        <v>174</v>
      </c>
      <c r="D1428" s="80">
        <v>41773</v>
      </c>
      <c r="E1428" s="81">
        <v>305</v>
      </c>
      <c r="F1428" s="76" t="s">
        <v>150</v>
      </c>
      <c r="G1428" s="77" t="s">
        <v>184</v>
      </c>
      <c r="H1428" s="77" t="s">
        <v>153</v>
      </c>
      <c r="I1428" s="86">
        <v>41688</v>
      </c>
      <c r="J1428" s="78">
        <v>1126</v>
      </c>
      <c r="K1428" s="132" t="s">
        <v>20</v>
      </c>
      <c r="L1428" s="132" t="s">
        <v>317</v>
      </c>
      <c r="M1428" s="132" t="s">
        <v>174</v>
      </c>
      <c r="N1428" s="133">
        <v>41972</v>
      </c>
      <c r="O1428" s="134">
        <v>459</v>
      </c>
      <c r="P1428" s="132" t="s">
        <v>151</v>
      </c>
      <c r="Q1428" s="132" t="s">
        <v>297</v>
      </c>
      <c r="R1428" s="132" t="s">
        <v>267</v>
      </c>
      <c r="S1428" s="133">
        <v>41842</v>
      </c>
      <c r="T1428" s="134">
        <v>683.9</v>
      </c>
      <c r="U1428" s="132" t="s">
        <v>154</v>
      </c>
      <c r="V1428" s="132" t="s">
        <v>192</v>
      </c>
      <c r="W1428" s="132" t="s">
        <v>153</v>
      </c>
      <c r="X1428" s="133">
        <v>41971</v>
      </c>
      <c r="Y1428" s="134">
        <v>586</v>
      </c>
    </row>
    <row r="1429" spans="1:25" x14ac:dyDescent="0.25">
      <c r="A1429" s="92" t="s">
        <v>148</v>
      </c>
      <c r="B1429" s="12" t="s">
        <v>270</v>
      </c>
      <c r="C1429" s="12" t="s">
        <v>174</v>
      </c>
      <c r="D1429" s="80">
        <v>41774</v>
      </c>
      <c r="E1429" s="81">
        <v>700</v>
      </c>
      <c r="F1429" s="76" t="s">
        <v>150</v>
      </c>
      <c r="G1429" s="77" t="s">
        <v>184</v>
      </c>
      <c r="H1429" s="77" t="s">
        <v>153</v>
      </c>
      <c r="I1429" s="86">
        <v>41689</v>
      </c>
      <c r="J1429" s="78">
        <v>501</v>
      </c>
      <c r="K1429" s="132" t="s">
        <v>20</v>
      </c>
      <c r="L1429" s="132" t="s">
        <v>317</v>
      </c>
      <c r="M1429" s="132" t="s">
        <v>174</v>
      </c>
      <c r="N1429" s="133">
        <v>41983</v>
      </c>
      <c r="O1429" s="134">
        <v>1511</v>
      </c>
      <c r="P1429" s="132" t="s">
        <v>151</v>
      </c>
      <c r="Q1429" s="132" t="s">
        <v>297</v>
      </c>
      <c r="R1429" s="132" t="s">
        <v>267</v>
      </c>
      <c r="S1429" s="133">
        <v>41843</v>
      </c>
      <c r="T1429" s="134">
        <v>919.1</v>
      </c>
      <c r="U1429" s="132" t="s">
        <v>154</v>
      </c>
      <c r="V1429" s="132" t="s">
        <v>192</v>
      </c>
      <c r="W1429" s="132" t="s">
        <v>153</v>
      </c>
      <c r="X1429" s="133">
        <v>41974</v>
      </c>
      <c r="Y1429" s="134">
        <v>830</v>
      </c>
    </row>
    <row r="1430" spans="1:25" x14ac:dyDescent="0.25">
      <c r="A1430" s="92" t="s">
        <v>148</v>
      </c>
      <c r="B1430" s="12" t="s">
        <v>270</v>
      </c>
      <c r="C1430" s="12" t="s">
        <v>174</v>
      </c>
      <c r="D1430" s="80">
        <v>41790</v>
      </c>
      <c r="E1430" s="81">
        <v>700</v>
      </c>
      <c r="F1430" s="76" t="s">
        <v>150</v>
      </c>
      <c r="G1430" s="77" t="s">
        <v>184</v>
      </c>
      <c r="H1430" s="77" t="s">
        <v>153</v>
      </c>
      <c r="I1430" s="86">
        <v>41691</v>
      </c>
      <c r="J1430" s="78">
        <v>902</v>
      </c>
      <c r="K1430" s="132" t="s">
        <v>20</v>
      </c>
      <c r="L1430" s="132" t="s">
        <v>318</v>
      </c>
      <c r="M1430" s="132" t="s">
        <v>174</v>
      </c>
      <c r="N1430" s="133">
        <v>41693</v>
      </c>
      <c r="O1430" s="134">
        <v>1790</v>
      </c>
      <c r="P1430" s="132" t="s">
        <v>151</v>
      </c>
      <c r="Q1430" s="132" t="s">
        <v>297</v>
      </c>
      <c r="R1430" s="132" t="s">
        <v>267</v>
      </c>
      <c r="S1430" s="133">
        <v>41870</v>
      </c>
      <c r="T1430" s="134">
        <v>735.8</v>
      </c>
      <c r="U1430" s="132" t="s">
        <v>154</v>
      </c>
      <c r="V1430" s="132" t="s">
        <v>193</v>
      </c>
      <c r="W1430" s="132" t="s">
        <v>153</v>
      </c>
      <c r="X1430" s="133">
        <v>41660</v>
      </c>
      <c r="Y1430" s="134">
        <v>1300</v>
      </c>
    </row>
    <row r="1431" spans="1:25" x14ac:dyDescent="0.25">
      <c r="A1431" s="92" t="s">
        <v>148</v>
      </c>
      <c r="B1431" s="12" t="s">
        <v>270</v>
      </c>
      <c r="C1431" s="12" t="s">
        <v>174</v>
      </c>
      <c r="D1431" s="80">
        <v>41791</v>
      </c>
      <c r="E1431" s="81">
        <v>730</v>
      </c>
      <c r="F1431" s="76" t="s">
        <v>150</v>
      </c>
      <c r="G1431" s="77" t="s">
        <v>184</v>
      </c>
      <c r="H1431" s="77" t="s">
        <v>153</v>
      </c>
      <c r="I1431" s="86">
        <v>41694</v>
      </c>
      <c r="J1431" s="78">
        <v>1131</v>
      </c>
      <c r="K1431" s="132" t="s">
        <v>20</v>
      </c>
      <c r="L1431" s="132" t="s">
        <v>318</v>
      </c>
      <c r="M1431" s="132" t="s">
        <v>174</v>
      </c>
      <c r="N1431" s="133">
        <v>41702</v>
      </c>
      <c r="O1431" s="134">
        <v>780</v>
      </c>
      <c r="P1431" s="132" t="s">
        <v>151</v>
      </c>
      <c r="Q1431" s="132" t="s">
        <v>297</v>
      </c>
      <c r="R1431" s="132" t="s">
        <v>267</v>
      </c>
      <c r="S1431" s="133">
        <v>41878</v>
      </c>
      <c r="T1431" s="134">
        <v>469.5</v>
      </c>
      <c r="U1431" s="132" t="s">
        <v>154</v>
      </c>
      <c r="V1431" s="132" t="s">
        <v>193</v>
      </c>
      <c r="W1431" s="132" t="s">
        <v>153</v>
      </c>
      <c r="X1431" s="133">
        <v>41661</v>
      </c>
      <c r="Y1431" s="134">
        <v>620</v>
      </c>
    </row>
    <row r="1432" spans="1:25" x14ac:dyDescent="0.25">
      <c r="A1432" s="92" t="s">
        <v>148</v>
      </c>
      <c r="B1432" s="12" t="s">
        <v>270</v>
      </c>
      <c r="C1432" s="12" t="s">
        <v>174</v>
      </c>
      <c r="D1432" s="80">
        <v>41792</v>
      </c>
      <c r="E1432" s="81">
        <v>820</v>
      </c>
      <c r="F1432" s="76" t="s">
        <v>150</v>
      </c>
      <c r="G1432" s="77" t="s">
        <v>184</v>
      </c>
      <c r="H1432" s="77" t="s">
        <v>153</v>
      </c>
      <c r="I1432" s="86">
        <v>41698</v>
      </c>
      <c r="J1432" s="78">
        <v>1346</v>
      </c>
      <c r="K1432" s="132" t="s">
        <v>20</v>
      </c>
      <c r="L1432" s="132" t="s">
        <v>318</v>
      </c>
      <c r="M1432" s="132" t="s">
        <v>174</v>
      </c>
      <c r="N1432" s="133">
        <v>41715</v>
      </c>
      <c r="O1432" s="134">
        <v>1068</v>
      </c>
      <c r="P1432" s="132" t="s">
        <v>151</v>
      </c>
      <c r="Q1432" s="132" t="s">
        <v>297</v>
      </c>
      <c r="R1432" s="132" t="s">
        <v>267</v>
      </c>
      <c r="S1432" s="133">
        <v>41892</v>
      </c>
      <c r="T1432" s="134">
        <v>813.3</v>
      </c>
      <c r="U1432" s="132" t="s">
        <v>154</v>
      </c>
      <c r="V1432" s="132" t="s">
        <v>193</v>
      </c>
      <c r="W1432" s="132" t="s">
        <v>153</v>
      </c>
      <c r="X1432" s="133">
        <v>41662</v>
      </c>
      <c r="Y1432" s="134">
        <v>870</v>
      </c>
    </row>
    <row r="1433" spans="1:25" x14ac:dyDescent="0.25">
      <c r="A1433" s="92" t="s">
        <v>148</v>
      </c>
      <c r="B1433" s="12" t="s">
        <v>271</v>
      </c>
      <c r="C1433" s="12" t="s">
        <v>174</v>
      </c>
      <c r="D1433" s="80">
        <v>41653</v>
      </c>
      <c r="E1433" s="81">
        <v>830</v>
      </c>
      <c r="F1433" s="76" t="s">
        <v>150</v>
      </c>
      <c r="G1433" s="77" t="s">
        <v>184</v>
      </c>
      <c r="H1433" s="77" t="s">
        <v>153</v>
      </c>
      <c r="I1433" s="86">
        <v>41699</v>
      </c>
      <c r="J1433" s="78">
        <v>823</v>
      </c>
      <c r="K1433" s="132" t="s">
        <v>20</v>
      </c>
      <c r="L1433" s="132" t="s">
        <v>318</v>
      </c>
      <c r="M1433" s="132" t="s">
        <v>174</v>
      </c>
      <c r="N1433" s="133">
        <v>41720</v>
      </c>
      <c r="O1433" s="134">
        <v>345</v>
      </c>
      <c r="P1433" s="132" t="s">
        <v>151</v>
      </c>
      <c r="Q1433" s="132" t="s">
        <v>297</v>
      </c>
      <c r="R1433" s="132" t="s">
        <v>267</v>
      </c>
      <c r="S1433" s="133">
        <v>41899</v>
      </c>
      <c r="T1433" s="134">
        <v>1212.0999999999999</v>
      </c>
      <c r="U1433" s="132" t="s">
        <v>154</v>
      </c>
      <c r="V1433" s="132" t="s">
        <v>193</v>
      </c>
      <c r="W1433" s="132" t="s">
        <v>153</v>
      </c>
      <c r="X1433" s="133">
        <v>41663</v>
      </c>
      <c r="Y1433" s="134">
        <v>800</v>
      </c>
    </row>
    <row r="1434" spans="1:25" x14ac:dyDescent="0.25">
      <c r="A1434" s="92" t="s">
        <v>148</v>
      </c>
      <c r="B1434" s="12" t="s">
        <v>271</v>
      </c>
      <c r="C1434" s="12" t="s">
        <v>174</v>
      </c>
      <c r="D1434" s="80">
        <v>41654</v>
      </c>
      <c r="E1434" s="81">
        <v>810</v>
      </c>
      <c r="F1434" s="76" t="s">
        <v>150</v>
      </c>
      <c r="G1434" s="77" t="s">
        <v>184</v>
      </c>
      <c r="H1434" s="77" t="s">
        <v>153</v>
      </c>
      <c r="I1434" s="86">
        <v>41699</v>
      </c>
      <c r="J1434" s="78">
        <v>1020</v>
      </c>
      <c r="K1434" s="132" t="s">
        <v>20</v>
      </c>
      <c r="L1434" s="132" t="s">
        <v>318</v>
      </c>
      <c r="M1434" s="132" t="s">
        <v>174</v>
      </c>
      <c r="N1434" s="133">
        <v>41768</v>
      </c>
      <c r="O1434" s="134">
        <v>435</v>
      </c>
      <c r="P1434" s="132" t="s">
        <v>151</v>
      </c>
      <c r="Q1434" s="132" t="s">
        <v>297</v>
      </c>
      <c r="R1434" s="132" t="s">
        <v>267</v>
      </c>
      <c r="S1434" s="133">
        <v>41900</v>
      </c>
      <c r="T1434" s="134">
        <v>930.4</v>
      </c>
      <c r="U1434" s="132" t="s">
        <v>154</v>
      </c>
      <c r="V1434" s="132" t="s">
        <v>193</v>
      </c>
      <c r="W1434" s="132" t="s">
        <v>153</v>
      </c>
      <c r="X1434" s="133">
        <v>41664</v>
      </c>
      <c r="Y1434" s="134">
        <v>541</v>
      </c>
    </row>
    <row r="1435" spans="1:25" x14ac:dyDescent="0.25">
      <c r="A1435" s="92" t="s">
        <v>148</v>
      </c>
      <c r="B1435" s="12" t="s">
        <v>271</v>
      </c>
      <c r="C1435" s="12" t="s">
        <v>174</v>
      </c>
      <c r="D1435" s="80">
        <v>41655</v>
      </c>
      <c r="E1435" s="81">
        <v>800</v>
      </c>
      <c r="F1435" s="76" t="s">
        <v>150</v>
      </c>
      <c r="G1435" s="77" t="s">
        <v>184</v>
      </c>
      <c r="H1435" s="77" t="s">
        <v>153</v>
      </c>
      <c r="I1435" s="86">
        <v>41700</v>
      </c>
      <c r="J1435" s="78">
        <v>510</v>
      </c>
      <c r="K1435" s="132" t="s">
        <v>20</v>
      </c>
      <c r="L1435" s="132" t="s">
        <v>318</v>
      </c>
      <c r="M1435" s="132" t="s">
        <v>174</v>
      </c>
      <c r="N1435" s="133">
        <v>41792</v>
      </c>
      <c r="O1435" s="134">
        <v>1522</v>
      </c>
      <c r="P1435" s="132" t="s">
        <v>151</v>
      </c>
      <c r="Q1435" s="132" t="s">
        <v>297</v>
      </c>
      <c r="R1435" s="132" t="s">
        <v>267</v>
      </c>
      <c r="S1435" s="133">
        <v>41901</v>
      </c>
      <c r="T1435" s="134">
        <v>876.6</v>
      </c>
      <c r="U1435" s="132" t="s">
        <v>154</v>
      </c>
      <c r="V1435" s="132" t="s">
        <v>193</v>
      </c>
      <c r="W1435" s="132" t="s">
        <v>153</v>
      </c>
      <c r="X1435" s="133">
        <v>41665</v>
      </c>
      <c r="Y1435" s="134">
        <v>256</v>
      </c>
    </row>
    <row r="1436" spans="1:25" x14ac:dyDescent="0.25">
      <c r="A1436" s="92" t="s">
        <v>148</v>
      </c>
      <c r="B1436" s="12" t="s">
        <v>271</v>
      </c>
      <c r="C1436" s="12" t="s">
        <v>174</v>
      </c>
      <c r="D1436" s="80">
        <v>41656</v>
      </c>
      <c r="E1436" s="81">
        <v>824</v>
      </c>
      <c r="F1436" s="76" t="s">
        <v>150</v>
      </c>
      <c r="G1436" s="77" t="s">
        <v>184</v>
      </c>
      <c r="H1436" s="77" t="s">
        <v>153</v>
      </c>
      <c r="I1436" s="86">
        <v>41702</v>
      </c>
      <c r="J1436" s="78">
        <v>1080</v>
      </c>
      <c r="K1436" s="132" t="s">
        <v>20</v>
      </c>
      <c r="L1436" s="132" t="s">
        <v>318</v>
      </c>
      <c r="M1436" s="132" t="s">
        <v>174</v>
      </c>
      <c r="N1436" s="133">
        <v>41924</v>
      </c>
      <c r="O1436" s="134">
        <v>1727</v>
      </c>
      <c r="P1436" s="132" t="s">
        <v>151</v>
      </c>
      <c r="Q1436" s="132" t="s">
        <v>297</v>
      </c>
      <c r="R1436" s="132" t="s">
        <v>267</v>
      </c>
      <c r="S1436" s="133">
        <v>41904</v>
      </c>
      <c r="T1436" s="134">
        <v>852.8</v>
      </c>
      <c r="U1436" s="132" t="s">
        <v>154</v>
      </c>
      <c r="V1436" s="132" t="s">
        <v>193</v>
      </c>
      <c r="W1436" s="132" t="s">
        <v>153</v>
      </c>
      <c r="X1436" s="133">
        <v>41666</v>
      </c>
      <c r="Y1436" s="134">
        <v>624</v>
      </c>
    </row>
    <row r="1437" spans="1:25" x14ac:dyDescent="0.25">
      <c r="A1437" s="92" t="s">
        <v>148</v>
      </c>
      <c r="B1437" s="12" t="s">
        <v>271</v>
      </c>
      <c r="C1437" s="12" t="s">
        <v>174</v>
      </c>
      <c r="D1437" s="80">
        <v>41657</v>
      </c>
      <c r="E1437" s="81">
        <v>1184</v>
      </c>
      <c r="F1437" s="76" t="s">
        <v>150</v>
      </c>
      <c r="G1437" s="77" t="s">
        <v>184</v>
      </c>
      <c r="H1437" s="77" t="s">
        <v>153</v>
      </c>
      <c r="I1437" s="86">
        <v>41704</v>
      </c>
      <c r="J1437" s="78">
        <v>1016</v>
      </c>
      <c r="K1437" s="132" t="s">
        <v>20</v>
      </c>
      <c r="L1437" s="132" t="s">
        <v>318</v>
      </c>
      <c r="M1437" s="132" t="s">
        <v>174</v>
      </c>
      <c r="N1437" s="133">
        <v>41944</v>
      </c>
      <c r="O1437" s="134">
        <v>1411</v>
      </c>
      <c r="P1437" s="132" t="s">
        <v>151</v>
      </c>
      <c r="Q1437" s="132" t="s">
        <v>297</v>
      </c>
      <c r="R1437" s="132" t="s">
        <v>267</v>
      </c>
      <c r="S1437" s="133">
        <v>41905</v>
      </c>
      <c r="T1437" s="134">
        <v>889.3</v>
      </c>
      <c r="U1437" s="132" t="s">
        <v>154</v>
      </c>
      <c r="V1437" s="132" t="s">
        <v>193</v>
      </c>
      <c r="W1437" s="132" t="s">
        <v>153</v>
      </c>
      <c r="X1437" s="133">
        <v>41666</v>
      </c>
      <c r="Y1437" s="134">
        <v>400</v>
      </c>
    </row>
    <row r="1438" spans="1:25" x14ac:dyDescent="0.25">
      <c r="A1438" s="92" t="s">
        <v>148</v>
      </c>
      <c r="B1438" s="12" t="s">
        <v>271</v>
      </c>
      <c r="C1438" s="12" t="s">
        <v>174</v>
      </c>
      <c r="D1438" s="80">
        <v>41658</v>
      </c>
      <c r="E1438" s="81">
        <v>1137</v>
      </c>
      <c r="F1438" s="76" t="s">
        <v>150</v>
      </c>
      <c r="G1438" s="77" t="s">
        <v>184</v>
      </c>
      <c r="H1438" s="77" t="s">
        <v>153</v>
      </c>
      <c r="I1438" s="86">
        <v>41705</v>
      </c>
      <c r="J1438" s="78">
        <v>1031</v>
      </c>
      <c r="K1438" s="132" t="s">
        <v>20</v>
      </c>
      <c r="L1438" s="132" t="s">
        <v>318</v>
      </c>
      <c r="M1438" s="132" t="s">
        <v>174</v>
      </c>
      <c r="N1438" s="133">
        <v>41968</v>
      </c>
      <c r="O1438" s="134">
        <v>1249</v>
      </c>
      <c r="P1438" s="132" t="s">
        <v>151</v>
      </c>
      <c r="Q1438" s="132" t="s">
        <v>297</v>
      </c>
      <c r="R1438" s="132" t="s">
        <v>267</v>
      </c>
      <c r="S1438" s="133">
        <v>41906</v>
      </c>
      <c r="T1438" s="134">
        <v>910.8</v>
      </c>
      <c r="U1438" s="132" t="s">
        <v>154</v>
      </c>
      <c r="V1438" s="132" t="s">
        <v>193</v>
      </c>
      <c r="W1438" s="132" t="s">
        <v>153</v>
      </c>
      <c r="X1438" s="133">
        <v>41668</v>
      </c>
      <c r="Y1438" s="134">
        <v>938</v>
      </c>
    </row>
    <row r="1439" spans="1:25" x14ac:dyDescent="0.25">
      <c r="A1439" s="92" t="s">
        <v>148</v>
      </c>
      <c r="B1439" s="12" t="s">
        <v>271</v>
      </c>
      <c r="C1439" s="12" t="s">
        <v>174</v>
      </c>
      <c r="D1439" s="80">
        <v>41659</v>
      </c>
      <c r="E1439" s="81">
        <v>977</v>
      </c>
      <c r="F1439" s="76" t="s">
        <v>150</v>
      </c>
      <c r="G1439" s="77" t="s">
        <v>184</v>
      </c>
      <c r="H1439" s="77" t="s">
        <v>153</v>
      </c>
      <c r="I1439" s="86">
        <v>41705</v>
      </c>
      <c r="J1439" s="78">
        <v>615</v>
      </c>
      <c r="K1439" s="132" t="s">
        <v>20</v>
      </c>
      <c r="L1439" s="132" t="s">
        <v>318</v>
      </c>
      <c r="M1439" s="132" t="s">
        <v>174</v>
      </c>
      <c r="N1439" s="133">
        <v>41972</v>
      </c>
      <c r="O1439" s="134">
        <v>420</v>
      </c>
      <c r="P1439" s="132" t="s">
        <v>151</v>
      </c>
      <c r="Q1439" s="132" t="s">
        <v>297</v>
      </c>
      <c r="R1439" s="132" t="s">
        <v>267</v>
      </c>
      <c r="S1439" s="133">
        <v>41907</v>
      </c>
      <c r="T1439" s="134">
        <v>839.1</v>
      </c>
      <c r="U1439" s="132" t="s">
        <v>154</v>
      </c>
      <c r="V1439" s="132" t="s">
        <v>193</v>
      </c>
      <c r="W1439" s="132" t="s">
        <v>153</v>
      </c>
      <c r="X1439" s="133">
        <v>41669</v>
      </c>
      <c r="Y1439" s="134">
        <v>675</v>
      </c>
    </row>
    <row r="1440" spans="1:25" x14ac:dyDescent="0.25">
      <c r="A1440" s="92" t="s">
        <v>148</v>
      </c>
      <c r="B1440" s="12" t="s">
        <v>271</v>
      </c>
      <c r="C1440" s="12" t="s">
        <v>174</v>
      </c>
      <c r="D1440" s="80">
        <v>41660</v>
      </c>
      <c r="E1440" s="81">
        <v>510</v>
      </c>
      <c r="F1440" s="76" t="s">
        <v>150</v>
      </c>
      <c r="G1440" s="77" t="s">
        <v>184</v>
      </c>
      <c r="H1440" s="77" t="s">
        <v>153</v>
      </c>
      <c r="I1440" s="86">
        <v>41711</v>
      </c>
      <c r="J1440" s="78">
        <v>325</v>
      </c>
      <c r="K1440" s="132" t="s">
        <v>20</v>
      </c>
      <c r="L1440" s="132" t="s">
        <v>319</v>
      </c>
      <c r="M1440" s="132" t="s">
        <v>174</v>
      </c>
      <c r="N1440" s="133">
        <v>41722</v>
      </c>
      <c r="O1440" s="134">
        <v>1416</v>
      </c>
      <c r="P1440" s="132" t="s">
        <v>151</v>
      </c>
      <c r="Q1440" s="132" t="s">
        <v>297</v>
      </c>
      <c r="R1440" s="132" t="s">
        <v>267</v>
      </c>
      <c r="S1440" s="133">
        <v>41908</v>
      </c>
      <c r="T1440" s="134">
        <v>874.6</v>
      </c>
      <c r="U1440" s="132" t="s">
        <v>154</v>
      </c>
      <c r="V1440" s="132" t="s">
        <v>193</v>
      </c>
      <c r="W1440" s="132" t="s">
        <v>153</v>
      </c>
      <c r="X1440" s="133">
        <v>41669</v>
      </c>
      <c r="Y1440" s="134">
        <v>400</v>
      </c>
    </row>
    <row r="1441" spans="1:25" x14ac:dyDescent="0.25">
      <c r="A1441" s="92" t="s">
        <v>148</v>
      </c>
      <c r="B1441" s="12" t="s">
        <v>271</v>
      </c>
      <c r="C1441" s="12" t="s">
        <v>174</v>
      </c>
      <c r="D1441" s="80">
        <v>41660</v>
      </c>
      <c r="E1441" s="81">
        <v>1030</v>
      </c>
      <c r="F1441" s="76" t="s">
        <v>150</v>
      </c>
      <c r="G1441" s="77" t="s">
        <v>184</v>
      </c>
      <c r="H1441" s="77" t="s">
        <v>153</v>
      </c>
      <c r="I1441" s="86">
        <v>41715</v>
      </c>
      <c r="J1441" s="78">
        <v>823</v>
      </c>
      <c r="K1441" s="132" t="s">
        <v>20</v>
      </c>
      <c r="L1441" s="132" t="s">
        <v>319</v>
      </c>
      <c r="M1441" s="132" t="s">
        <v>174</v>
      </c>
      <c r="N1441" s="133">
        <v>41775</v>
      </c>
      <c r="O1441" s="134">
        <v>1330</v>
      </c>
      <c r="P1441" s="132" t="s">
        <v>151</v>
      </c>
      <c r="Q1441" s="132" t="s">
        <v>297</v>
      </c>
      <c r="R1441" s="132" t="s">
        <v>267</v>
      </c>
      <c r="S1441" s="133">
        <v>41926</v>
      </c>
      <c r="T1441" s="134">
        <v>217.1</v>
      </c>
      <c r="U1441" s="132" t="s">
        <v>154</v>
      </c>
      <c r="V1441" s="132" t="s">
        <v>193</v>
      </c>
      <c r="W1441" s="132" t="s">
        <v>153</v>
      </c>
      <c r="X1441" s="133">
        <v>41670</v>
      </c>
      <c r="Y1441" s="134">
        <v>1060</v>
      </c>
    </row>
    <row r="1442" spans="1:25" x14ac:dyDescent="0.25">
      <c r="A1442" s="92" t="s">
        <v>148</v>
      </c>
      <c r="B1442" s="12" t="s">
        <v>271</v>
      </c>
      <c r="C1442" s="12" t="s">
        <v>174</v>
      </c>
      <c r="D1442" s="80">
        <v>41662</v>
      </c>
      <c r="E1442" s="81">
        <v>1130</v>
      </c>
      <c r="F1442" s="76" t="s">
        <v>150</v>
      </c>
      <c r="G1442" s="77" t="s">
        <v>184</v>
      </c>
      <c r="H1442" s="77" t="s">
        <v>153</v>
      </c>
      <c r="I1442" s="86">
        <v>41718</v>
      </c>
      <c r="J1442" s="78">
        <v>794</v>
      </c>
      <c r="K1442" s="132" t="s">
        <v>20</v>
      </c>
      <c r="L1442" s="132" t="s">
        <v>319</v>
      </c>
      <c r="M1442" s="132" t="s">
        <v>174</v>
      </c>
      <c r="N1442" s="133">
        <v>41917</v>
      </c>
      <c r="O1442" s="134">
        <v>1395</v>
      </c>
      <c r="P1442" s="132" t="s">
        <v>151</v>
      </c>
      <c r="Q1442" s="132" t="s">
        <v>297</v>
      </c>
      <c r="R1442" s="132" t="s">
        <v>267</v>
      </c>
      <c r="S1442" s="133">
        <v>41929</v>
      </c>
      <c r="T1442" s="134">
        <v>749.4</v>
      </c>
      <c r="U1442" s="132" t="s">
        <v>154</v>
      </c>
      <c r="V1442" s="132" t="s">
        <v>193</v>
      </c>
      <c r="W1442" s="132" t="s">
        <v>153</v>
      </c>
      <c r="X1442" s="133">
        <v>41690</v>
      </c>
      <c r="Y1442" s="134">
        <v>564</v>
      </c>
    </row>
    <row r="1443" spans="1:25" x14ac:dyDescent="0.25">
      <c r="A1443" s="92" t="s">
        <v>148</v>
      </c>
      <c r="B1443" s="12" t="s">
        <v>271</v>
      </c>
      <c r="C1443" s="12" t="s">
        <v>174</v>
      </c>
      <c r="D1443" s="80">
        <v>41663</v>
      </c>
      <c r="E1443" s="81">
        <v>900</v>
      </c>
      <c r="F1443" s="76" t="s">
        <v>150</v>
      </c>
      <c r="G1443" s="77" t="s">
        <v>184</v>
      </c>
      <c r="H1443" s="77" t="s">
        <v>153</v>
      </c>
      <c r="I1443" s="86">
        <v>41720</v>
      </c>
      <c r="J1443" s="78">
        <v>1134</v>
      </c>
      <c r="K1443" s="132" t="s">
        <v>20</v>
      </c>
      <c r="L1443" s="132" t="s">
        <v>319</v>
      </c>
      <c r="M1443" s="132" t="s">
        <v>174</v>
      </c>
      <c r="N1443" s="133">
        <v>41938</v>
      </c>
      <c r="O1443" s="134">
        <v>1332</v>
      </c>
      <c r="P1443" s="132" t="s">
        <v>151</v>
      </c>
      <c r="Q1443" s="132" t="s">
        <v>297</v>
      </c>
      <c r="R1443" s="132" t="s">
        <v>267</v>
      </c>
      <c r="S1443" s="133">
        <v>41932</v>
      </c>
      <c r="T1443" s="134">
        <v>566.70000000000005</v>
      </c>
      <c r="U1443" s="132" t="s">
        <v>154</v>
      </c>
      <c r="V1443" s="132" t="s">
        <v>193</v>
      </c>
      <c r="W1443" s="132" t="s">
        <v>153</v>
      </c>
      <c r="X1443" s="133">
        <v>41796</v>
      </c>
      <c r="Y1443" s="134">
        <v>531</v>
      </c>
    </row>
    <row r="1444" spans="1:25" ht="30" x14ac:dyDescent="0.25">
      <c r="A1444" s="92" t="s">
        <v>148</v>
      </c>
      <c r="B1444" s="12" t="s">
        <v>271</v>
      </c>
      <c r="C1444" s="12" t="s">
        <v>174</v>
      </c>
      <c r="D1444" s="80">
        <v>41664</v>
      </c>
      <c r="E1444" s="81">
        <v>940</v>
      </c>
      <c r="F1444" s="76" t="s">
        <v>150</v>
      </c>
      <c r="G1444" s="77" t="s">
        <v>184</v>
      </c>
      <c r="H1444" s="77" t="s">
        <v>153</v>
      </c>
      <c r="I1444" s="86">
        <v>41723</v>
      </c>
      <c r="J1444" s="78">
        <v>1231</v>
      </c>
      <c r="K1444" s="132" t="s">
        <v>20</v>
      </c>
      <c r="L1444" s="132" t="s">
        <v>324</v>
      </c>
      <c r="M1444" s="132" t="s">
        <v>321</v>
      </c>
      <c r="N1444" s="133">
        <v>41649</v>
      </c>
      <c r="O1444" s="134">
        <v>1557</v>
      </c>
      <c r="P1444" s="132" t="s">
        <v>151</v>
      </c>
      <c r="Q1444" s="132" t="s">
        <v>297</v>
      </c>
      <c r="R1444" s="132" t="s">
        <v>267</v>
      </c>
      <c r="S1444" s="133">
        <v>41933</v>
      </c>
      <c r="T1444" s="134">
        <v>891</v>
      </c>
      <c r="U1444" s="132" t="s">
        <v>154</v>
      </c>
      <c r="V1444" s="132" t="s">
        <v>193</v>
      </c>
      <c r="W1444" s="132" t="s">
        <v>153</v>
      </c>
      <c r="X1444" s="133">
        <v>41799</v>
      </c>
      <c r="Y1444" s="134">
        <v>542</v>
      </c>
    </row>
    <row r="1445" spans="1:25" ht="30" x14ac:dyDescent="0.25">
      <c r="A1445" s="92" t="s">
        <v>148</v>
      </c>
      <c r="B1445" s="12" t="s">
        <v>271</v>
      </c>
      <c r="C1445" s="12" t="s">
        <v>174</v>
      </c>
      <c r="D1445" s="80">
        <v>41665</v>
      </c>
      <c r="E1445" s="81">
        <v>950</v>
      </c>
      <c r="F1445" s="76" t="s">
        <v>150</v>
      </c>
      <c r="G1445" s="77" t="s">
        <v>184</v>
      </c>
      <c r="H1445" s="77" t="s">
        <v>153</v>
      </c>
      <c r="I1445" s="86">
        <v>41725</v>
      </c>
      <c r="J1445" s="78">
        <v>789</v>
      </c>
      <c r="K1445" s="132" t="s">
        <v>20</v>
      </c>
      <c r="L1445" s="132" t="s">
        <v>324</v>
      </c>
      <c r="M1445" s="132" t="s">
        <v>321</v>
      </c>
      <c r="N1445" s="133">
        <v>41664</v>
      </c>
      <c r="O1445" s="134">
        <v>1066</v>
      </c>
      <c r="P1445" s="132" t="s">
        <v>151</v>
      </c>
      <c r="Q1445" s="132" t="s">
        <v>297</v>
      </c>
      <c r="R1445" s="132" t="s">
        <v>267</v>
      </c>
      <c r="S1445" s="133">
        <v>41941</v>
      </c>
      <c r="T1445" s="134">
        <v>864.1</v>
      </c>
      <c r="U1445" s="132" t="s">
        <v>154</v>
      </c>
      <c r="V1445" s="132" t="s">
        <v>193</v>
      </c>
      <c r="W1445" s="132" t="s">
        <v>153</v>
      </c>
      <c r="X1445" s="133">
        <v>41886</v>
      </c>
      <c r="Y1445" s="134">
        <v>541</v>
      </c>
    </row>
    <row r="1446" spans="1:25" ht="30" x14ac:dyDescent="0.25">
      <c r="A1446" s="92" t="s">
        <v>148</v>
      </c>
      <c r="B1446" s="12" t="s">
        <v>271</v>
      </c>
      <c r="C1446" s="12" t="s">
        <v>174</v>
      </c>
      <c r="D1446" s="80">
        <v>41666</v>
      </c>
      <c r="E1446" s="81">
        <v>400</v>
      </c>
      <c r="F1446" s="76" t="s">
        <v>150</v>
      </c>
      <c r="G1446" s="77" t="s">
        <v>184</v>
      </c>
      <c r="H1446" s="77" t="s">
        <v>153</v>
      </c>
      <c r="I1446" s="86">
        <v>41727</v>
      </c>
      <c r="J1446" s="78">
        <v>339</v>
      </c>
      <c r="K1446" s="132" t="s">
        <v>20</v>
      </c>
      <c r="L1446" s="132" t="s">
        <v>324</v>
      </c>
      <c r="M1446" s="132" t="s">
        <v>321</v>
      </c>
      <c r="N1446" s="133">
        <v>41692</v>
      </c>
      <c r="O1446" s="134">
        <v>1878</v>
      </c>
      <c r="P1446" s="132" t="s">
        <v>151</v>
      </c>
      <c r="Q1446" s="132" t="s">
        <v>297</v>
      </c>
      <c r="R1446" s="132" t="s">
        <v>267</v>
      </c>
      <c r="S1446" s="133">
        <v>41943</v>
      </c>
      <c r="T1446" s="134">
        <v>1101.7</v>
      </c>
      <c r="U1446" s="132" t="s">
        <v>154</v>
      </c>
      <c r="V1446" s="132" t="s">
        <v>193</v>
      </c>
      <c r="W1446" s="132" t="s">
        <v>153</v>
      </c>
      <c r="X1446" s="133">
        <v>41886</v>
      </c>
      <c r="Y1446" s="134">
        <v>446</v>
      </c>
    </row>
    <row r="1447" spans="1:25" ht="30" x14ac:dyDescent="0.25">
      <c r="A1447" s="92" t="s">
        <v>148</v>
      </c>
      <c r="B1447" s="12" t="s">
        <v>271</v>
      </c>
      <c r="C1447" s="12" t="s">
        <v>174</v>
      </c>
      <c r="D1447" s="80">
        <v>41667</v>
      </c>
      <c r="E1447" s="81">
        <v>1090</v>
      </c>
      <c r="F1447" s="76" t="s">
        <v>150</v>
      </c>
      <c r="G1447" s="77" t="s">
        <v>184</v>
      </c>
      <c r="H1447" s="77" t="s">
        <v>153</v>
      </c>
      <c r="I1447" s="86">
        <v>41727</v>
      </c>
      <c r="J1447" s="78">
        <v>853</v>
      </c>
      <c r="K1447" s="132" t="s">
        <v>20</v>
      </c>
      <c r="L1447" s="132" t="s">
        <v>324</v>
      </c>
      <c r="M1447" s="132" t="s">
        <v>321</v>
      </c>
      <c r="N1447" s="133">
        <v>41719</v>
      </c>
      <c r="O1447" s="134">
        <v>1560</v>
      </c>
      <c r="P1447" s="132" t="s">
        <v>151</v>
      </c>
      <c r="Q1447" s="132" t="s">
        <v>297</v>
      </c>
      <c r="R1447" s="132" t="s">
        <v>267</v>
      </c>
      <c r="S1447" s="133">
        <v>41944</v>
      </c>
      <c r="T1447" s="134">
        <v>506.6</v>
      </c>
      <c r="U1447" s="132" t="s">
        <v>154</v>
      </c>
      <c r="V1447" s="132" t="s">
        <v>193</v>
      </c>
      <c r="W1447" s="132" t="s">
        <v>153</v>
      </c>
      <c r="X1447" s="133">
        <v>41953</v>
      </c>
      <c r="Y1447" s="134">
        <v>450</v>
      </c>
    </row>
    <row r="1448" spans="1:25" ht="30" x14ac:dyDescent="0.25">
      <c r="A1448" s="92" t="s">
        <v>148</v>
      </c>
      <c r="B1448" s="12" t="s">
        <v>271</v>
      </c>
      <c r="C1448" s="12" t="s">
        <v>174</v>
      </c>
      <c r="D1448" s="80">
        <v>41668</v>
      </c>
      <c r="E1448" s="81">
        <v>940</v>
      </c>
      <c r="F1448" s="76" t="s">
        <v>150</v>
      </c>
      <c r="G1448" s="77" t="s">
        <v>184</v>
      </c>
      <c r="H1448" s="77" t="s">
        <v>153</v>
      </c>
      <c r="I1448" s="86">
        <v>41728</v>
      </c>
      <c r="J1448" s="78">
        <v>834</v>
      </c>
      <c r="K1448" s="132" t="s">
        <v>20</v>
      </c>
      <c r="L1448" s="132" t="s">
        <v>324</v>
      </c>
      <c r="M1448" s="132" t="s">
        <v>321</v>
      </c>
      <c r="N1448" s="133">
        <v>41743</v>
      </c>
      <c r="O1448" s="134">
        <v>1732</v>
      </c>
      <c r="P1448" s="132" t="s">
        <v>151</v>
      </c>
      <c r="Q1448" s="132" t="s">
        <v>297</v>
      </c>
      <c r="R1448" s="132" t="s">
        <v>267</v>
      </c>
      <c r="S1448" s="133">
        <v>41983</v>
      </c>
      <c r="T1448" s="134">
        <v>659</v>
      </c>
      <c r="U1448" s="132" t="s">
        <v>154</v>
      </c>
      <c r="V1448" s="132" t="s">
        <v>193</v>
      </c>
      <c r="W1448" s="132" t="s">
        <v>153</v>
      </c>
      <c r="X1448" s="133">
        <v>41954</v>
      </c>
      <c r="Y1448" s="134">
        <v>850</v>
      </c>
    </row>
    <row r="1449" spans="1:25" ht="30" x14ac:dyDescent="0.25">
      <c r="A1449" s="92" t="s">
        <v>148</v>
      </c>
      <c r="B1449" s="12" t="s">
        <v>271</v>
      </c>
      <c r="C1449" s="12" t="s">
        <v>174</v>
      </c>
      <c r="D1449" s="80">
        <v>41669</v>
      </c>
      <c r="E1449" s="81">
        <v>1176</v>
      </c>
      <c r="F1449" s="76" t="s">
        <v>150</v>
      </c>
      <c r="G1449" s="77" t="s">
        <v>184</v>
      </c>
      <c r="H1449" s="77" t="s">
        <v>153</v>
      </c>
      <c r="I1449" s="86">
        <v>41731</v>
      </c>
      <c r="J1449" s="78">
        <v>668</v>
      </c>
      <c r="K1449" s="132" t="s">
        <v>20</v>
      </c>
      <c r="L1449" s="132" t="s">
        <v>324</v>
      </c>
      <c r="M1449" s="132" t="s">
        <v>321</v>
      </c>
      <c r="N1449" s="133">
        <v>41781</v>
      </c>
      <c r="O1449" s="134">
        <v>1707</v>
      </c>
      <c r="P1449" s="132" t="s">
        <v>151</v>
      </c>
      <c r="Q1449" s="132" t="s">
        <v>297</v>
      </c>
      <c r="R1449" s="132" t="s">
        <v>267</v>
      </c>
      <c r="S1449" s="133">
        <v>41984</v>
      </c>
      <c r="T1449" s="134">
        <v>512.6</v>
      </c>
      <c r="U1449" s="132" t="s">
        <v>154</v>
      </c>
      <c r="V1449" s="132" t="s">
        <v>193</v>
      </c>
      <c r="W1449" s="132" t="s">
        <v>153</v>
      </c>
      <c r="X1449" s="133">
        <v>41955</v>
      </c>
      <c r="Y1449" s="134">
        <v>1076</v>
      </c>
    </row>
    <row r="1450" spans="1:25" ht="30" x14ac:dyDescent="0.25">
      <c r="A1450" s="92" t="s">
        <v>148</v>
      </c>
      <c r="B1450" s="12" t="s">
        <v>271</v>
      </c>
      <c r="C1450" s="12" t="s">
        <v>174</v>
      </c>
      <c r="D1450" s="80">
        <v>41670</v>
      </c>
      <c r="E1450" s="81">
        <v>620</v>
      </c>
      <c r="F1450" s="76" t="s">
        <v>150</v>
      </c>
      <c r="G1450" s="77" t="s">
        <v>184</v>
      </c>
      <c r="H1450" s="77" t="s">
        <v>153</v>
      </c>
      <c r="I1450" s="86">
        <v>41733</v>
      </c>
      <c r="J1450" s="78">
        <v>807</v>
      </c>
      <c r="K1450" s="132" t="s">
        <v>20</v>
      </c>
      <c r="L1450" s="132" t="s">
        <v>324</v>
      </c>
      <c r="M1450" s="132" t="s">
        <v>321</v>
      </c>
      <c r="N1450" s="133">
        <v>41801</v>
      </c>
      <c r="O1450" s="134">
        <v>1209</v>
      </c>
      <c r="P1450" s="132" t="s">
        <v>151</v>
      </c>
      <c r="Q1450" s="132" t="s">
        <v>298</v>
      </c>
      <c r="R1450" s="132" t="s">
        <v>267</v>
      </c>
      <c r="S1450" s="133">
        <v>41654</v>
      </c>
      <c r="T1450" s="134">
        <v>388.4</v>
      </c>
      <c r="U1450" s="132" t="s">
        <v>154</v>
      </c>
      <c r="V1450" s="132" t="s">
        <v>193</v>
      </c>
      <c r="W1450" s="132" t="s">
        <v>153</v>
      </c>
      <c r="X1450" s="133">
        <v>41956</v>
      </c>
      <c r="Y1450" s="134">
        <v>901</v>
      </c>
    </row>
    <row r="1451" spans="1:25" ht="30" x14ac:dyDescent="0.25">
      <c r="A1451" s="92" t="s">
        <v>148</v>
      </c>
      <c r="B1451" s="12" t="s">
        <v>271</v>
      </c>
      <c r="C1451" s="12" t="s">
        <v>174</v>
      </c>
      <c r="D1451" s="80">
        <v>41671</v>
      </c>
      <c r="E1451" s="81">
        <v>983</v>
      </c>
      <c r="F1451" s="76" t="s">
        <v>150</v>
      </c>
      <c r="G1451" s="77" t="s">
        <v>184</v>
      </c>
      <c r="H1451" s="77" t="s">
        <v>153</v>
      </c>
      <c r="I1451" s="86">
        <v>41737</v>
      </c>
      <c r="J1451" s="78">
        <v>831</v>
      </c>
      <c r="K1451" s="132" t="s">
        <v>20</v>
      </c>
      <c r="L1451" s="132" t="s">
        <v>324</v>
      </c>
      <c r="M1451" s="132" t="s">
        <v>321</v>
      </c>
      <c r="N1451" s="133">
        <v>41825</v>
      </c>
      <c r="O1451" s="134">
        <v>1517</v>
      </c>
      <c r="P1451" s="132" t="s">
        <v>151</v>
      </c>
      <c r="Q1451" s="132" t="s">
        <v>298</v>
      </c>
      <c r="R1451" s="132" t="s">
        <v>267</v>
      </c>
      <c r="S1451" s="133">
        <v>41655</v>
      </c>
      <c r="T1451" s="134">
        <v>437</v>
      </c>
      <c r="U1451" s="132" t="s">
        <v>154</v>
      </c>
      <c r="V1451" s="132" t="s">
        <v>193</v>
      </c>
      <c r="W1451" s="132" t="s">
        <v>153</v>
      </c>
      <c r="X1451" s="133">
        <v>41959</v>
      </c>
      <c r="Y1451" s="134">
        <v>832</v>
      </c>
    </row>
    <row r="1452" spans="1:25" ht="30" x14ac:dyDescent="0.25">
      <c r="A1452" s="92" t="s">
        <v>148</v>
      </c>
      <c r="B1452" s="12" t="s">
        <v>271</v>
      </c>
      <c r="C1452" s="12" t="s">
        <v>174</v>
      </c>
      <c r="D1452" s="80">
        <v>41673</v>
      </c>
      <c r="E1452" s="81">
        <v>1235</v>
      </c>
      <c r="F1452" s="76" t="s">
        <v>150</v>
      </c>
      <c r="G1452" s="77" t="s">
        <v>184</v>
      </c>
      <c r="H1452" s="77" t="s">
        <v>153</v>
      </c>
      <c r="I1452" s="86">
        <v>41739</v>
      </c>
      <c r="J1452" s="78">
        <v>990</v>
      </c>
      <c r="K1452" s="132" t="s">
        <v>20</v>
      </c>
      <c r="L1452" s="132" t="s">
        <v>324</v>
      </c>
      <c r="M1452" s="132" t="s">
        <v>321</v>
      </c>
      <c r="N1452" s="133">
        <v>41859</v>
      </c>
      <c r="O1452" s="134">
        <v>1570</v>
      </c>
      <c r="P1452" s="132" t="s">
        <v>151</v>
      </c>
      <c r="Q1452" s="132" t="s">
        <v>298</v>
      </c>
      <c r="R1452" s="132" t="s">
        <v>267</v>
      </c>
      <c r="S1452" s="133">
        <v>41656</v>
      </c>
      <c r="T1452" s="134">
        <v>434.4</v>
      </c>
      <c r="U1452" s="132" t="s">
        <v>154</v>
      </c>
      <c r="V1452" s="132" t="s">
        <v>193</v>
      </c>
      <c r="W1452" s="132" t="s">
        <v>153</v>
      </c>
      <c r="X1452" s="133">
        <v>41961</v>
      </c>
      <c r="Y1452" s="134">
        <v>450</v>
      </c>
    </row>
    <row r="1453" spans="1:25" ht="30" x14ac:dyDescent="0.25">
      <c r="A1453" s="92" t="s">
        <v>148</v>
      </c>
      <c r="B1453" s="12" t="s">
        <v>271</v>
      </c>
      <c r="C1453" s="12" t="s">
        <v>174</v>
      </c>
      <c r="D1453" s="80">
        <v>41674</v>
      </c>
      <c r="E1453" s="81">
        <v>1100</v>
      </c>
      <c r="F1453" s="76" t="s">
        <v>150</v>
      </c>
      <c r="G1453" s="77" t="s">
        <v>184</v>
      </c>
      <c r="H1453" s="77" t="s">
        <v>153</v>
      </c>
      <c r="I1453" s="86">
        <v>41740</v>
      </c>
      <c r="J1453" s="78">
        <v>703</v>
      </c>
      <c r="K1453" s="132" t="s">
        <v>20</v>
      </c>
      <c r="L1453" s="132" t="s">
        <v>324</v>
      </c>
      <c r="M1453" s="132" t="s">
        <v>321</v>
      </c>
      <c r="N1453" s="133">
        <v>41896</v>
      </c>
      <c r="O1453" s="134">
        <v>1744</v>
      </c>
      <c r="P1453" s="132" t="s">
        <v>151</v>
      </c>
      <c r="Q1453" s="132" t="s">
        <v>298</v>
      </c>
      <c r="R1453" s="132" t="s">
        <v>267</v>
      </c>
      <c r="S1453" s="133">
        <v>41660</v>
      </c>
      <c r="T1453" s="134">
        <v>580.79999999999995</v>
      </c>
      <c r="U1453" s="132" t="s">
        <v>154</v>
      </c>
      <c r="V1453" s="132" t="s">
        <v>193</v>
      </c>
      <c r="W1453" s="132" t="s">
        <v>153</v>
      </c>
      <c r="X1453" s="133">
        <v>41962</v>
      </c>
      <c r="Y1453" s="134">
        <v>950</v>
      </c>
    </row>
    <row r="1454" spans="1:25" ht="30" x14ac:dyDescent="0.25">
      <c r="A1454" s="92" t="s">
        <v>148</v>
      </c>
      <c r="B1454" s="12" t="s">
        <v>271</v>
      </c>
      <c r="C1454" s="12" t="s">
        <v>174</v>
      </c>
      <c r="D1454" s="80">
        <v>41675</v>
      </c>
      <c r="E1454" s="81">
        <v>900</v>
      </c>
      <c r="F1454" s="76" t="s">
        <v>150</v>
      </c>
      <c r="G1454" s="77" t="s">
        <v>184</v>
      </c>
      <c r="H1454" s="77" t="s">
        <v>153</v>
      </c>
      <c r="I1454" s="86">
        <v>41742</v>
      </c>
      <c r="J1454" s="78">
        <v>668</v>
      </c>
      <c r="K1454" s="132" t="s">
        <v>20</v>
      </c>
      <c r="L1454" s="132" t="s">
        <v>324</v>
      </c>
      <c r="M1454" s="132" t="s">
        <v>321</v>
      </c>
      <c r="N1454" s="133">
        <v>41928</v>
      </c>
      <c r="O1454" s="134">
        <v>1495</v>
      </c>
      <c r="P1454" s="132" t="s">
        <v>151</v>
      </c>
      <c r="Q1454" s="132" t="s">
        <v>298</v>
      </c>
      <c r="R1454" s="132" t="s">
        <v>267</v>
      </c>
      <c r="S1454" s="133">
        <v>41661</v>
      </c>
      <c r="T1454" s="134">
        <v>893.3</v>
      </c>
      <c r="U1454" s="132" t="s">
        <v>154</v>
      </c>
      <c r="V1454" s="132" t="s">
        <v>193</v>
      </c>
      <c r="W1454" s="132" t="s">
        <v>153</v>
      </c>
      <c r="X1454" s="133">
        <v>41963</v>
      </c>
      <c r="Y1454" s="134">
        <v>960</v>
      </c>
    </row>
    <row r="1455" spans="1:25" ht="30" x14ac:dyDescent="0.25">
      <c r="A1455" s="92" t="s">
        <v>148</v>
      </c>
      <c r="B1455" s="12" t="s">
        <v>271</v>
      </c>
      <c r="C1455" s="12" t="s">
        <v>174</v>
      </c>
      <c r="D1455" s="80">
        <v>41676</v>
      </c>
      <c r="E1455" s="81">
        <v>580</v>
      </c>
      <c r="F1455" s="76" t="s">
        <v>150</v>
      </c>
      <c r="G1455" s="77" t="s">
        <v>184</v>
      </c>
      <c r="H1455" s="77" t="s">
        <v>153</v>
      </c>
      <c r="I1455" s="86">
        <v>41744</v>
      </c>
      <c r="J1455" s="78">
        <v>1368</v>
      </c>
      <c r="K1455" s="132" t="s">
        <v>20</v>
      </c>
      <c r="L1455" s="132" t="s">
        <v>324</v>
      </c>
      <c r="M1455" s="132" t="s">
        <v>321</v>
      </c>
      <c r="N1455" s="133">
        <v>41985</v>
      </c>
      <c r="O1455" s="134">
        <v>1816</v>
      </c>
      <c r="P1455" s="132" t="s">
        <v>151</v>
      </c>
      <c r="Q1455" s="132" t="s">
        <v>298</v>
      </c>
      <c r="R1455" s="132" t="s">
        <v>267</v>
      </c>
      <c r="S1455" s="133">
        <v>41662</v>
      </c>
      <c r="T1455" s="134">
        <v>591.29999999999995</v>
      </c>
      <c r="U1455" s="132" t="s">
        <v>154</v>
      </c>
      <c r="V1455" s="132" t="s">
        <v>193</v>
      </c>
      <c r="W1455" s="132" t="s">
        <v>153</v>
      </c>
      <c r="X1455" s="133">
        <v>41964</v>
      </c>
      <c r="Y1455" s="134">
        <v>961</v>
      </c>
    </row>
    <row r="1456" spans="1:25" ht="30" x14ac:dyDescent="0.25">
      <c r="A1456" s="92" t="s">
        <v>148</v>
      </c>
      <c r="B1456" s="12" t="s">
        <v>271</v>
      </c>
      <c r="C1456" s="12" t="s">
        <v>174</v>
      </c>
      <c r="D1456" s="80">
        <v>41677</v>
      </c>
      <c r="E1456" s="81">
        <v>1154</v>
      </c>
      <c r="F1456" s="76" t="s">
        <v>150</v>
      </c>
      <c r="G1456" s="77" t="s">
        <v>184</v>
      </c>
      <c r="H1456" s="77" t="s">
        <v>153</v>
      </c>
      <c r="I1456" s="86">
        <v>41778</v>
      </c>
      <c r="J1456" s="78">
        <v>727</v>
      </c>
      <c r="K1456" s="132" t="s">
        <v>20</v>
      </c>
      <c r="L1456" s="132" t="s">
        <v>324</v>
      </c>
      <c r="M1456" s="132" t="s">
        <v>321</v>
      </c>
      <c r="N1456" s="133">
        <v>41989</v>
      </c>
      <c r="O1456" s="134">
        <v>579</v>
      </c>
      <c r="P1456" s="132" t="s">
        <v>151</v>
      </c>
      <c r="Q1456" s="132" t="s">
        <v>298</v>
      </c>
      <c r="R1456" s="132" t="s">
        <v>267</v>
      </c>
      <c r="S1456" s="133">
        <v>41814</v>
      </c>
      <c r="T1456" s="134">
        <v>813.6</v>
      </c>
      <c r="U1456" s="132" t="s">
        <v>154</v>
      </c>
      <c r="V1456" s="132" t="s">
        <v>193</v>
      </c>
      <c r="W1456" s="132" t="s">
        <v>153</v>
      </c>
      <c r="X1456" s="133">
        <v>41966</v>
      </c>
      <c r="Y1456" s="134">
        <v>710</v>
      </c>
    </row>
    <row r="1457" spans="1:25" ht="30" x14ac:dyDescent="0.25">
      <c r="A1457" s="92" t="s">
        <v>148</v>
      </c>
      <c r="B1457" s="12" t="s">
        <v>272</v>
      </c>
      <c r="C1457" s="12" t="s">
        <v>163</v>
      </c>
      <c r="D1457" s="80">
        <v>41705</v>
      </c>
      <c r="E1457" s="81">
        <v>399</v>
      </c>
      <c r="F1457" s="76" t="s">
        <v>150</v>
      </c>
      <c r="G1457" s="77" t="s">
        <v>184</v>
      </c>
      <c r="H1457" s="77" t="s">
        <v>153</v>
      </c>
      <c r="I1457" s="86">
        <v>41780</v>
      </c>
      <c r="J1457" s="78">
        <v>1111</v>
      </c>
      <c r="K1457" s="132" t="s">
        <v>20</v>
      </c>
      <c r="L1457" s="132" t="s">
        <v>325</v>
      </c>
      <c r="M1457" s="132" t="s">
        <v>321</v>
      </c>
      <c r="N1457" s="133">
        <v>41656</v>
      </c>
      <c r="O1457" s="134">
        <v>1705</v>
      </c>
      <c r="P1457" s="132" t="s">
        <v>151</v>
      </c>
      <c r="Q1457" s="132" t="s">
        <v>298</v>
      </c>
      <c r="R1457" s="132" t="s">
        <v>267</v>
      </c>
      <c r="S1457" s="133">
        <v>41815</v>
      </c>
      <c r="T1457" s="134">
        <v>632.79999999999995</v>
      </c>
      <c r="U1457" s="132" t="s">
        <v>154</v>
      </c>
      <c r="V1457" s="132" t="s">
        <v>193</v>
      </c>
      <c r="W1457" s="132" t="s">
        <v>153</v>
      </c>
      <c r="X1457" s="133">
        <v>41976</v>
      </c>
      <c r="Y1457" s="134">
        <v>165</v>
      </c>
    </row>
    <row r="1458" spans="1:25" ht="30" x14ac:dyDescent="0.25">
      <c r="A1458" s="92" t="s">
        <v>148</v>
      </c>
      <c r="B1458" s="12" t="s">
        <v>233</v>
      </c>
      <c r="C1458" s="12" t="s">
        <v>234</v>
      </c>
      <c r="D1458" s="80">
        <v>41975</v>
      </c>
      <c r="E1458" s="81">
        <v>1200</v>
      </c>
      <c r="F1458" s="76" t="s">
        <v>150</v>
      </c>
      <c r="G1458" s="77" t="s">
        <v>184</v>
      </c>
      <c r="H1458" s="77" t="s">
        <v>153</v>
      </c>
      <c r="I1458" s="86">
        <v>41789</v>
      </c>
      <c r="J1458" s="78">
        <v>785</v>
      </c>
      <c r="K1458" s="132" t="s">
        <v>20</v>
      </c>
      <c r="L1458" s="132" t="s">
        <v>325</v>
      </c>
      <c r="M1458" s="132" t="s">
        <v>321</v>
      </c>
      <c r="N1458" s="133">
        <v>41688</v>
      </c>
      <c r="O1458" s="134">
        <v>1748</v>
      </c>
      <c r="P1458" s="132" t="s">
        <v>151</v>
      </c>
      <c r="Q1458" s="132" t="s">
        <v>298</v>
      </c>
      <c r="R1458" s="132" t="s">
        <v>267</v>
      </c>
      <c r="S1458" s="133">
        <v>41816</v>
      </c>
      <c r="T1458" s="134">
        <v>600.29999999999995</v>
      </c>
      <c r="U1458" s="132" t="s">
        <v>154</v>
      </c>
      <c r="V1458" s="132" t="s">
        <v>193</v>
      </c>
      <c r="W1458" s="132" t="s">
        <v>153</v>
      </c>
      <c r="X1458" s="133">
        <v>41977</v>
      </c>
      <c r="Y1458" s="134">
        <v>552</v>
      </c>
    </row>
    <row r="1459" spans="1:25" ht="30" x14ac:dyDescent="0.25">
      <c r="A1459" s="92" t="s">
        <v>148</v>
      </c>
      <c r="B1459" s="12" t="s">
        <v>235</v>
      </c>
      <c r="C1459" s="12" t="s">
        <v>234</v>
      </c>
      <c r="D1459" s="80">
        <v>41643</v>
      </c>
      <c r="E1459" s="81">
        <v>759</v>
      </c>
      <c r="F1459" s="76" t="s">
        <v>150</v>
      </c>
      <c r="G1459" s="77" t="s">
        <v>184</v>
      </c>
      <c r="H1459" s="77" t="s">
        <v>153</v>
      </c>
      <c r="I1459" s="86">
        <v>41799</v>
      </c>
      <c r="J1459" s="78">
        <v>1552</v>
      </c>
      <c r="K1459" s="132" t="s">
        <v>20</v>
      </c>
      <c r="L1459" s="132" t="s">
        <v>325</v>
      </c>
      <c r="M1459" s="132" t="s">
        <v>321</v>
      </c>
      <c r="N1459" s="133">
        <v>41720</v>
      </c>
      <c r="O1459" s="134">
        <v>1332</v>
      </c>
      <c r="P1459" s="132" t="s">
        <v>151</v>
      </c>
      <c r="Q1459" s="132" t="s">
        <v>298</v>
      </c>
      <c r="R1459" s="132" t="s">
        <v>267</v>
      </c>
      <c r="S1459" s="133">
        <v>41817</v>
      </c>
      <c r="T1459" s="134">
        <v>986.7</v>
      </c>
      <c r="U1459" s="132" t="s">
        <v>154</v>
      </c>
      <c r="V1459" s="132" t="s">
        <v>193</v>
      </c>
      <c r="W1459" s="132" t="s">
        <v>153</v>
      </c>
      <c r="X1459" s="133">
        <v>41978</v>
      </c>
      <c r="Y1459" s="134">
        <v>991</v>
      </c>
    </row>
    <row r="1460" spans="1:25" ht="30" x14ac:dyDescent="0.25">
      <c r="A1460" s="92" t="s">
        <v>148</v>
      </c>
      <c r="B1460" s="12" t="s">
        <v>236</v>
      </c>
      <c r="C1460" s="12" t="s">
        <v>234</v>
      </c>
      <c r="D1460" s="80">
        <v>41811</v>
      </c>
      <c r="E1460" s="81">
        <v>700</v>
      </c>
      <c r="F1460" s="76" t="s">
        <v>150</v>
      </c>
      <c r="G1460" s="77" t="s">
        <v>184</v>
      </c>
      <c r="H1460" s="77" t="s">
        <v>153</v>
      </c>
      <c r="I1460" s="86">
        <v>41817</v>
      </c>
      <c r="J1460" s="78">
        <v>920</v>
      </c>
      <c r="K1460" s="132" t="s">
        <v>20</v>
      </c>
      <c r="L1460" s="132" t="s">
        <v>325</v>
      </c>
      <c r="M1460" s="132" t="s">
        <v>321</v>
      </c>
      <c r="N1460" s="133">
        <v>41752</v>
      </c>
      <c r="O1460" s="134">
        <v>819</v>
      </c>
      <c r="P1460" s="132" t="s">
        <v>151</v>
      </c>
      <c r="Q1460" s="132" t="s">
        <v>298</v>
      </c>
      <c r="R1460" s="132" t="s">
        <v>267</v>
      </c>
      <c r="S1460" s="133">
        <v>41845</v>
      </c>
      <c r="T1460" s="134">
        <v>399</v>
      </c>
      <c r="U1460" s="132" t="s">
        <v>154</v>
      </c>
      <c r="V1460" s="132" t="s">
        <v>167</v>
      </c>
      <c r="W1460" s="132" t="s">
        <v>153</v>
      </c>
      <c r="X1460" s="133">
        <v>41772</v>
      </c>
      <c r="Y1460" s="134">
        <v>544</v>
      </c>
    </row>
    <row r="1461" spans="1:25" ht="30" x14ac:dyDescent="0.25">
      <c r="A1461" s="92" t="s">
        <v>148</v>
      </c>
      <c r="B1461" s="12" t="s">
        <v>236</v>
      </c>
      <c r="C1461" s="12" t="s">
        <v>234</v>
      </c>
      <c r="D1461" s="80">
        <v>41812</v>
      </c>
      <c r="E1461" s="81">
        <v>800</v>
      </c>
      <c r="F1461" s="76" t="s">
        <v>150</v>
      </c>
      <c r="G1461" s="77" t="s">
        <v>184</v>
      </c>
      <c r="H1461" s="77" t="s">
        <v>153</v>
      </c>
      <c r="I1461" s="86">
        <v>41819</v>
      </c>
      <c r="J1461" s="78">
        <v>198</v>
      </c>
      <c r="K1461" s="132" t="s">
        <v>20</v>
      </c>
      <c r="L1461" s="132" t="s">
        <v>325</v>
      </c>
      <c r="M1461" s="132" t="s">
        <v>321</v>
      </c>
      <c r="N1461" s="133">
        <v>41782</v>
      </c>
      <c r="O1461" s="134">
        <v>1402</v>
      </c>
      <c r="P1461" s="132" t="s">
        <v>151</v>
      </c>
      <c r="Q1461" s="132" t="s">
        <v>298</v>
      </c>
      <c r="R1461" s="132" t="s">
        <v>267</v>
      </c>
      <c r="S1461" s="133">
        <v>41855</v>
      </c>
      <c r="T1461" s="134">
        <v>835.3</v>
      </c>
      <c r="U1461" s="132" t="s">
        <v>154</v>
      </c>
      <c r="V1461" s="132" t="s">
        <v>167</v>
      </c>
      <c r="W1461" s="132" t="s">
        <v>153</v>
      </c>
      <c r="X1461" s="133">
        <v>41773</v>
      </c>
      <c r="Y1461" s="134">
        <v>995</v>
      </c>
    </row>
    <row r="1462" spans="1:25" ht="30" x14ac:dyDescent="0.25">
      <c r="A1462" s="92" t="s">
        <v>148</v>
      </c>
      <c r="B1462" s="12" t="s">
        <v>236</v>
      </c>
      <c r="C1462" s="12" t="s">
        <v>234</v>
      </c>
      <c r="D1462" s="80">
        <v>41813</v>
      </c>
      <c r="E1462" s="81">
        <v>650</v>
      </c>
      <c r="F1462" s="76" t="s">
        <v>150</v>
      </c>
      <c r="G1462" s="77" t="s">
        <v>184</v>
      </c>
      <c r="H1462" s="77" t="s">
        <v>153</v>
      </c>
      <c r="I1462" s="86">
        <v>41832</v>
      </c>
      <c r="J1462" s="78">
        <v>1103</v>
      </c>
      <c r="K1462" s="132" t="s">
        <v>20</v>
      </c>
      <c r="L1462" s="132" t="s">
        <v>325</v>
      </c>
      <c r="M1462" s="132" t="s">
        <v>321</v>
      </c>
      <c r="N1462" s="133">
        <v>41824</v>
      </c>
      <c r="O1462" s="134">
        <v>1656</v>
      </c>
      <c r="P1462" s="132" t="s">
        <v>151</v>
      </c>
      <c r="Q1462" s="132" t="s">
        <v>298</v>
      </c>
      <c r="R1462" s="132" t="s">
        <v>267</v>
      </c>
      <c r="S1462" s="133">
        <v>41885</v>
      </c>
      <c r="T1462" s="134">
        <v>1251.4000000000001</v>
      </c>
      <c r="U1462" s="132" t="s">
        <v>154</v>
      </c>
      <c r="V1462" s="132" t="s">
        <v>167</v>
      </c>
      <c r="W1462" s="132" t="s">
        <v>153</v>
      </c>
      <c r="X1462" s="133">
        <v>41774</v>
      </c>
      <c r="Y1462" s="134">
        <v>761</v>
      </c>
    </row>
    <row r="1463" spans="1:25" ht="30" x14ac:dyDescent="0.25">
      <c r="A1463" s="92" t="s">
        <v>148</v>
      </c>
      <c r="B1463" s="12" t="s">
        <v>236</v>
      </c>
      <c r="C1463" s="12" t="s">
        <v>234</v>
      </c>
      <c r="D1463" s="80">
        <v>41814</v>
      </c>
      <c r="E1463" s="81">
        <v>610</v>
      </c>
      <c r="F1463" s="76" t="s">
        <v>150</v>
      </c>
      <c r="G1463" s="77" t="s">
        <v>184</v>
      </c>
      <c r="H1463" s="77" t="s">
        <v>153</v>
      </c>
      <c r="I1463" s="86">
        <v>41834</v>
      </c>
      <c r="J1463" s="78">
        <v>1237</v>
      </c>
      <c r="K1463" s="132" t="s">
        <v>20</v>
      </c>
      <c r="L1463" s="132" t="s">
        <v>325</v>
      </c>
      <c r="M1463" s="132" t="s">
        <v>321</v>
      </c>
      <c r="N1463" s="133">
        <v>41871</v>
      </c>
      <c r="O1463" s="134">
        <v>1695</v>
      </c>
      <c r="P1463" s="132" t="s">
        <v>151</v>
      </c>
      <c r="Q1463" s="132" t="s">
        <v>298</v>
      </c>
      <c r="R1463" s="132" t="s">
        <v>267</v>
      </c>
      <c r="S1463" s="133">
        <v>41886</v>
      </c>
      <c r="T1463" s="134">
        <v>494.3</v>
      </c>
      <c r="U1463" s="132" t="s">
        <v>154</v>
      </c>
      <c r="V1463" s="132" t="s">
        <v>167</v>
      </c>
      <c r="W1463" s="132" t="s">
        <v>153</v>
      </c>
      <c r="X1463" s="133">
        <v>41775</v>
      </c>
      <c r="Y1463" s="134">
        <v>901</v>
      </c>
    </row>
    <row r="1464" spans="1:25" ht="30" x14ac:dyDescent="0.25">
      <c r="A1464" s="92"/>
      <c r="B1464" s="12"/>
      <c r="C1464" s="12"/>
      <c r="D1464" s="80" t="s">
        <v>273</v>
      </c>
      <c r="E1464" s="81">
        <f>SUM(E4:E1456)</f>
        <v>1223918</v>
      </c>
      <c r="F1464" s="76" t="s">
        <v>150</v>
      </c>
      <c r="G1464" s="77" t="s">
        <v>184</v>
      </c>
      <c r="H1464" s="77" t="s">
        <v>153</v>
      </c>
      <c r="I1464" s="86">
        <v>41836</v>
      </c>
      <c r="J1464" s="78">
        <v>1135</v>
      </c>
      <c r="K1464" s="132" t="s">
        <v>20</v>
      </c>
      <c r="L1464" s="132" t="s">
        <v>325</v>
      </c>
      <c r="M1464" s="132" t="s">
        <v>321</v>
      </c>
      <c r="N1464" s="133">
        <v>41901</v>
      </c>
      <c r="O1464" s="134">
        <v>1150</v>
      </c>
      <c r="P1464" s="132" t="s">
        <v>151</v>
      </c>
      <c r="Q1464" s="132" t="s">
        <v>298</v>
      </c>
      <c r="R1464" s="132" t="s">
        <v>267</v>
      </c>
      <c r="S1464" s="133">
        <v>41887</v>
      </c>
      <c r="T1464" s="134">
        <v>488</v>
      </c>
      <c r="U1464" s="132" t="s">
        <v>154</v>
      </c>
      <c r="V1464" s="132" t="s">
        <v>167</v>
      </c>
      <c r="W1464" s="132" t="s">
        <v>153</v>
      </c>
      <c r="X1464" s="133">
        <v>41776</v>
      </c>
      <c r="Y1464" s="134">
        <v>414</v>
      </c>
    </row>
    <row r="1465" spans="1:25" ht="30" x14ac:dyDescent="0.25">
      <c r="A1465" s="92"/>
      <c r="B1465" s="12"/>
      <c r="C1465" s="12"/>
      <c r="D1465" s="80" t="s">
        <v>274</v>
      </c>
      <c r="E1465" s="81">
        <f>SUM(E1458:E1463)</f>
        <v>4719</v>
      </c>
      <c r="F1465" s="76" t="s">
        <v>150</v>
      </c>
      <c r="G1465" s="77" t="s">
        <v>184</v>
      </c>
      <c r="H1465" s="77" t="s">
        <v>153</v>
      </c>
      <c r="I1465" s="86">
        <v>41836</v>
      </c>
      <c r="J1465" s="78">
        <v>1206</v>
      </c>
      <c r="K1465" s="132" t="s">
        <v>20</v>
      </c>
      <c r="L1465" s="132" t="s">
        <v>325</v>
      </c>
      <c r="M1465" s="132" t="s">
        <v>321</v>
      </c>
      <c r="N1465" s="133">
        <v>41927</v>
      </c>
      <c r="O1465" s="134">
        <v>1221</v>
      </c>
      <c r="P1465" s="132" t="s">
        <v>151</v>
      </c>
      <c r="Q1465" s="132" t="s">
        <v>298</v>
      </c>
      <c r="R1465" s="132" t="s">
        <v>267</v>
      </c>
      <c r="S1465" s="133">
        <v>41890</v>
      </c>
      <c r="T1465" s="134">
        <v>1096.3</v>
      </c>
      <c r="U1465" s="132" t="s">
        <v>154</v>
      </c>
      <c r="V1465" s="132" t="s">
        <v>167</v>
      </c>
      <c r="W1465" s="132" t="s">
        <v>153</v>
      </c>
      <c r="X1465" s="133">
        <v>41777</v>
      </c>
      <c r="Y1465" s="134">
        <v>550</v>
      </c>
    </row>
    <row r="1466" spans="1:25" ht="30" x14ac:dyDescent="0.25">
      <c r="A1466" s="115"/>
      <c r="B1466" s="115"/>
      <c r="C1466" s="115"/>
      <c r="D1466" s="116"/>
      <c r="E1466" s="117"/>
      <c r="F1466" s="114" t="s">
        <v>150</v>
      </c>
      <c r="G1466" s="77" t="s">
        <v>184</v>
      </c>
      <c r="H1466" s="77" t="s">
        <v>153</v>
      </c>
      <c r="I1466" s="86">
        <v>41838</v>
      </c>
      <c r="J1466" s="78">
        <v>1140</v>
      </c>
      <c r="K1466" s="132" t="s">
        <v>20</v>
      </c>
      <c r="L1466" s="132" t="s">
        <v>325</v>
      </c>
      <c r="M1466" s="132" t="s">
        <v>321</v>
      </c>
      <c r="N1466" s="133">
        <v>41964</v>
      </c>
      <c r="O1466" s="134">
        <v>1360</v>
      </c>
      <c r="P1466" s="132" t="s">
        <v>151</v>
      </c>
      <c r="Q1466" s="132" t="s">
        <v>298</v>
      </c>
      <c r="R1466" s="132" t="s">
        <v>267</v>
      </c>
      <c r="S1466" s="133">
        <v>41891</v>
      </c>
      <c r="T1466" s="134">
        <v>848.4</v>
      </c>
      <c r="U1466" s="132" t="s">
        <v>154</v>
      </c>
      <c r="V1466" s="132" t="s">
        <v>167</v>
      </c>
      <c r="W1466" s="132" t="s">
        <v>153</v>
      </c>
      <c r="X1466" s="133">
        <v>41778</v>
      </c>
      <c r="Y1466" s="134">
        <v>910</v>
      </c>
    </row>
    <row r="1467" spans="1:25" ht="30" x14ac:dyDescent="0.25">
      <c r="A1467" s="6"/>
      <c r="B1467" s="6"/>
      <c r="C1467" s="6"/>
      <c r="D1467" s="118"/>
      <c r="E1467" s="119"/>
      <c r="F1467" s="114" t="s">
        <v>150</v>
      </c>
      <c r="G1467" s="77" t="s">
        <v>184</v>
      </c>
      <c r="H1467" s="77" t="s">
        <v>153</v>
      </c>
      <c r="I1467" s="86">
        <v>41838</v>
      </c>
      <c r="J1467" s="78">
        <v>1110</v>
      </c>
      <c r="K1467" s="132" t="s">
        <v>20</v>
      </c>
      <c r="L1467" s="132" t="s">
        <v>325</v>
      </c>
      <c r="M1467" s="132" t="s">
        <v>321</v>
      </c>
      <c r="N1467" s="133">
        <v>41994</v>
      </c>
      <c r="O1467" s="134">
        <v>1050</v>
      </c>
      <c r="P1467" s="132" t="s">
        <v>151</v>
      </c>
      <c r="Q1467" s="132" t="s">
        <v>298</v>
      </c>
      <c r="R1467" s="132" t="s">
        <v>267</v>
      </c>
      <c r="S1467" s="133">
        <v>41908</v>
      </c>
      <c r="T1467" s="134">
        <v>362.8</v>
      </c>
      <c r="U1467" s="132" t="s">
        <v>154</v>
      </c>
      <c r="V1467" s="132" t="s">
        <v>167</v>
      </c>
      <c r="W1467" s="132" t="s">
        <v>153</v>
      </c>
      <c r="X1467" s="133">
        <v>41779</v>
      </c>
      <c r="Y1467" s="134">
        <v>969</v>
      </c>
    </row>
    <row r="1468" spans="1:25" ht="30" x14ac:dyDescent="0.25">
      <c r="A1468" s="6"/>
      <c r="B1468" s="6"/>
      <c r="C1468" s="6"/>
      <c r="D1468" s="118"/>
      <c r="E1468" s="119"/>
      <c r="F1468" s="114" t="s">
        <v>150</v>
      </c>
      <c r="G1468" s="77" t="s">
        <v>184</v>
      </c>
      <c r="H1468" s="77" t="s">
        <v>153</v>
      </c>
      <c r="I1468" s="86">
        <v>41839</v>
      </c>
      <c r="J1468" s="78">
        <v>1193</v>
      </c>
      <c r="K1468" s="132" t="s">
        <v>20</v>
      </c>
      <c r="L1468" s="132" t="s">
        <v>320</v>
      </c>
      <c r="M1468" s="132" t="s">
        <v>321</v>
      </c>
      <c r="N1468" s="133">
        <v>41663</v>
      </c>
      <c r="O1468" s="134">
        <v>1557</v>
      </c>
      <c r="P1468" s="132" t="s">
        <v>151</v>
      </c>
      <c r="Q1468" s="132" t="s">
        <v>298</v>
      </c>
      <c r="R1468" s="132" t="s">
        <v>267</v>
      </c>
      <c r="S1468" s="133">
        <v>41911</v>
      </c>
      <c r="T1468" s="134">
        <v>582.1</v>
      </c>
      <c r="U1468" s="132" t="s">
        <v>154</v>
      </c>
      <c r="V1468" s="132" t="s">
        <v>168</v>
      </c>
      <c r="W1468" s="132" t="s">
        <v>153</v>
      </c>
      <c r="X1468" s="133">
        <v>41635</v>
      </c>
      <c r="Y1468" s="134">
        <v>880</v>
      </c>
    </row>
    <row r="1469" spans="1:25" ht="30" x14ac:dyDescent="0.25">
      <c r="A1469" s="6"/>
      <c r="B1469" s="6"/>
      <c r="C1469" s="6"/>
      <c r="D1469" s="118"/>
      <c r="E1469" s="119"/>
      <c r="F1469" s="114" t="s">
        <v>150</v>
      </c>
      <c r="G1469" s="77" t="s">
        <v>184</v>
      </c>
      <c r="H1469" s="77" t="s">
        <v>153</v>
      </c>
      <c r="I1469" s="86">
        <v>41840</v>
      </c>
      <c r="J1469" s="78">
        <v>1109</v>
      </c>
      <c r="K1469" s="132" t="s">
        <v>20</v>
      </c>
      <c r="L1469" s="132" t="s">
        <v>320</v>
      </c>
      <c r="M1469" s="132" t="s">
        <v>321</v>
      </c>
      <c r="N1469" s="133">
        <v>41691</v>
      </c>
      <c r="O1469" s="134">
        <v>1698</v>
      </c>
      <c r="P1469" s="132" t="s">
        <v>151</v>
      </c>
      <c r="Q1469" s="132" t="s">
        <v>298</v>
      </c>
      <c r="R1469" s="132" t="s">
        <v>267</v>
      </c>
      <c r="S1469" s="133">
        <v>41911</v>
      </c>
      <c r="T1469" s="134">
        <v>647.29999999999995</v>
      </c>
      <c r="U1469" s="132" t="s">
        <v>154</v>
      </c>
      <c r="V1469" s="132" t="s">
        <v>168</v>
      </c>
      <c r="W1469" s="132" t="s">
        <v>153</v>
      </c>
      <c r="X1469" s="133">
        <v>41663</v>
      </c>
      <c r="Y1469" s="134">
        <v>386</v>
      </c>
    </row>
    <row r="1470" spans="1:25" ht="30" x14ac:dyDescent="0.25">
      <c r="A1470" s="6"/>
      <c r="B1470" s="6"/>
      <c r="C1470" s="6"/>
      <c r="D1470" s="118"/>
      <c r="E1470" s="119"/>
      <c r="F1470" s="114" t="s">
        <v>150</v>
      </c>
      <c r="G1470" s="77" t="s">
        <v>184</v>
      </c>
      <c r="H1470" s="77" t="s">
        <v>153</v>
      </c>
      <c r="I1470" s="86">
        <v>41842</v>
      </c>
      <c r="J1470" s="78">
        <v>1268</v>
      </c>
      <c r="K1470" s="132" t="s">
        <v>20</v>
      </c>
      <c r="L1470" s="132" t="s">
        <v>320</v>
      </c>
      <c r="M1470" s="132" t="s">
        <v>321</v>
      </c>
      <c r="N1470" s="133">
        <v>41706</v>
      </c>
      <c r="O1470" s="134">
        <v>643</v>
      </c>
      <c r="P1470" s="132" t="s">
        <v>151</v>
      </c>
      <c r="Q1470" s="132" t="s">
        <v>298</v>
      </c>
      <c r="R1470" s="132" t="s">
        <v>267</v>
      </c>
      <c r="S1470" s="133">
        <v>41944</v>
      </c>
      <c r="T1470" s="134">
        <v>413.3</v>
      </c>
      <c r="U1470" s="132" t="s">
        <v>154</v>
      </c>
      <c r="V1470" s="132" t="s">
        <v>168</v>
      </c>
      <c r="W1470" s="132" t="s">
        <v>153</v>
      </c>
      <c r="X1470" s="133">
        <v>41664</v>
      </c>
      <c r="Y1470" s="134">
        <v>536</v>
      </c>
    </row>
    <row r="1471" spans="1:25" ht="30" x14ac:dyDescent="0.25">
      <c r="A1471" s="6"/>
      <c r="B1471" s="6"/>
      <c r="C1471" s="6"/>
      <c r="D1471" s="118"/>
      <c r="E1471" s="119"/>
      <c r="F1471" s="114" t="s">
        <v>150</v>
      </c>
      <c r="G1471" s="77" t="s">
        <v>184</v>
      </c>
      <c r="H1471" s="77" t="s">
        <v>153</v>
      </c>
      <c r="I1471" s="86">
        <v>41904</v>
      </c>
      <c r="J1471" s="78">
        <v>1021</v>
      </c>
      <c r="K1471" s="132" t="s">
        <v>20</v>
      </c>
      <c r="L1471" s="132" t="s">
        <v>320</v>
      </c>
      <c r="M1471" s="132" t="s">
        <v>321</v>
      </c>
      <c r="N1471" s="133">
        <v>41782</v>
      </c>
      <c r="O1471" s="134">
        <v>1335</v>
      </c>
      <c r="P1471" s="132" t="s">
        <v>151</v>
      </c>
      <c r="Q1471" s="132" t="s">
        <v>298</v>
      </c>
      <c r="R1471" s="132" t="s">
        <v>267</v>
      </c>
      <c r="S1471" s="133">
        <v>41945</v>
      </c>
      <c r="T1471" s="134">
        <v>609.79999999999995</v>
      </c>
      <c r="U1471" s="132" t="s">
        <v>154</v>
      </c>
      <c r="V1471" s="132" t="s">
        <v>168</v>
      </c>
      <c r="W1471" s="132" t="s">
        <v>153</v>
      </c>
      <c r="X1471" s="133">
        <v>41836</v>
      </c>
      <c r="Y1471" s="134">
        <v>350</v>
      </c>
    </row>
    <row r="1472" spans="1:25" ht="30" x14ac:dyDescent="0.25">
      <c r="A1472" s="6"/>
      <c r="B1472" s="6"/>
      <c r="C1472" s="6"/>
      <c r="D1472" s="118"/>
      <c r="E1472" s="119"/>
      <c r="F1472" s="114" t="s">
        <v>150</v>
      </c>
      <c r="G1472" s="77" t="s">
        <v>184</v>
      </c>
      <c r="H1472" s="77" t="s">
        <v>153</v>
      </c>
      <c r="I1472" s="86">
        <v>41905</v>
      </c>
      <c r="J1472" s="78">
        <v>979</v>
      </c>
      <c r="K1472" s="132" t="s">
        <v>20</v>
      </c>
      <c r="L1472" s="132" t="s">
        <v>322</v>
      </c>
      <c r="M1472" s="132" t="s">
        <v>321</v>
      </c>
      <c r="N1472" s="133">
        <v>41641</v>
      </c>
      <c r="O1472" s="134">
        <v>1324</v>
      </c>
      <c r="P1472" s="132" t="s">
        <v>151</v>
      </c>
      <c r="Q1472" s="132" t="s">
        <v>298</v>
      </c>
      <c r="R1472" s="132" t="s">
        <v>267</v>
      </c>
      <c r="S1472" s="133">
        <v>41946</v>
      </c>
      <c r="T1472" s="134">
        <v>458</v>
      </c>
      <c r="U1472" s="132" t="s">
        <v>154</v>
      </c>
      <c r="V1472" s="132" t="s">
        <v>194</v>
      </c>
      <c r="W1472" s="132" t="s">
        <v>153</v>
      </c>
      <c r="X1472" s="133">
        <v>41796</v>
      </c>
      <c r="Y1472" s="134">
        <v>323</v>
      </c>
    </row>
    <row r="1473" spans="1:25" ht="30" x14ac:dyDescent="0.25">
      <c r="A1473" s="6"/>
      <c r="B1473" s="6"/>
      <c r="C1473" s="6"/>
      <c r="D1473" s="118"/>
      <c r="E1473" s="119"/>
      <c r="F1473" s="114" t="s">
        <v>150</v>
      </c>
      <c r="G1473" s="77" t="s">
        <v>184</v>
      </c>
      <c r="H1473" s="77" t="s">
        <v>153</v>
      </c>
      <c r="I1473" s="86">
        <v>41906</v>
      </c>
      <c r="J1473" s="78">
        <v>1341</v>
      </c>
      <c r="K1473" s="132" t="s">
        <v>20</v>
      </c>
      <c r="L1473" s="132" t="s">
        <v>322</v>
      </c>
      <c r="M1473" s="132" t="s">
        <v>321</v>
      </c>
      <c r="N1473" s="133">
        <v>41706</v>
      </c>
      <c r="O1473" s="134">
        <v>1623</v>
      </c>
      <c r="P1473" s="132" t="s">
        <v>151</v>
      </c>
      <c r="Q1473" s="132" t="s">
        <v>298</v>
      </c>
      <c r="R1473" s="132" t="s">
        <v>267</v>
      </c>
      <c r="S1473" s="133">
        <v>41956</v>
      </c>
      <c r="T1473" s="134">
        <v>374</v>
      </c>
      <c r="U1473" s="132" t="s">
        <v>154</v>
      </c>
      <c r="V1473" s="132" t="s">
        <v>194</v>
      </c>
      <c r="W1473" s="132" t="s">
        <v>153</v>
      </c>
      <c r="X1473" s="133">
        <v>41800</v>
      </c>
      <c r="Y1473" s="134">
        <v>372</v>
      </c>
    </row>
    <row r="1474" spans="1:25" ht="30" x14ac:dyDescent="0.25">
      <c r="A1474" s="6"/>
      <c r="B1474" s="6"/>
      <c r="C1474" s="6"/>
      <c r="D1474" s="118"/>
      <c r="E1474" s="119"/>
      <c r="F1474" s="114" t="s">
        <v>150</v>
      </c>
      <c r="G1474" s="77" t="s">
        <v>184</v>
      </c>
      <c r="H1474" s="77" t="s">
        <v>153</v>
      </c>
      <c r="I1474" s="86">
        <v>41907</v>
      </c>
      <c r="J1474" s="78">
        <v>864</v>
      </c>
      <c r="K1474" s="132" t="s">
        <v>20</v>
      </c>
      <c r="L1474" s="132" t="s">
        <v>322</v>
      </c>
      <c r="M1474" s="132" t="s">
        <v>321</v>
      </c>
      <c r="N1474" s="133">
        <v>41757</v>
      </c>
      <c r="O1474" s="134">
        <v>1430</v>
      </c>
      <c r="P1474" s="132" t="s">
        <v>151</v>
      </c>
      <c r="Q1474" s="132" t="s">
        <v>299</v>
      </c>
      <c r="R1474" s="132" t="s">
        <v>267</v>
      </c>
      <c r="S1474" s="133">
        <v>41681</v>
      </c>
      <c r="T1474" s="134">
        <v>176.8</v>
      </c>
      <c r="U1474" s="132" t="s">
        <v>154</v>
      </c>
      <c r="V1474" s="132" t="s">
        <v>194</v>
      </c>
      <c r="W1474" s="132" t="s">
        <v>153</v>
      </c>
      <c r="X1474" s="133">
        <v>41801</v>
      </c>
      <c r="Y1474" s="134">
        <v>836</v>
      </c>
    </row>
    <row r="1475" spans="1:25" ht="30" x14ac:dyDescent="0.25">
      <c r="A1475" s="6"/>
      <c r="B1475" s="6"/>
      <c r="C1475" s="6"/>
      <c r="D1475" s="118"/>
      <c r="E1475" s="119"/>
      <c r="F1475" s="114" t="s">
        <v>150</v>
      </c>
      <c r="G1475" s="77" t="s">
        <v>184</v>
      </c>
      <c r="H1475" s="77" t="s">
        <v>153</v>
      </c>
      <c r="I1475" s="86">
        <v>41909</v>
      </c>
      <c r="J1475" s="78">
        <v>1271</v>
      </c>
      <c r="K1475" s="132" t="s">
        <v>20</v>
      </c>
      <c r="L1475" s="132" t="s">
        <v>322</v>
      </c>
      <c r="M1475" s="132" t="s">
        <v>321</v>
      </c>
      <c r="N1475" s="133">
        <v>41773</v>
      </c>
      <c r="O1475" s="134">
        <v>730</v>
      </c>
      <c r="P1475" s="132" t="s">
        <v>151</v>
      </c>
      <c r="Q1475" s="132" t="s">
        <v>299</v>
      </c>
      <c r="R1475" s="132" t="s">
        <v>267</v>
      </c>
      <c r="S1475" s="133">
        <v>41682</v>
      </c>
      <c r="T1475" s="134">
        <v>804.1</v>
      </c>
      <c r="U1475" s="132" t="s">
        <v>154</v>
      </c>
      <c r="V1475" s="132" t="s">
        <v>194</v>
      </c>
      <c r="W1475" s="132" t="s">
        <v>153</v>
      </c>
      <c r="X1475" s="133">
        <v>41802</v>
      </c>
      <c r="Y1475" s="134">
        <v>830</v>
      </c>
    </row>
    <row r="1476" spans="1:25" ht="30" x14ac:dyDescent="0.25">
      <c r="A1476" s="6"/>
      <c r="B1476" s="6"/>
      <c r="C1476" s="6"/>
      <c r="D1476" s="118"/>
      <c r="E1476" s="119"/>
      <c r="F1476" s="114" t="s">
        <v>150</v>
      </c>
      <c r="G1476" s="77" t="s">
        <v>184</v>
      </c>
      <c r="H1476" s="77" t="s">
        <v>153</v>
      </c>
      <c r="I1476" s="86">
        <v>41909</v>
      </c>
      <c r="J1476" s="78">
        <v>1124</v>
      </c>
      <c r="K1476" s="132" t="s">
        <v>20</v>
      </c>
      <c r="L1476" s="132" t="s">
        <v>322</v>
      </c>
      <c r="M1476" s="132" t="s">
        <v>321</v>
      </c>
      <c r="N1476" s="133">
        <v>41809</v>
      </c>
      <c r="O1476" s="134">
        <v>1817</v>
      </c>
      <c r="P1476" s="132" t="s">
        <v>151</v>
      </c>
      <c r="Q1476" s="132" t="s">
        <v>299</v>
      </c>
      <c r="R1476" s="132" t="s">
        <v>267</v>
      </c>
      <c r="S1476" s="133">
        <v>41684</v>
      </c>
      <c r="T1476" s="134">
        <v>953.7</v>
      </c>
      <c r="U1476" s="132" t="s">
        <v>154</v>
      </c>
      <c r="V1476" s="132" t="s">
        <v>194</v>
      </c>
      <c r="W1476" s="132" t="s">
        <v>153</v>
      </c>
      <c r="X1476" s="133">
        <v>41803</v>
      </c>
      <c r="Y1476" s="134">
        <v>860</v>
      </c>
    </row>
    <row r="1477" spans="1:25" ht="30" x14ac:dyDescent="0.25">
      <c r="A1477" s="6"/>
      <c r="B1477" s="6"/>
      <c r="C1477" s="6"/>
      <c r="D1477" s="118"/>
      <c r="E1477" s="119"/>
      <c r="F1477" s="114" t="s">
        <v>150</v>
      </c>
      <c r="G1477" s="77" t="s">
        <v>184</v>
      </c>
      <c r="H1477" s="77" t="s">
        <v>153</v>
      </c>
      <c r="I1477" s="86">
        <v>41910</v>
      </c>
      <c r="J1477" s="78">
        <v>1240</v>
      </c>
      <c r="K1477" s="132" t="s">
        <v>20</v>
      </c>
      <c r="L1477" s="132" t="s">
        <v>322</v>
      </c>
      <c r="M1477" s="132" t="s">
        <v>321</v>
      </c>
      <c r="N1477" s="133">
        <v>41846</v>
      </c>
      <c r="O1477" s="134">
        <v>1603</v>
      </c>
      <c r="P1477" s="132" t="s">
        <v>151</v>
      </c>
      <c r="Q1477" s="132" t="s">
        <v>299</v>
      </c>
      <c r="R1477" s="132" t="s">
        <v>267</v>
      </c>
      <c r="S1477" s="133">
        <v>41688</v>
      </c>
      <c r="T1477" s="134">
        <v>435.3</v>
      </c>
      <c r="U1477" s="132" t="s">
        <v>154</v>
      </c>
      <c r="V1477" s="132" t="s">
        <v>194</v>
      </c>
      <c r="W1477" s="132" t="s">
        <v>153</v>
      </c>
      <c r="X1477" s="133">
        <v>41804</v>
      </c>
      <c r="Y1477" s="134">
        <v>381</v>
      </c>
    </row>
    <row r="1478" spans="1:25" ht="30" x14ac:dyDescent="0.25">
      <c r="A1478" s="6"/>
      <c r="B1478" s="6"/>
      <c r="C1478" s="6"/>
      <c r="D1478" s="118"/>
      <c r="E1478" s="119"/>
      <c r="F1478" s="114" t="s">
        <v>150</v>
      </c>
      <c r="G1478" s="77" t="s">
        <v>184</v>
      </c>
      <c r="H1478" s="77" t="s">
        <v>153</v>
      </c>
      <c r="I1478" s="86">
        <v>41911</v>
      </c>
      <c r="J1478" s="78">
        <v>771</v>
      </c>
      <c r="K1478" s="132" t="s">
        <v>20</v>
      </c>
      <c r="L1478" s="132" t="s">
        <v>322</v>
      </c>
      <c r="M1478" s="132" t="s">
        <v>321</v>
      </c>
      <c r="N1478" s="133">
        <v>41930</v>
      </c>
      <c r="O1478" s="134">
        <v>1624</v>
      </c>
      <c r="P1478" s="132" t="s">
        <v>151</v>
      </c>
      <c r="Q1478" s="132" t="s">
        <v>299</v>
      </c>
      <c r="R1478" s="132" t="s">
        <v>267</v>
      </c>
      <c r="S1478" s="133">
        <v>41745</v>
      </c>
      <c r="T1478" s="134">
        <v>1189.7</v>
      </c>
      <c r="U1478" s="132" t="s">
        <v>154</v>
      </c>
      <c r="V1478" s="132" t="s">
        <v>194</v>
      </c>
      <c r="W1478" s="132" t="s">
        <v>153</v>
      </c>
      <c r="X1478" s="133">
        <v>41805</v>
      </c>
      <c r="Y1478" s="134">
        <v>403</v>
      </c>
    </row>
    <row r="1479" spans="1:25" ht="30" x14ac:dyDescent="0.25">
      <c r="A1479" s="6"/>
      <c r="B1479" s="6"/>
      <c r="C1479" s="6"/>
      <c r="D1479" s="118"/>
      <c r="E1479" s="119"/>
      <c r="F1479" s="114" t="s">
        <v>150</v>
      </c>
      <c r="G1479" s="77" t="s">
        <v>184</v>
      </c>
      <c r="H1479" s="77" t="s">
        <v>153</v>
      </c>
      <c r="I1479" s="86">
        <v>41914</v>
      </c>
      <c r="J1479" s="78">
        <v>1503</v>
      </c>
      <c r="K1479" s="132" t="s">
        <v>20</v>
      </c>
      <c r="L1479" s="132" t="s">
        <v>322</v>
      </c>
      <c r="M1479" s="132" t="s">
        <v>321</v>
      </c>
      <c r="N1479" s="133">
        <v>41964</v>
      </c>
      <c r="O1479" s="134">
        <v>1648</v>
      </c>
      <c r="P1479" s="132" t="s">
        <v>151</v>
      </c>
      <c r="Q1479" s="132" t="s">
        <v>299</v>
      </c>
      <c r="R1479" s="132" t="s">
        <v>267</v>
      </c>
      <c r="S1479" s="133">
        <v>41746</v>
      </c>
      <c r="T1479" s="134">
        <v>462.6</v>
      </c>
      <c r="U1479" s="132" t="s">
        <v>154</v>
      </c>
      <c r="V1479" s="132" t="s">
        <v>194</v>
      </c>
      <c r="W1479" s="132" t="s">
        <v>153</v>
      </c>
      <c r="X1479" s="133">
        <v>41805</v>
      </c>
      <c r="Y1479" s="134">
        <v>753</v>
      </c>
    </row>
    <row r="1480" spans="1:25" ht="30" x14ac:dyDescent="0.25">
      <c r="A1480" s="6"/>
      <c r="B1480" s="6"/>
      <c r="C1480" s="6"/>
      <c r="D1480" s="118"/>
      <c r="E1480" s="119"/>
      <c r="F1480" s="114" t="s">
        <v>150</v>
      </c>
      <c r="G1480" s="77" t="s">
        <v>184</v>
      </c>
      <c r="H1480" s="77" t="s">
        <v>153</v>
      </c>
      <c r="I1480" s="86">
        <v>41915</v>
      </c>
      <c r="J1480" s="78">
        <v>876</v>
      </c>
      <c r="K1480" s="132" t="s">
        <v>20</v>
      </c>
      <c r="L1480" s="132" t="s">
        <v>326</v>
      </c>
      <c r="M1480" s="132" t="s">
        <v>321</v>
      </c>
      <c r="N1480" s="133">
        <v>41649</v>
      </c>
      <c r="O1480" s="134">
        <v>1376</v>
      </c>
      <c r="P1480" s="132" t="s">
        <v>151</v>
      </c>
      <c r="Q1480" s="132" t="s">
        <v>299</v>
      </c>
      <c r="R1480" s="132" t="s">
        <v>267</v>
      </c>
      <c r="S1480" s="133">
        <v>41752</v>
      </c>
      <c r="T1480" s="134">
        <v>827.2</v>
      </c>
      <c r="U1480" s="132" t="s">
        <v>154</v>
      </c>
      <c r="V1480" s="132" t="s">
        <v>194</v>
      </c>
      <c r="W1480" s="132" t="s">
        <v>153</v>
      </c>
      <c r="X1480" s="133">
        <v>41806</v>
      </c>
      <c r="Y1480" s="134">
        <v>1333</v>
      </c>
    </row>
    <row r="1481" spans="1:25" ht="30" x14ac:dyDescent="0.25">
      <c r="A1481" s="6"/>
      <c r="B1481" s="6"/>
      <c r="C1481" s="6"/>
      <c r="D1481" s="118"/>
      <c r="E1481" s="119"/>
      <c r="F1481" s="114" t="s">
        <v>150</v>
      </c>
      <c r="G1481" s="77" t="s">
        <v>184</v>
      </c>
      <c r="H1481" s="77" t="s">
        <v>153</v>
      </c>
      <c r="I1481" s="86">
        <v>41916</v>
      </c>
      <c r="J1481" s="78">
        <v>1207</v>
      </c>
      <c r="K1481" s="132" t="s">
        <v>20</v>
      </c>
      <c r="L1481" s="132" t="s">
        <v>326</v>
      </c>
      <c r="M1481" s="132" t="s">
        <v>321</v>
      </c>
      <c r="N1481" s="133">
        <v>41672</v>
      </c>
      <c r="O1481" s="134">
        <v>1626</v>
      </c>
      <c r="P1481" s="132" t="s">
        <v>151</v>
      </c>
      <c r="Q1481" s="132" t="s">
        <v>299</v>
      </c>
      <c r="R1481" s="132" t="s">
        <v>267</v>
      </c>
      <c r="S1481" s="133">
        <v>41753</v>
      </c>
      <c r="T1481" s="134">
        <v>793.2</v>
      </c>
      <c r="U1481" s="132" t="s">
        <v>154</v>
      </c>
      <c r="V1481" s="132" t="s">
        <v>194</v>
      </c>
      <c r="W1481" s="132" t="s">
        <v>153</v>
      </c>
      <c r="X1481" s="133">
        <v>41807</v>
      </c>
      <c r="Y1481" s="134">
        <v>943</v>
      </c>
    </row>
    <row r="1482" spans="1:25" ht="30" x14ac:dyDescent="0.25">
      <c r="A1482" s="6"/>
      <c r="B1482" s="6"/>
      <c r="C1482" s="6"/>
      <c r="D1482" s="118"/>
      <c r="E1482" s="119"/>
      <c r="F1482" s="114" t="s">
        <v>150</v>
      </c>
      <c r="G1482" s="77" t="s">
        <v>184</v>
      </c>
      <c r="H1482" s="77" t="s">
        <v>153</v>
      </c>
      <c r="I1482" s="86">
        <v>41917</v>
      </c>
      <c r="J1482" s="78">
        <v>381</v>
      </c>
      <c r="K1482" s="132" t="s">
        <v>20</v>
      </c>
      <c r="L1482" s="132" t="s">
        <v>326</v>
      </c>
      <c r="M1482" s="132" t="s">
        <v>321</v>
      </c>
      <c r="N1482" s="133">
        <v>41700</v>
      </c>
      <c r="O1482" s="134">
        <v>1186</v>
      </c>
      <c r="P1482" s="132" t="s">
        <v>151</v>
      </c>
      <c r="Q1482" s="132" t="s">
        <v>299</v>
      </c>
      <c r="R1482" s="132" t="s">
        <v>267</v>
      </c>
      <c r="S1482" s="133">
        <v>41754</v>
      </c>
      <c r="T1482" s="134">
        <v>610.70000000000005</v>
      </c>
      <c r="U1482" s="132" t="s">
        <v>154</v>
      </c>
      <c r="V1482" s="132" t="s">
        <v>194</v>
      </c>
      <c r="W1482" s="132" t="s">
        <v>153</v>
      </c>
      <c r="X1482" s="133">
        <v>41808</v>
      </c>
      <c r="Y1482" s="134">
        <v>1170</v>
      </c>
    </row>
    <row r="1483" spans="1:25" ht="30" x14ac:dyDescent="0.25">
      <c r="A1483" s="6"/>
      <c r="B1483" s="6"/>
      <c r="C1483" s="6"/>
      <c r="D1483" s="118"/>
      <c r="E1483" s="119"/>
      <c r="F1483" s="114" t="s">
        <v>150</v>
      </c>
      <c r="G1483" s="77" t="s">
        <v>184</v>
      </c>
      <c r="H1483" s="77" t="s">
        <v>153</v>
      </c>
      <c r="I1483" s="86">
        <v>41918</v>
      </c>
      <c r="J1483" s="78">
        <v>913</v>
      </c>
      <c r="K1483" s="132" t="s">
        <v>20</v>
      </c>
      <c r="L1483" s="132" t="s">
        <v>326</v>
      </c>
      <c r="M1483" s="132" t="s">
        <v>321</v>
      </c>
      <c r="N1483" s="133">
        <v>41728</v>
      </c>
      <c r="O1483" s="134">
        <v>1480</v>
      </c>
      <c r="P1483" s="132" t="s">
        <v>151</v>
      </c>
      <c r="Q1483" s="132" t="s">
        <v>299</v>
      </c>
      <c r="R1483" s="132" t="s">
        <v>267</v>
      </c>
      <c r="S1483" s="133">
        <v>41757</v>
      </c>
      <c r="T1483" s="134">
        <v>646.20000000000005</v>
      </c>
      <c r="U1483" s="132" t="s">
        <v>154</v>
      </c>
      <c r="V1483" s="132" t="s">
        <v>194</v>
      </c>
      <c r="W1483" s="132" t="s">
        <v>153</v>
      </c>
      <c r="X1483" s="133">
        <v>41809</v>
      </c>
      <c r="Y1483" s="134">
        <v>888</v>
      </c>
    </row>
    <row r="1484" spans="1:25" ht="30" x14ac:dyDescent="0.25">
      <c r="A1484" s="6"/>
      <c r="B1484" s="6"/>
      <c r="C1484" s="6"/>
      <c r="D1484" s="118"/>
      <c r="E1484" s="119"/>
      <c r="F1484" s="114" t="s">
        <v>150</v>
      </c>
      <c r="G1484" s="77" t="s">
        <v>184</v>
      </c>
      <c r="H1484" s="77" t="s">
        <v>153</v>
      </c>
      <c r="I1484" s="86">
        <v>41919</v>
      </c>
      <c r="J1484" s="78">
        <v>807</v>
      </c>
      <c r="K1484" s="132" t="s">
        <v>20</v>
      </c>
      <c r="L1484" s="132" t="s">
        <v>326</v>
      </c>
      <c r="M1484" s="132" t="s">
        <v>321</v>
      </c>
      <c r="N1484" s="133">
        <v>41764</v>
      </c>
      <c r="O1484" s="134">
        <v>1773</v>
      </c>
      <c r="P1484" s="132" t="s">
        <v>151</v>
      </c>
      <c r="Q1484" s="132" t="s">
        <v>299</v>
      </c>
      <c r="R1484" s="132" t="s">
        <v>267</v>
      </c>
      <c r="S1484" s="133">
        <v>41758</v>
      </c>
      <c r="T1484" s="134">
        <v>591.29999999999995</v>
      </c>
      <c r="U1484" s="132" t="s">
        <v>154</v>
      </c>
      <c r="V1484" s="132" t="s">
        <v>194</v>
      </c>
      <c r="W1484" s="132" t="s">
        <v>153</v>
      </c>
      <c r="X1484" s="133">
        <v>41810</v>
      </c>
      <c r="Y1484" s="134">
        <v>1120</v>
      </c>
    </row>
    <row r="1485" spans="1:25" ht="30" x14ac:dyDescent="0.25">
      <c r="A1485" s="6"/>
      <c r="B1485" s="6"/>
      <c r="C1485" s="6"/>
      <c r="D1485" s="118"/>
      <c r="E1485" s="119"/>
      <c r="F1485" s="114" t="s">
        <v>150</v>
      </c>
      <c r="G1485" s="77" t="s">
        <v>184</v>
      </c>
      <c r="H1485" s="77" t="s">
        <v>153</v>
      </c>
      <c r="I1485" s="86">
        <v>41921</v>
      </c>
      <c r="J1485" s="78">
        <v>623</v>
      </c>
      <c r="K1485" s="132" t="s">
        <v>20</v>
      </c>
      <c r="L1485" s="132" t="s">
        <v>326</v>
      </c>
      <c r="M1485" s="132" t="s">
        <v>321</v>
      </c>
      <c r="N1485" s="133">
        <v>41781</v>
      </c>
      <c r="O1485" s="134">
        <v>610</v>
      </c>
      <c r="P1485" s="132" t="s">
        <v>151</v>
      </c>
      <c r="Q1485" s="132" t="s">
        <v>299</v>
      </c>
      <c r="R1485" s="132" t="s">
        <v>267</v>
      </c>
      <c r="S1485" s="133">
        <v>41779</v>
      </c>
      <c r="T1485" s="134">
        <v>611</v>
      </c>
      <c r="U1485" s="132" t="s">
        <v>154</v>
      </c>
      <c r="V1485" s="132" t="s">
        <v>194</v>
      </c>
      <c r="W1485" s="132" t="s">
        <v>153</v>
      </c>
      <c r="X1485" s="133">
        <v>41812</v>
      </c>
      <c r="Y1485" s="134">
        <v>787</v>
      </c>
    </row>
    <row r="1486" spans="1:25" ht="30" x14ac:dyDescent="0.25">
      <c r="A1486" s="6"/>
      <c r="B1486" s="6"/>
      <c r="C1486" s="6"/>
      <c r="D1486" s="118"/>
      <c r="E1486" s="119"/>
      <c r="F1486" s="114" t="s">
        <v>150</v>
      </c>
      <c r="G1486" s="77" t="s">
        <v>184</v>
      </c>
      <c r="H1486" s="77" t="s">
        <v>153</v>
      </c>
      <c r="I1486" s="86">
        <v>41922</v>
      </c>
      <c r="J1486" s="78">
        <v>637</v>
      </c>
      <c r="K1486" s="132" t="s">
        <v>20</v>
      </c>
      <c r="L1486" s="132" t="s">
        <v>326</v>
      </c>
      <c r="M1486" s="132" t="s">
        <v>321</v>
      </c>
      <c r="N1486" s="133">
        <v>41854</v>
      </c>
      <c r="O1486" s="134">
        <v>1484</v>
      </c>
      <c r="P1486" s="132" t="s">
        <v>151</v>
      </c>
      <c r="Q1486" s="132" t="s">
        <v>299</v>
      </c>
      <c r="R1486" s="132" t="s">
        <v>267</v>
      </c>
      <c r="S1486" s="133">
        <v>41780</v>
      </c>
      <c r="T1486" s="134">
        <v>963.1</v>
      </c>
      <c r="U1486" s="132" t="s">
        <v>154</v>
      </c>
      <c r="V1486" s="132" t="s">
        <v>194</v>
      </c>
      <c r="W1486" s="132" t="s">
        <v>153</v>
      </c>
      <c r="X1486" s="133">
        <v>41813</v>
      </c>
      <c r="Y1486" s="134">
        <v>730</v>
      </c>
    </row>
    <row r="1487" spans="1:25" ht="30" x14ac:dyDescent="0.25">
      <c r="A1487" s="6"/>
      <c r="B1487" s="6"/>
      <c r="C1487" s="6"/>
      <c r="D1487" s="118"/>
      <c r="E1487" s="119"/>
      <c r="F1487" s="114" t="s">
        <v>150</v>
      </c>
      <c r="G1487" s="77" t="s">
        <v>184</v>
      </c>
      <c r="H1487" s="77" t="s">
        <v>153</v>
      </c>
      <c r="I1487" s="86">
        <v>41924</v>
      </c>
      <c r="J1487" s="78">
        <v>459</v>
      </c>
      <c r="K1487" s="132" t="s">
        <v>20</v>
      </c>
      <c r="L1487" s="132" t="s">
        <v>326</v>
      </c>
      <c r="M1487" s="132" t="s">
        <v>321</v>
      </c>
      <c r="N1487" s="133">
        <v>41895</v>
      </c>
      <c r="O1487" s="134">
        <v>1650</v>
      </c>
      <c r="P1487" s="132" t="s">
        <v>151</v>
      </c>
      <c r="Q1487" s="132" t="s">
        <v>299</v>
      </c>
      <c r="R1487" s="132" t="s">
        <v>267</v>
      </c>
      <c r="S1487" s="133">
        <v>41781</v>
      </c>
      <c r="T1487" s="134">
        <v>914.2</v>
      </c>
      <c r="U1487" s="132" t="s">
        <v>154</v>
      </c>
      <c r="V1487" s="132" t="s">
        <v>194</v>
      </c>
      <c r="W1487" s="132" t="s">
        <v>153</v>
      </c>
      <c r="X1487" s="133">
        <v>41814</v>
      </c>
      <c r="Y1487" s="134">
        <v>400</v>
      </c>
    </row>
    <row r="1488" spans="1:25" ht="30" x14ac:dyDescent="0.25">
      <c r="A1488" s="6"/>
      <c r="B1488" s="6"/>
      <c r="C1488" s="6"/>
      <c r="D1488" s="118"/>
      <c r="E1488" s="119"/>
      <c r="F1488" s="114" t="s">
        <v>150</v>
      </c>
      <c r="G1488" s="77" t="s">
        <v>184</v>
      </c>
      <c r="H1488" s="77" t="s">
        <v>153</v>
      </c>
      <c r="I1488" s="86">
        <v>41928</v>
      </c>
      <c r="J1488" s="78">
        <v>578</v>
      </c>
      <c r="K1488" s="132" t="s">
        <v>20</v>
      </c>
      <c r="L1488" s="132" t="s">
        <v>326</v>
      </c>
      <c r="M1488" s="132" t="s">
        <v>321</v>
      </c>
      <c r="N1488" s="133">
        <v>41944</v>
      </c>
      <c r="O1488" s="134">
        <v>1608</v>
      </c>
      <c r="P1488" s="132" t="s">
        <v>151</v>
      </c>
      <c r="Q1488" s="132" t="s">
        <v>299</v>
      </c>
      <c r="R1488" s="132" t="s">
        <v>267</v>
      </c>
      <c r="S1488" s="133">
        <v>41782</v>
      </c>
      <c r="T1488" s="134">
        <v>840.6</v>
      </c>
      <c r="U1488" s="132" t="s">
        <v>154</v>
      </c>
      <c r="V1488" s="132" t="s">
        <v>194</v>
      </c>
      <c r="W1488" s="132" t="s">
        <v>153</v>
      </c>
      <c r="X1488" s="133">
        <v>41815</v>
      </c>
      <c r="Y1488" s="134">
        <v>901</v>
      </c>
    </row>
    <row r="1489" spans="1:25" ht="30" x14ac:dyDescent="0.25">
      <c r="A1489" s="6"/>
      <c r="B1489" s="6"/>
      <c r="C1489" s="6"/>
      <c r="D1489" s="118"/>
      <c r="E1489" s="119"/>
      <c r="F1489" s="114" t="s">
        <v>150</v>
      </c>
      <c r="G1489" s="77" t="s">
        <v>184</v>
      </c>
      <c r="H1489" s="77" t="s">
        <v>153</v>
      </c>
      <c r="I1489" s="86">
        <v>41929</v>
      </c>
      <c r="J1489" s="78">
        <v>886</v>
      </c>
      <c r="K1489" s="132" t="s">
        <v>20</v>
      </c>
      <c r="L1489" s="132" t="s">
        <v>326</v>
      </c>
      <c r="M1489" s="132" t="s">
        <v>321</v>
      </c>
      <c r="N1489" s="133">
        <v>41951</v>
      </c>
      <c r="O1489" s="134">
        <v>1403</v>
      </c>
      <c r="P1489" s="132" t="s">
        <v>151</v>
      </c>
      <c r="Q1489" s="132" t="s">
        <v>299</v>
      </c>
      <c r="R1489" s="132" t="s">
        <v>267</v>
      </c>
      <c r="S1489" s="133">
        <v>41786</v>
      </c>
      <c r="T1489" s="134">
        <v>966.2</v>
      </c>
      <c r="U1489" s="132" t="s">
        <v>154</v>
      </c>
      <c r="V1489" s="132" t="s">
        <v>194</v>
      </c>
      <c r="W1489" s="132" t="s">
        <v>153</v>
      </c>
      <c r="X1489" s="133">
        <v>41816</v>
      </c>
      <c r="Y1489" s="134">
        <v>880</v>
      </c>
    </row>
    <row r="1490" spans="1:25" ht="30" x14ac:dyDescent="0.25">
      <c r="A1490" s="6"/>
      <c r="B1490" s="6"/>
      <c r="C1490" s="6"/>
      <c r="D1490" s="118"/>
      <c r="E1490" s="119"/>
      <c r="F1490" s="114" t="s">
        <v>150</v>
      </c>
      <c r="G1490" s="77" t="s">
        <v>184</v>
      </c>
      <c r="H1490" s="77" t="s">
        <v>153</v>
      </c>
      <c r="I1490" s="86">
        <v>41930</v>
      </c>
      <c r="J1490" s="78">
        <v>815</v>
      </c>
      <c r="K1490" s="132" t="s">
        <v>20</v>
      </c>
      <c r="L1490" s="132" t="s">
        <v>326</v>
      </c>
      <c r="M1490" s="132" t="s">
        <v>321</v>
      </c>
      <c r="N1490" s="133">
        <v>41970</v>
      </c>
      <c r="O1490" s="134">
        <v>1250</v>
      </c>
      <c r="P1490" s="132" t="s">
        <v>151</v>
      </c>
      <c r="Q1490" s="132" t="s">
        <v>299</v>
      </c>
      <c r="R1490" s="132" t="s">
        <v>267</v>
      </c>
      <c r="S1490" s="133">
        <v>41787</v>
      </c>
      <c r="T1490" s="134">
        <v>909.4</v>
      </c>
      <c r="U1490" s="132" t="s">
        <v>154</v>
      </c>
      <c r="V1490" s="132" t="s">
        <v>194</v>
      </c>
      <c r="W1490" s="132" t="s">
        <v>153</v>
      </c>
      <c r="X1490" s="133">
        <v>41817</v>
      </c>
      <c r="Y1490" s="134">
        <v>997</v>
      </c>
    </row>
    <row r="1491" spans="1:25" ht="30" x14ac:dyDescent="0.25">
      <c r="A1491" s="6"/>
      <c r="B1491" s="6"/>
      <c r="C1491" s="6"/>
      <c r="D1491" s="118"/>
      <c r="E1491" s="119"/>
      <c r="F1491" s="114" t="s">
        <v>150</v>
      </c>
      <c r="G1491" s="77" t="s">
        <v>184</v>
      </c>
      <c r="H1491" s="77" t="s">
        <v>153</v>
      </c>
      <c r="I1491" s="86">
        <v>41930</v>
      </c>
      <c r="J1491" s="78">
        <v>462</v>
      </c>
      <c r="K1491" s="132" t="s">
        <v>20</v>
      </c>
      <c r="L1491" s="132" t="s">
        <v>326</v>
      </c>
      <c r="M1491" s="132" t="s">
        <v>321</v>
      </c>
      <c r="N1491" s="133">
        <v>41973</v>
      </c>
      <c r="O1491" s="134">
        <v>1290</v>
      </c>
      <c r="P1491" s="132" t="s">
        <v>151</v>
      </c>
      <c r="Q1491" s="132" t="s">
        <v>299</v>
      </c>
      <c r="R1491" s="132" t="s">
        <v>267</v>
      </c>
      <c r="S1491" s="133">
        <v>41788</v>
      </c>
      <c r="T1491" s="134">
        <v>895.8</v>
      </c>
      <c r="U1491" s="132" t="s">
        <v>154</v>
      </c>
      <c r="V1491" s="132" t="s">
        <v>194</v>
      </c>
      <c r="W1491" s="132" t="s">
        <v>153</v>
      </c>
      <c r="X1491" s="133">
        <v>41818</v>
      </c>
      <c r="Y1491" s="134">
        <v>858</v>
      </c>
    </row>
    <row r="1492" spans="1:25" ht="30" x14ac:dyDescent="0.25">
      <c r="A1492" s="6"/>
      <c r="B1492" s="6"/>
      <c r="C1492" s="6"/>
      <c r="D1492" s="118"/>
      <c r="E1492" s="119"/>
      <c r="F1492" s="114" t="s">
        <v>150</v>
      </c>
      <c r="G1492" s="77" t="s">
        <v>184</v>
      </c>
      <c r="H1492" s="77" t="s">
        <v>153</v>
      </c>
      <c r="I1492" s="86">
        <v>41931</v>
      </c>
      <c r="J1492" s="78">
        <v>894</v>
      </c>
      <c r="K1492" s="132" t="s">
        <v>20</v>
      </c>
      <c r="L1492" s="132" t="s">
        <v>326</v>
      </c>
      <c r="M1492" s="132" t="s">
        <v>321</v>
      </c>
      <c r="N1492" s="133">
        <v>41995</v>
      </c>
      <c r="O1492" s="134">
        <v>1310</v>
      </c>
      <c r="P1492" s="132" t="s">
        <v>151</v>
      </c>
      <c r="Q1492" s="132" t="s">
        <v>299</v>
      </c>
      <c r="R1492" s="132" t="s">
        <v>267</v>
      </c>
      <c r="S1492" s="133">
        <v>41789</v>
      </c>
      <c r="T1492" s="134">
        <v>830</v>
      </c>
      <c r="U1492" s="132" t="s">
        <v>154</v>
      </c>
      <c r="V1492" s="132" t="s">
        <v>194</v>
      </c>
      <c r="W1492" s="132" t="s">
        <v>153</v>
      </c>
      <c r="X1492" s="133">
        <v>41818</v>
      </c>
      <c r="Y1492" s="134">
        <v>442</v>
      </c>
    </row>
    <row r="1493" spans="1:25" x14ac:dyDescent="0.25">
      <c r="A1493" s="6"/>
      <c r="B1493" s="6"/>
      <c r="C1493" s="6"/>
      <c r="D1493" s="118"/>
      <c r="E1493" s="119"/>
      <c r="F1493" s="114" t="s">
        <v>150</v>
      </c>
      <c r="G1493" s="77" t="s">
        <v>184</v>
      </c>
      <c r="H1493" s="77" t="s">
        <v>153</v>
      </c>
      <c r="I1493" s="86">
        <v>41933</v>
      </c>
      <c r="J1493" s="78">
        <v>621</v>
      </c>
      <c r="K1493" s="132" t="s">
        <v>20</v>
      </c>
      <c r="L1493" s="132" t="s">
        <v>233</v>
      </c>
      <c r="M1493" s="132" t="s">
        <v>234</v>
      </c>
      <c r="N1493" s="133">
        <v>41700</v>
      </c>
      <c r="O1493" s="134">
        <v>1763</v>
      </c>
      <c r="P1493" s="132" t="s">
        <v>151</v>
      </c>
      <c r="Q1493" s="132" t="s">
        <v>299</v>
      </c>
      <c r="R1493" s="132" t="s">
        <v>267</v>
      </c>
      <c r="S1493" s="133">
        <v>41792</v>
      </c>
      <c r="T1493" s="134">
        <v>913.7</v>
      </c>
      <c r="U1493" s="132" t="s">
        <v>154</v>
      </c>
      <c r="V1493" s="132" t="s">
        <v>194</v>
      </c>
      <c r="W1493" s="132" t="s">
        <v>153</v>
      </c>
      <c r="X1493" s="133">
        <v>41819</v>
      </c>
      <c r="Y1493" s="134">
        <v>531</v>
      </c>
    </row>
    <row r="1494" spans="1:25" x14ac:dyDescent="0.25">
      <c r="A1494" s="6"/>
      <c r="B1494" s="6"/>
      <c r="C1494" s="6"/>
      <c r="D1494" s="118"/>
      <c r="E1494" s="119"/>
      <c r="F1494" s="114" t="s">
        <v>150</v>
      </c>
      <c r="G1494" s="77" t="s">
        <v>184</v>
      </c>
      <c r="H1494" s="77" t="s">
        <v>153</v>
      </c>
      <c r="I1494" s="86">
        <v>41933</v>
      </c>
      <c r="J1494" s="78">
        <v>1055</v>
      </c>
      <c r="K1494" s="132" t="s">
        <v>20</v>
      </c>
      <c r="L1494" s="132" t="s">
        <v>233</v>
      </c>
      <c r="M1494" s="132" t="s">
        <v>234</v>
      </c>
      <c r="N1494" s="133">
        <v>41703</v>
      </c>
      <c r="O1494" s="134">
        <v>1852</v>
      </c>
      <c r="P1494" s="132" t="s">
        <v>151</v>
      </c>
      <c r="Q1494" s="132" t="s">
        <v>299</v>
      </c>
      <c r="R1494" s="132" t="s">
        <v>267</v>
      </c>
      <c r="S1494" s="133">
        <v>41793</v>
      </c>
      <c r="T1494" s="134">
        <v>413</v>
      </c>
      <c r="U1494" s="132" t="s">
        <v>154</v>
      </c>
      <c r="V1494" s="132" t="s">
        <v>194</v>
      </c>
      <c r="W1494" s="132" t="s">
        <v>153</v>
      </c>
      <c r="X1494" s="133">
        <v>41819</v>
      </c>
      <c r="Y1494" s="134">
        <v>712</v>
      </c>
    </row>
    <row r="1495" spans="1:25" x14ac:dyDescent="0.25">
      <c r="A1495" s="6"/>
      <c r="B1495" s="6"/>
      <c r="C1495" s="6"/>
      <c r="D1495" s="118"/>
      <c r="E1495" s="119"/>
      <c r="F1495" s="114" t="s">
        <v>150</v>
      </c>
      <c r="G1495" s="77" t="s">
        <v>184</v>
      </c>
      <c r="H1495" s="77" t="s">
        <v>153</v>
      </c>
      <c r="I1495" s="86">
        <v>41934</v>
      </c>
      <c r="J1495" s="78">
        <v>843</v>
      </c>
      <c r="K1495" s="132" t="s">
        <v>20</v>
      </c>
      <c r="L1495" s="132" t="s">
        <v>233</v>
      </c>
      <c r="M1495" s="132" t="s">
        <v>234</v>
      </c>
      <c r="N1495" s="133">
        <v>41721</v>
      </c>
      <c r="O1495" s="134">
        <v>1159</v>
      </c>
      <c r="P1495" s="132" t="s">
        <v>151</v>
      </c>
      <c r="Q1495" s="132" t="s">
        <v>299</v>
      </c>
      <c r="R1495" s="132" t="s">
        <v>267</v>
      </c>
      <c r="S1495" s="133">
        <v>41794</v>
      </c>
      <c r="T1495" s="134">
        <v>450.9</v>
      </c>
      <c r="U1495" s="132" t="s">
        <v>154</v>
      </c>
      <c r="V1495" s="132" t="s">
        <v>194</v>
      </c>
      <c r="W1495" s="132" t="s">
        <v>153</v>
      </c>
      <c r="X1495" s="133">
        <v>41820</v>
      </c>
      <c r="Y1495" s="134">
        <v>1050</v>
      </c>
    </row>
    <row r="1496" spans="1:25" x14ac:dyDescent="0.25">
      <c r="A1496" s="6"/>
      <c r="B1496" s="6"/>
      <c r="C1496" s="6"/>
      <c r="D1496" s="118"/>
      <c r="E1496" s="119"/>
      <c r="F1496" s="114" t="s">
        <v>150</v>
      </c>
      <c r="G1496" s="77" t="s">
        <v>184</v>
      </c>
      <c r="H1496" s="77" t="s">
        <v>153</v>
      </c>
      <c r="I1496" s="86">
        <v>41935</v>
      </c>
      <c r="J1496" s="78">
        <v>695</v>
      </c>
      <c r="K1496" s="132" t="s">
        <v>20</v>
      </c>
      <c r="L1496" s="132" t="s">
        <v>233</v>
      </c>
      <c r="M1496" s="132" t="s">
        <v>234</v>
      </c>
      <c r="N1496" s="133">
        <v>41731</v>
      </c>
      <c r="O1496" s="134">
        <v>1209</v>
      </c>
      <c r="P1496" s="132" t="s">
        <v>151</v>
      </c>
      <c r="Q1496" s="132" t="s">
        <v>299</v>
      </c>
      <c r="R1496" s="132" t="s">
        <v>267</v>
      </c>
      <c r="S1496" s="133">
        <v>41795</v>
      </c>
      <c r="T1496" s="134">
        <v>499.8</v>
      </c>
      <c r="U1496" s="132" t="s">
        <v>154</v>
      </c>
      <c r="V1496" s="132" t="s">
        <v>194</v>
      </c>
      <c r="W1496" s="132" t="s">
        <v>153</v>
      </c>
      <c r="X1496" s="133">
        <v>41821</v>
      </c>
      <c r="Y1496" s="134">
        <v>1200</v>
      </c>
    </row>
    <row r="1497" spans="1:25" x14ac:dyDescent="0.25">
      <c r="A1497" s="6"/>
      <c r="B1497" s="6"/>
      <c r="C1497" s="6"/>
      <c r="D1497" s="118"/>
      <c r="E1497" s="119"/>
      <c r="F1497" s="114" t="s">
        <v>150</v>
      </c>
      <c r="G1497" s="77" t="s">
        <v>184</v>
      </c>
      <c r="H1497" s="77" t="s">
        <v>153</v>
      </c>
      <c r="I1497" s="86">
        <v>41939</v>
      </c>
      <c r="J1497" s="78">
        <v>1050</v>
      </c>
      <c r="K1497" s="132" t="s">
        <v>20</v>
      </c>
      <c r="L1497" s="132" t="s">
        <v>233</v>
      </c>
      <c r="M1497" s="132" t="s">
        <v>234</v>
      </c>
      <c r="N1497" s="133">
        <v>41742</v>
      </c>
      <c r="O1497" s="134">
        <v>1517</v>
      </c>
      <c r="P1497" s="132" t="s">
        <v>151</v>
      </c>
      <c r="Q1497" s="132" t="s">
        <v>299</v>
      </c>
      <c r="R1497" s="132" t="s">
        <v>267</v>
      </c>
      <c r="S1497" s="133">
        <v>41796</v>
      </c>
      <c r="T1497" s="134">
        <v>526</v>
      </c>
      <c r="U1497" s="132" t="s">
        <v>154</v>
      </c>
      <c r="V1497" s="132" t="s">
        <v>194</v>
      </c>
      <c r="W1497" s="132" t="s">
        <v>153</v>
      </c>
      <c r="X1497" s="133">
        <v>41947</v>
      </c>
      <c r="Y1497" s="134">
        <v>85</v>
      </c>
    </row>
    <row r="1498" spans="1:25" x14ac:dyDescent="0.25">
      <c r="A1498" s="6"/>
      <c r="B1498" s="6"/>
      <c r="C1498" s="6"/>
      <c r="D1498" s="118"/>
      <c r="E1498" s="119"/>
      <c r="F1498" s="114" t="s">
        <v>150</v>
      </c>
      <c r="G1498" s="77" t="s">
        <v>184</v>
      </c>
      <c r="H1498" s="77" t="s">
        <v>153</v>
      </c>
      <c r="I1498" s="86">
        <v>41940</v>
      </c>
      <c r="J1498" s="78">
        <v>400</v>
      </c>
      <c r="K1498" s="132" t="s">
        <v>20</v>
      </c>
      <c r="L1498" s="132" t="s">
        <v>233</v>
      </c>
      <c r="M1498" s="132" t="s">
        <v>234</v>
      </c>
      <c r="N1498" s="133">
        <v>41773</v>
      </c>
      <c r="O1498" s="134">
        <v>1330</v>
      </c>
      <c r="P1498" s="132" t="s">
        <v>151</v>
      </c>
      <c r="Q1498" s="132" t="s">
        <v>299</v>
      </c>
      <c r="R1498" s="132" t="s">
        <v>267</v>
      </c>
      <c r="S1498" s="133">
        <v>41799</v>
      </c>
      <c r="T1498" s="134">
        <v>927.6</v>
      </c>
      <c r="U1498" s="132" t="s">
        <v>154</v>
      </c>
      <c r="V1498" s="132" t="s">
        <v>194</v>
      </c>
      <c r="W1498" s="132" t="s">
        <v>153</v>
      </c>
      <c r="X1498" s="133">
        <v>41948</v>
      </c>
      <c r="Y1498" s="134">
        <v>520</v>
      </c>
    </row>
    <row r="1499" spans="1:25" x14ac:dyDescent="0.25">
      <c r="A1499" s="6"/>
      <c r="B1499" s="6"/>
      <c r="C1499" s="6"/>
      <c r="D1499" s="118"/>
      <c r="E1499" s="119"/>
      <c r="F1499" s="114" t="s">
        <v>150</v>
      </c>
      <c r="G1499" s="77" t="s">
        <v>184</v>
      </c>
      <c r="H1499" s="77" t="s">
        <v>153</v>
      </c>
      <c r="I1499" s="86">
        <v>41947</v>
      </c>
      <c r="J1499" s="78">
        <v>1015</v>
      </c>
      <c r="K1499" s="132" t="s">
        <v>20</v>
      </c>
      <c r="L1499" s="132" t="s">
        <v>233</v>
      </c>
      <c r="M1499" s="132" t="s">
        <v>234</v>
      </c>
      <c r="N1499" s="133">
        <v>41786</v>
      </c>
      <c r="O1499" s="134">
        <v>2004</v>
      </c>
      <c r="P1499" s="132" t="s">
        <v>151</v>
      </c>
      <c r="Q1499" s="132" t="s">
        <v>299</v>
      </c>
      <c r="R1499" s="132" t="s">
        <v>267</v>
      </c>
      <c r="S1499" s="133">
        <v>41807</v>
      </c>
      <c r="T1499" s="134">
        <v>1147.0999999999999</v>
      </c>
      <c r="U1499" s="132" t="s">
        <v>154</v>
      </c>
      <c r="V1499" s="132" t="s">
        <v>194</v>
      </c>
      <c r="W1499" s="132" t="s">
        <v>153</v>
      </c>
      <c r="X1499" s="133">
        <v>41949</v>
      </c>
      <c r="Y1499" s="134">
        <v>500</v>
      </c>
    </row>
    <row r="1500" spans="1:25" x14ac:dyDescent="0.25">
      <c r="A1500" s="6"/>
      <c r="B1500" s="6"/>
      <c r="C1500" s="6"/>
      <c r="D1500" s="118"/>
      <c r="E1500" s="119"/>
      <c r="F1500" s="114" t="s">
        <v>150</v>
      </c>
      <c r="G1500" s="77" t="s">
        <v>184</v>
      </c>
      <c r="H1500" s="77" t="s">
        <v>153</v>
      </c>
      <c r="I1500" s="86">
        <v>41948</v>
      </c>
      <c r="J1500" s="78">
        <v>834</v>
      </c>
      <c r="K1500" s="132" t="s">
        <v>20</v>
      </c>
      <c r="L1500" s="132" t="s">
        <v>233</v>
      </c>
      <c r="M1500" s="132" t="s">
        <v>234</v>
      </c>
      <c r="N1500" s="133">
        <v>41792</v>
      </c>
      <c r="O1500" s="134">
        <v>858</v>
      </c>
      <c r="P1500" s="132" t="s">
        <v>151</v>
      </c>
      <c r="Q1500" s="132" t="s">
        <v>299</v>
      </c>
      <c r="R1500" s="132" t="s">
        <v>267</v>
      </c>
      <c r="S1500" s="133">
        <v>41809</v>
      </c>
      <c r="T1500" s="134">
        <v>890.4</v>
      </c>
      <c r="U1500" s="132" t="s">
        <v>154</v>
      </c>
      <c r="V1500" s="132" t="s">
        <v>194</v>
      </c>
      <c r="W1500" s="132" t="s">
        <v>153</v>
      </c>
      <c r="X1500" s="133">
        <v>41950</v>
      </c>
      <c r="Y1500" s="134">
        <v>985</v>
      </c>
    </row>
    <row r="1501" spans="1:25" x14ac:dyDescent="0.25">
      <c r="A1501" s="6"/>
      <c r="B1501" s="6"/>
      <c r="C1501" s="6"/>
      <c r="D1501" s="118"/>
      <c r="E1501" s="119"/>
      <c r="F1501" s="114" t="s">
        <v>150</v>
      </c>
      <c r="G1501" s="77" t="s">
        <v>184</v>
      </c>
      <c r="H1501" s="77" t="s">
        <v>153</v>
      </c>
      <c r="I1501" s="86">
        <v>41949</v>
      </c>
      <c r="J1501" s="78">
        <v>544</v>
      </c>
      <c r="K1501" s="132" t="s">
        <v>20</v>
      </c>
      <c r="L1501" s="132" t="s">
        <v>233</v>
      </c>
      <c r="M1501" s="132" t="s">
        <v>234</v>
      </c>
      <c r="N1501" s="133">
        <v>41799</v>
      </c>
      <c r="O1501" s="134">
        <v>1333</v>
      </c>
      <c r="P1501" s="132" t="s">
        <v>151</v>
      </c>
      <c r="Q1501" s="132" t="s">
        <v>299</v>
      </c>
      <c r="R1501" s="132" t="s">
        <v>267</v>
      </c>
      <c r="S1501" s="133">
        <v>41817</v>
      </c>
      <c r="T1501" s="134">
        <v>996.3</v>
      </c>
      <c r="U1501" s="132" t="s">
        <v>154</v>
      </c>
      <c r="V1501" s="132" t="s">
        <v>194</v>
      </c>
      <c r="W1501" s="132" t="s">
        <v>153</v>
      </c>
      <c r="X1501" s="133">
        <v>41953</v>
      </c>
      <c r="Y1501" s="134">
        <v>764</v>
      </c>
    </row>
    <row r="1502" spans="1:25" x14ac:dyDescent="0.25">
      <c r="A1502" s="6"/>
      <c r="B1502" s="6"/>
      <c r="C1502" s="6"/>
      <c r="D1502" s="118"/>
      <c r="E1502" s="119"/>
      <c r="F1502" s="114" t="s">
        <v>150</v>
      </c>
      <c r="G1502" s="77" t="s">
        <v>184</v>
      </c>
      <c r="H1502" s="77" t="s">
        <v>153</v>
      </c>
      <c r="I1502" s="86">
        <v>41950</v>
      </c>
      <c r="J1502" s="78">
        <v>1092</v>
      </c>
      <c r="K1502" s="132" t="s">
        <v>20</v>
      </c>
      <c r="L1502" s="132" t="s">
        <v>233</v>
      </c>
      <c r="M1502" s="132" t="s">
        <v>234</v>
      </c>
      <c r="N1502" s="133">
        <v>41811</v>
      </c>
      <c r="O1502" s="134">
        <v>2105</v>
      </c>
      <c r="P1502" s="132" t="s">
        <v>151</v>
      </c>
      <c r="Q1502" s="132" t="s">
        <v>299</v>
      </c>
      <c r="R1502" s="132" t="s">
        <v>267</v>
      </c>
      <c r="S1502" s="133">
        <v>41890</v>
      </c>
      <c r="T1502" s="134">
        <v>1150.8</v>
      </c>
      <c r="U1502" s="132" t="s">
        <v>154</v>
      </c>
      <c r="V1502" s="132" t="s">
        <v>194</v>
      </c>
      <c r="W1502" s="132" t="s">
        <v>153</v>
      </c>
      <c r="X1502" s="133">
        <v>41954</v>
      </c>
      <c r="Y1502" s="134">
        <v>661</v>
      </c>
    </row>
    <row r="1503" spans="1:25" x14ac:dyDescent="0.25">
      <c r="A1503" s="120"/>
      <c r="B1503" s="120"/>
      <c r="C1503" s="120"/>
      <c r="D1503" s="121"/>
      <c r="E1503" s="122"/>
      <c r="F1503" s="114" t="s">
        <v>150</v>
      </c>
      <c r="G1503" s="77" t="s">
        <v>184</v>
      </c>
      <c r="H1503" s="77" t="s">
        <v>153</v>
      </c>
      <c r="I1503" s="86">
        <v>41951</v>
      </c>
      <c r="J1503" s="78">
        <v>569</v>
      </c>
      <c r="K1503" s="132" t="s">
        <v>20</v>
      </c>
      <c r="L1503" s="132" t="s">
        <v>233</v>
      </c>
      <c r="M1503" s="132" t="s">
        <v>234</v>
      </c>
      <c r="N1503" s="133">
        <v>41822</v>
      </c>
      <c r="O1503" s="134">
        <v>1846</v>
      </c>
      <c r="P1503" s="132" t="s">
        <v>151</v>
      </c>
      <c r="Q1503" s="132" t="s">
        <v>299</v>
      </c>
      <c r="R1503" s="132" t="s">
        <v>267</v>
      </c>
      <c r="S1503" s="133">
        <v>41894</v>
      </c>
      <c r="T1503" s="134">
        <v>613.1</v>
      </c>
      <c r="U1503" s="132" t="s">
        <v>154</v>
      </c>
      <c r="V1503" s="132" t="s">
        <v>194</v>
      </c>
      <c r="W1503" s="132" t="s">
        <v>153</v>
      </c>
      <c r="X1503" s="133">
        <v>41956</v>
      </c>
      <c r="Y1503" s="134">
        <v>650</v>
      </c>
    </row>
    <row r="1504" spans="1:25" x14ac:dyDescent="0.25">
      <c r="A1504" s="120"/>
      <c r="B1504" s="120"/>
      <c r="C1504" s="120"/>
      <c r="D1504" s="121"/>
      <c r="E1504" s="122"/>
      <c r="F1504" s="114" t="s">
        <v>150</v>
      </c>
      <c r="G1504" s="77" t="s">
        <v>184</v>
      </c>
      <c r="H1504" s="77" t="s">
        <v>153</v>
      </c>
      <c r="I1504" s="86">
        <v>41951</v>
      </c>
      <c r="J1504" s="78">
        <v>1008</v>
      </c>
      <c r="K1504" s="132" t="s">
        <v>20</v>
      </c>
      <c r="L1504" s="132" t="s">
        <v>233</v>
      </c>
      <c r="M1504" s="132" t="s">
        <v>234</v>
      </c>
      <c r="N1504" s="133">
        <v>41834</v>
      </c>
      <c r="O1504" s="134">
        <v>2033</v>
      </c>
      <c r="P1504" s="132" t="s">
        <v>151</v>
      </c>
      <c r="Q1504" s="132" t="s">
        <v>299</v>
      </c>
      <c r="R1504" s="132" t="s">
        <v>267</v>
      </c>
      <c r="S1504" s="133">
        <v>41905</v>
      </c>
      <c r="T1504" s="134">
        <v>907.2</v>
      </c>
      <c r="U1504" s="132" t="s">
        <v>154</v>
      </c>
      <c r="V1504" s="132" t="s">
        <v>194</v>
      </c>
      <c r="W1504" s="132" t="s">
        <v>153</v>
      </c>
      <c r="X1504" s="133">
        <v>41958</v>
      </c>
      <c r="Y1504" s="134">
        <v>776</v>
      </c>
    </row>
    <row r="1505" spans="1:25" x14ac:dyDescent="0.25">
      <c r="A1505" s="120"/>
      <c r="B1505" s="120"/>
      <c r="C1505" s="120"/>
      <c r="D1505" s="121"/>
      <c r="E1505" s="122"/>
      <c r="F1505" s="114" t="s">
        <v>150</v>
      </c>
      <c r="G1505" s="77" t="s">
        <v>184</v>
      </c>
      <c r="H1505" s="77" t="s">
        <v>153</v>
      </c>
      <c r="I1505" s="86">
        <v>41952</v>
      </c>
      <c r="J1505" s="78">
        <v>980</v>
      </c>
      <c r="K1505" s="132" t="s">
        <v>20</v>
      </c>
      <c r="L1505" s="132" t="s">
        <v>233</v>
      </c>
      <c r="M1505" s="132" t="s">
        <v>234</v>
      </c>
      <c r="N1505" s="133">
        <v>41838</v>
      </c>
      <c r="O1505" s="134">
        <v>865</v>
      </c>
      <c r="P1505" s="132" t="s">
        <v>151</v>
      </c>
      <c r="Q1505" s="132" t="s">
        <v>299</v>
      </c>
      <c r="R1505" s="132" t="s">
        <v>267</v>
      </c>
      <c r="S1505" s="133">
        <v>41906</v>
      </c>
      <c r="T1505" s="134">
        <v>614.6</v>
      </c>
      <c r="U1505" s="132" t="s">
        <v>154</v>
      </c>
      <c r="V1505" s="132" t="s">
        <v>194</v>
      </c>
      <c r="W1505" s="132" t="s">
        <v>153</v>
      </c>
      <c r="X1505" s="133">
        <v>41959</v>
      </c>
      <c r="Y1505" s="134">
        <v>418</v>
      </c>
    </row>
    <row r="1506" spans="1:25" x14ac:dyDescent="0.25">
      <c r="A1506" s="120"/>
      <c r="B1506" s="120"/>
      <c r="C1506" s="120"/>
      <c r="D1506" s="121"/>
      <c r="E1506" s="122"/>
      <c r="F1506" s="114" t="s">
        <v>150</v>
      </c>
      <c r="G1506" s="77" t="s">
        <v>184</v>
      </c>
      <c r="H1506" s="77" t="s">
        <v>153</v>
      </c>
      <c r="I1506" s="86">
        <v>41953</v>
      </c>
      <c r="J1506" s="78">
        <v>1164</v>
      </c>
      <c r="K1506" s="132" t="s">
        <v>20</v>
      </c>
      <c r="L1506" s="132" t="s">
        <v>233</v>
      </c>
      <c r="M1506" s="132" t="s">
        <v>234</v>
      </c>
      <c r="N1506" s="133">
        <v>41845</v>
      </c>
      <c r="O1506" s="134">
        <v>1301</v>
      </c>
      <c r="P1506" s="132" t="s">
        <v>151</v>
      </c>
      <c r="Q1506" s="132" t="s">
        <v>299</v>
      </c>
      <c r="R1506" s="132" t="s">
        <v>267</v>
      </c>
      <c r="S1506" s="133">
        <v>41907</v>
      </c>
      <c r="T1506" s="134">
        <v>899.8</v>
      </c>
      <c r="U1506" s="132" t="s">
        <v>154</v>
      </c>
      <c r="V1506" s="132" t="s">
        <v>194</v>
      </c>
      <c r="W1506" s="132" t="s">
        <v>153</v>
      </c>
      <c r="X1506" s="133">
        <v>41960</v>
      </c>
      <c r="Y1506" s="134">
        <v>790</v>
      </c>
    </row>
    <row r="1507" spans="1:25" x14ac:dyDescent="0.25">
      <c r="A1507" s="120"/>
      <c r="B1507" s="120"/>
      <c r="C1507" s="120"/>
      <c r="D1507" s="121"/>
      <c r="E1507" s="122"/>
      <c r="F1507" s="114" t="s">
        <v>150</v>
      </c>
      <c r="G1507" s="77" t="s">
        <v>184</v>
      </c>
      <c r="H1507" s="77" t="s">
        <v>153</v>
      </c>
      <c r="I1507" s="86">
        <v>41954</v>
      </c>
      <c r="J1507" s="78">
        <v>848</v>
      </c>
      <c r="K1507" s="132" t="s">
        <v>20</v>
      </c>
      <c r="L1507" s="132" t="s">
        <v>233</v>
      </c>
      <c r="M1507" s="132" t="s">
        <v>234</v>
      </c>
      <c r="N1507" s="133">
        <v>41852</v>
      </c>
      <c r="O1507" s="134">
        <v>1148</v>
      </c>
      <c r="P1507" s="132" t="s">
        <v>151</v>
      </c>
      <c r="Q1507" s="132" t="s">
        <v>299</v>
      </c>
      <c r="R1507" s="132" t="s">
        <v>267</v>
      </c>
      <c r="S1507" s="133">
        <v>41912</v>
      </c>
      <c r="T1507" s="134">
        <v>281.2</v>
      </c>
      <c r="U1507" s="132" t="s">
        <v>154</v>
      </c>
      <c r="V1507" s="132" t="s">
        <v>194</v>
      </c>
      <c r="W1507" s="132" t="s">
        <v>153</v>
      </c>
      <c r="X1507" s="133">
        <v>41961</v>
      </c>
      <c r="Y1507" s="134">
        <v>870</v>
      </c>
    </row>
    <row r="1508" spans="1:25" x14ac:dyDescent="0.25">
      <c r="A1508" s="120"/>
      <c r="B1508" s="6"/>
      <c r="C1508" s="6"/>
      <c r="D1508" s="6"/>
      <c r="E1508" s="123"/>
      <c r="F1508" s="114" t="s">
        <v>150</v>
      </c>
      <c r="G1508" s="77" t="s">
        <v>184</v>
      </c>
      <c r="H1508" s="77" t="s">
        <v>153</v>
      </c>
      <c r="I1508" s="86">
        <v>41956</v>
      </c>
      <c r="J1508" s="78">
        <v>792</v>
      </c>
      <c r="K1508" s="132" t="s">
        <v>20</v>
      </c>
      <c r="L1508" s="132" t="s">
        <v>233</v>
      </c>
      <c r="M1508" s="132" t="s">
        <v>234</v>
      </c>
      <c r="N1508" s="133">
        <v>41860</v>
      </c>
      <c r="O1508" s="134">
        <v>1787</v>
      </c>
      <c r="P1508" s="132" t="s">
        <v>151</v>
      </c>
      <c r="Q1508" s="132" t="s">
        <v>299</v>
      </c>
      <c r="R1508" s="132" t="s">
        <v>267</v>
      </c>
      <c r="S1508" s="133">
        <v>41939</v>
      </c>
      <c r="T1508" s="134">
        <v>768.4</v>
      </c>
      <c r="U1508" s="132" t="s">
        <v>154</v>
      </c>
      <c r="V1508" s="132" t="s">
        <v>194</v>
      </c>
      <c r="W1508" s="132" t="s">
        <v>153</v>
      </c>
      <c r="X1508" s="133">
        <v>41962</v>
      </c>
      <c r="Y1508" s="134">
        <v>931</v>
      </c>
    </row>
    <row r="1509" spans="1:25" x14ac:dyDescent="0.25">
      <c r="A1509" s="120"/>
      <c r="B1509" s="6"/>
      <c r="C1509" s="6"/>
      <c r="D1509" s="6"/>
      <c r="E1509" s="123"/>
      <c r="F1509" s="114" t="s">
        <v>150</v>
      </c>
      <c r="G1509" s="77" t="s">
        <v>184</v>
      </c>
      <c r="H1509" s="77" t="s">
        <v>153</v>
      </c>
      <c r="I1509" s="86">
        <v>41956</v>
      </c>
      <c r="J1509" s="78">
        <v>1166</v>
      </c>
      <c r="K1509" s="132" t="s">
        <v>20</v>
      </c>
      <c r="L1509" s="132" t="s">
        <v>233</v>
      </c>
      <c r="M1509" s="132" t="s">
        <v>234</v>
      </c>
      <c r="N1509" s="133">
        <v>41869</v>
      </c>
      <c r="O1509" s="134">
        <v>1767</v>
      </c>
      <c r="P1509" s="132" t="s">
        <v>151</v>
      </c>
      <c r="Q1509" s="132" t="s">
        <v>299</v>
      </c>
      <c r="R1509" s="132" t="s">
        <v>267</v>
      </c>
      <c r="S1509" s="133">
        <v>41940</v>
      </c>
      <c r="T1509" s="134">
        <v>889.2</v>
      </c>
      <c r="U1509" s="132" t="s">
        <v>154</v>
      </c>
      <c r="V1509" s="132" t="s">
        <v>194</v>
      </c>
      <c r="W1509" s="132" t="s">
        <v>153</v>
      </c>
      <c r="X1509" s="133">
        <v>41963</v>
      </c>
      <c r="Y1509" s="134">
        <v>700</v>
      </c>
    </row>
    <row r="1510" spans="1:25" x14ac:dyDescent="0.25">
      <c r="A1510" s="120"/>
      <c r="B1510" s="6"/>
      <c r="C1510" s="6"/>
      <c r="D1510" s="6"/>
      <c r="E1510" s="124"/>
      <c r="F1510" s="114" t="s">
        <v>150</v>
      </c>
      <c r="G1510" s="77" t="s">
        <v>184</v>
      </c>
      <c r="H1510" s="77" t="s">
        <v>153</v>
      </c>
      <c r="I1510" s="86">
        <v>41958</v>
      </c>
      <c r="J1510" s="78">
        <v>996</v>
      </c>
      <c r="K1510" s="132" t="s">
        <v>20</v>
      </c>
      <c r="L1510" s="132" t="s">
        <v>233</v>
      </c>
      <c r="M1510" s="132" t="s">
        <v>234</v>
      </c>
      <c r="N1510" s="133">
        <v>41878</v>
      </c>
      <c r="O1510" s="134">
        <v>1749</v>
      </c>
      <c r="P1510" s="132" t="s">
        <v>151</v>
      </c>
      <c r="Q1510" s="132" t="s">
        <v>299</v>
      </c>
      <c r="R1510" s="132" t="s">
        <v>267</v>
      </c>
      <c r="S1510" s="133">
        <v>41943</v>
      </c>
      <c r="T1510" s="134">
        <v>534.1</v>
      </c>
      <c r="U1510" s="132" t="s">
        <v>154</v>
      </c>
      <c r="V1510" s="132" t="s">
        <v>194</v>
      </c>
      <c r="W1510" s="132" t="s">
        <v>153</v>
      </c>
      <c r="X1510" s="133">
        <v>41964</v>
      </c>
      <c r="Y1510" s="134">
        <v>599</v>
      </c>
    </row>
    <row r="1511" spans="1:25" x14ac:dyDescent="0.25">
      <c r="A1511" s="589" t="s">
        <v>244</v>
      </c>
      <c r="B1511" s="600"/>
      <c r="C1511" s="600"/>
      <c r="D1511" s="600"/>
      <c r="E1511" s="591"/>
      <c r="F1511" s="76" t="s">
        <v>150</v>
      </c>
      <c r="G1511" s="77" t="s">
        <v>184</v>
      </c>
      <c r="H1511" s="77" t="s">
        <v>153</v>
      </c>
      <c r="I1511" s="86">
        <v>41958</v>
      </c>
      <c r="J1511" s="78">
        <v>1029</v>
      </c>
      <c r="K1511" s="132" t="s">
        <v>20</v>
      </c>
      <c r="L1511" s="132" t="s">
        <v>233</v>
      </c>
      <c r="M1511" s="132" t="s">
        <v>234</v>
      </c>
      <c r="N1511" s="133">
        <v>41882</v>
      </c>
      <c r="O1511" s="134">
        <v>760</v>
      </c>
      <c r="P1511" s="132" t="s">
        <v>151</v>
      </c>
      <c r="Q1511" s="132" t="s">
        <v>299</v>
      </c>
      <c r="R1511" s="132" t="s">
        <v>267</v>
      </c>
      <c r="S1511" s="133">
        <v>41946</v>
      </c>
      <c r="T1511" s="134">
        <v>852.4</v>
      </c>
      <c r="U1511" s="132" t="s">
        <v>154</v>
      </c>
      <c r="V1511" s="132" t="s">
        <v>194</v>
      </c>
      <c r="W1511" s="132" t="s">
        <v>153</v>
      </c>
      <c r="X1511" s="133">
        <v>41966</v>
      </c>
      <c r="Y1511" s="134">
        <v>452</v>
      </c>
    </row>
    <row r="1512" spans="1:25" x14ac:dyDescent="0.25">
      <c r="A1512" s="590"/>
      <c r="B1512" s="590"/>
      <c r="C1512" s="590"/>
      <c r="D1512" s="590"/>
      <c r="E1512" s="591"/>
      <c r="F1512" s="76" t="s">
        <v>150</v>
      </c>
      <c r="G1512" s="77" t="s">
        <v>184</v>
      </c>
      <c r="H1512" s="77" t="s">
        <v>153</v>
      </c>
      <c r="I1512" s="86">
        <v>41959</v>
      </c>
      <c r="J1512" s="78">
        <v>1102</v>
      </c>
      <c r="K1512" s="132" t="s">
        <v>20</v>
      </c>
      <c r="L1512" s="132" t="s">
        <v>233</v>
      </c>
      <c r="M1512" s="132" t="s">
        <v>234</v>
      </c>
      <c r="N1512" s="133">
        <v>41884</v>
      </c>
      <c r="O1512" s="134">
        <v>1264</v>
      </c>
      <c r="P1512" s="132" t="s">
        <v>151</v>
      </c>
      <c r="Q1512" s="132" t="s">
        <v>299</v>
      </c>
      <c r="R1512" s="132" t="s">
        <v>267</v>
      </c>
      <c r="S1512" s="133">
        <v>41971</v>
      </c>
      <c r="T1512" s="134">
        <v>780.6</v>
      </c>
      <c r="U1512" s="132" t="s">
        <v>154</v>
      </c>
      <c r="V1512" s="132" t="s">
        <v>194</v>
      </c>
      <c r="W1512" s="132" t="s">
        <v>153</v>
      </c>
      <c r="X1512" s="133">
        <v>41967</v>
      </c>
      <c r="Y1512" s="134">
        <v>911</v>
      </c>
    </row>
    <row r="1513" spans="1:25" x14ac:dyDescent="0.25">
      <c r="A1513" s="590"/>
      <c r="B1513" s="590"/>
      <c r="C1513" s="590"/>
      <c r="D1513" s="590"/>
      <c r="E1513" s="591"/>
      <c r="F1513" s="76" t="s">
        <v>150</v>
      </c>
      <c r="G1513" s="77" t="s">
        <v>184</v>
      </c>
      <c r="H1513" s="77" t="s">
        <v>153</v>
      </c>
      <c r="I1513" s="86">
        <v>41960</v>
      </c>
      <c r="J1513" s="78">
        <v>1073</v>
      </c>
      <c r="K1513" s="132" t="s">
        <v>20</v>
      </c>
      <c r="L1513" s="132" t="s">
        <v>233</v>
      </c>
      <c r="M1513" s="132" t="s">
        <v>234</v>
      </c>
      <c r="N1513" s="133">
        <v>41887</v>
      </c>
      <c r="O1513" s="134">
        <v>882</v>
      </c>
      <c r="P1513" s="132" t="s">
        <v>151</v>
      </c>
      <c r="Q1513" s="132" t="s">
        <v>299</v>
      </c>
      <c r="R1513" s="132" t="s">
        <v>267</v>
      </c>
      <c r="S1513" s="133">
        <v>41974</v>
      </c>
      <c r="T1513" s="134">
        <v>561.6</v>
      </c>
      <c r="U1513" s="132" t="s">
        <v>154</v>
      </c>
      <c r="V1513" s="132" t="s">
        <v>194</v>
      </c>
      <c r="W1513" s="132" t="s">
        <v>153</v>
      </c>
      <c r="X1513" s="133">
        <v>41968</v>
      </c>
      <c r="Y1513" s="134">
        <v>670</v>
      </c>
    </row>
    <row r="1514" spans="1:25" ht="29.25" customHeight="1" x14ac:dyDescent="0.25">
      <c r="A1514" s="589" t="s">
        <v>245</v>
      </c>
      <c r="B1514" s="590"/>
      <c r="C1514" s="590"/>
      <c r="D1514" s="590"/>
      <c r="E1514" s="591"/>
      <c r="F1514" s="76" t="s">
        <v>150</v>
      </c>
      <c r="G1514" s="77" t="s">
        <v>184</v>
      </c>
      <c r="H1514" s="77" t="s">
        <v>153</v>
      </c>
      <c r="I1514" s="86">
        <v>41961</v>
      </c>
      <c r="J1514" s="78">
        <v>1073</v>
      </c>
      <c r="K1514" s="132" t="s">
        <v>20</v>
      </c>
      <c r="L1514" s="132" t="s">
        <v>233</v>
      </c>
      <c r="M1514" s="132" t="s">
        <v>234</v>
      </c>
      <c r="N1514" s="133">
        <v>41895</v>
      </c>
      <c r="O1514" s="134">
        <v>614</v>
      </c>
      <c r="P1514" s="132" t="s">
        <v>151</v>
      </c>
      <c r="Q1514" s="132" t="s">
        <v>299</v>
      </c>
      <c r="R1514" s="132" t="s">
        <v>267</v>
      </c>
      <c r="S1514" s="133">
        <v>41975</v>
      </c>
      <c r="T1514" s="134">
        <v>709.8</v>
      </c>
      <c r="U1514" s="132" t="s">
        <v>154</v>
      </c>
      <c r="V1514" s="132" t="s">
        <v>194</v>
      </c>
      <c r="W1514" s="132" t="s">
        <v>153</v>
      </c>
      <c r="X1514" s="133">
        <v>41969</v>
      </c>
      <c r="Y1514" s="134">
        <v>658</v>
      </c>
    </row>
    <row r="1515" spans="1:25" x14ac:dyDescent="0.25">
      <c r="F1515" s="76" t="s">
        <v>150</v>
      </c>
      <c r="G1515" s="77" t="s">
        <v>184</v>
      </c>
      <c r="H1515" s="77" t="s">
        <v>153</v>
      </c>
      <c r="I1515" s="86">
        <v>41962</v>
      </c>
      <c r="J1515" s="78">
        <v>783</v>
      </c>
      <c r="K1515" s="132" t="s">
        <v>20</v>
      </c>
      <c r="L1515" s="132" t="s">
        <v>233</v>
      </c>
      <c r="M1515" s="132" t="s">
        <v>234</v>
      </c>
      <c r="N1515" s="133">
        <v>41907</v>
      </c>
      <c r="O1515" s="134">
        <v>1207</v>
      </c>
      <c r="P1515" s="132" t="s">
        <v>151</v>
      </c>
      <c r="Q1515" s="132" t="s">
        <v>299</v>
      </c>
      <c r="R1515" s="132" t="s">
        <v>267</v>
      </c>
      <c r="S1515" s="133">
        <v>41976</v>
      </c>
      <c r="T1515" s="134">
        <v>710</v>
      </c>
      <c r="U1515" s="132" t="s">
        <v>154</v>
      </c>
      <c r="V1515" s="132" t="s">
        <v>194</v>
      </c>
      <c r="W1515" s="132" t="s">
        <v>153</v>
      </c>
      <c r="X1515" s="133">
        <v>41970</v>
      </c>
      <c r="Y1515" s="134">
        <v>618</v>
      </c>
    </row>
    <row r="1516" spans="1:25" x14ac:dyDescent="0.25">
      <c r="F1516" s="76" t="s">
        <v>150</v>
      </c>
      <c r="G1516" s="77" t="s">
        <v>184</v>
      </c>
      <c r="H1516" s="77" t="s">
        <v>153</v>
      </c>
      <c r="I1516" s="86">
        <v>41964</v>
      </c>
      <c r="J1516" s="78">
        <v>1059</v>
      </c>
      <c r="K1516" s="132" t="s">
        <v>20</v>
      </c>
      <c r="L1516" s="132" t="s">
        <v>233</v>
      </c>
      <c r="M1516" s="132" t="s">
        <v>234</v>
      </c>
      <c r="N1516" s="133">
        <v>41911</v>
      </c>
      <c r="O1516" s="134">
        <v>828</v>
      </c>
      <c r="P1516" s="132" t="s">
        <v>151</v>
      </c>
      <c r="Q1516" s="132" t="s">
        <v>299</v>
      </c>
      <c r="R1516" s="132" t="s">
        <v>267</v>
      </c>
      <c r="S1516" s="133">
        <v>41977</v>
      </c>
      <c r="T1516" s="134">
        <v>652.9</v>
      </c>
      <c r="U1516" s="132" t="s">
        <v>154</v>
      </c>
      <c r="V1516" s="132" t="s">
        <v>194</v>
      </c>
      <c r="W1516" s="132" t="s">
        <v>153</v>
      </c>
      <c r="X1516" s="133">
        <v>41970</v>
      </c>
      <c r="Y1516" s="134">
        <v>211</v>
      </c>
    </row>
    <row r="1517" spans="1:25" x14ac:dyDescent="0.25">
      <c r="F1517" s="76" t="s">
        <v>150</v>
      </c>
      <c r="G1517" s="77" t="s">
        <v>184</v>
      </c>
      <c r="H1517" s="77" t="s">
        <v>153</v>
      </c>
      <c r="I1517" s="86">
        <v>41964</v>
      </c>
      <c r="J1517" s="78">
        <v>1077</v>
      </c>
      <c r="K1517" s="132" t="s">
        <v>20</v>
      </c>
      <c r="L1517" s="132" t="s">
        <v>233</v>
      </c>
      <c r="M1517" s="132" t="s">
        <v>234</v>
      </c>
      <c r="N1517" s="133">
        <v>41923</v>
      </c>
      <c r="O1517" s="134">
        <v>2016</v>
      </c>
      <c r="P1517" s="132" t="s">
        <v>151</v>
      </c>
      <c r="Q1517" s="132" t="s">
        <v>299</v>
      </c>
      <c r="R1517" s="132" t="s">
        <v>267</v>
      </c>
      <c r="S1517" s="133">
        <v>41978</v>
      </c>
      <c r="T1517" s="134">
        <v>655.5</v>
      </c>
      <c r="U1517" s="132" t="s">
        <v>154</v>
      </c>
      <c r="V1517" s="132" t="s">
        <v>194</v>
      </c>
      <c r="W1517" s="132" t="s">
        <v>153</v>
      </c>
      <c r="X1517" s="133">
        <v>41970</v>
      </c>
      <c r="Y1517" s="134">
        <v>239</v>
      </c>
    </row>
    <row r="1518" spans="1:25" x14ac:dyDescent="0.25">
      <c r="F1518" s="76" t="s">
        <v>150</v>
      </c>
      <c r="G1518" s="77" t="s">
        <v>184</v>
      </c>
      <c r="H1518" s="77" t="s">
        <v>153</v>
      </c>
      <c r="I1518" s="86">
        <v>41965</v>
      </c>
      <c r="J1518" s="78">
        <v>1061</v>
      </c>
      <c r="K1518" s="132" t="s">
        <v>20</v>
      </c>
      <c r="L1518" s="132" t="s">
        <v>233</v>
      </c>
      <c r="M1518" s="132" t="s">
        <v>234</v>
      </c>
      <c r="N1518" s="133">
        <v>41931</v>
      </c>
      <c r="O1518" s="134">
        <v>1500</v>
      </c>
      <c r="P1518" s="132" t="s">
        <v>151</v>
      </c>
      <c r="Q1518" s="132" t="s">
        <v>299</v>
      </c>
      <c r="R1518" s="132" t="s">
        <v>267</v>
      </c>
      <c r="S1518" s="133">
        <v>41981</v>
      </c>
      <c r="T1518" s="134">
        <v>619.9</v>
      </c>
      <c r="U1518" s="132" t="s">
        <v>154</v>
      </c>
      <c r="V1518" s="132" t="s">
        <v>194</v>
      </c>
      <c r="W1518" s="132" t="s">
        <v>153</v>
      </c>
      <c r="X1518" s="133">
        <v>41971</v>
      </c>
      <c r="Y1518" s="134">
        <v>747</v>
      </c>
    </row>
    <row r="1519" spans="1:25" x14ac:dyDescent="0.25">
      <c r="F1519" s="76" t="s">
        <v>150</v>
      </c>
      <c r="G1519" s="77" t="s">
        <v>184</v>
      </c>
      <c r="H1519" s="77" t="s">
        <v>153</v>
      </c>
      <c r="I1519" s="86">
        <v>41966</v>
      </c>
      <c r="J1519" s="78">
        <v>206</v>
      </c>
      <c r="K1519" s="132" t="s">
        <v>20</v>
      </c>
      <c r="L1519" s="132" t="s">
        <v>233</v>
      </c>
      <c r="M1519" s="132" t="s">
        <v>234</v>
      </c>
      <c r="N1519" s="133">
        <v>41941</v>
      </c>
      <c r="O1519" s="134">
        <v>1553</v>
      </c>
      <c r="P1519" s="132" t="s">
        <v>151</v>
      </c>
      <c r="Q1519" s="132" t="s">
        <v>300</v>
      </c>
      <c r="R1519" s="132" t="s">
        <v>267</v>
      </c>
      <c r="S1519" s="133">
        <v>41695</v>
      </c>
      <c r="T1519" s="134">
        <v>709.3</v>
      </c>
      <c r="U1519" s="132" t="s">
        <v>154</v>
      </c>
      <c r="V1519" s="132" t="s">
        <v>194</v>
      </c>
      <c r="W1519" s="132" t="s">
        <v>153</v>
      </c>
      <c r="X1519" s="133">
        <v>41973</v>
      </c>
      <c r="Y1519" s="134">
        <v>437</v>
      </c>
    </row>
    <row r="1520" spans="1:25" x14ac:dyDescent="0.25">
      <c r="F1520" s="76" t="s">
        <v>150</v>
      </c>
      <c r="G1520" s="77" t="s">
        <v>184</v>
      </c>
      <c r="H1520" s="77" t="s">
        <v>153</v>
      </c>
      <c r="I1520" s="86">
        <v>41967</v>
      </c>
      <c r="J1520" s="78">
        <v>785</v>
      </c>
      <c r="K1520" s="132" t="s">
        <v>20</v>
      </c>
      <c r="L1520" s="132" t="s">
        <v>233</v>
      </c>
      <c r="M1520" s="132" t="s">
        <v>234</v>
      </c>
      <c r="N1520" s="133">
        <v>41946</v>
      </c>
      <c r="O1520" s="134">
        <v>1058</v>
      </c>
      <c r="P1520" s="132" t="s">
        <v>151</v>
      </c>
      <c r="Q1520" s="132" t="s">
        <v>300</v>
      </c>
      <c r="R1520" s="132" t="s">
        <v>267</v>
      </c>
      <c r="S1520" s="133">
        <v>41696</v>
      </c>
      <c r="T1520" s="134">
        <v>374.7</v>
      </c>
      <c r="U1520" s="132" t="s">
        <v>154</v>
      </c>
      <c r="V1520" s="132" t="s">
        <v>194</v>
      </c>
      <c r="W1520" s="132" t="s">
        <v>153</v>
      </c>
      <c r="X1520" s="133">
        <v>41974</v>
      </c>
      <c r="Y1520" s="134">
        <v>1007</v>
      </c>
    </row>
    <row r="1521" spans="6:25" x14ac:dyDescent="0.25">
      <c r="F1521" s="76" t="s">
        <v>150</v>
      </c>
      <c r="G1521" s="77" t="s">
        <v>184</v>
      </c>
      <c r="H1521" s="77" t="s">
        <v>153</v>
      </c>
      <c r="I1521" s="86">
        <v>41967</v>
      </c>
      <c r="J1521" s="78">
        <v>541</v>
      </c>
      <c r="K1521" s="132" t="s">
        <v>20</v>
      </c>
      <c r="L1521" s="132" t="s">
        <v>233</v>
      </c>
      <c r="M1521" s="132" t="s">
        <v>234</v>
      </c>
      <c r="N1521" s="133">
        <v>41967</v>
      </c>
      <c r="O1521" s="134">
        <v>1564</v>
      </c>
      <c r="P1521" s="132" t="s">
        <v>151</v>
      </c>
      <c r="Q1521" s="132" t="s">
        <v>300</v>
      </c>
      <c r="R1521" s="132" t="s">
        <v>267</v>
      </c>
      <c r="S1521" s="133">
        <v>41697</v>
      </c>
      <c r="T1521" s="134">
        <v>545.79999999999995</v>
      </c>
      <c r="U1521" s="132" t="s">
        <v>154</v>
      </c>
      <c r="V1521" s="132" t="s">
        <v>194</v>
      </c>
      <c r="W1521" s="132" t="s">
        <v>153</v>
      </c>
      <c r="X1521" s="133">
        <v>41975</v>
      </c>
      <c r="Y1521" s="134">
        <v>1072</v>
      </c>
    </row>
    <row r="1522" spans="6:25" x14ac:dyDescent="0.25">
      <c r="F1522" s="76" t="s">
        <v>150</v>
      </c>
      <c r="G1522" s="77" t="s">
        <v>184</v>
      </c>
      <c r="H1522" s="77" t="s">
        <v>153</v>
      </c>
      <c r="I1522" s="86">
        <v>41969</v>
      </c>
      <c r="J1522" s="78">
        <v>1191</v>
      </c>
      <c r="K1522" s="132" t="s">
        <v>20</v>
      </c>
      <c r="L1522" s="132" t="s">
        <v>233</v>
      </c>
      <c r="M1522" s="132" t="s">
        <v>234</v>
      </c>
      <c r="N1522" s="133">
        <v>41982</v>
      </c>
      <c r="O1522" s="134">
        <v>1629</v>
      </c>
      <c r="P1522" s="132" t="s">
        <v>151</v>
      </c>
      <c r="Q1522" s="132" t="s">
        <v>300</v>
      </c>
      <c r="R1522" s="132" t="s">
        <v>267</v>
      </c>
      <c r="S1522" s="133">
        <v>41698</v>
      </c>
      <c r="T1522" s="134">
        <v>715.3</v>
      </c>
      <c r="U1522" s="132" t="s">
        <v>154</v>
      </c>
      <c r="V1522" s="132" t="s">
        <v>194</v>
      </c>
      <c r="W1522" s="132" t="s">
        <v>153</v>
      </c>
      <c r="X1522" s="133">
        <v>41977</v>
      </c>
      <c r="Y1522" s="134">
        <v>1051</v>
      </c>
    </row>
    <row r="1523" spans="6:25" x14ac:dyDescent="0.25">
      <c r="F1523" s="76" t="s">
        <v>150</v>
      </c>
      <c r="G1523" s="77" t="s">
        <v>184</v>
      </c>
      <c r="H1523" s="77" t="s">
        <v>153</v>
      </c>
      <c r="I1523" s="86">
        <v>41970</v>
      </c>
      <c r="J1523" s="78">
        <v>976</v>
      </c>
      <c r="K1523" s="132" t="s">
        <v>20</v>
      </c>
      <c r="L1523" s="132" t="s">
        <v>233</v>
      </c>
      <c r="M1523" s="132" t="s">
        <v>234</v>
      </c>
      <c r="N1523" s="133">
        <v>41994</v>
      </c>
      <c r="O1523" s="134">
        <v>1754</v>
      </c>
      <c r="P1523" s="132" t="s">
        <v>151</v>
      </c>
      <c r="Q1523" s="132" t="s">
        <v>300</v>
      </c>
      <c r="R1523" s="132" t="s">
        <v>267</v>
      </c>
      <c r="S1523" s="133">
        <v>41762</v>
      </c>
      <c r="T1523" s="134">
        <v>1337</v>
      </c>
      <c r="U1523" s="132" t="s">
        <v>154</v>
      </c>
      <c r="V1523" s="132" t="s">
        <v>194</v>
      </c>
      <c r="W1523" s="132" t="s">
        <v>153</v>
      </c>
      <c r="X1523" s="133">
        <v>41978</v>
      </c>
      <c r="Y1523" s="134">
        <v>1141</v>
      </c>
    </row>
    <row r="1524" spans="6:25" x14ac:dyDescent="0.25">
      <c r="F1524" s="76" t="s">
        <v>150</v>
      </c>
      <c r="G1524" s="77" t="s">
        <v>184</v>
      </c>
      <c r="H1524" s="77" t="s">
        <v>153</v>
      </c>
      <c r="I1524" s="86">
        <v>41970</v>
      </c>
      <c r="J1524" s="78">
        <v>1050</v>
      </c>
      <c r="K1524" s="132" t="s">
        <v>20</v>
      </c>
      <c r="L1524" s="132" t="s">
        <v>235</v>
      </c>
      <c r="M1524" s="132" t="s">
        <v>234</v>
      </c>
      <c r="N1524" s="133">
        <v>41637</v>
      </c>
      <c r="O1524" s="134">
        <v>1499</v>
      </c>
      <c r="P1524" s="132" t="s">
        <v>151</v>
      </c>
      <c r="Q1524" s="132" t="s">
        <v>300</v>
      </c>
      <c r="R1524" s="132" t="s">
        <v>267</v>
      </c>
      <c r="S1524" s="133">
        <v>41763</v>
      </c>
      <c r="T1524" s="134">
        <v>678.2</v>
      </c>
      <c r="U1524" s="132" t="s">
        <v>154</v>
      </c>
      <c r="V1524" s="132" t="s">
        <v>194</v>
      </c>
      <c r="W1524" s="132" t="s">
        <v>153</v>
      </c>
      <c r="X1524" s="133">
        <v>41979</v>
      </c>
      <c r="Y1524" s="134">
        <v>424</v>
      </c>
    </row>
    <row r="1525" spans="6:25" x14ac:dyDescent="0.25">
      <c r="F1525" s="76" t="s">
        <v>150</v>
      </c>
      <c r="G1525" s="77" t="s">
        <v>184</v>
      </c>
      <c r="H1525" s="77" t="s">
        <v>153</v>
      </c>
      <c r="I1525" s="86">
        <v>41971</v>
      </c>
      <c r="J1525" s="78">
        <v>1087</v>
      </c>
      <c r="K1525" s="132" t="s">
        <v>20</v>
      </c>
      <c r="L1525" s="132" t="s">
        <v>235</v>
      </c>
      <c r="M1525" s="132" t="s">
        <v>234</v>
      </c>
      <c r="N1525" s="133">
        <v>41651</v>
      </c>
      <c r="O1525" s="134">
        <v>1555</v>
      </c>
      <c r="P1525" s="132" t="s">
        <v>151</v>
      </c>
      <c r="Q1525" s="132" t="s">
        <v>300</v>
      </c>
      <c r="R1525" s="132" t="s">
        <v>267</v>
      </c>
      <c r="S1525" s="133">
        <v>41764</v>
      </c>
      <c r="T1525" s="134">
        <v>730.1</v>
      </c>
      <c r="U1525" s="132" t="s">
        <v>154</v>
      </c>
      <c r="V1525" s="132" t="s">
        <v>194</v>
      </c>
      <c r="W1525" s="132" t="s">
        <v>153</v>
      </c>
      <c r="X1525" s="133">
        <v>41980</v>
      </c>
      <c r="Y1525" s="134">
        <v>668</v>
      </c>
    </row>
    <row r="1526" spans="6:25" x14ac:dyDescent="0.25">
      <c r="F1526" s="76" t="s">
        <v>150</v>
      </c>
      <c r="G1526" s="77" t="s">
        <v>184</v>
      </c>
      <c r="H1526" s="77" t="s">
        <v>153</v>
      </c>
      <c r="I1526" s="86">
        <v>41972</v>
      </c>
      <c r="J1526" s="78">
        <v>1023</v>
      </c>
      <c r="K1526" s="132" t="s">
        <v>20</v>
      </c>
      <c r="L1526" s="132" t="s">
        <v>235</v>
      </c>
      <c r="M1526" s="132" t="s">
        <v>234</v>
      </c>
      <c r="N1526" s="133">
        <v>41663</v>
      </c>
      <c r="O1526" s="134">
        <v>2141</v>
      </c>
      <c r="P1526" s="132" t="s">
        <v>151</v>
      </c>
      <c r="Q1526" s="132" t="s">
        <v>300</v>
      </c>
      <c r="R1526" s="132" t="s">
        <v>267</v>
      </c>
      <c r="S1526" s="133">
        <v>41765</v>
      </c>
      <c r="T1526" s="134">
        <v>735.5</v>
      </c>
      <c r="U1526" s="132" t="s">
        <v>154</v>
      </c>
      <c r="V1526" s="132" t="s">
        <v>194</v>
      </c>
      <c r="W1526" s="132" t="s">
        <v>153</v>
      </c>
      <c r="X1526" s="133">
        <v>41980</v>
      </c>
      <c r="Y1526" s="134">
        <v>420</v>
      </c>
    </row>
    <row r="1527" spans="6:25" x14ac:dyDescent="0.25">
      <c r="F1527" s="76" t="s">
        <v>150</v>
      </c>
      <c r="G1527" s="77" t="s">
        <v>184</v>
      </c>
      <c r="H1527" s="77" t="s">
        <v>153</v>
      </c>
      <c r="I1527" s="86">
        <v>41973</v>
      </c>
      <c r="J1527" s="78">
        <v>1165</v>
      </c>
      <c r="K1527" s="132" t="s">
        <v>20</v>
      </c>
      <c r="L1527" s="132" t="s">
        <v>235</v>
      </c>
      <c r="M1527" s="132" t="s">
        <v>234</v>
      </c>
      <c r="N1527" s="133">
        <v>41680</v>
      </c>
      <c r="O1527" s="134">
        <v>1639</v>
      </c>
      <c r="P1527" s="132" t="s">
        <v>151</v>
      </c>
      <c r="Q1527" s="132" t="s">
        <v>300</v>
      </c>
      <c r="R1527" s="132" t="s">
        <v>267</v>
      </c>
      <c r="S1527" s="133">
        <v>41766</v>
      </c>
      <c r="T1527" s="134">
        <v>641.70000000000005</v>
      </c>
      <c r="U1527" s="132" t="s">
        <v>154</v>
      </c>
      <c r="V1527" s="132" t="s">
        <v>194</v>
      </c>
      <c r="W1527" s="132" t="s">
        <v>153</v>
      </c>
      <c r="X1527" s="133">
        <v>41981</v>
      </c>
      <c r="Y1527" s="134">
        <v>1125</v>
      </c>
    </row>
    <row r="1528" spans="6:25" x14ac:dyDescent="0.25">
      <c r="F1528" s="76" t="s">
        <v>150</v>
      </c>
      <c r="G1528" s="77" t="s">
        <v>184</v>
      </c>
      <c r="H1528" s="77" t="s">
        <v>153</v>
      </c>
      <c r="I1528" s="86">
        <v>41974</v>
      </c>
      <c r="J1528" s="78">
        <v>511</v>
      </c>
      <c r="K1528" s="132" t="s">
        <v>20</v>
      </c>
      <c r="L1528" s="132" t="s">
        <v>235</v>
      </c>
      <c r="M1528" s="132" t="s">
        <v>234</v>
      </c>
      <c r="N1528" s="133">
        <v>41690</v>
      </c>
      <c r="O1528" s="134">
        <v>1701</v>
      </c>
      <c r="P1528" s="132" t="s">
        <v>151</v>
      </c>
      <c r="Q1528" s="132" t="s">
        <v>300</v>
      </c>
      <c r="R1528" s="132" t="s">
        <v>267</v>
      </c>
      <c r="S1528" s="133">
        <v>41767</v>
      </c>
      <c r="T1528" s="134">
        <v>544.5</v>
      </c>
      <c r="U1528" s="132" t="s">
        <v>154</v>
      </c>
      <c r="V1528" s="132" t="s">
        <v>194</v>
      </c>
      <c r="W1528" s="132" t="s">
        <v>153</v>
      </c>
      <c r="X1528" s="133">
        <v>41982</v>
      </c>
      <c r="Y1528" s="134">
        <v>801</v>
      </c>
    </row>
    <row r="1529" spans="6:25" x14ac:dyDescent="0.25">
      <c r="F1529" s="76" t="s">
        <v>150</v>
      </c>
      <c r="G1529" s="77" t="s">
        <v>184</v>
      </c>
      <c r="H1529" s="77" t="s">
        <v>153</v>
      </c>
      <c r="I1529" s="86">
        <v>41975</v>
      </c>
      <c r="J1529" s="78">
        <v>701</v>
      </c>
      <c r="K1529" s="132" t="s">
        <v>20</v>
      </c>
      <c r="L1529" s="132" t="s">
        <v>235</v>
      </c>
      <c r="M1529" s="132" t="s">
        <v>234</v>
      </c>
      <c r="N1529" s="133">
        <v>41704</v>
      </c>
      <c r="O1529" s="134">
        <v>1630</v>
      </c>
      <c r="P1529" s="132" t="s">
        <v>151</v>
      </c>
      <c r="Q1529" s="132" t="s">
        <v>300</v>
      </c>
      <c r="R1529" s="132" t="s">
        <v>267</v>
      </c>
      <c r="S1529" s="133">
        <v>41768</v>
      </c>
      <c r="T1529" s="134">
        <v>531.9</v>
      </c>
      <c r="U1529" s="132" t="s">
        <v>154</v>
      </c>
      <c r="V1529" s="132" t="s">
        <v>194</v>
      </c>
      <c r="W1529" s="132" t="s">
        <v>153</v>
      </c>
      <c r="X1529" s="133">
        <v>41983</v>
      </c>
      <c r="Y1529" s="134">
        <v>620</v>
      </c>
    </row>
    <row r="1530" spans="6:25" x14ac:dyDescent="0.25">
      <c r="F1530" s="76" t="s">
        <v>150</v>
      </c>
      <c r="G1530" s="77" t="s">
        <v>184</v>
      </c>
      <c r="H1530" s="77" t="s">
        <v>153</v>
      </c>
      <c r="I1530" s="86">
        <v>41975</v>
      </c>
      <c r="J1530" s="78">
        <v>1018</v>
      </c>
      <c r="K1530" s="132" t="s">
        <v>20</v>
      </c>
      <c r="L1530" s="132" t="s">
        <v>235</v>
      </c>
      <c r="M1530" s="132" t="s">
        <v>234</v>
      </c>
      <c r="N1530" s="133">
        <v>41755</v>
      </c>
      <c r="O1530" s="134">
        <v>785</v>
      </c>
      <c r="P1530" s="132" t="s">
        <v>151</v>
      </c>
      <c r="Q1530" s="132" t="s">
        <v>300</v>
      </c>
      <c r="R1530" s="132" t="s">
        <v>267</v>
      </c>
      <c r="S1530" s="133">
        <v>41771</v>
      </c>
      <c r="T1530" s="134">
        <v>629.70000000000005</v>
      </c>
      <c r="U1530" s="132" t="s">
        <v>154</v>
      </c>
      <c r="V1530" s="132" t="s">
        <v>194</v>
      </c>
      <c r="W1530" s="132" t="s">
        <v>153</v>
      </c>
      <c r="X1530" s="133">
        <v>41984</v>
      </c>
      <c r="Y1530" s="134">
        <v>486</v>
      </c>
    </row>
    <row r="1531" spans="6:25" x14ac:dyDescent="0.25">
      <c r="F1531" s="76" t="s">
        <v>150</v>
      </c>
      <c r="G1531" s="77" t="s">
        <v>184</v>
      </c>
      <c r="H1531" s="77" t="s">
        <v>153</v>
      </c>
      <c r="I1531" s="86">
        <v>41976</v>
      </c>
      <c r="J1531" s="78">
        <v>813</v>
      </c>
      <c r="K1531" s="132" t="s">
        <v>20</v>
      </c>
      <c r="L1531" s="132" t="s">
        <v>235</v>
      </c>
      <c r="M1531" s="132" t="s">
        <v>234</v>
      </c>
      <c r="N1531" s="133">
        <v>41763</v>
      </c>
      <c r="O1531" s="134">
        <v>1636</v>
      </c>
      <c r="P1531" s="132" t="s">
        <v>151</v>
      </c>
      <c r="Q1531" s="132" t="s">
        <v>300</v>
      </c>
      <c r="R1531" s="132" t="s">
        <v>267</v>
      </c>
      <c r="S1531" s="133">
        <v>41772</v>
      </c>
      <c r="T1531" s="134">
        <v>601</v>
      </c>
      <c r="U1531" s="132" t="s">
        <v>154</v>
      </c>
      <c r="V1531" s="132" t="s">
        <v>194</v>
      </c>
      <c r="W1531" s="132" t="s">
        <v>153</v>
      </c>
      <c r="X1531" s="133">
        <v>41985</v>
      </c>
      <c r="Y1531" s="134">
        <v>880</v>
      </c>
    </row>
    <row r="1532" spans="6:25" x14ac:dyDescent="0.25">
      <c r="F1532" s="76" t="s">
        <v>150</v>
      </c>
      <c r="G1532" s="77" t="s">
        <v>184</v>
      </c>
      <c r="H1532" s="77" t="s">
        <v>153</v>
      </c>
      <c r="I1532" s="86">
        <v>41977</v>
      </c>
      <c r="J1532" s="78">
        <v>1053</v>
      </c>
      <c r="K1532" s="132" t="s">
        <v>20</v>
      </c>
      <c r="L1532" s="132" t="s">
        <v>235</v>
      </c>
      <c r="M1532" s="132" t="s">
        <v>234</v>
      </c>
      <c r="N1532" s="133">
        <v>41770</v>
      </c>
      <c r="O1532" s="134">
        <v>760</v>
      </c>
      <c r="P1532" s="132" t="s">
        <v>151</v>
      </c>
      <c r="Q1532" s="132" t="s">
        <v>300</v>
      </c>
      <c r="R1532" s="132" t="s">
        <v>267</v>
      </c>
      <c r="S1532" s="133">
        <v>41774</v>
      </c>
      <c r="T1532" s="134">
        <v>1167.0999999999999</v>
      </c>
      <c r="U1532" s="132" t="s">
        <v>154</v>
      </c>
      <c r="V1532" s="132" t="s">
        <v>194</v>
      </c>
      <c r="W1532" s="132" t="s">
        <v>153</v>
      </c>
      <c r="X1532" s="133">
        <v>41986</v>
      </c>
      <c r="Y1532" s="134">
        <v>503</v>
      </c>
    </row>
    <row r="1533" spans="6:25" x14ac:dyDescent="0.25">
      <c r="F1533" s="76" t="s">
        <v>150</v>
      </c>
      <c r="G1533" s="77" t="s">
        <v>184</v>
      </c>
      <c r="H1533" s="77" t="s">
        <v>153</v>
      </c>
      <c r="I1533" s="86">
        <v>41978</v>
      </c>
      <c r="J1533" s="78">
        <v>1025</v>
      </c>
      <c r="K1533" s="132" t="s">
        <v>20</v>
      </c>
      <c r="L1533" s="132" t="s">
        <v>235</v>
      </c>
      <c r="M1533" s="132" t="s">
        <v>234</v>
      </c>
      <c r="N1533" s="133">
        <v>41777</v>
      </c>
      <c r="O1533" s="134">
        <v>1382</v>
      </c>
      <c r="P1533" s="132" t="s">
        <v>151</v>
      </c>
      <c r="Q1533" s="132" t="s">
        <v>300</v>
      </c>
      <c r="R1533" s="132" t="s">
        <v>267</v>
      </c>
      <c r="S1533" s="133">
        <v>41795</v>
      </c>
      <c r="T1533" s="134">
        <v>381.4</v>
      </c>
      <c r="U1533" s="132" t="s">
        <v>154</v>
      </c>
      <c r="V1533" s="132" t="s">
        <v>194</v>
      </c>
      <c r="W1533" s="132" t="s">
        <v>153</v>
      </c>
      <c r="X1533" s="133">
        <v>41987</v>
      </c>
      <c r="Y1533" s="134">
        <v>272</v>
      </c>
    </row>
    <row r="1534" spans="6:25" x14ac:dyDescent="0.25">
      <c r="F1534" s="76" t="s">
        <v>150</v>
      </c>
      <c r="G1534" s="77" t="s">
        <v>184</v>
      </c>
      <c r="H1534" s="77" t="s">
        <v>153</v>
      </c>
      <c r="I1534" s="86">
        <v>41979</v>
      </c>
      <c r="J1534" s="78">
        <v>1082</v>
      </c>
      <c r="K1534" s="132" t="s">
        <v>20</v>
      </c>
      <c r="L1534" s="132" t="s">
        <v>235</v>
      </c>
      <c r="M1534" s="132" t="s">
        <v>234</v>
      </c>
      <c r="N1534" s="133">
        <v>41788</v>
      </c>
      <c r="O1534" s="134">
        <v>1875</v>
      </c>
      <c r="P1534" s="132" t="s">
        <v>151</v>
      </c>
      <c r="Q1534" s="132" t="s">
        <v>300</v>
      </c>
      <c r="R1534" s="132" t="s">
        <v>267</v>
      </c>
      <c r="S1534" s="133">
        <v>41799</v>
      </c>
      <c r="T1534" s="134">
        <v>1068.7</v>
      </c>
      <c r="U1534" s="132" t="s">
        <v>154</v>
      </c>
      <c r="V1534" s="132" t="s">
        <v>194</v>
      </c>
      <c r="W1534" s="132" t="s">
        <v>153</v>
      </c>
      <c r="X1534" s="133">
        <v>41988</v>
      </c>
      <c r="Y1534" s="134">
        <v>655</v>
      </c>
    </row>
    <row r="1535" spans="6:25" x14ac:dyDescent="0.25">
      <c r="F1535" s="76" t="s">
        <v>150</v>
      </c>
      <c r="G1535" s="77" t="s">
        <v>184</v>
      </c>
      <c r="H1535" s="77" t="s">
        <v>153</v>
      </c>
      <c r="I1535" s="86">
        <v>41980</v>
      </c>
      <c r="J1535" s="78">
        <v>980</v>
      </c>
      <c r="K1535" s="132" t="s">
        <v>20</v>
      </c>
      <c r="L1535" s="132" t="s">
        <v>235</v>
      </c>
      <c r="M1535" s="132" t="s">
        <v>234</v>
      </c>
      <c r="N1535" s="133">
        <v>41797</v>
      </c>
      <c r="O1535" s="134">
        <v>563</v>
      </c>
      <c r="P1535" s="132" t="s">
        <v>151</v>
      </c>
      <c r="Q1535" s="132" t="s">
        <v>300</v>
      </c>
      <c r="R1535" s="132" t="s">
        <v>267</v>
      </c>
      <c r="S1535" s="133">
        <v>41801</v>
      </c>
      <c r="T1535" s="134">
        <v>1222.5999999999999</v>
      </c>
      <c r="U1535" s="132" t="s">
        <v>154</v>
      </c>
      <c r="V1535" s="132" t="s">
        <v>194</v>
      </c>
      <c r="W1535" s="132" t="s">
        <v>153</v>
      </c>
      <c r="X1535" s="133">
        <v>41989</v>
      </c>
      <c r="Y1535" s="134">
        <v>668</v>
      </c>
    </row>
    <row r="1536" spans="6:25" x14ac:dyDescent="0.25">
      <c r="F1536" s="76" t="s">
        <v>150</v>
      </c>
      <c r="G1536" s="77" t="s">
        <v>184</v>
      </c>
      <c r="H1536" s="77" t="s">
        <v>153</v>
      </c>
      <c r="I1536" s="86">
        <v>41981</v>
      </c>
      <c r="J1536" s="78">
        <v>951</v>
      </c>
      <c r="K1536" s="132" t="s">
        <v>20</v>
      </c>
      <c r="L1536" s="132" t="s">
        <v>235</v>
      </c>
      <c r="M1536" s="132" t="s">
        <v>234</v>
      </c>
      <c r="N1536" s="133">
        <v>41809</v>
      </c>
      <c r="O1536" s="134">
        <v>1600</v>
      </c>
      <c r="P1536" s="132" t="s">
        <v>151</v>
      </c>
      <c r="Q1536" s="132" t="s">
        <v>300</v>
      </c>
      <c r="R1536" s="132" t="s">
        <v>267</v>
      </c>
      <c r="S1536" s="133">
        <v>41802</v>
      </c>
      <c r="T1536" s="134">
        <v>879.1</v>
      </c>
      <c r="U1536" s="132" t="s">
        <v>154</v>
      </c>
      <c r="V1536" s="132" t="s">
        <v>194</v>
      </c>
      <c r="W1536" s="132" t="s">
        <v>153</v>
      </c>
      <c r="X1536" s="133">
        <v>41990</v>
      </c>
      <c r="Y1536" s="134">
        <v>892</v>
      </c>
    </row>
    <row r="1537" spans="6:25" x14ac:dyDescent="0.25">
      <c r="F1537" s="76" t="s">
        <v>150</v>
      </c>
      <c r="G1537" s="77" t="s">
        <v>184</v>
      </c>
      <c r="H1537" s="77" t="s">
        <v>153</v>
      </c>
      <c r="I1537" s="86">
        <v>41983</v>
      </c>
      <c r="J1537" s="78">
        <v>991</v>
      </c>
      <c r="K1537" s="132" t="s">
        <v>20</v>
      </c>
      <c r="L1537" s="132" t="s">
        <v>235</v>
      </c>
      <c r="M1537" s="132" t="s">
        <v>234</v>
      </c>
      <c r="N1537" s="133">
        <v>41823</v>
      </c>
      <c r="O1537" s="134">
        <v>1568</v>
      </c>
      <c r="P1537" s="132" t="s">
        <v>151</v>
      </c>
      <c r="Q1537" s="132" t="s">
        <v>300</v>
      </c>
      <c r="R1537" s="132" t="s">
        <v>267</v>
      </c>
      <c r="S1537" s="133">
        <v>41809</v>
      </c>
      <c r="T1537" s="134">
        <v>876.9</v>
      </c>
      <c r="U1537" s="132" t="s">
        <v>154</v>
      </c>
      <c r="V1537" s="132" t="s">
        <v>169</v>
      </c>
      <c r="W1537" s="132" t="s">
        <v>153</v>
      </c>
      <c r="X1537" s="133">
        <v>41279</v>
      </c>
      <c r="Y1537" s="134">
        <v>260</v>
      </c>
    </row>
    <row r="1538" spans="6:25" x14ac:dyDescent="0.25">
      <c r="F1538" s="76" t="s">
        <v>150</v>
      </c>
      <c r="G1538" s="77" t="s">
        <v>184</v>
      </c>
      <c r="H1538" s="77" t="s">
        <v>153</v>
      </c>
      <c r="I1538" s="86">
        <v>41983</v>
      </c>
      <c r="J1538" s="78">
        <v>501</v>
      </c>
      <c r="K1538" s="132" t="s">
        <v>20</v>
      </c>
      <c r="L1538" s="132" t="s">
        <v>235</v>
      </c>
      <c r="M1538" s="132" t="s">
        <v>234</v>
      </c>
      <c r="N1538" s="133">
        <v>41833</v>
      </c>
      <c r="O1538" s="134">
        <v>1103</v>
      </c>
      <c r="P1538" s="132" t="s">
        <v>151</v>
      </c>
      <c r="Q1538" s="132" t="s">
        <v>300</v>
      </c>
      <c r="R1538" s="132" t="s">
        <v>267</v>
      </c>
      <c r="S1538" s="133">
        <v>41950</v>
      </c>
      <c r="T1538" s="134">
        <v>256.7</v>
      </c>
      <c r="U1538" s="132" t="s">
        <v>154</v>
      </c>
      <c r="V1538" s="132" t="s">
        <v>169</v>
      </c>
      <c r="W1538" s="132" t="s">
        <v>153</v>
      </c>
      <c r="X1538" s="133">
        <v>41279</v>
      </c>
      <c r="Y1538" s="134">
        <v>403</v>
      </c>
    </row>
    <row r="1539" spans="6:25" x14ac:dyDescent="0.25">
      <c r="F1539" s="76" t="s">
        <v>150</v>
      </c>
      <c r="G1539" s="77" t="s">
        <v>184</v>
      </c>
      <c r="H1539" s="77" t="s">
        <v>153</v>
      </c>
      <c r="I1539" s="86">
        <v>41983</v>
      </c>
      <c r="J1539" s="78">
        <v>546</v>
      </c>
      <c r="K1539" s="132" t="s">
        <v>20</v>
      </c>
      <c r="L1539" s="132" t="s">
        <v>235</v>
      </c>
      <c r="M1539" s="132" t="s">
        <v>234</v>
      </c>
      <c r="N1539" s="133">
        <v>41846</v>
      </c>
      <c r="O1539" s="134">
        <v>1503</v>
      </c>
      <c r="P1539" s="132" t="s">
        <v>151</v>
      </c>
      <c r="Q1539" s="132" t="s">
        <v>300</v>
      </c>
      <c r="R1539" s="132" t="s">
        <v>267</v>
      </c>
      <c r="S1539" s="133">
        <v>41967</v>
      </c>
      <c r="T1539" s="134">
        <v>389.6</v>
      </c>
      <c r="U1539" s="132" t="s">
        <v>154</v>
      </c>
      <c r="V1539" s="132" t="s">
        <v>169</v>
      </c>
      <c r="W1539" s="132" t="s">
        <v>153</v>
      </c>
      <c r="X1539" s="133">
        <v>41635</v>
      </c>
      <c r="Y1539" s="134">
        <v>629</v>
      </c>
    </row>
    <row r="1540" spans="6:25" x14ac:dyDescent="0.25">
      <c r="F1540" s="76" t="s">
        <v>150</v>
      </c>
      <c r="G1540" s="77" t="s">
        <v>184</v>
      </c>
      <c r="H1540" s="77" t="s">
        <v>153</v>
      </c>
      <c r="I1540" s="86">
        <v>41984</v>
      </c>
      <c r="J1540" s="78">
        <v>623</v>
      </c>
      <c r="K1540" s="132" t="s">
        <v>20</v>
      </c>
      <c r="L1540" s="132" t="s">
        <v>235</v>
      </c>
      <c r="M1540" s="132" t="s">
        <v>234</v>
      </c>
      <c r="N1540" s="133">
        <v>41861</v>
      </c>
      <c r="O1540" s="134">
        <v>1593</v>
      </c>
      <c r="P1540" s="132" t="s">
        <v>151</v>
      </c>
      <c r="Q1540" s="132" t="s">
        <v>301</v>
      </c>
      <c r="R1540" s="132" t="s">
        <v>267</v>
      </c>
      <c r="S1540" s="133">
        <v>41655</v>
      </c>
      <c r="T1540" s="134">
        <v>635.9</v>
      </c>
      <c r="U1540" s="132" t="s">
        <v>154</v>
      </c>
      <c r="V1540" s="132" t="s">
        <v>169</v>
      </c>
      <c r="W1540" s="132" t="s">
        <v>153</v>
      </c>
      <c r="X1540" s="133">
        <v>41635</v>
      </c>
      <c r="Y1540" s="134">
        <v>285</v>
      </c>
    </row>
    <row r="1541" spans="6:25" x14ac:dyDescent="0.25">
      <c r="F1541" s="76" t="s">
        <v>150</v>
      </c>
      <c r="G1541" s="77" t="s">
        <v>184</v>
      </c>
      <c r="H1541" s="77" t="s">
        <v>153</v>
      </c>
      <c r="I1541" s="86">
        <v>41986</v>
      </c>
      <c r="J1541" s="78">
        <v>1199</v>
      </c>
      <c r="K1541" s="132" t="s">
        <v>20</v>
      </c>
      <c r="L1541" s="132" t="s">
        <v>235</v>
      </c>
      <c r="M1541" s="132" t="s">
        <v>234</v>
      </c>
      <c r="N1541" s="133">
        <v>41870</v>
      </c>
      <c r="O1541" s="134">
        <v>1211</v>
      </c>
      <c r="P1541" s="132" t="s">
        <v>151</v>
      </c>
      <c r="Q1541" s="132" t="s">
        <v>301</v>
      </c>
      <c r="R1541" s="132" t="s">
        <v>267</v>
      </c>
      <c r="S1541" s="133">
        <v>41656</v>
      </c>
      <c r="T1541" s="134">
        <v>732.4</v>
      </c>
      <c r="U1541" s="132" t="s">
        <v>154</v>
      </c>
      <c r="V1541" s="132" t="s">
        <v>169</v>
      </c>
      <c r="W1541" s="132" t="s">
        <v>153</v>
      </c>
      <c r="X1541" s="133">
        <v>41637</v>
      </c>
      <c r="Y1541" s="134">
        <v>724</v>
      </c>
    </row>
    <row r="1542" spans="6:25" x14ac:dyDescent="0.25">
      <c r="F1542" s="76" t="s">
        <v>150</v>
      </c>
      <c r="G1542" s="77" t="s">
        <v>184</v>
      </c>
      <c r="H1542" s="77" t="s">
        <v>153</v>
      </c>
      <c r="I1542" s="86">
        <v>41986</v>
      </c>
      <c r="J1542" s="78">
        <v>885</v>
      </c>
      <c r="K1542" s="132" t="s">
        <v>20</v>
      </c>
      <c r="L1542" s="132" t="s">
        <v>235</v>
      </c>
      <c r="M1542" s="132" t="s">
        <v>234</v>
      </c>
      <c r="N1542" s="133">
        <v>41884</v>
      </c>
      <c r="O1542" s="134">
        <v>1411</v>
      </c>
      <c r="P1542" s="132" t="s">
        <v>151</v>
      </c>
      <c r="Q1542" s="132" t="s">
        <v>301</v>
      </c>
      <c r="R1542" s="132" t="s">
        <v>267</v>
      </c>
      <c r="S1542" s="133">
        <v>41659</v>
      </c>
      <c r="T1542" s="134">
        <v>437.3</v>
      </c>
      <c r="U1542" s="132" t="s">
        <v>154</v>
      </c>
      <c r="V1542" s="132" t="s">
        <v>169</v>
      </c>
      <c r="W1542" s="132" t="s">
        <v>153</v>
      </c>
      <c r="X1542" s="133">
        <v>41638</v>
      </c>
      <c r="Y1542" s="134">
        <v>820</v>
      </c>
    </row>
    <row r="1543" spans="6:25" x14ac:dyDescent="0.25">
      <c r="F1543" s="76" t="s">
        <v>150</v>
      </c>
      <c r="G1543" s="77" t="s">
        <v>184</v>
      </c>
      <c r="H1543" s="77" t="s">
        <v>153</v>
      </c>
      <c r="I1543" s="86">
        <v>41990</v>
      </c>
      <c r="J1543" s="78">
        <v>792</v>
      </c>
      <c r="K1543" s="132" t="s">
        <v>20</v>
      </c>
      <c r="L1543" s="132" t="s">
        <v>235</v>
      </c>
      <c r="M1543" s="132" t="s">
        <v>234</v>
      </c>
      <c r="N1543" s="133">
        <v>41886</v>
      </c>
      <c r="O1543" s="134">
        <v>438</v>
      </c>
      <c r="P1543" s="132" t="s">
        <v>151</v>
      </c>
      <c r="Q1543" s="132" t="s">
        <v>301</v>
      </c>
      <c r="R1543" s="132" t="s">
        <v>267</v>
      </c>
      <c r="S1543" s="133">
        <v>41660</v>
      </c>
      <c r="T1543" s="134">
        <v>772.3</v>
      </c>
      <c r="U1543" s="132" t="s">
        <v>154</v>
      </c>
      <c r="V1543" s="132" t="s">
        <v>169</v>
      </c>
      <c r="W1543" s="132" t="s">
        <v>153</v>
      </c>
      <c r="X1543" s="133">
        <v>41638</v>
      </c>
      <c r="Y1543" s="134">
        <v>307</v>
      </c>
    </row>
    <row r="1544" spans="6:25" x14ac:dyDescent="0.25">
      <c r="F1544" s="76" t="s">
        <v>150</v>
      </c>
      <c r="G1544" s="77" t="s">
        <v>184</v>
      </c>
      <c r="H1544" s="77" t="s">
        <v>153</v>
      </c>
      <c r="I1544" s="86">
        <v>41991</v>
      </c>
      <c r="J1544" s="78">
        <v>429</v>
      </c>
      <c r="K1544" s="132" t="s">
        <v>20</v>
      </c>
      <c r="L1544" s="132" t="s">
        <v>235</v>
      </c>
      <c r="M1544" s="132" t="s">
        <v>234</v>
      </c>
      <c r="N1544" s="133">
        <v>41896</v>
      </c>
      <c r="O1544" s="134">
        <v>1900</v>
      </c>
      <c r="P1544" s="132" t="s">
        <v>151</v>
      </c>
      <c r="Q1544" s="132" t="s">
        <v>301</v>
      </c>
      <c r="R1544" s="132" t="s">
        <v>267</v>
      </c>
      <c r="S1544" s="133">
        <v>41661</v>
      </c>
      <c r="T1544" s="134">
        <v>868.1</v>
      </c>
      <c r="U1544" s="132" t="s">
        <v>154</v>
      </c>
      <c r="V1544" s="132" t="s">
        <v>169</v>
      </c>
      <c r="W1544" s="132" t="s">
        <v>153</v>
      </c>
      <c r="X1544" s="133">
        <v>41639</v>
      </c>
      <c r="Y1544" s="134">
        <v>800</v>
      </c>
    </row>
    <row r="1545" spans="6:25" x14ac:dyDescent="0.25">
      <c r="F1545" s="76" t="s">
        <v>150</v>
      </c>
      <c r="G1545" s="77" t="s">
        <v>184</v>
      </c>
      <c r="H1545" s="77" t="s">
        <v>153</v>
      </c>
      <c r="I1545" s="86">
        <v>41992</v>
      </c>
      <c r="J1545" s="78">
        <v>970</v>
      </c>
      <c r="K1545" s="132" t="s">
        <v>20</v>
      </c>
      <c r="L1545" s="132" t="s">
        <v>235</v>
      </c>
      <c r="M1545" s="132" t="s">
        <v>234</v>
      </c>
      <c r="N1545" s="133">
        <v>41928</v>
      </c>
      <c r="O1545" s="134">
        <v>1366</v>
      </c>
      <c r="P1545" s="132" t="s">
        <v>151</v>
      </c>
      <c r="Q1545" s="132" t="s">
        <v>301</v>
      </c>
      <c r="R1545" s="132" t="s">
        <v>267</v>
      </c>
      <c r="S1545" s="133">
        <v>41662</v>
      </c>
      <c r="T1545" s="134">
        <v>1254.2</v>
      </c>
      <c r="U1545" s="132" t="s">
        <v>154</v>
      </c>
      <c r="V1545" s="132" t="s">
        <v>169</v>
      </c>
      <c r="W1545" s="132" t="s">
        <v>153</v>
      </c>
      <c r="X1545" s="133">
        <v>41640</v>
      </c>
      <c r="Y1545" s="134">
        <v>420</v>
      </c>
    </row>
    <row r="1546" spans="6:25" x14ac:dyDescent="0.25">
      <c r="F1546" s="76" t="s">
        <v>150</v>
      </c>
      <c r="G1546" s="77" t="s">
        <v>184</v>
      </c>
      <c r="H1546" s="77" t="s">
        <v>153</v>
      </c>
      <c r="I1546" s="86">
        <v>41996</v>
      </c>
      <c r="J1546" s="78">
        <v>454</v>
      </c>
      <c r="K1546" s="132" t="s">
        <v>20</v>
      </c>
      <c r="L1546" s="132" t="s">
        <v>235</v>
      </c>
      <c r="M1546" s="132" t="s">
        <v>234</v>
      </c>
      <c r="N1546" s="133">
        <v>41933</v>
      </c>
      <c r="O1546" s="134">
        <v>1578</v>
      </c>
      <c r="P1546" s="132" t="s">
        <v>151</v>
      </c>
      <c r="Q1546" s="132" t="s">
        <v>301</v>
      </c>
      <c r="R1546" s="132" t="s">
        <v>267</v>
      </c>
      <c r="S1546" s="133">
        <v>41663</v>
      </c>
      <c r="T1546" s="134">
        <v>1135.0999999999999</v>
      </c>
      <c r="U1546" s="132" t="s">
        <v>154</v>
      </c>
      <c r="V1546" s="132" t="s">
        <v>169</v>
      </c>
      <c r="W1546" s="132" t="s">
        <v>153</v>
      </c>
      <c r="X1546" s="133">
        <v>41641</v>
      </c>
      <c r="Y1546" s="134">
        <v>804</v>
      </c>
    </row>
    <row r="1547" spans="6:25" x14ac:dyDescent="0.25">
      <c r="F1547" s="76" t="s">
        <v>150</v>
      </c>
      <c r="G1547" s="77" t="s">
        <v>184</v>
      </c>
      <c r="H1547" s="77" t="s">
        <v>153</v>
      </c>
      <c r="I1547" s="86">
        <v>41997</v>
      </c>
      <c r="J1547" s="78">
        <v>549</v>
      </c>
      <c r="K1547" s="132" t="s">
        <v>20</v>
      </c>
      <c r="L1547" s="132" t="s">
        <v>235</v>
      </c>
      <c r="M1547" s="132" t="s">
        <v>234</v>
      </c>
      <c r="N1547" s="133">
        <v>41939</v>
      </c>
      <c r="O1547" s="134">
        <v>1486</v>
      </c>
      <c r="P1547" s="132" t="s">
        <v>151</v>
      </c>
      <c r="Q1547" s="132" t="s">
        <v>301</v>
      </c>
      <c r="R1547" s="132" t="s">
        <v>267</v>
      </c>
      <c r="S1547" s="133">
        <v>41666</v>
      </c>
      <c r="T1547" s="134">
        <v>924.7</v>
      </c>
      <c r="U1547" s="132" t="s">
        <v>154</v>
      </c>
      <c r="V1547" s="132" t="s">
        <v>169</v>
      </c>
      <c r="W1547" s="132" t="s">
        <v>153</v>
      </c>
      <c r="X1547" s="133">
        <v>41642</v>
      </c>
      <c r="Y1547" s="134">
        <v>543</v>
      </c>
    </row>
    <row r="1548" spans="6:25" x14ac:dyDescent="0.25">
      <c r="F1548" s="76" t="s">
        <v>150</v>
      </c>
      <c r="G1548" s="77" t="s">
        <v>184</v>
      </c>
      <c r="H1548" s="77" t="s">
        <v>153</v>
      </c>
      <c r="I1548" s="86">
        <v>41999</v>
      </c>
      <c r="J1548" s="78">
        <v>848</v>
      </c>
      <c r="K1548" s="132" t="s">
        <v>20</v>
      </c>
      <c r="L1548" s="132" t="s">
        <v>235</v>
      </c>
      <c r="M1548" s="132" t="s">
        <v>234</v>
      </c>
      <c r="N1548" s="133">
        <v>41952</v>
      </c>
      <c r="O1548" s="134">
        <v>1513</v>
      </c>
      <c r="P1548" s="132" t="s">
        <v>151</v>
      </c>
      <c r="Q1548" s="132" t="s">
        <v>301</v>
      </c>
      <c r="R1548" s="132" t="s">
        <v>267</v>
      </c>
      <c r="S1548" s="133">
        <v>41667</v>
      </c>
      <c r="T1548" s="134">
        <v>860.7</v>
      </c>
      <c r="U1548" s="132" t="s">
        <v>154</v>
      </c>
      <c r="V1548" s="132" t="s">
        <v>169</v>
      </c>
      <c r="W1548" s="132" t="s">
        <v>153</v>
      </c>
      <c r="X1548" s="133">
        <v>41645</v>
      </c>
      <c r="Y1548" s="134">
        <v>1141</v>
      </c>
    </row>
    <row r="1549" spans="6:25" x14ac:dyDescent="0.25">
      <c r="F1549" s="76" t="s">
        <v>150</v>
      </c>
      <c r="G1549" s="77" t="s">
        <v>185</v>
      </c>
      <c r="H1549" s="77" t="s">
        <v>153</v>
      </c>
      <c r="I1549" s="86">
        <v>41652</v>
      </c>
      <c r="J1549" s="78">
        <v>956</v>
      </c>
      <c r="K1549" s="132" t="s">
        <v>20</v>
      </c>
      <c r="L1549" s="132" t="s">
        <v>235</v>
      </c>
      <c r="M1549" s="132" t="s">
        <v>234</v>
      </c>
      <c r="N1549" s="133">
        <v>41973</v>
      </c>
      <c r="O1549" s="134">
        <v>1169</v>
      </c>
      <c r="P1549" s="132" t="s">
        <v>151</v>
      </c>
      <c r="Q1549" s="132" t="s">
        <v>301</v>
      </c>
      <c r="R1549" s="132" t="s">
        <v>267</v>
      </c>
      <c r="S1549" s="133">
        <v>41668</v>
      </c>
      <c r="T1549" s="134">
        <v>864.5</v>
      </c>
      <c r="U1549" s="132" t="s">
        <v>154</v>
      </c>
      <c r="V1549" s="132" t="s">
        <v>169</v>
      </c>
      <c r="W1549" s="132" t="s">
        <v>153</v>
      </c>
      <c r="X1549" s="133">
        <v>41646</v>
      </c>
      <c r="Y1549" s="134">
        <v>1140</v>
      </c>
    </row>
    <row r="1550" spans="6:25" x14ac:dyDescent="0.25">
      <c r="F1550" s="76" t="s">
        <v>150</v>
      </c>
      <c r="G1550" s="77" t="s">
        <v>185</v>
      </c>
      <c r="H1550" s="77" t="s">
        <v>153</v>
      </c>
      <c r="I1550" s="86">
        <v>41653</v>
      </c>
      <c r="J1550" s="78">
        <v>752</v>
      </c>
      <c r="K1550" s="132" t="s">
        <v>20</v>
      </c>
      <c r="L1550" s="132" t="s">
        <v>235</v>
      </c>
      <c r="M1550" s="132" t="s">
        <v>234</v>
      </c>
      <c r="N1550" s="133">
        <v>41983</v>
      </c>
      <c r="O1550" s="134">
        <v>1551</v>
      </c>
      <c r="P1550" s="132" t="s">
        <v>151</v>
      </c>
      <c r="Q1550" s="132" t="s">
        <v>301</v>
      </c>
      <c r="R1550" s="132" t="s">
        <v>267</v>
      </c>
      <c r="S1550" s="133">
        <v>41669</v>
      </c>
      <c r="T1550" s="134">
        <v>907.2</v>
      </c>
      <c r="U1550" s="132" t="s">
        <v>154</v>
      </c>
      <c r="V1550" s="132" t="s">
        <v>169</v>
      </c>
      <c r="W1550" s="132" t="s">
        <v>153</v>
      </c>
      <c r="X1550" s="133">
        <v>41647</v>
      </c>
      <c r="Y1550" s="134">
        <v>870</v>
      </c>
    </row>
    <row r="1551" spans="6:25" x14ac:dyDescent="0.25">
      <c r="F1551" s="76" t="s">
        <v>150</v>
      </c>
      <c r="G1551" s="77" t="s">
        <v>185</v>
      </c>
      <c r="H1551" s="77" t="s">
        <v>153</v>
      </c>
      <c r="I1551" s="86">
        <v>41655</v>
      </c>
      <c r="J1551" s="78">
        <v>930</v>
      </c>
      <c r="K1551" s="132" t="s">
        <v>20</v>
      </c>
      <c r="L1551" s="132" t="s">
        <v>236</v>
      </c>
      <c r="M1551" s="132" t="s">
        <v>234</v>
      </c>
      <c r="N1551" s="133">
        <v>41648</v>
      </c>
      <c r="O1551" s="134">
        <v>1568</v>
      </c>
      <c r="P1551" s="132" t="s">
        <v>151</v>
      </c>
      <c r="Q1551" s="132" t="s">
        <v>301</v>
      </c>
      <c r="R1551" s="132" t="s">
        <v>267</v>
      </c>
      <c r="S1551" s="133">
        <v>41670</v>
      </c>
      <c r="T1551" s="134">
        <v>701.7</v>
      </c>
      <c r="U1551" s="132" t="s">
        <v>154</v>
      </c>
      <c r="V1551" s="132" t="s">
        <v>169</v>
      </c>
      <c r="W1551" s="132" t="s">
        <v>153</v>
      </c>
      <c r="X1551" s="133">
        <v>41648</v>
      </c>
      <c r="Y1551" s="134">
        <v>608</v>
      </c>
    </row>
    <row r="1552" spans="6:25" x14ac:dyDescent="0.25">
      <c r="F1552" s="76" t="s">
        <v>150</v>
      </c>
      <c r="G1552" s="77" t="s">
        <v>185</v>
      </c>
      <c r="H1552" s="77" t="s">
        <v>153</v>
      </c>
      <c r="I1552" s="86">
        <v>41657</v>
      </c>
      <c r="J1552" s="78">
        <v>358</v>
      </c>
      <c r="K1552" s="132" t="s">
        <v>20</v>
      </c>
      <c r="L1552" s="132" t="s">
        <v>236</v>
      </c>
      <c r="M1552" s="132" t="s">
        <v>234</v>
      </c>
      <c r="N1552" s="133">
        <v>41661</v>
      </c>
      <c r="O1552" s="134">
        <v>1819</v>
      </c>
      <c r="P1552" s="132" t="s">
        <v>151</v>
      </c>
      <c r="Q1552" s="132" t="s">
        <v>301</v>
      </c>
      <c r="R1552" s="132" t="s">
        <v>267</v>
      </c>
      <c r="S1552" s="133">
        <v>41682</v>
      </c>
      <c r="T1552" s="134">
        <v>371.9</v>
      </c>
      <c r="U1552" s="132" t="s">
        <v>154</v>
      </c>
      <c r="V1552" s="132" t="s">
        <v>169</v>
      </c>
      <c r="W1552" s="132" t="s">
        <v>153</v>
      </c>
      <c r="X1552" s="133">
        <v>41648</v>
      </c>
      <c r="Y1552" s="134">
        <v>300</v>
      </c>
    </row>
    <row r="1553" spans="6:25" x14ac:dyDescent="0.25">
      <c r="F1553" s="76" t="s">
        <v>150</v>
      </c>
      <c r="G1553" s="77" t="s">
        <v>185</v>
      </c>
      <c r="H1553" s="77" t="s">
        <v>153</v>
      </c>
      <c r="I1553" s="86">
        <v>41659</v>
      </c>
      <c r="J1553" s="78">
        <v>963</v>
      </c>
      <c r="K1553" s="132" t="s">
        <v>20</v>
      </c>
      <c r="L1553" s="132" t="s">
        <v>236</v>
      </c>
      <c r="M1553" s="132" t="s">
        <v>234</v>
      </c>
      <c r="N1553" s="133">
        <v>41676</v>
      </c>
      <c r="O1553" s="134">
        <v>2111</v>
      </c>
      <c r="P1553" s="132" t="s">
        <v>151</v>
      </c>
      <c r="Q1553" s="132" t="s">
        <v>301</v>
      </c>
      <c r="R1553" s="132" t="s">
        <v>267</v>
      </c>
      <c r="S1553" s="133">
        <v>41683</v>
      </c>
      <c r="T1553" s="134">
        <v>951.3</v>
      </c>
      <c r="U1553" s="132" t="s">
        <v>154</v>
      </c>
      <c r="V1553" s="132" t="s">
        <v>169</v>
      </c>
      <c r="W1553" s="132" t="s">
        <v>153</v>
      </c>
      <c r="X1553" s="133">
        <v>41649</v>
      </c>
      <c r="Y1553" s="134">
        <v>575</v>
      </c>
    </row>
    <row r="1554" spans="6:25" x14ac:dyDescent="0.25">
      <c r="F1554" s="76" t="s">
        <v>150</v>
      </c>
      <c r="G1554" s="77" t="s">
        <v>185</v>
      </c>
      <c r="H1554" s="77" t="s">
        <v>153</v>
      </c>
      <c r="I1554" s="86">
        <v>41661</v>
      </c>
      <c r="J1554" s="78">
        <v>1358</v>
      </c>
      <c r="K1554" s="132" t="s">
        <v>20</v>
      </c>
      <c r="L1554" s="132" t="s">
        <v>236</v>
      </c>
      <c r="M1554" s="132" t="s">
        <v>234</v>
      </c>
      <c r="N1554" s="133">
        <v>41688</v>
      </c>
      <c r="O1554" s="134">
        <v>1811</v>
      </c>
      <c r="P1554" s="132" t="s">
        <v>151</v>
      </c>
      <c r="Q1554" s="132" t="s">
        <v>301</v>
      </c>
      <c r="R1554" s="132" t="s">
        <v>267</v>
      </c>
      <c r="S1554" s="133">
        <v>41684</v>
      </c>
      <c r="T1554" s="134">
        <v>854.9</v>
      </c>
      <c r="U1554" s="132" t="s">
        <v>154</v>
      </c>
      <c r="V1554" s="132" t="s">
        <v>169</v>
      </c>
      <c r="W1554" s="132" t="s">
        <v>153</v>
      </c>
      <c r="X1554" s="133">
        <v>41649</v>
      </c>
      <c r="Y1554" s="134">
        <v>430</v>
      </c>
    </row>
    <row r="1555" spans="6:25" x14ac:dyDescent="0.25">
      <c r="F1555" s="76" t="s">
        <v>150</v>
      </c>
      <c r="G1555" s="77" t="s">
        <v>185</v>
      </c>
      <c r="H1555" s="77" t="s">
        <v>153</v>
      </c>
      <c r="I1555" s="86">
        <v>41663</v>
      </c>
      <c r="J1555" s="78">
        <v>951</v>
      </c>
      <c r="K1555" s="132" t="s">
        <v>20</v>
      </c>
      <c r="L1555" s="132" t="s">
        <v>236</v>
      </c>
      <c r="M1555" s="132" t="s">
        <v>234</v>
      </c>
      <c r="N1555" s="133">
        <v>41704</v>
      </c>
      <c r="O1555" s="134">
        <v>1000</v>
      </c>
      <c r="P1555" s="132" t="s">
        <v>151</v>
      </c>
      <c r="Q1555" s="132" t="s">
        <v>301</v>
      </c>
      <c r="R1555" s="132" t="s">
        <v>267</v>
      </c>
      <c r="S1555" s="133">
        <v>41687</v>
      </c>
      <c r="T1555" s="134">
        <v>664.2</v>
      </c>
      <c r="U1555" s="132" t="s">
        <v>154</v>
      </c>
      <c r="V1555" s="132" t="s">
        <v>169</v>
      </c>
      <c r="W1555" s="132" t="s">
        <v>153</v>
      </c>
      <c r="X1555" s="133">
        <v>41650</v>
      </c>
      <c r="Y1555" s="134">
        <v>435</v>
      </c>
    </row>
    <row r="1556" spans="6:25" x14ac:dyDescent="0.25">
      <c r="F1556" s="76" t="s">
        <v>150</v>
      </c>
      <c r="G1556" s="77" t="s">
        <v>185</v>
      </c>
      <c r="H1556" s="77" t="s">
        <v>153</v>
      </c>
      <c r="I1556" s="86">
        <v>41673</v>
      </c>
      <c r="J1556" s="78">
        <v>1208</v>
      </c>
      <c r="K1556" s="132" t="s">
        <v>20</v>
      </c>
      <c r="L1556" s="132" t="s">
        <v>236</v>
      </c>
      <c r="M1556" s="132" t="s">
        <v>234</v>
      </c>
      <c r="N1556" s="133">
        <v>41711</v>
      </c>
      <c r="O1556" s="134">
        <v>453</v>
      </c>
      <c r="P1556" s="132" t="s">
        <v>151</v>
      </c>
      <c r="Q1556" s="132" t="s">
        <v>301</v>
      </c>
      <c r="R1556" s="132" t="s">
        <v>267</v>
      </c>
      <c r="S1556" s="133">
        <v>41969</v>
      </c>
      <c r="T1556" s="134">
        <v>144.19999999999999</v>
      </c>
      <c r="U1556" s="132" t="s">
        <v>154</v>
      </c>
      <c r="V1556" s="132" t="s">
        <v>169</v>
      </c>
      <c r="W1556" s="132" t="s">
        <v>153</v>
      </c>
      <c r="X1556" s="133">
        <v>41652</v>
      </c>
      <c r="Y1556" s="134">
        <v>759</v>
      </c>
    </row>
    <row r="1557" spans="6:25" x14ac:dyDescent="0.25">
      <c r="F1557" s="76" t="s">
        <v>150</v>
      </c>
      <c r="G1557" s="77" t="s">
        <v>185</v>
      </c>
      <c r="H1557" s="77" t="s">
        <v>153</v>
      </c>
      <c r="I1557" s="86">
        <v>41675</v>
      </c>
      <c r="J1557" s="78">
        <v>1016</v>
      </c>
      <c r="K1557" s="132" t="s">
        <v>20</v>
      </c>
      <c r="L1557" s="132" t="s">
        <v>236</v>
      </c>
      <c r="M1557" s="132" t="s">
        <v>234</v>
      </c>
      <c r="N1557" s="133">
        <v>41725</v>
      </c>
      <c r="O1557" s="134">
        <v>1863</v>
      </c>
      <c r="P1557" s="132" t="s">
        <v>151</v>
      </c>
      <c r="Q1557" s="132" t="s">
        <v>301</v>
      </c>
      <c r="R1557" s="132" t="s">
        <v>267</v>
      </c>
      <c r="S1557" s="133">
        <v>41971</v>
      </c>
      <c r="T1557" s="134">
        <v>594.29999999999995</v>
      </c>
      <c r="U1557" s="132" t="s">
        <v>154</v>
      </c>
      <c r="V1557" s="132" t="s">
        <v>169</v>
      </c>
      <c r="W1557" s="132" t="s">
        <v>153</v>
      </c>
      <c r="X1557" s="133">
        <v>41652</v>
      </c>
      <c r="Y1557" s="134">
        <v>620</v>
      </c>
    </row>
    <row r="1558" spans="6:25" x14ac:dyDescent="0.25">
      <c r="F1558" s="76" t="s">
        <v>150</v>
      </c>
      <c r="G1558" s="77" t="s">
        <v>185</v>
      </c>
      <c r="H1558" s="77" t="s">
        <v>153</v>
      </c>
      <c r="I1558" s="86">
        <v>41675</v>
      </c>
      <c r="J1558" s="78">
        <v>1199</v>
      </c>
      <c r="K1558" s="132" t="s">
        <v>20</v>
      </c>
      <c r="L1558" s="132" t="s">
        <v>236</v>
      </c>
      <c r="M1558" s="132" t="s">
        <v>234</v>
      </c>
      <c r="N1558" s="133">
        <v>41734</v>
      </c>
      <c r="O1558" s="134">
        <v>2064</v>
      </c>
      <c r="P1558" s="132" t="s">
        <v>151</v>
      </c>
      <c r="Q1558" s="132" t="s">
        <v>301</v>
      </c>
      <c r="R1558" s="132" t="s">
        <v>267</v>
      </c>
      <c r="S1558" s="133">
        <v>41974</v>
      </c>
      <c r="T1558" s="134">
        <v>856.7</v>
      </c>
      <c r="U1558" s="132" t="s">
        <v>154</v>
      </c>
      <c r="V1558" s="132" t="s">
        <v>169</v>
      </c>
      <c r="W1558" s="132" t="s">
        <v>153</v>
      </c>
      <c r="X1558" s="133">
        <v>41653</v>
      </c>
      <c r="Y1558" s="134">
        <v>810</v>
      </c>
    </row>
    <row r="1559" spans="6:25" x14ac:dyDescent="0.25">
      <c r="F1559" s="76" t="s">
        <v>150</v>
      </c>
      <c r="G1559" s="77" t="s">
        <v>185</v>
      </c>
      <c r="H1559" s="77" t="s">
        <v>153</v>
      </c>
      <c r="I1559" s="86">
        <v>41677</v>
      </c>
      <c r="J1559" s="78">
        <v>1231</v>
      </c>
      <c r="K1559" s="132" t="s">
        <v>20</v>
      </c>
      <c r="L1559" s="132" t="s">
        <v>236</v>
      </c>
      <c r="M1559" s="132" t="s">
        <v>234</v>
      </c>
      <c r="N1559" s="133">
        <v>41767</v>
      </c>
      <c r="O1559" s="134">
        <v>1311</v>
      </c>
      <c r="P1559" s="132" t="s">
        <v>151</v>
      </c>
      <c r="Q1559" s="132" t="s">
        <v>302</v>
      </c>
      <c r="R1559" s="132" t="s">
        <v>267</v>
      </c>
      <c r="S1559" s="133">
        <v>41638</v>
      </c>
      <c r="T1559" s="134">
        <v>673</v>
      </c>
      <c r="U1559" s="132" t="s">
        <v>154</v>
      </c>
      <c r="V1559" s="132" t="s">
        <v>169</v>
      </c>
      <c r="W1559" s="132" t="s">
        <v>153</v>
      </c>
      <c r="X1559" s="133">
        <v>41654</v>
      </c>
      <c r="Y1559" s="134">
        <v>651</v>
      </c>
    </row>
    <row r="1560" spans="6:25" x14ac:dyDescent="0.25">
      <c r="F1560" s="76" t="s">
        <v>150</v>
      </c>
      <c r="G1560" s="77" t="s">
        <v>185</v>
      </c>
      <c r="H1560" s="77" t="s">
        <v>153</v>
      </c>
      <c r="I1560" s="86">
        <v>41680</v>
      </c>
      <c r="J1560" s="78">
        <v>1320</v>
      </c>
      <c r="K1560" s="132" t="s">
        <v>20</v>
      </c>
      <c r="L1560" s="132" t="s">
        <v>236</v>
      </c>
      <c r="M1560" s="132" t="s">
        <v>234</v>
      </c>
      <c r="N1560" s="133">
        <v>41807</v>
      </c>
      <c r="O1560" s="134">
        <v>1473</v>
      </c>
      <c r="P1560" s="132" t="s">
        <v>151</v>
      </c>
      <c r="Q1560" s="132" t="s">
        <v>302</v>
      </c>
      <c r="R1560" s="132" t="s">
        <v>267</v>
      </c>
      <c r="S1560" s="133">
        <v>41715</v>
      </c>
      <c r="T1560" s="134">
        <v>123.8</v>
      </c>
      <c r="U1560" s="132" t="s">
        <v>154</v>
      </c>
      <c r="V1560" s="132" t="s">
        <v>169</v>
      </c>
      <c r="W1560" s="132" t="s">
        <v>153</v>
      </c>
      <c r="X1560" s="133">
        <v>41655</v>
      </c>
      <c r="Y1560" s="134">
        <v>681</v>
      </c>
    </row>
    <row r="1561" spans="6:25" x14ac:dyDescent="0.25">
      <c r="F1561" s="76" t="s">
        <v>150</v>
      </c>
      <c r="G1561" s="77" t="s">
        <v>185</v>
      </c>
      <c r="H1561" s="77" t="s">
        <v>153</v>
      </c>
      <c r="I1561" s="86">
        <v>41681</v>
      </c>
      <c r="J1561" s="78">
        <v>1152</v>
      </c>
      <c r="K1561" s="132" t="s">
        <v>20</v>
      </c>
      <c r="L1561" s="132" t="s">
        <v>236</v>
      </c>
      <c r="M1561" s="132" t="s">
        <v>234</v>
      </c>
      <c r="N1561" s="133">
        <v>41825</v>
      </c>
      <c r="O1561" s="134">
        <v>1634</v>
      </c>
      <c r="P1561" s="132" t="s">
        <v>151</v>
      </c>
      <c r="Q1561" s="132" t="s">
        <v>302</v>
      </c>
      <c r="R1561" s="132" t="s">
        <v>267</v>
      </c>
      <c r="S1561" s="133">
        <v>41718</v>
      </c>
      <c r="T1561" s="134">
        <v>791.2</v>
      </c>
      <c r="U1561" s="132" t="s">
        <v>154</v>
      </c>
      <c r="V1561" s="132" t="s">
        <v>169</v>
      </c>
      <c r="W1561" s="132" t="s">
        <v>153</v>
      </c>
      <c r="X1561" s="133">
        <v>41656</v>
      </c>
      <c r="Y1561" s="134">
        <v>760</v>
      </c>
    </row>
    <row r="1562" spans="6:25" x14ac:dyDescent="0.25">
      <c r="F1562" s="76" t="s">
        <v>150</v>
      </c>
      <c r="G1562" s="77" t="s">
        <v>185</v>
      </c>
      <c r="H1562" s="77" t="s">
        <v>153</v>
      </c>
      <c r="I1562" s="86">
        <v>41683</v>
      </c>
      <c r="J1562" s="78">
        <v>1438</v>
      </c>
      <c r="K1562" s="132" t="s">
        <v>20</v>
      </c>
      <c r="L1562" s="132" t="s">
        <v>236</v>
      </c>
      <c r="M1562" s="132" t="s">
        <v>234</v>
      </c>
      <c r="N1562" s="133">
        <v>41855</v>
      </c>
      <c r="O1562" s="134">
        <v>1747</v>
      </c>
      <c r="P1562" s="132" t="s">
        <v>151</v>
      </c>
      <c r="Q1562" s="132" t="s">
        <v>302</v>
      </c>
      <c r="R1562" s="132" t="s">
        <v>267</v>
      </c>
      <c r="S1562" s="133">
        <v>41719</v>
      </c>
      <c r="T1562" s="134">
        <v>536.70000000000005</v>
      </c>
      <c r="U1562" s="132" t="s">
        <v>154</v>
      </c>
      <c r="V1562" s="132" t="s">
        <v>169</v>
      </c>
      <c r="W1562" s="132" t="s">
        <v>153</v>
      </c>
      <c r="X1562" s="133">
        <v>41658</v>
      </c>
      <c r="Y1562" s="134">
        <v>445</v>
      </c>
    </row>
    <row r="1563" spans="6:25" x14ac:dyDescent="0.25">
      <c r="F1563" s="76" t="s">
        <v>150</v>
      </c>
      <c r="G1563" s="77" t="s">
        <v>185</v>
      </c>
      <c r="H1563" s="77" t="s">
        <v>153</v>
      </c>
      <c r="I1563" s="86">
        <v>41684</v>
      </c>
      <c r="J1563" s="78">
        <v>433</v>
      </c>
      <c r="K1563" s="132" t="s">
        <v>20</v>
      </c>
      <c r="L1563" s="132" t="s">
        <v>236</v>
      </c>
      <c r="M1563" s="132" t="s">
        <v>234</v>
      </c>
      <c r="N1563" s="133">
        <v>41870</v>
      </c>
      <c r="O1563" s="134">
        <v>1865</v>
      </c>
      <c r="P1563" s="132" t="s">
        <v>151</v>
      </c>
      <c r="Q1563" s="132" t="s">
        <v>302</v>
      </c>
      <c r="R1563" s="132" t="s">
        <v>267</v>
      </c>
      <c r="S1563" s="133">
        <v>41725</v>
      </c>
      <c r="T1563" s="134">
        <v>541.1</v>
      </c>
      <c r="U1563" s="132" t="s">
        <v>154</v>
      </c>
      <c r="V1563" s="132" t="s">
        <v>169</v>
      </c>
      <c r="W1563" s="132" t="s">
        <v>153</v>
      </c>
      <c r="X1563" s="133">
        <v>41659</v>
      </c>
      <c r="Y1563" s="134">
        <v>912</v>
      </c>
    </row>
    <row r="1564" spans="6:25" x14ac:dyDescent="0.25">
      <c r="F1564" s="76" t="s">
        <v>150</v>
      </c>
      <c r="G1564" s="77" t="s">
        <v>185</v>
      </c>
      <c r="H1564" s="77" t="s">
        <v>153</v>
      </c>
      <c r="I1564" s="86">
        <v>41684</v>
      </c>
      <c r="J1564" s="78">
        <v>622</v>
      </c>
      <c r="K1564" s="132" t="s">
        <v>20</v>
      </c>
      <c r="L1564" s="132" t="s">
        <v>236</v>
      </c>
      <c r="M1564" s="132" t="s">
        <v>234</v>
      </c>
      <c r="N1564" s="133">
        <v>41878</v>
      </c>
      <c r="O1564" s="134">
        <v>1086</v>
      </c>
      <c r="P1564" s="132" t="s">
        <v>151</v>
      </c>
      <c r="Q1564" s="132" t="s">
        <v>302</v>
      </c>
      <c r="R1564" s="132" t="s">
        <v>267</v>
      </c>
      <c r="S1564" s="133">
        <v>41753</v>
      </c>
      <c r="T1564" s="134">
        <v>707.1</v>
      </c>
      <c r="U1564" s="132" t="s">
        <v>154</v>
      </c>
      <c r="V1564" s="132" t="s">
        <v>169</v>
      </c>
      <c r="W1564" s="132" t="s">
        <v>153</v>
      </c>
      <c r="X1564" s="133">
        <v>41659</v>
      </c>
      <c r="Y1564" s="134">
        <v>508</v>
      </c>
    </row>
    <row r="1565" spans="6:25" x14ac:dyDescent="0.25">
      <c r="F1565" s="76" t="s">
        <v>150</v>
      </c>
      <c r="G1565" s="77" t="s">
        <v>185</v>
      </c>
      <c r="H1565" s="77" t="s">
        <v>153</v>
      </c>
      <c r="I1565" s="86">
        <v>41688</v>
      </c>
      <c r="J1565" s="78">
        <v>1095</v>
      </c>
      <c r="K1565" s="132" t="s">
        <v>20</v>
      </c>
      <c r="L1565" s="132" t="s">
        <v>236</v>
      </c>
      <c r="M1565" s="132" t="s">
        <v>234</v>
      </c>
      <c r="N1565" s="133">
        <v>41889</v>
      </c>
      <c r="O1565" s="134">
        <v>1933</v>
      </c>
      <c r="P1565" s="132" t="s">
        <v>151</v>
      </c>
      <c r="Q1565" s="132" t="s">
        <v>302</v>
      </c>
      <c r="R1565" s="132" t="s">
        <v>267</v>
      </c>
      <c r="S1565" s="133">
        <v>41764</v>
      </c>
      <c r="T1565" s="134">
        <v>980.3</v>
      </c>
      <c r="U1565" s="132" t="s">
        <v>154</v>
      </c>
      <c r="V1565" s="132" t="s">
        <v>169</v>
      </c>
      <c r="W1565" s="132" t="s">
        <v>153</v>
      </c>
      <c r="X1565" s="133">
        <v>41660</v>
      </c>
      <c r="Y1565" s="134">
        <v>790</v>
      </c>
    </row>
    <row r="1566" spans="6:25" x14ac:dyDescent="0.25">
      <c r="F1566" s="76" t="s">
        <v>150</v>
      </c>
      <c r="G1566" s="77" t="s">
        <v>185</v>
      </c>
      <c r="H1566" s="77" t="s">
        <v>153</v>
      </c>
      <c r="I1566" s="86">
        <v>41690</v>
      </c>
      <c r="J1566" s="78">
        <v>1301</v>
      </c>
      <c r="K1566" s="132" t="s">
        <v>20</v>
      </c>
      <c r="L1566" s="132" t="s">
        <v>236</v>
      </c>
      <c r="M1566" s="132" t="s">
        <v>234</v>
      </c>
      <c r="N1566" s="133">
        <v>41892</v>
      </c>
      <c r="O1566" s="134">
        <v>733</v>
      </c>
      <c r="P1566" s="132" t="s">
        <v>151</v>
      </c>
      <c r="Q1566" s="132" t="s">
        <v>302</v>
      </c>
      <c r="R1566" s="132" t="s">
        <v>267</v>
      </c>
      <c r="S1566" s="133">
        <v>41765</v>
      </c>
      <c r="T1566" s="134">
        <v>894.6</v>
      </c>
      <c r="U1566" s="132" t="s">
        <v>154</v>
      </c>
      <c r="V1566" s="132" t="s">
        <v>169</v>
      </c>
      <c r="W1566" s="132" t="s">
        <v>153</v>
      </c>
      <c r="X1566" s="133">
        <v>41661</v>
      </c>
      <c r="Y1566" s="134">
        <v>755</v>
      </c>
    </row>
    <row r="1567" spans="6:25" x14ac:dyDescent="0.25">
      <c r="F1567" s="76" t="s">
        <v>150</v>
      </c>
      <c r="G1567" s="77" t="s">
        <v>185</v>
      </c>
      <c r="H1567" s="77" t="s">
        <v>153</v>
      </c>
      <c r="I1567" s="86">
        <v>41697</v>
      </c>
      <c r="J1567" s="78">
        <v>1204</v>
      </c>
      <c r="K1567" s="132" t="s">
        <v>20</v>
      </c>
      <c r="L1567" s="132" t="s">
        <v>236</v>
      </c>
      <c r="M1567" s="132" t="s">
        <v>234</v>
      </c>
      <c r="N1567" s="133">
        <v>41903</v>
      </c>
      <c r="O1567" s="134">
        <v>1020</v>
      </c>
      <c r="P1567" s="132" t="s">
        <v>151</v>
      </c>
      <c r="Q1567" s="132" t="s">
        <v>302</v>
      </c>
      <c r="R1567" s="132" t="s">
        <v>267</v>
      </c>
      <c r="S1567" s="133">
        <v>41773</v>
      </c>
      <c r="T1567" s="134">
        <v>506.6</v>
      </c>
      <c r="U1567" s="132" t="s">
        <v>154</v>
      </c>
      <c r="V1567" s="132" t="s">
        <v>169</v>
      </c>
      <c r="W1567" s="132" t="s">
        <v>153</v>
      </c>
      <c r="X1567" s="133">
        <v>41661</v>
      </c>
      <c r="Y1567" s="134">
        <v>650</v>
      </c>
    </row>
    <row r="1568" spans="6:25" x14ac:dyDescent="0.25">
      <c r="F1568" s="76" t="s">
        <v>150</v>
      </c>
      <c r="G1568" s="77" t="s">
        <v>185</v>
      </c>
      <c r="H1568" s="77" t="s">
        <v>153</v>
      </c>
      <c r="I1568" s="86">
        <v>41700</v>
      </c>
      <c r="J1568" s="78">
        <v>568</v>
      </c>
      <c r="K1568" s="132" t="s">
        <v>20</v>
      </c>
      <c r="L1568" s="132" t="s">
        <v>236</v>
      </c>
      <c r="M1568" s="132" t="s">
        <v>234</v>
      </c>
      <c r="N1568" s="133">
        <v>41905</v>
      </c>
      <c r="O1568" s="134">
        <v>700</v>
      </c>
      <c r="P1568" s="132" t="s">
        <v>151</v>
      </c>
      <c r="Q1568" s="132" t="s">
        <v>302</v>
      </c>
      <c r="R1568" s="132" t="s">
        <v>267</v>
      </c>
      <c r="S1568" s="133">
        <v>41774</v>
      </c>
      <c r="T1568" s="134">
        <v>623.4</v>
      </c>
      <c r="U1568" s="132" t="s">
        <v>154</v>
      </c>
      <c r="V1568" s="132" t="s">
        <v>169</v>
      </c>
      <c r="W1568" s="132" t="s">
        <v>153</v>
      </c>
      <c r="X1568" s="133">
        <v>41662</v>
      </c>
      <c r="Y1568" s="134">
        <v>521</v>
      </c>
    </row>
    <row r="1569" spans="6:25" x14ac:dyDescent="0.25">
      <c r="F1569" s="76" t="s">
        <v>150</v>
      </c>
      <c r="G1569" s="77" t="s">
        <v>185</v>
      </c>
      <c r="H1569" s="77" t="s">
        <v>153</v>
      </c>
      <c r="I1569" s="86">
        <v>41701</v>
      </c>
      <c r="J1569" s="78">
        <v>819</v>
      </c>
      <c r="K1569" s="132" t="s">
        <v>20</v>
      </c>
      <c r="L1569" s="132" t="s">
        <v>236</v>
      </c>
      <c r="M1569" s="132" t="s">
        <v>234</v>
      </c>
      <c r="N1569" s="133">
        <v>41963</v>
      </c>
      <c r="O1569" s="134">
        <v>1466</v>
      </c>
      <c r="P1569" s="132" t="s">
        <v>151</v>
      </c>
      <c r="Q1569" s="132" t="s">
        <v>302</v>
      </c>
      <c r="R1569" s="132" t="s">
        <v>267</v>
      </c>
      <c r="S1569" s="133">
        <v>41775</v>
      </c>
      <c r="T1569" s="134">
        <v>667.7</v>
      </c>
      <c r="U1569" s="132" t="s">
        <v>154</v>
      </c>
      <c r="V1569" s="132" t="s">
        <v>169</v>
      </c>
      <c r="W1569" s="132" t="s">
        <v>153</v>
      </c>
      <c r="X1569" s="133">
        <v>41662</v>
      </c>
      <c r="Y1569" s="134">
        <v>620</v>
      </c>
    </row>
    <row r="1570" spans="6:25" x14ac:dyDescent="0.25">
      <c r="F1570" s="76" t="s">
        <v>150</v>
      </c>
      <c r="G1570" s="77" t="s">
        <v>185</v>
      </c>
      <c r="H1570" s="77" t="s">
        <v>153</v>
      </c>
      <c r="I1570" s="86">
        <v>41702</v>
      </c>
      <c r="J1570" s="78">
        <v>925</v>
      </c>
      <c r="K1570" s="132" t="s">
        <v>20</v>
      </c>
      <c r="L1570" s="132" t="s">
        <v>236</v>
      </c>
      <c r="M1570" s="132" t="s">
        <v>234</v>
      </c>
      <c r="N1570" s="133">
        <v>41974</v>
      </c>
      <c r="O1570" s="134">
        <v>1534</v>
      </c>
      <c r="P1570" s="132" t="s">
        <v>151</v>
      </c>
      <c r="Q1570" s="132" t="s">
        <v>302</v>
      </c>
      <c r="R1570" s="132" t="s">
        <v>267</v>
      </c>
      <c r="S1570" s="133">
        <v>41778</v>
      </c>
      <c r="T1570" s="134">
        <v>600.1</v>
      </c>
      <c r="U1570" s="132" t="s">
        <v>154</v>
      </c>
      <c r="V1570" s="132" t="s">
        <v>169</v>
      </c>
      <c r="W1570" s="132" t="s">
        <v>153</v>
      </c>
      <c r="X1570" s="133">
        <v>41663</v>
      </c>
      <c r="Y1570" s="134">
        <v>385</v>
      </c>
    </row>
    <row r="1571" spans="6:25" x14ac:dyDescent="0.25">
      <c r="F1571" s="76" t="s">
        <v>150</v>
      </c>
      <c r="G1571" s="77" t="s">
        <v>185</v>
      </c>
      <c r="H1571" s="77" t="s">
        <v>153</v>
      </c>
      <c r="I1571" s="86">
        <v>41704</v>
      </c>
      <c r="J1571" s="78">
        <v>818</v>
      </c>
      <c r="K1571" s="132" t="s">
        <v>20</v>
      </c>
      <c r="L1571" s="132" t="s">
        <v>236</v>
      </c>
      <c r="M1571" s="132" t="s">
        <v>234</v>
      </c>
      <c r="N1571" s="133">
        <v>41983</v>
      </c>
      <c r="O1571" s="134">
        <v>1670</v>
      </c>
      <c r="P1571" s="132" t="s">
        <v>151</v>
      </c>
      <c r="Q1571" s="132" t="s">
        <v>302</v>
      </c>
      <c r="R1571" s="132" t="s">
        <v>267</v>
      </c>
      <c r="S1571" s="133">
        <v>41779</v>
      </c>
      <c r="T1571" s="134">
        <v>625.4</v>
      </c>
      <c r="U1571" s="132" t="s">
        <v>154</v>
      </c>
      <c r="V1571" s="132" t="s">
        <v>169</v>
      </c>
      <c r="W1571" s="132" t="s">
        <v>153</v>
      </c>
      <c r="X1571" s="133">
        <v>41663</v>
      </c>
      <c r="Y1571" s="134">
        <v>550</v>
      </c>
    </row>
    <row r="1572" spans="6:25" x14ac:dyDescent="0.25">
      <c r="F1572" s="76" t="s">
        <v>150</v>
      </c>
      <c r="G1572" s="77" t="s">
        <v>185</v>
      </c>
      <c r="H1572" s="77" t="s">
        <v>153</v>
      </c>
      <c r="I1572" s="86">
        <v>41708</v>
      </c>
      <c r="J1572" s="78">
        <v>849</v>
      </c>
      <c r="K1572" s="132" t="s">
        <v>20</v>
      </c>
      <c r="L1572" s="132" t="s">
        <v>236</v>
      </c>
      <c r="M1572" s="132" t="s">
        <v>234</v>
      </c>
      <c r="N1572" s="133">
        <v>41992</v>
      </c>
      <c r="O1572" s="134">
        <v>1926</v>
      </c>
      <c r="P1572" s="132" t="s">
        <v>151</v>
      </c>
      <c r="Q1572" s="132" t="s">
        <v>302</v>
      </c>
      <c r="R1572" s="132" t="s">
        <v>267</v>
      </c>
      <c r="S1572" s="133">
        <v>41933</v>
      </c>
      <c r="T1572" s="134">
        <v>400.6</v>
      </c>
      <c r="U1572" s="132" t="s">
        <v>154</v>
      </c>
      <c r="V1572" s="132" t="s">
        <v>169</v>
      </c>
      <c r="W1572" s="132" t="s">
        <v>153</v>
      </c>
      <c r="X1572" s="133">
        <v>41665</v>
      </c>
      <c r="Y1572" s="134">
        <v>844</v>
      </c>
    </row>
    <row r="1573" spans="6:25" x14ac:dyDescent="0.25">
      <c r="F1573" s="76" t="s">
        <v>150</v>
      </c>
      <c r="G1573" s="77" t="s">
        <v>185</v>
      </c>
      <c r="H1573" s="77" t="s">
        <v>153</v>
      </c>
      <c r="I1573" s="86">
        <v>41710</v>
      </c>
      <c r="J1573" s="78">
        <v>703</v>
      </c>
      <c r="K1573" s="132" t="s">
        <v>20</v>
      </c>
      <c r="L1573" s="132" t="s">
        <v>236</v>
      </c>
      <c r="M1573" s="132" t="s">
        <v>234</v>
      </c>
      <c r="N1573" s="133">
        <v>41999</v>
      </c>
      <c r="O1573" s="134">
        <v>1091</v>
      </c>
      <c r="P1573" s="132" t="s">
        <v>151</v>
      </c>
      <c r="Q1573" s="132" t="s">
        <v>302</v>
      </c>
      <c r="R1573" s="132" t="s">
        <v>267</v>
      </c>
      <c r="S1573" s="133">
        <v>41946</v>
      </c>
      <c r="T1573" s="134">
        <v>379.8</v>
      </c>
      <c r="U1573" s="132" t="s">
        <v>154</v>
      </c>
      <c r="V1573" s="132" t="s">
        <v>169</v>
      </c>
      <c r="W1573" s="132" t="s">
        <v>153</v>
      </c>
      <c r="X1573" s="133">
        <v>41666</v>
      </c>
      <c r="Y1573" s="134">
        <v>780</v>
      </c>
    </row>
    <row r="1574" spans="6:25" x14ac:dyDescent="0.25">
      <c r="F1574" s="76" t="s">
        <v>150</v>
      </c>
      <c r="G1574" s="77" t="s">
        <v>185</v>
      </c>
      <c r="H1574" s="77" t="s">
        <v>153</v>
      </c>
      <c r="I1574" s="86">
        <v>41712</v>
      </c>
      <c r="J1574" s="78">
        <v>895</v>
      </c>
      <c r="K1574" s="132" t="s">
        <v>20</v>
      </c>
      <c r="L1574" s="132" t="s">
        <v>237</v>
      </c>
      <c r="M1574" s="132" t="s">
        <v>234</v>
      </c>
      <c r="N1574" s="133">
        <v>41673</v>
      </c>
      <c r="O1574" s="134">
        <v>1338</v>
      </c>
      <c r="P1574" s="132" t="s">
        <v>151</v>
      </c>
      <c r="Q1574" s="132" t="s">
        <v>302</v>
      </c>
      <c r="R1574" s="132" t="s">
        <v>267</v>
      </c>
      <c r="S1574" s="133">
        <v>41949</v>
      </c>
      <c r="T1574" s="134">
        <v>98.8</v>
      </c>
      <c r="U1574" s="132" t="s">
        <v>154</v>
      </c>
      <c r="V1574" s="132" t="s">
        <v>169</v>
      </c>
      <c r="W1574" s="132" t="s">
        <v>153</v>
      </c>
      <c r="X1574" s="133">
        <v>41667</v>
      </c>
      <c r="Y1574" s="134">
        <v>790</v>
      </c>
    </row>
    <row r="1575" spans="6:25" x14ac:dyDescent="0.25">
      <c r="F1575" s="76" t="s">
        <v>150</v>
      </c>
      <c r="G1575" s="77" t="s">
        <v>185</v>
      </c>
      <c r="H1575" s="77" t="s">
        <v>153</v>
      </c>
      <c r="I1575" s="86">
        <v>41734</v>
      </c>
      <c r="J1575" s="78">
        <v>1016</v>
      </c>
      <c r="K1575" s="132" t="s">
        <v>20</v>
      </c>
      <c r="L1575" s="132" t="s">
        <v>237</v>
      </c>
      <c r="M1575" s="132" t="s">
        <v>234</v>
      </c>
      <c r="N1575" s="133">
        <v>41685</v>
      </c>
      <c r="O1575" s="134">
        <v>2003</v>
      </c>
      <c r="P1575" s="132" t="s">
        <v>151</v>
      </c>
      <c r="Q1575" s="132" t="s">
        <v>302</v>
      </c>
      <c r="R1575" s="132" t="s">
        <v>267</v>
      </c>
      <c r="S1575" s="133">
        <v>41950</v>
      </c>
      <c r="T1575" s="134">
        <v>647.79999999999995</v>
      </c>
      <c r="U1575" s="132" t="s">
        <v>154</v>
      </c>
      <c r="V1575" s="132" t="s">
        <v>169</v>
      </c>
      <c r="W1575" s="132" t="s">
        <v>153</v>
      </c>
      <c r="X1575" s="133">
        <v>41904</v>
      </c>
      <c r="Y1575" s="134">
        <v>995</v>
      </c>
    </row>
    <row r="1576" spans="6:25" x14ac:dyDescent="0.25">
      <c r="F1576" s="76" t="s">
        <v>150</v>
      </c>
      <c r="G1576" s="77" t="s">
        <v>185</v>
      </c>
      <c r="H1576" s="77" t="s">
        <v>153</v>
      </c>
      <c r="I1576" s="86">
        <v>41734</v>
      </c>
      <c r="J1576" s="78">
        <v>928</v>
      </c>
      <c r="K1576" s="132" t="s">
        <v>20</v>
      </c>
      <c r="L1576" s="132" t="s">
        <v>237</v>
      </c>
      <c r="M1576" s="132" t="s">
        <v>234</v>
      </c>
      <c r="N1576" s="133">
        <v>41693</v>
      </c>
      <c r="O1576" s="134">
        <v>813</v>
      </c>
      <c r="P1576" s="132" t="s">
        <v>151</v>
      </c>
      <c r="Q1576" s="132" t="s">
        <v>303</v>
      </c>
      <c r="R1576" s="132" t="s">
        <v>267</v>
      </c>
      <c r="S1576" s="133">
        <v>41635</v>
      </c>
      <c r="T1576" s="134">
        <v>420.7</v>
      </c>
      <c r="U1576" s="132" t="s">
        <v>154</v>
      </c>
      <c r="V1576" s="132" t="s">
        <v>169</v>
      </c>
      <c r="W1576" s="132" t="s">
        <v>153</v>
      </c>
      <c r="X1576" s="133">
        <v>41905</v>
      </c>
      <c r="Y1576" s="134">
        <v>888</v>
      </c>
    </row>
    <row r="1577" spans="6:25" x14ac:dyDescent="0.25">
      <c r="F1577" s="76" t="s">
        <v>150</v>
      </c>
      <c r="G1577" s="77" t="s">
        <v>185</v>
      </c>
      <c r="H1577" s="77" t="s">
        <v>153</v>
      </c>
      <c r="I1577" s="86">
        <v>41735</v>
      </c>
      <c r="J1577" s="78">
        <v>1267</v>
      </c>
      <c r="K1577" s="132" t="s">
        <v>20</v>
      </c>
      <c r="L1577" s="132" t="s">
        <v>237</v>
      </c>
      <c r="M1577" s="132" t="s">
        <v>234</v>
      </c>
      <c r="N1577" s="133">
        <v>41696</v>
      </c>
      <c r="O1577" s="134">
        <v>1541</v>
      </c>
      <c r="P1577" s="132" t="s">
        <v>151</v>
      </c>
      <c r="Q1577" s="132" t="s">
        <v>303</v>
      </c>
      <c r="R1577" s="132" t="s">
        <v>267</v>
      </c>
      <c r="S1577" s="133">
        <v>41638</v>
      </c>
      <c r="T1577" s="134">
        <v>428.4</v>
      </c>
      <c r="U1577" s="132" t="s">
        <v>154</v>
      </c>
      <c r="V1577" s="132" t="s">
        <v>169</v>
      </c>
      <c r="W1577" s="132" t="s">
        <v>153</v>
      </c>
      <c r="X1577" s="133">
        <v>41906</v>
      </c>
      <c r="Y1577" s="134">
        <v>1085</v>
      </c>
    </row>
    <row r="1578" spans="6:25" x14ac:dyDescent="0.25">
      <c r="F1578" s="76" t="s">
        <v>150</v>
      </c>
      <c r="G1578" s="77" t="s">
        <v>185</v>
      </c>
      <c r="H1578" s="77" t="s">
        <v>153</v>
      </c>
      <c r="I1578" s="86">
        <v>41737</v>
      </c>
      <c r="J1578" s="78">
        <v>1161</v>
      </c>
      <c r="K1578" s="132" t="s">
        <v>20</v>
      </c>
      <c r="L1578" s="132" t="s">
        <v>237</v>
      </c>
      <c r="M1578" s="132" t="s">
        <v>234</v>
      </c>
      <c r="N1578" s="133">
        <v>41725</v>
      </c>
      <c r="O1578" s="134">
        <v>1730</v>
      </c>
      <c r="P1578" s="132" t="s">
        <v>151</v>
      </c>
      <c r="Q1578" s="132" t="s">
        <v>303</v>
      </c>
      <c r="R1578" s="132" t="s">
        <v>267</v>
      </c>
      <c r="S1578" s="133">
        <v>41639</v>
      </c>
      <c r="T1578" s="134">
        <v>438.4</v>
      </c>
      <c r="U1578" s="132" t="s">
        <v>154</v>
      </c>
      <c r="V1578" s="132" t="s">
        <v>199</v>
      </c>
      <c r="W1578" s="132" t="s">
        <v>158</v>
      </c>
      <c r="X1578" s="133">
        <v>41709</v>
      </c>
      <c r="Y1578" s="134">
        <v>718</v>
      </c>
    </row>
    <row r="1579" spans="6:25" x14ac:dyDescent="0.25">
      <c r="F1579" s="76" t="s">
        <v>150</v>
      </c>
      <c r="G1579" s="77" t="s">
        <v>185</v>
      </c>
      <c r="H1579" s="77" t="s">
        <v>153</v>
      </c>
      <c r="I1579" s="86">
        <v>41739</v>
      </c>
      <c r="J1579" s="78">
        <v>1121</v>
      </c>
      <c r="K1579" s="132" t="s">
        <v>20</v>
      </c>
      <c r="L1579" s="132" t="s">
        <v>237</v>
      </c>
      <c r="M1579" s="132" t="s">
        <v>234</v>
      </c>
      <c r="N1579" s="133">
        <v>41735</v>
      </c>
      <c r="O1579" s="134">
        <v>1524</v>
      </c>
      <c r="P1579" s="132" t="s">
        <v>151</v>
      </c>
      <c r="Q1579" s="132" t="s">
        <v>303</v>
      </c>
      <c r="R1579" s="132" t="s">
        <v>267</v>
      </c>
      <c r="S1579" s="133">
        <v>41666</v>
      </c>
      <c r="T1579" s="134">
        <v>296.5</v>
      </c>
      <c r="U1579" s="132" t="s">
        <v>154</v>
      </c>
      <c r="V1579" s="132" t="s">
        <v>208</v>
      </c>
      <c r="W1579" s="132" t="s">
        <v>174</v>
      </c>
      <c r="X1579" s="133">
        <v>41673</v>
      </c>
      <c r="Y1579" s="134">
        <v>650</v>
      </c>
    </row>
    <row r="1580" spans="6:25" x14ac:dyDescent="0.25">
      <c r="F1580" s="76" t="s">
        <v>150</v>
      </c>
      <c r="G1580" s="77" t="s">
        <v>185</v>
      </c>
      <c r="H1580" s="77" t="s">
        <v>153</v>
      </c>
      <c r="I1580" s="86">
        <v>41740</v>
      </c>
      <c r="J1580" s="78">
        <v>319</v>
      </c>
      <c r="K1580" s="132" t="s">
        <v>20</v>
      </c>
      <c r="L1580" s="132" t="s">
        <v>237</v>
      </c>
      <c r="M1580" s="132" t="s">
        <v>234</v>
      </c>
      <c r="N1580" s="133">
        <v>41747</v>
      </c>
      <c r="O1580" s="134">
        <v>1683</v>
      </c>
      <c r="P1580" s="132" t="s">
        <v>151</v>
      </c>
      <c r="Q1580" s="132" t="s">
        <v>303</v>
      </c>
      <c r="R1580" s="132" t="s">
        <v>267</v>
      </c>
      <c r="S1580" s="133">
        <v>41669</v>
      </c>
      <c r="T1580" s="134">
        <v>410.8</v>
      </c>
      <c r="U1580" s="132" t="s">
        <v>154</v>
      </c>
      <c r="V1580" s="132" t="s">
        <v>208</v>
      </c>
      <c r="W1580" s="132" t="s">
        <v>174</v>
      </c>
      <c r="X1580" s="133">
        <v>41709</v>
      </c>
      <c r="Y1580" s="134">
        <v>965</v>
      </c>
    </row>
    <row r="1581" spans="6:25" x14ac:dyDescent="0.25">
      <c r="F1581" s="76" t="s">
        <v>150</v>
      </c>
      <c r="G1581" s="77" t="s">
        <v>185</v>
      </c>
      <c r="H1581" s="77" t="s">
        <v>153</v>
      </c>
      <c r="I1581" s="86">
        <v>41741</v>
      </c>
      <c r="J1581" s="78">
        <v>523</v>
      </c>
      <c r="K1581" s="132" t="s">
        <v>20</v>
      </c>
      <c r="L1581" s="132" t="s">
        <v>237</v>
      </c>
      <c r="M1581" s="132" t="s">
        <v>234</v>
      </c>
      <c r="N1581" s="133">
        <v>41758</v>
      </c>
      <c r="O1581" s="134">
        <v>1774</v>
      </c>
      <c r="P1581" s="132" t="s">
        <v>151</v>
      </c>
      <c r="Q1581" s="132" t="s">
        <v>303</v>
      </c>
      <c r="R1581" s="132" t="s">
        <v>267</v>
      </c>
      <c r="S1581" s="133">
        <v>41670</v>
      </c>
      <c r="T1581" s="134">
        <v>511.9</v>
      </c>
      <c r="U1581" s="132" t="s">
        <v>154</v>
      </c>
      <c r="V1581" s="132" t="s">
        <v>209</v>
      </c>
      <c r="W1581" s="132" t="s">
        <v>174</v>
      </c>
      <c r="X1581" s="133">
        <v>41673</v>
      </c>
      <c r="Y1581" s="134">
        <v>650</v>
      </c>
    </row>
    <row r="1582" spans="6:25" x14ac:dyDescent="0.25">
      <c r="F1582" s="76" t="s">
        <v>150</v>
      </c>
      <c r="G1582" s="77" t="s">
        <v>185</v>
      </c>
      <c r="H1582" s="77" t="s">
        <v>153</v>
      </c>
      <c r="I1582" s="86">
        <v>41741</v>
      </c>
      <c r="J1582" s="78">
        <v>654</v>
      </c>
      <c r="K1582" s="132" t="s">
        <v>20</v>
      </c>
      <c r="L1582" s="132" t="s">
        <v>237</v>
      </c>
      <c r="M1582" s="132" t="s">
        <v>234</v>
      </c>
      <c r="N1582" s="133">
        <v>41769</v>
      </c>
      <c r="O1582" s="134">
        <v>1097</v>
      </c>
      <c r="P1582" s="132" t="s">
        <v>151</v>
      </c>
      <c r="Q1582" s="132" t="s">
        <v>303</v>
      </c>
      <c r="R1582" s="132" t="s">
        <v>267</v>
      </c>
      <c r="S1582" s="133">
        <v>41673</v>
      </c>
      <c r="T1582" s="134">
        <v>843.6</v>
      </c>
      <c r="U1582" s="132" t="s">
        <v>154</v>
      </c>
      <c r="V1582" s="132" t="s">
        <v>209</v>
      </c>
      <c r="W1582" s="132" t="s">
        <v>174</v>
      </c>
      <c r="X1582" s="133">
        <v>41709</v>
      </c>
      <c r="Y1582" s="134">
        <v>1121</v>
      </c>
    </row>
    <row r="1583" spans="6:25" x14ac:dyDescent="0.25">
      <c r="F1583" s="76" t="s">
        <v>150</v>
      </c>
      <c r="G1583" s="77" t="s">
        <v>185</v>
      </c>
      <c r="H1583" s="77" t="s">
        <v>153</v>
      </c>
      <c r="I1583" s="86">
        <v>41742</v>
      </c>
      <c r="J1583" s="78">
        <v>932</v>
      </c>
      <c r="K1583" s="132" t="s">
        <v>20</v>
      </c>
      <c r="L1583" s="132" t="s">
        <v>237</v>
      </c>
      <c r="M1583" s="132" t="s">
        <v>234</v>
      </c>
      <c r="N1583" s="133">
        <v>41780</v>
      </c>
      <c r="O1583" s="134">
        <v>1621</v>
      </c>
      <c r="P1583" s="132" t="s">
        <v>151</v>
      </c>
      <c r="Q1583" s="132" t="s">
        <v>303</v>
      </c>
      <c r="R1583" s="132" t="s">
        <v>267</v>
      </c>
      <c r="S1583" s="133">
        <v>41674</v>
      </c>
      <c r="T1583" s="134">
        <v>1018.3</v>
      </c>
      <c r="U1583" s="132" t="s">
        <v>154</v>
      </c>
      <c r="V1583" s="132" t="s">
        <v>218</v>
      </c>
      <c r="W1583" s="132" t="s">
        <v>158</v>
      </c>
      <c r="X1583" s="133">
        <v>41652</v>
      </c>
      <c r="Y1583" s="134">
        <v>510</v>
      </c>
    </row>
    <row r="1584" spans="6:25" x14ac:dyDescent="0.25">
      <c r="F1584" s="76" t="s">
        <v>150</v>
      </c>
      <c r="G1584" s="77" t="s">
        <v>185</v>
      </c>
      <c r="H1584" s="77" t="s">
        <v>153</v>
      </c>
      <c r="I1584" s="86">
        <v>41744</v>
      </c>
      <c r="J1584" s="78">
        <v>1153</v>
      </c>
      <c r="K1584" s="132" t="s">
        <v>20</v>
      </c>
      <c r="L1584" s="132" t="s">
        <v>237</v>
      </c>
      <c r="M1584" s="132" t="s">
        <v>234</v>
      </c>
      <c r="N1584" s="133">
        <v>41873</v>
      </c>
      <c r="O1584" s="134">
        <v>1505</v>
      </c>
      <c r="P1584" s="132" t="s">
        <v>151</v>
      </c>
      <c r="Q1584" s="132" t="s">
        <v>303</v>
      </c>
      <c r="R1584" s="132" t="s">
        <v>267</v>
      </c>
      <c r="S1584" s="133">
        <v>41675</v>
      </c>
      <c r="T1584" s="134">
        <v>738.1</v>
      </c>
      <c r="U1584" s="132" t="s">
        <v>154</v>
      </c>
      <c r="V1584" s="132" t="s">
        <v>218</v>
      </c>
      <c r="W1584" s="132" t="s">
        <v>158</v>
      </c>
      <c r="X1584" s="133">
        <v>41851</v>
      </c>
      <c r="Y1584" s="134">
        <v>801</v>
      </c>
    </row>
    <row r="1585" spans="6:25" x14ac:dyDescent="0.25">
      <c r="F1585" s="76" t="s">
        <v>150</v>
      </c>
      <c r="G1585" s="77" t="s">
        <v>185</v>
      </c>
      <c r="H1585" s="77" t="s">
        <v>153</v>
      </c>
      <c r="I1585" s="86">
        <v>41746</v>
      </c>
      <c r="J1585" s="78">
        <v>1162</v>
      </c>
      <c r="K1585" s="132" t="s">
        <v>20</v>
      </c>
      <c r="L1585" s="132" t="s">
        <v>237</v>
      </c>
      <c r="M1585" s="132" t="s">
        <v>234</v>
      </c>
      <c r="N1585" s="133">
        <v>41885</v>
      </c>
      <c r="O1585" s="134">
        <v>1607</v>
      </c>
      <c r="P1585" s="132" t="s">
        <v>151</v>
      </c>
      <c r="Q1585" s="132" t="s">
        <v>303</v>
      </c>
      <c r="R1585" s="132" t="s">
        <v>267</v>
      </c>
      <c r="S1585" s="133">
        <v>41676</v>
      </c>
      <c r="T1585" s="134">
        <v>917.7</v>
      </c>
      <c r="U1585" s="132" t="s">
        <v>154</v>
      </c>
      <c r="V1585" s="132" t="s">
        <v>218</v>
      </c>
      <c r="W1585" s="132" t="s">
        <v>158</v>
      </c>
      <c r="X1585" s="133">
        <v>41880</v>
      </c>
      <c r="Y1585" s="134">
        <v>705</v>
      </c>
    </row>
    <row r="1586" spans="6:25" x14ac:dyDescent="0.25">
      <c r="F1586" s="76" t="s">
        <v>150</v>
      </c>
      <c r="G1586" s="77" t="s">
        <v>185</v>
      </c>
      <c r="H1586" s="77" t="s">
        <v>153</v>
      </c>
      <c r="I1586" s="86">
        <v>41746</v>
      </c>
      <c r="J1586" s="78">
        <v>1101</v>
      </c>
      <c r="K1586" s="132" t="s">
        <v>20</v>
      </c>
      <c r="L1586" s="132" t="s">
        <v>237</v>
      </c>
      <c r="M1586" s="132" t="s">
        <v>234</v>
      </c>
      <c r="N1586" s="133">
        <v>41896</v>
      </c>
      <c r="O1586" s="134">
        <v>1518</v>
      </c>
      <c r="P1586" s="132" t="s">
        <v>151</v>
      </c>
      <c r="Q1586" s="132" t="s">
        <v>303</v>
      </c>
      <c r="R1586" s="132" t="s">
        <v>267</v>
      </c>
      <c r="S1586" s="133">
        <v>41677</v>
      </c>
      <c r="T1586" s="134">
        <v>575.6</v>
      </c>
      <c r="U1586" s="132" t="s">
        <v>154</v>
      </c>
      <c r="V1586" s="132" t="s">
        <v>218</v>
      </c>
      <c r="W1586" s="132" t="s">
        <v>158</v>
      </c>
      <c r="X1586" s="133">
        <v>41889</v>
      </c>
      <c r="Y1586" s="134">
        <v>698</v>
      </c>
    </row>
    <row r="1587" spans="6:25" x14ac:dyDescent="0.25">
      <c r="F1587" s="76" t="s">
        <v>150</v>
      </c>
      <c r="G1587" s="77" t="s">
        <v>185</v>
      </c>
      <c r="H1587" s="77" t="s">
        <v>153</v>
      </c>
      <c r="I1587" s="86">
        <v>41747</v>
      </c>
      <c r="J1587" s="78">
        <v>1056</v>
      </c>
      <c r="K1587" s="132" t="s">
        <v>20</v>
      </c>
      <c r="L1587" s="132" t="s">
        <v>237</v>
      </c>
      <c r="M1587" s="132" t="s">
        <v>234</v>
      </c>
      <c r="N1587" s="133">
        <v>41948</v>
      </c>
      <c r="O1587" s="134">
        <v>1610</v>
      </c>
      <c r="P1587" s="132" t="s">
        <v>151</v>
      </c>
      <c r="Q1587" s="132" t="s">
        <v>303</v>
      </c>
      <c r="R1587" s="132" t="s">
        <v>267</v>
      </c>
      <c r="S1587" s="133">
        <v>41680</v>
      </c>
      <c r="T1587" s="134">
        <v>663.5</v>
      </c>
      <c r="U1587" s="132" t="s">
        <v>154</v>
      </c>
      <c r="V1587" s="132" t="s">
        <v>218</v>
      </c>
      <c r="W1587" s="132" t="s">
        <v>158</v>
      </c>
      <c r="X1587" s="133">
        <v>41927</v>
      </c>
      <c r="Y1587" s="134">
        <v>1050</v>
      </c>
    </row>
    <row r="1588" spans="6:25" x14ac:dyDescent="0.25">
      <c r="F1588" s="76" t="s">
        <v>150</v>
      </c>
      <c r="G1588" s="77" t="s">
        <v>185</v>
      </c>
      <c r="H1588" s="77" t="s">
        <v>153</v>
      </c>
      <c r="I1588" s="86">
        <v>41748</v>
      </c>
      <c r="J1588" s="78">
        <v>999</v>
      </c>
      <c r="K1588" s="132" t="s">
        <v>20</v>
      </c>
      <c r="L1588" s="132" t="s">
        <v>237</v>
      </c>
      <c r="M1588" s="132" t="s">
        <v>234</v>
      </c>
      <c r="N1588" s="133">
        <v>41957</v>
      </c>
      <c r="O1588" s="134">
        <v>1597</v>
      </c>
      <c r="P1588" s="132" t="s">
        <v>151</v>
      </c>
      <c r="Q1588" s="132" t="s">
        <v>303</v>
      </c>
      <c r="R1588" s="132" t="s">
        <v>267</v>
      </c>
      <c r="S1588" s="133">
        <v>41681</v>
      </c>
      <c r="T1588" s="134">
        <v>812.5</v>
      </c>
      <c r="U1588" s="132" t="s">
        <v>154</v>
      </c>
      <c r="V1588" s="132" t="s">
        <v>218</v>
      </c>
      <c r="W1588" s="132" t="s">
        <v>158</v>
      </c>
      <c r="X1588" s="133">
        <v>41943</v>
      </c>
      <c r="Y1588" s="134">
        <v>645</v>
      </c>
    </row>
    <row r="1589" spans="6:25" x14ac:dyDescent="0.25">
      <c r="F1589" s="76" t="s">
        <v>150</v>
      </c>
      <c r="G1589" s="77" t="s">
        <v>185</v>
      </c>
      <c r="H1589" s="77" t="s">
        <v>153</v>
      </c>
      <c r="I1589" s="86">
        <v>41749</v>
      </c>
      <c r="J1589" s="78">
        <v>1240</v>
      </c>
      <c r="K1589" s="132" t="s">
        <v>20</v>
      </c>
      <c r="L1589" s="132" t="s">
        <v>237</v>
      </c>
      <c r="M1589" s="132" t="s">
        <v>234</v>
      </c>
      <c r="N1589" s="133">
        <v>41994</v>
      </c>
      <c r="O1589" s="134">
        <v>1688</v>
      </c>
      <c r="P1589" s="132" t="s">
        <v>151</v>
      </c>
      <c r="Q1589" s="132" t="s">
        <v>303</v>
      </c>
      <c r="R1589" s="132" t="s">
        <v>267</v>
      </c>
      <c r="S1589" s="133">
        <v>41774</v>
      </c>
      <c r="T1589" s="134">
        <v>405.8</v>
      </c>
      <c r="U1589" s="132" t="s">
        <v>154</v>
      </c>
      <c r="V1589" s="132" t="s">
        <v>218</v>
      </c>
      <c r="W1589" s="132" t="s">
        <v>158</v>
      </c>
      <c r="X1589" s="133">
        <v>41992</v>
      </c>
      <c r="Y1589" s="134">
        <v>515</v>
      </c>
    </row>
    <row r="1590" spans="6:25" x14ac:dyDescent="0.25">
      <c r="F1590" s="76" t="s">
        <v>150</v>
      </c>
      <c r="G1590" s="77" t="s">
        <v>185</v>
      </c>
      <c r="H1590" s="77" t="s">
        <v>153</v>
      </c>
      <c r="I1590" s="86">
        <v>41751</v>
      </c>
      <c r="J1590" s="78">
        <v>676</v>
      </c>
      <c r="K1590" s="132" t="s">
        <v>20</v>
      </c>
      <c r="L1590" s="132" t="s">
        <v>237</v>
      </c>
      <c r="M1590" s="132" t="s">
        <v>234</v>
      </c>
      <c r="N1590" s="133">
        <v>42002</v>
      </c>
      <c r="O1590" s="134">
        <v>1573</v>
      </c>
      <c r="P1590" s="132" t="s">
        <v>151</v>
      </c>
      <c r="Q1590" s="132" t="s">
        <v>303</v>
      </c>
      <c r="R1590" s="132" t="s">
        <v>267</v>
      </c>
      <c r="S1590" s="133">
        <v>41775</v>
      </c>
      <c r="T1590" s="134">
        <v>530.9</v>
      </c>
      <c r="U1590" s="132" t="s">
        <v>154</v>
      </c>
      <c r="V1590" s="132" t="s">
        <v>219</v>
      </c>
      <c r="W1590" s="132" t="s">
        <v>158</v>
      </c>
      <c r="X1590" s="133">
        <v>41909</v>
      </c>
      <c r="Y1590" s="134">
        <v>854</v>
      </c>
    </row>
    <row r="1591" spans="6:25" x14ac:dyDescent="0.25">
      <c r="F1591" s="76" t="s">
        <v>150</v>
      </c>
      <c r="G1591" s="77" t="s">
        <v>185</v>
      </c>
      <c r="H1591" s="77" t="s">
        <v>153</v>
      </c>
      <c r="I1591" s="86">
        <v>41751</v>
      </c>
      <c r="J1591" s="78">
        <v>1385</v>
      </c>
      <c r="N1591" s="135" t="s">
        <v>274</v>
      </c>
      <c r="O1591" s="136">
        <f>SUM(O4:O1443)</f>
        <v>1341528</v>
      </c>
      <c r="P1591" s="132" t="s">
        <v>151</v>
      </c>
      <c r="Q1591" s="132" t="s">
        <v>303</v>
      </c>
      <c r="R1591" s="132" t="s">
        <v>267</v>
      </c>
      <c r="S1591" s="133">
        <v>41799</v>
      </c>
      <c r="T1591" s="134">
        <v>747.3</v>
      </c>
      <c r="U1591" s="132" t="s">
        <v>154</v>
      </c>
      <c r="V1591" s="132" t="s">
        <v>222</v>
      </c>
      <c r="W1591" s="132" t="s">
        <v>158</v>
      </c>
      <c r="X1591" s="133">
        <v>41704</v>
      </c>
      <c r="Y1591" s="134">
        <v>1002</v>
      </c>
    </row>
    <row r="1592" spans="6:25" x14ac:dyDescent="0.25">
      <c r="F1592" s="76" t="s">
        <v>150</v>
      </c>
      <c r="G1592" s="77" t="s">
        <v>185</v>
      </c>
      <c r="H1592" s="77" t="s">
        <v>153</v>
      </c>
      <c r="I1592" s="86">
        <v>41752</v>
      </c>
      <c r="J1592" s="78">
        <v>1129</v>
      </c>
      <c r="N1592" s="135" t="s">
        <v>323</v>
      </c>
      <c r="O1592" s="136">
        <f>SUM(O1444:O1590)</f>
        <v>212157</v>
      </c>
      <c r="P1592" s="132" t="s">
        <v>151</v>
      </c>
      <c r="Q1592" s="132" t="s">
        <v>303</v>
      </c>
      <c r="R1592" s="132" t="s">
        <v>267</v>
      </c>
      <c r="S1592" s="133">
        <v>41800</v>
      </c>
      <c r="T1592" s="134">
        <v>452.3</v>
      </c>
      <c r="U1592" s="132" t="s">
        <v>154</v>
      </c>
      <c r="V1592" s="132" t="s">
        <v>224</v>
      </c>
      <c r="W1592" s="132" t="s">
        <v>158</v>
      </c>
      <c r="X1592" s="133">
        <v>41646</v>
      </c>
      <c r="Y1592" s="134">
        <v>1100</v>
      </c>
    </row>
    <row r="1593" spans="6:25" x14ac:dyDescent="0.25">
      <c r="F1593" s="76" t="s">
        <v>150</v>
      </c>
      <c r="G1593" s="77" t="s">
        <v>185</v>
      </c>
      <c r="H1593" s="77" t="s">
        <v>153</v>
      </c>
      <c r="I1593" s="86">
        <v>41752</v>
      </c>
      <c r="J1593" s="78">
        <v>581</v>
      </c>
      <c r="P1593" s="132" t="s">
        <v>151</v>
      </c>
      <c r="Q1593" s="132" t="s">
        <v>303</v>
      </c>
      <c r="R1593" s="132" t="s">
        <v>267</v>
      </c>
      <c r="S1593" s="133">
        <v>41802</v>
      </c>
      <c r="T1593" s="134">
        <v>1107.8</v>
      </c>
      <c r="U1593" s="132" t="s">
        <v>154</v>
      </c>
      <c r="V1593" s="132" t="s">
        <v>225</v>
      </c>
      <c r="W1593" s="132" t="s">
        <v>158</v>
      </c>
      <c r="X1593" s="133">
        <v>41667</v>
      </c>
      <c r="Y1593" s="134">
        <v>520</v>
      </c>
    </row>
    <row r="1594" spans="6:25" x14ac:dyDescent="0.25">
      <c r="F1594" s="76" t="s">
        <v>150</v>
      </c>
      <c r="G1594" s="77" t="s">
        <v>185</v>
      </c>
      <c r="H1594" s="77" t="s">
        <v>153</v>
      </c>
      <c r="I1594" s="86">
        <v>41754</v>
      </c>
      <c r="J1594" s="78">
        <v>1370</v>
      </c>
      <c r="P1594" s="132" t="s">
        <v>151</v>
      </c>
      <c r="Q1594" s="132" t="s">
        <v>303</v>
      </c>
      <c r="R1594" s="132" t="s">
        <v>267</v>
      </c>
      <c r="S1594" s="133">
        <v>41828</v>
      </c>
      <c r="T1594" s="134">
        <v>231.9</v>
      </c>
      <c r="U1594" s="132" t="s">
        <v>154</v>
      </c>
      <c r="V1594" s="132" t="s">
        <v>226</v>
      </c>
      <c r="W1594" s="132" t="s">
        <v>158</v>
      </c>
      <c r="X1594" s="133">
        <v>41817</v>
      </c>
      <c r="Y1594" s="134">
        <v>580</v>
      </c>
    </row>
    <row r="1595" spans="6:25" x14ac:dyDescent="0.25">
      <c r="F1595" s="76" t="s">
        <v>150</v>
      </c>
      <c r="G1595" s="77" t="s">
        <v>185</v>
      </c>
      <c r="H1595" s="77" t="s">
        <v>153</v>
      </c>
      <c r="I1595" s="86">
        <v>41757</v>
      </c>
      <c r="J1595" s="78">
        <v>620</v>
      </c>
      <c r="P1595" s="132" t="s">
        <v>151</v>
      </c>
      <c r="Q1595" s="132" t="s">
        <v>303</v>
      </c>
      <c r="R1595" s="132" t="s">
        <v>267</v>
      </c>
      <c r="S1595" s="133">
        <v>41837</v>
      </c>
      <c r="T1595" s="134">
        <v>422.9</v>
      </c>
      <c r="U1595" s="132" t="s">
        <v>154</v>
      </c>
      <c r="V1595" s="132" t="s">
        <v>226</v>
      </c>
      <c r="W1595" s="132" t="s">
        <v>158</v>
      </c>
      <c r="X1595" s="133">
        <v>41849</v>
      </c>
      <c r="Y1595" s="134">
        <v>784</v>
      </c>
    </row>
    <row r="1596" spans="6:25" x14ac:dyDescent="0.25">
      <c r="F1596" s="76" t="s">
        <v>150</v>
      </c>
      <c r="G1596" s="77" t="s">
        <v>185</v>
      </c>
      <c r="H1596" s="77" t="s">
        <v>153</v>
      </c>
      <c r="I1596" s="86">
        <v>41758</v>
      </c>
      <c r="J1596" s="78">
        <v>530</v>
      </c>
      <c r="P1596" s="132" t="s">
        <v>151</v>
      </c>
      <c r="Q1596" s="132" t="s">
        <v>303</v>
      </c>
      <c r="R1596" s="132" t="s">
        <v>267</v>
      </c>
      <c r="S1596" s="133">
        <v>41842</v>
      </c>
      <c r="T1596" s="134">
        <v>388.5</v>
      </c>
      <c r="U1596" s="132" t="s">
        <v>154</v>
      </c>
      <c r="V1596" s="132" t="s">
        <v>227</v>
      </c>
      <c r="W1596" s="132" t="s">
        <v>158</v>
      </c>
      <c r="X1596" s="133">
        <v>41730</v>
      </c>
      <c r="Y1596" s="134">
        <v>310</v>
      </c>
    </row>
    <row r="1597" spans="6:25" x14ac:dyDescent="0.25">
      <c r="F1597" s="76" t="s">
        <v>150</v>
      </c>
      <c r="G1597" s="77" t="s">
        <v>185</v>
      </c>
      <c r="H1597" s="77" t="s">
        <v>153</v>
      </c>
      <c r="I1597" s="86">
        <v>41760</v>
      </c>
      <c r="J1597" s="78">
        <v>654</v>
      </c>
      <c r="P1597" s="132" t="s">
        <v>151</v>
      </c>
      <c r="Q1597" s="132" t="s">
        <v>303</v>
      </c>
      <c r="R1597" s="132" t="s">
        <v>267</v>
      </c>
      <c r="S1597" s="133">
        <v>41852</v>
      </c>
      <c r="T1597" s="134">
        <v>1097.8</v>
      </c>
      <c r="U1597" s="132" t="s">
        <v>154</v>
      </c>
      <c r="V1597" s="132" t="s">
        <v>227</v>
      </c>
      <c r="W1597" s="132" t="s">
        <v>158</v>
      </c>
      <c r="X1597" s="133">
        <v>41807</v>
      </c>
      <c r="Y1597" s="134">
        <v>680</v>
      </c>
    </row>
    <row r="1598" spans="6:25" x14ac:dyDescent="0.25">
      <c r="F1598" s="76" t="s">
        <v>150</v>
      </c>
      <c r="G1598" s="77" t="s">
        <v>185</v>
      </c>
      <c r="H1598" s="77" t="s">
        <v>153</v>
      </c>
      <c r="I1598" s="86">
        <v>41764</v>
      </c>
      <c r="J1598" s="78">
        <v>1115</v>
      </c>
      <c r="P1598" s="132" t="s">
        <v>151</v>
      </c>
      <c r="Q1598" s="132" t="s">
        <v>303</v>
      </c>
      <c r="R1598" s="132" t="s">
        <v>267</v>
      </c>
      <c r="S1598" s="133">
        <v>41855</v>
      </c>
      <c r="T1598" s="134">
        <v>908.2</v>
      </c>
      <c r="U1598" s="132" t="s">
        <v>154</v>
      </c>
      <c r="V1598" s="132" t="s">
        <v>229</v>
      </c>
      <c r="W1598" s="132" t="s">
        <v>158</v>
      </c>
      <c r="X1598" s="133">
        <v>41683</v>
      </c>
      <c r="Y1598" s="134">
        <v>1374</v>
      </c>
    </row>
    <row r="1599" spans="6:25" x14ac:dyDescent="0.25">
      <c r="F1599" s="76" t="s">
        <v>150</v>
      </c>
      <c r="G1599" s="77" t="s">
        <v>185</v>
      </c>
      <c r="H1599" s="77" t="s">
        <v>153</v>
      </c>
      <c r="I1599" s="86">
        <v>41765</v>
      </c>
      <c r="J1599" s="78">
        <v>668</v>
      </c>
      <c r="P1599" s="132" t="s">
        <v>151</v>
      </c>
      <c r="Q1599" s="132" t="s">
        <v>303</v>
      </c>
      <c r="R1599" s="132" t="s">
        <v>267</v>
      </c>
      <c r="S1599" s="133">
        <v>41856</v>
      </c>
      <c r="T1599" s="134">
        <v>884.4</v>
      </c>
      <c r="U1599" s="132" t="s">
        <v>154</v>
      </c>
      <c r="V1599" s="132" t="s">
        <v>229</v>
      </c>
      <c r="W1599" s="132" t="s">
        <v>158</v>
      </c>
      <c r="X1599" s="133">
        <v>41683</v>
      </c>
      <c r="Y1599" s="134">
        <v>939</v>
      </c>
    </row>
    <row r="1600" spans="6:25" x14ac:dyDescent="0.25">
      <c r="F1600" s="76" t="s">
        <v>150</v>
      </c>
      <c r="G1600" s="77" t="s">
        <v>185</v>
      </c>
      <c r="H1600" s="77" t="s">
        <v>153</v>
      </c>
      <c r="I1600" s="86">
        <v>41767</v>
      </c>
      <c r="J1600" s="78">
        <v>1108</v>
      </c>
      <c r="P1600" s="132" t="s">
        <v>151</v>
      </c>
      <c r="Q1600" s="132" t="s">
        <v>303</v>
      </c>
      <c r="R1600" s="132" t="s">
        <v>267</v>
      </c>
      <c r="S1600" s="133">
        <v>41872</v>
      </c>
      <c r="T1600" s="134">
        <v>401.9</v>
      </c>
      <c r="U1600" s="132" t="s">
        <v>154</v>
      </c>
      <c r="V1600" s="132" t="s">
        <v>229</v>
      </c>
      <c r="W1600" s="132" t="s">
        <v>158</v>
      </c>
      <c r="X1600" s="133">
        <v>41768</v>
      </c>
      <c r="Y1600" s="134">
        <v>1350</v>
      </c>
    </row>
    <row r="1601" spans="6:25" x14ac:dyDescent="0.25">
      <c r="F1601" s="76" t="s">
        <v>150</v>
      </c>
      <c r="G1601" s="77" t="s">
        <v>185</v>
      </c>
      <c r="H1601" s="77" t="s">
        <v>153</v>
      </c>
      <c r="I1601" s="86">
        <v>41768</v>
      </c>
      <c r="J1601" s="78">
        <v>661</v>
      </c>
      <c r="P1601" s="132" t="s">
        <v>151</v>
      </c>
      <c r="Q1601" s="132" t="s">
        <v>303</v>
      </c>
      <c r="R1601" s="132" t="s">
        <v>267</v>
      </c>
      <c r="S1601" s="133">
        <v>41876</v>
      </c>
      <c r="T1601" s="134">
        <v>221.2</v>
      </c>
      <c r="U1601" s="132" t="s">
        <v>154</v>
      </c>
      <c r="V1601" s="132" t="s">
        <v>275</v>
      </c>
      <c r="W1601" s="132" t="s">
        <v>267</v>
      </c>
      <c r="X1601" s="133">
        <v>41782</v>
      </c>
      <c r="Y1601" s="134">
        <v>578</v>
      </c>
    </row>
    <row r="1602" spans="6:25" x14ac:dyDescent="0.25">
      <c r="F1602" s="76" t="s">
        <v>150</v>
      </c>
      <c r="G1602" s="77" t="s">
        <v>185</v>
      </c>
      <c r="H1602" s="77" t="s">
        <v>153</v>
      </c>
      <c r="I1602" s="86">
        <v>41775</v>
      </c>
      <c r="J1602" s="78">
        <v>948</v>
      </c>
      <c r="P1602" s="132" t="s">
        <v>151</v>
      </c>
      <c r="Q1602" s="132" t="s">
        <v>303</v>
      </c>
      <c r="R1602" s="132" t="s">
        <v>267</v>
      </c>
      <c r="S1602" s="133">
        <v>41884</v>
      </c>
      <c r="T1602" s="134">
        <v>440.5</v>
      </c>
      <c r="U1602" s="132" t="s">
        <v>154</v>
      </c>
      <c r="V1602" s="132" t="s">
        <v>275</v>
      </c>
      <c r="W1602" s="132" t="s">
        <v>267</v>
      </c>
      <c r="X1602" s="133">
        <v>41833</v>
      </c>
      <c r="Y1602" s="134">
        <v>924</v>
      </c>
    </row>
    <row r="1603" spans="6:25" x14ac:dyDescent="0.25">
      <c r="F1603" s="76" t="s">
        <v>150</v>
      </c>
      <c r="G1603" s="77" t="s">
        <v>185</v>
      </c>
      <c r="H1603" s="77" t="s">
        <v>153</v>
      </c>
      <c r="I1603" s="86">
        <v>41786</v>
      </c>
      <c r="J1603" s="78">
        <v>903</v>
      </c>
      <c r="P1603" s="132" t="s">
        <v>151</v>
      </c>
      <c r="Q1603" s="132" t="s">
        <v>303</v>
      </c>
      <c r="R1603" s="132" t="s">
        <v>267</v>
      </c>
      <c r="S1603" s="133">
        <v>41885</v>
      </c>
      <c r="T1603" s="134">
        <v>556.1</v>
      </c>
      <c r="U1603" s="132" t="s">
        <v>154</v>
      </c>
      <c r="V1603" s="132" t="s">
        <v>275</v>
      </c>
      <c r="W1603" s="132" t="s">
        <v>267</v>
      </c>
      <c r="X1603" s="133">
        <v>41834</v>
      </c>
      <c r="Y1603" s="134">
        <v>630</v>
      </c>
    </row>
    <row r="1604" spans="6:25" x14ac:dyDescent="0.25">
      <c r="F1604" s="76" t="s">
        <v>150</v>
      </c>
      <c r="G1604" s="77" t="s">
        <v>185</v>
      </c>
      <c r="H1604" s="77" t="s">
        <v>153</v>
      </c>
      <c r="I1604" s="86">
        <v>41787</v>
      </c>
      <c r="J1604" s="78">
        <v>519</v>
      </c>
      <c r="P1604" s="132" t="s">
        <v>151</v>
      </c>
      <c r="Q1604" s="132" t="s">
        <v>303</v>
      </c>
      <c r="R1604" s="132" t="s">
        <v>267</v>
      </c>
      <c r="S1604" s="133">
        <v>41891</v>
      </c>
      <c r="T1604" s="134">
        <v>405</v>
      </c>
      <c r="U1604" s="132" t="s">
        <v>154</v>
      </c>
      <c r="V1604" s="132" t="s">
        <v>275</v>
      </c>
      <c r="W1604" s="132" t="s">
        <v>267</v>
      </c>
      <c r="X1604" s="133">
        <v>41834</v>
      </c>
      <c r="Y1604" s="134">
        <v>571</v>
      </c>
    </row>
    <row r="1605" spans="6:25" x14ac:dyDescent="0.25">
      <c r="F1605" s="76" t="s">
        <v>150</v>
      </c>
      <c r="G1605" s="77" t="s">
        <v>185</v>
      </c>
      <c r="H1605" s="77" t="s">
        <v>153</v>
      </c>
      <c r="I1605" s="86">
        <v>41787</v>
      </c>
      <c r="J1605" s="78">
        <v>756</v>
      </c>
      <c r="P1605" s="132" t="s">
        <v>151</v>
      </c>
      <c r="Q1605" s="132" t="s">
        <v>303</v>
      </c>
      <c r="R1605" s="132" t="s">
        <v>267</v>
      </c>
      <c r="S1605" s="133">
        <v>41892</v>
      </c>
      <c r="T1605" s="134">
        <v>504.4</v>
      </c>
      <c r="U1605" s="132" t="s">
        <v>154</v>
      </c>
      <c r="V1605" s="132" t="s">
        <v>275</v>
      </c>
      <c r="W1605" s="132" t="s">
        <v>267</v>
      </c>
      <c r="X1605" s="133">
        <v>41835</v>
      </c>
      <c r="Y1605" s="134">
        <v>586</v>
      </c>
    </row>
    <row r="1606" spans="6:25" x14ac:dyDescent="0.25">
      <c r="F1606" s="76" t="s">
        <v>150</v>
      </c>
      <c r="G1606" s="77" t="s">
        <v>185</v>
      </c>
      <c r="H1606" s="77" t="s">
        <v>153</v>
      </c>
      <c r="I1606" s="86">
        <v>41792</v>
      </c>
      <c r="J1606" s="78">
        <v>454</v>
      </c>
      <c r="P1606" s="132" t="s">
        <v>151</v>
      </c>
      <c r="Q1606" s="132" t="s">
        <v>303</v>
      </c>
      <c r="R1606" s="132" t="s">
        <v>267</v>
      </c>
      <c r="S1606" s="133">
        <v>41894</v>
      </c>
      <c r="T1606" s="134">
        <v>787.8</v>
      </c>
      <c r="U1606" s="132" t="s">
        <v>154</v>
      </c>
      <c r="V1606" s="132" t="s">
        <v>275</v>
      </c>
      <c r="W1606" s="132" t="s">
        <v>267</v>
      </c>
      <c r="X1606" s="133">
        <v>41835</v>
      </c>
      <c r="Y1606" s="134">
        <v>637</v>
      </c>
    </row>
    <row r="1607" spans="6:25" x14ac:dyDescent="0.25">
      <c r="F1607" s="76" t="s">
        <v>150</v>
      </c>
      <c r="G1607" s="77" t="s">
        <v>185</v>
      </c>
      <c r="H1607" s="77" t="s">
        <v>153</v>
      </c>
      <c r="I1607" s="86">
        <v>41793</v>
      </c>
      <c r="J1607" s="78">
        <v>650</v>
      </c>
      <c r="P1607" s="132" t="s">
        <v>151</v>
      </c>
      <c r="Q1607" s="132" t="s">
        <v>303</v>
      </c>
      <c r="R1607" s="132" t="s">
        <v>267</v>
      </c>
      <c r="S1607" s="133">
        <v>41897</v>
      </c>
      <c r="T1607" s="134">
        <v>622.70000000000005</v>
      </c>
      <c r="U1607" s="132" t="s">
        <v>154</v>
      </c>
      <c r="V1607" s="132" t="s">
        <v>275</v>
      </c>
      <c r="W1607" s="132" t="s">
        <v>267</v>
      </c>
      <c r="X1607" s="133">
        <v>41836</v>
      </c>
      <c r="Y1607" s="134">
        <v>586</v>
      </c>
    </row>
    <row r="1608" spans="6:25" x14ac:dyDescent="0.25">
      <c r="F1608" s="76" t="s">
        <v>150</v>
      </c>
      <c r="G1608" s="77" t="s">
        <v>185</v>
      </c>
      <c r="H1608" s="77" t="s">
        <v>153</v>
      </c>
      <c r="I1608" s="86">
        <v>41794</v>
      </c>
      <c r="J1608" s="78">
        <v>695</v>
      </c>
      <c r="P1608" s="132" t="s">
        <v>151</v>
      </c>
      <c r="Q1608" s="132" t="s">
        <v>303</v>
      </c>
      <c r="R1608" s="132" t="s">
        <v>267</v>
      </c>
      <c r="S1608" s="133">
        <v>41922</v>
      </c>
      <c r="T1608" s="134">
        <v>228.8</v>
      </c>
      <c r="U1608" s="132" t="s">
        <v>154</v>
      </c>
      <c r="V1608" s="132" t="s">
        <v>275</v>
      </c>
      <c r="W1608" s="132" t="s">
        <v>267</v>
      </c>
      <c r="X1608" s="133">
        <v>41837</v>
      </c>
      <c r="Y1608" s="134">
        <v>831</v>
      </c>
    </row>
    <row r="1609" spans="6:25" x14ac:dyDescent="0.25">
      <c r="F1609" s="76" t="s">
        <v>150</v>
      </c>
      <c r="G1609" s="77" t="s">
        <v>185</v>
      </c>
      <c r="H1609" s="77" t="s">
        <v>153</v>
      </c>
      <c r="I1609" s="86">
        <v>41797</v>
      </c>
      <c r="J1609" s="78">
        <v>1079</v>
      </c>
      <c r="P1609" s="132" t="s">
        <v>151</v>
      </c>
      <c r="Q1609" s="132" t="s">
        <v>303</v>
      </c>
      <c r="R1609" s="132" t="s">
        <v>267</v>
      </c>
      <c r="S1609" s="133">
        <v>41925</v>
      </c>
      <c r="T1609" s="134">
        <v>540.6</v>
      </c>
      <c r="U1609" s="132" t="s">
        <v>154</v>
      </c>
      <c r="V1609" s="132" t="s">
        <v>275</v>
      </c>
      <c r="W1609" s="132" t="s">
        <v>267</v>
      </c>
      <c r="X1609" s="133">
        <v>41838</v>
      </c>
      <c r="Y1609" s="134">
        <v>1040</v>
      </c>
    </row>
    <row r="1610" spans="6:25" x14ac:dyDescent="0.25">
      <c r="F1610" s="76" t="s">
        <v>150</v>
      </c>
      <c r="G1610" s="77" t="s">
        <v>185</v>
      </c>
      <c r="H1610" s="77" t="s">
        <v>153</v>
      </c>
      <c r="I1610" s="86">
        <v>41799</v>
      </c>
      <c r="J1610" s="78">
        <v>1028</v>
      </c>
      <c r="P1610" s="132" t="s">
        <v>151</v>
      </c>
      <c r="Q1610" s="132" t="s">
        <v>303</v>
      </c>
      <c r="R1610" s="132" t="s">
        <v>267</v>
      </c>
      <c r="S1610" s="133">
        <v>41926</v>
      </c>
      <c r="T1610" s="134">
        <v>500.6</v>
      </c>
      <c r="U1610" s="132" t="s">
        <v>154</v>
      </c>
      <c r="V1610" s="132" t="s">
        <v>275</v>
      </c>
      <c r="W1610" s="132" t="s">
        <v>267</v>
      </c>
      <c r="X1610" s="133">
        <v>41841</v>
      </c>
      <c r="Y1610" s="134">
        <v>585</v>
      </c>
    </row>
    <row r="1611" spans="6:25" x14ac:dyDescent="0.25">
      <c r="F1611" s="76" t="s">
        <v>150</v>
      </c>
      <c r="G1611" s="77" t="s">
        <v>185</v>
      </c>
      <c r="H1611" s="77" t="s">
        <v>153</v>
      </c>
      <c r="I1611" s="86">
        <v>41801</v>
      </c>
      <c r="J1611" s="78">
        <v>1181</v>
      </c>
      <c r="P1611" s="132" t="s">
        <v>151</v>
      </c>
      <c r="Q1611" s="132" t="s">
        <v>303</v>
      </c>
      <c r="R1611" s="132" t="s">
        <v>267</v>
      </c>
      <c r="S1611" s="133">
        <v>41927</v>
      </c>
      <c r="T1611" s="134">
        <v>503.9</v>
      </c>
      <c r="U1611" s="132" t="s">
        <v>154</v>
      </c>
      <c r="V1611" s="132" t="s">
        <v>275</v>
      </c>
      <c r="W1611" s="132" t="s">
        <v>267</v>
      </c>
      <c r="X1611" s="133">
        <v>41842</v>
      </c>
      <c r="Y1611" s="134">
        <v>683</v>
      </c>
    </row>
    <row r="1612" spans="6:25" x14ac:dyDescent="0.25">
      <c r="F1612" s="76" t="s">
        <v>150</v>
      </c>
      <c r="G1612" s="77" t="s">
        <v>185</v>
      </c>
      <c r="H1612" s="77" t="s">
        <v>153</v>
      </c>
      <c r="I1612" s="86">
        <v>41802</v>
      </c>
      <c r="J1612" s="78">
        <v>254</v>
      </c>
      <c r="P1612" s="132" t="s">
        <v>151</v>
      </c>
      <c r="Q1612" s="132" t="s">
        <v>303</v>
      </c>
      <c r="R1612" s="132" t="s">
        <v>267</v>
      </c>
      <c r="S1612" s="133">
        <v>41928</v>
      </c>
      <c r="T1612" s="134">
        <v>656.3</v>
      </c>
      <c r="U1612" s="132" t="s">
        <v>154</v>
      </c>
      <c r="V1612" s="132" t="s">
        <v>275</v>
      </c>
      <c r="W1612" s="132" t="s">
        <v>267</v>
      </c>
      <c r="X1612" s="133">
        <v>41842</v>
      </c>
      <c r="Y1612" s="134">
        <v>889</v>
      </c>
    </row>
    <row r="1613" spans="6:25" x14ac:dyDescent="0.25">
      <c r="F1613" s="76" t="s">
        <v>150</v>
      </c>
      <c r="G1613" s="77" t="s">
        <v>185</v>
      </c>
      <c r="H1613" s="77" t="s">
        <v>153</v>
      </c>
      <c r="I1613" s="86">
        <v>41802</v>
      </c>
      <c r="J1613" s="78">
        <v>527</v>
      </c>
      <c r="P1613" s="132" t="s">
        <v>151</v>
      </c>
      <c r="Q1613" s="132" t="s">
        <v>303</v>
      </c>
      <c r="R1613" s="132" t="s">
        <v>267</v>
      </c>
      <c r="S1613" s="133">
        <v>41929</v>
      </c>
      <c r="T1613" s="134">
        <v>462.6</v>
      </c>
      <c r="U1613" s="132" t="s">
        <v>154</v>
      </c>
      <c r="V1613" s="132" t="s">
        <v>275</v>
      </c>
      <c r="W1613" s="132" t="s">
        <v>267</v>
      </c>
      <c r="X1613" s="133">
        <v>41843</v>
      </c>
      <c r="Y1613" s="134">
        <v>940</v>
      </c>
    </row>
    <row r="1614" spans="6:25" x14ac:dyDescent="0.25">
      <c r="F1614" s="76" t="s">
        <v>150</v>
      </c>
      <c r="G1614" s="77" t="s">
        <v>185</v>
      </c>
      <c r="H1614" s="77" t="s">
        <v>153</v>
      </c>
      <c r="I1614" s="86">
        <v>41806</v>
      </c>
      <c r="J1614" s="78">
        <v>835</v>
      </c>
      <c r="P1614" s="132" t="s">
        <v>151</v>
      </c>
      <c r="Q1614" s="132" t="s">
        <v>303</v>
      </c>
      <c r="R1614" s="132" t="s">
        <v>267</v>
      </c>
      <c r="S1614" s="133">
        <v>41932</v>
      </c>
      <c r="T1614" s="134">
        <v>564.29999999999995</v>
      </c>
      <c r="U1614" s="132" t="s">
        <v>154</v>
      </c>
      <c r="V1614" s="132" t="s">
        <v>275</v>
      </c>
      <c r="W1614" s="132" t="s">
        <v>267</v>
      </c>
      <c r="X1614" s="133">
        <v>41844</v>
      </c>
      <c r="Y1614" s="134">
        <v>556</v>
      </c>
    </row>
    <row r="1615" spans="6:25" x14ac:dyDescent="0.25">
      <c r="F1615" s="76" t="s">
        <v>150</v>
      </c>
      <c r="G1615" s="77" t="s">
        <v>185</v>
      </c>
      <c r="H1615" s="77" t="s">
        <v>153</v>
      </c>
      <c r="I1615" s="86">
        <v>41808</v>
      </c>
      <c r="J1615" s="78">
        <v>691</v>
      </c>
      <c r="P1615" s="132" t="s">
        <v>151</v>
      </c>
      <c r="Q1615" s="132" t="s">
        <v>303</v>
      </c>
      <c r="R1615" s="132" t="s">
        <v>267</v>
      </c>
      <c r="S1615" s="133">
        <v>41933</v>
      </c>
      <c r="T1615" s="134">
        <v>445.8</v>
      </c>
      <c r="U1615" s="132" t="s">
        <v>154</v>
      </c>
      <c r="V1615" s="132" t="s">
        <v>275</v>
      </c>
      <c r="W1615" s="132" t="s">
        <v>267</v>
      </c>
      <c r="X1615" s="133">
        <v>41845</v>
      </c>
      <c r="Y1615" s="134">
        <v>782</v>
      </c>
    </row>
    <row r="1616" spans="6:25" x14ac:dyDescent="0.25">
      <c r="F1616" s="76" t="s">
        <v>150</v>
      </c>
      <c r="G1616" s="77" t="s">
        <v>185</v>
      </c>
      <c r="H1616" s="77" t="s">
        <v>153</v>
      </c>
      <c r="I1616" s="86">
        <v>41809</v>
      </c>
      <c r="J1616" s="78">
        <v>1035</v>
      </c>
      <c r="P1616" s="132" t="s">
        <v>151</v>
      </c>
      <c r="Q1616" s="132" t="s">
        <v>303</v>
      </c>
      <c r="R1616" s="132" t="s">
        <v>267</v>
      </c>
      <c r="S1616" s="133">
        <v>41934</v>
      </c>
      <c r="T1616" s="134">
        <v>516.6</v>
      </c>
      <c r="U1616" s="132" t="s">
        <v>154</v>
      </c>
      <c r="V1616" s="132" t="s">
        <v>275</v>
      </c>
      <c r="W1616" s="132" t="s">
        <v>267</v>
      </c>
      <c r="X1616" s="133">
        <v>41848</v>
      </c>
      <c r="Y1616" s="134">
        <v>756</v>
      </c>
    </row>
    <row r="1617" spans="6:25" x14ac:dyDescent="0.25">
      <c r="F1617" s="76" t="s">
        <v>150</v>
      </c>
      <c r="G1617" s="77" t="s">
        <v>185</v>
      </c>
      <c r="H1617" s="77" t="s">
        <v>153</v>
      </c>
      <c r="I1617" s="86">
        <v>41810</v>
      </c>
      <c r="J1617" s="78">
        <v>857</v>
      </c>
      <c r="P1617" s="132" t="s">
        <v>151</v>
      </c>
      <c r="Q1617" s="132" t="s">
        <v>303</v>
      </c>
      <c r="R1617" s="132" t="s">
        <v>267</v>
      </c>
      <c r="S1617" s="133">
        <v>41939</v>
      </c>
      <c r="T1617" s="134">
        <v>631.29999999999995</v>
      </c>
      <c r="U1617" s="132" t="s">
        <v>154</v>
      </c>
      <c r="V1617" s="132" t="s">
        <v>275</v>
      </c>
      <c r="W1617" s="132" t="s">
        <v>267</v>
      </c>
      <c r="X1617" s="133">
        <v>41849</v>
      </c>
      <c r="Y1617" s="134">
        <v>360</v>
      </c>
    </row>
    <row r="1618" spans="6:25" x14ac:dyDescent="0.25">
      <c r="F1618" s="76" t="s">
        <v>150</v>
      </c>
      <c r="G1618" s="77" t="s">
        <v>185</v>
      </c>
      <c r="H1618" s="77" t="s">
        <v>153</v>
      </c>
      <c r="I1618" s="86">
        <v>41850</v>
      </c>
      <c r="J1618" s="78">
        <v>836</v>
      </c>
      <c r="P1618" s="132" t="s">
        <v>151</v>
      </c>
      <c r="Q1618" s="132" t="s">
        <v>303</v>
      </c>
      <c r="R1618" s="132" t="s">
        <v>267</v>
      </c>
      <c r="S1618" s="133">
        <v>41940</v>
      </c>
      <c r="T1618" s="134">
        <v>545.1</v>
      </c>
      <c r="U1618" s="132" t="s">
        <v>154</v>
      </c>
      <c r="V1618" s="132" t="s">
        <v>275</v>
      </c>
      <c r="W1618" s="132" t="s">
        <v>267</v>
      </c>
      <c r="X1618" s="133">
        <v>41849</v>
      </c>
      <c r="Y1618" s="134">
        <v>843</v>
      </c>
    </row>
    <row r="1619" spans="6:25" x14ac:dyDescent="0.25">
      <c r="F1619" s="76" t="s">
        <v>150</v>
      </c>
      <c r="G1619" s="77" t="s">
        <v>185</v>
      </c>
      <c r="H1619" s="77" t="s">
        <v>153</v>
      </c>
      <c r="I1619" s="86">
        <v>41855</v>
      </c>
      <c r="J1619" s="78">
        <v>493</v>
      </c>
      <c r="P1619" s="132" t="s">
        <v>151</v>
      </c>
      <c r="Q1619" s="132" t="s">
        <v>303</v>
      </c>
      <c r="R1619" s="132" t="s">
        <v>267</v>
      </c>
      <c r="S1619" s="133">
        <v>41941</v>
      </c>
      <c r="T1619" s="134">
        <v>581.6</v>
      </c>
      <c r="U1619" s="132" t="s">
        <v>154</v>
      </c>
      <c r="V1619" s="132" t="s">
        <v>275</v>
      </c>
      <c r="W1619" s="132" t="s">
        <v>267</v>
      </c>
      <c r="X1619" s="133">
        <v>41850</v>
      </c>
      <c r="Y1619" s="134">
        <v>802</v>
      </c>
    </row>
    <row r="1620" spans="6:25" x14ac:dyDescent="0.25">
      <c r="F1620" s="76" t="s">
        <v>150</v>
      </c>
      <c r="G1620" s="77" t="s">
        <v>185</v>
      </c>
      <c r="H1620" s="77" t="s">
        <v>153</v>
      </c>
      <c r="I1620" s="86">
        <v>41857</v>
      </c>
      <c r="J1620" s="78">
        <v>1527</v>
      </c>
      <c r="P1620" s="132" t="s">
        <v>151</v>
      </c>
      <c r="Q1620" s="132" t="s">
        <v>303</v>
      </c>
      <c r="R1620" s="132" t="s">
        <v>267</v>
      </c>
      <c r="S1620" s="133">
        <v>41960</v>
      </c>
      <c r="T1620" s="134">
        <v>548.70000000000005</v>
      </c>
      <c r="U1620" s="132" t="s">
        <v>154</v>
      </c>
      <c r="V1620" s="132" t="s">
        <v>275</v>
      </c>
      <c r="W1620" s="132" t="s">
        <v>267</v>
      </c>
      <c r="X1620" s="133">
        <v>41851</v>
      </c>
      <c r="Y1620" s="134">
        <v>667</v>
      </c>
    </row>
    <row r="1621" spans="6:25" x14ac:dyDescent="0.25">
      <c r="F1621" s="76" t="s">
        <v>150</v>
      </c>
      <c r="G1621" s="77" t="s">
        <v>185</v>
      </c>
      <c r="H1621" s="77" t="s">
        <v>153</v>
      </c>
      <c r="I1621" s="86">
        <v>41859</v>
      </c>
      <c r="J1621" s="78">
        <v>994</v>
      </c>
      <c r="P1621" s="132" t="s">
        <v>151</v>
      </c>
      <c r="Q1621" s="132" t="s">
        <v>303</v>
      </c>
      <c r="R1621" s="132" t="s">
        <v>267</v>
      </c>
      <c r="S1621" s="133">
        <v>41962</v>
      </c>
      <c r="T1621" s="134">
        <v>535.6</v>
      </c>
      <c r="U1621" s="132" t="s">
        <v>154</v>
      </c>
      <c r="V1621" s="132" t="s">
        <v>275</v>
      </c>
      <c r="W1621" s="132" t="s">
        <v>267</v>
      </c>
      <c r="X1621" s="133">
        <v>41851</v>
      </c>
      <c r="Y1621" s="134">
        <v>621</v>
      </c>
    </row>
    <row r="1622" spans="6:25" x14ac:dyDescent="0.25">
      <c r="F1622" s="76" t="s">
        <v>150</v>
      </c>
      <c r="G1622" s="77" t="s">
        <v>185</v>
      </c>
      <c r="H1622" s="77" t="s">
        <v>153</v>
      </c>
      <c r="I1622" s="86">
        <v>41862</v>
      </c>
      <c r="J1622" s="78">
        <v>833</v>
      </c>
      <c r="P1622" s="132" t="s">
        <v>151</v>
      </c>
      <c r="Q1622" s="132" t="s">
        <v>303</v>
      </c>
      <c r="R1622" s="132" t="s">
        <v>267</v>
      </c>
      <c r="S1622" s="133">
        <v>41968</v>
      </c>
      <c r="T1622" s="134">
        <v>306.5</v>
      </c>
      <c r="U1622" s="132" t="s">
        <v>154</v>
      </c>
      <c r="V1622" s="132" t="s">
        <v>275</v>
      </c>
      <c r="W1622" s="132" t="s">
        <v>267</v>
      </c>
      <c r="X1622" s="133">
        <v>41852</v>
      </c>
      <c r="Y1622" s="134">
        <v>486</v>
      </c>
    </row>
    <row r="1623" spans="6:25" x14ac:dyDescent="0.25">
      <c r="F1623" s="76" t="s">
        <v>150</v>
      </c>
      <c r="G1623" s="77" t="s">
        <v>185</v>
      </c>
      <c r="H1623" s="77" t="s">
        <v>153</v>
      </c>
      <c r="I1623" s="86">
        <v>41865</v>
      </c>
      <c r="J1623" s="78">
        <v>782</v>
      </c>
      <c r="P1623" s="132" t="s">
        <v>151</v>
      </c>
      <c r="Q1623" s="132" t="s">
        <v>303</v>
      </c>
      <c r="R1623" s="132" t="s">
        <v>267</v>
      </c>
      <c r="S1623" s="133">
        <v>41984</v>
      </c>
      <c r="T1623" s="134">
        <v>1057.2</v>
      </c>
      <c r="U1623" s="132" t="s">
        <v>154</v>
      </c>
      <c r="V1623" s="132" t="s">
        <v>275</v>
      </c>
      <c r="W1623" s="132" t="s">
        <v>267</v>
      </c>
      <c r="X1623" s="133">
        <v>41853</v>
      </c>
      <c r="Y1623" s="134">
        <v>424</v>
      </c>
    </row>
    <row r="1624" spans="6:25" x14ac:dyDescent="0.25">
      <c r="F1624" s="76" t="s">
        <v>150</v>
      </c>
      <c r="G1624" s="77" t="s">
        <v>185</v>
      </c>
      <c r="H1624" s="77" t="s">
        <v>153</v>
      </c>
      <c r="I1624" s="86">
        <v>41866</v>
      </c>
      <c r="J1624" s="78">
        <v>735</v>
      </c>
      <c r="P1624" s="132" t="s">
        <v>151</v>
      </c>
      <c r="Q1624" s="132" t="s">
        <v>303</v>
      </c>
      <c r="R1624" s="132" t="s">
        <v>267</v>
      </c>
      <c r="S1624" s="133">
        <v>41985</v>
      </c>
      <c r="T1624" s="134">
        <v>480.6</v>
      </c>
      <c r="U1624" s="132" t="s">
        <v>154</v>
      </c>
      <c r="V1624" s="132" t="s">
        <v>275</v>
      </c>
      <c r="W1624" s="132" t="s">
        <v>267</v>
      </c>
      <c r="X1624" s="133">
        <v>41853</v>
      </c>
      <c r="Y1624" s="134">
        <v>737</v>
      </c>
    </row>
    <row r="1625" spans="6:25" x14ac:dyDescent="0.25">
      <c r="F1625" s="76" t="s">
        <v>150</v>
      </c>
      <c r="G1625" s="77" t="s">
        <v>185</v>
      </c>
      <c r="H1625" s="77" t="s">
        <v>153</v>
      </c>
      <c r="I1625" s="86">
        <v>41866</v>
      </c>
      <c r="J1625" s="78">
        <v>1207</v>
      </c>
      <c r="P1625" s="132" t="s">
        <v>151</v>
      </c>
      <c r="Q1625" s="132" t="s">
        <v>304</v>
      </c>
      <c r="R1625" s="132" t="s">
        <v>267</v>
      </c>
      <c r="S1625" s="133">
        <v>41638</v>
      </c>
      <c r="T1625" s="134">
        <v>1181.2</v>
      </c>
      <c r="U1625" s="132" t="s">
        <v>154</v>
      </c>
      <c r="V1625" s="132" t="s">
        <v>275</v>
      </c>
      <c r="W1625" s="132" t="s">
        <v>267</v>
      </c>
      <c r="X1625" s="133">
        <v>41855</v>
      </c>
      <c r="Y1625" s="134">
        <v>766</v>
      </c>
    </row>
    <row r="1626" spans="6:25" x14ac:dyDescent="0.25">
      <c r="F1626" s="76" t="s">
        <v>150</v>
      </c>
      <c r="G1626" s="77" t="s">
        <v>185</v>
      </c>
      <c r="H1626" s="77" t="s">
        <v>153</v>
      </c>
      <c r="I1626" s="86">
        <v>41869</v>
      </c>
      <c r="J1626" s="78">
        <v>227</v>
      </c>
      <c r="P1626" s="132" t="s">
        <v>151</v>
      </c>
      <c r="Q1626" s="132" t="s">
        <v>304</v>
      </c>
      <c r="R1626" s="132" t="s">
        <v>267</v>
      </c>
      <c r="S1626" s="133">
        <v>41647</v>
      </c>
      <c r="T1626" s="134">
        <v>1028.4000000000001</v>
      </c>
      <c r="U1626" s="132" t="s">
        <v>154</v>
      </c>
      <c r="V1626" s="132" t="s">
        <v>275</v>
      </c>
      <c r="W1626" s="132" t="s">
        <v>267</v>
      </c>
      <c r="X1626" s="133">
        <v>41856</v>
      </c>
      <c r="Y1626" s="134">
        <v>879</v>
      </c>
    </row>
    <row r="1627" spans="6:25" x14ac:dyDescent="0.25">
      <c r="F1627" s="76" t="s">
        <v>150</v>
      </c>
      <c r="G1627" s="77" t="s">
        <v>185</v>
      </c>
      <c r="H1627" s="77" t="s">
        <v>153</v>
      </c>
      <c r="I1627" s="86">
        <v>41872</v>
      </c>
      <c r="J1627" s="78">
        <v>1215</v>
      </c>
      <c r="P1627" s="132" t="s">
        <v>151</v>
      </c>
      <c r="Q1627" s="132" t="s">
        <v>304</v>
      </c>
      <c r="R1627" s="132" t="s">
        <v>267</v>
      </c>
      <c r="S1627" s="133">
        <v>41648</v>
      </c>
      <c r="T1627" s="134">
        <v>396.1</v>
      </c>
      <c r="U1627" s="132" t="s">
        <v>154</v>
      </c>
      <c r="V1627" s="132" t="s">
        <v>275</v>
      </c>
      <c r="W1627" s="132" t="s">
        <v>267</v>
      </c>
      <c r="X1627" s="133">
        <v>41856</v>
      </c>
      <c r="Y1627" s="134">
        <v>676</v>
      </c>
    </row>
    <row r="1628" spans="6:25" x14ac:dyDescent="0.25">
      <c r="F1628" s="76" t="s">
        <v>150</v>
      </c>
      <c r="G1628" s="77" t="s">
        <v>185</v>
      </c>
      <c r="H1628" s="77" t="s">
        <v>153</v>
      </c>
      <c r="I1628" s="86">
        <v>41873</v>
      </c>
      <c r="J1628" s="78">
        <v>1085</v>
      </c>
      <c r="P1628" s="132" t="s">
        <v>151</v>
      </c>
      <c r="Q1628" s="132" t="s">
        <v>304</v>
      </c>
      <c r="R1628" s="132" t="s">
        <v>267</v>
      </c>
      <c r="S1628" s="133">
        <v>41649</v>
      </c>
      <c r="T1628" s="134">
        <v>528</v>
      </c>
      <c r="U1628" s="132" t="s">
        <v>154</v>
      </c>
      <c r="V1628" s="132" t="s">
        <v>275</v>
      </c>
      <c r="W1628" s="132" t="s">
        <v>267</v>
      </c>
      <c r="X1628" s="133">
        <v>41857</v>
      </c>
      <c r="Y1628" s="134">
        <v>745</v>
      </c>
    </row>
    <row r="1629" spans="6:25" x14ac:dyDescent="0.25">
      <c r="F1629" s="76" t="s">
        <v>150</v>
      </c>
      <c r="G1629" s="77" t="s">
        <v>185</v>
      </c>
      <c r="H1629" s="77" t="s">
        <v>153</v>
      </c>
      <c r="I1629" s="86">
        <v>41876</v>
      </c>
      <c r="J1629" s="78">
        <v>1151</v>
      </c>
      <c r="P1629" s="132" t="s">
        <v>151</v>
      </c>
      <c r="Q1629" s="132" t="s">
        <v>304</v>
      </c>
      <c r="R1629" s="132" t="s">
        <v>267</v>
      </c>
      <c r="S1629" s="133">
        <v>41660</v>
      </c>
      <c r="T1629" s="134">
        <v>1256.5</v>
      </c>
      <c r="U1629" s="132" t="s">
        <v>154</v>
      </c>
      <c r="V1629" s="132" t="s">
        <v>275</v>
      </c>
      <c r="W1629" s="132" t="s">
        <v>267</v>
      </c>
      <c r="X1629" s="133">
        <v>41858</v>
      </c>
      <c r="Y1629" s="134">
        <v>835</v>
      </c>
    </row>
    <row r="1630" spans="6:25" x14ac:dyDescent="0.25">
      <c r="F1630" s="76" t="s">
        <v>150</v>
      </c>
      <c r="G1630" s="77" t="s">
        <v>185</v>
      </c>
      <c r="H1630" s="77" t="s">
        <v>153</v>
      </c>
      <c r="I1630" s="86">
        <v>41877</v>
      </c>
      <c r="J1630" s="78">
        <v>750</v>
      </c>
      <c r="P1630" s="132" t="s">
        <v>151</v>
      </c>
      <c r="Q1630" s="132" t="s">
        <v>304</v>
      </c>
      <c r="R1630" s="132" t="s">
        <v>267</v>
      </c>
      <c r="S1630" s="133">
        <v>41661</v>
      </c>
      <c r="T1630" s="134">
        <v>526.9</v>
      </c>
      <c r="U1630" s="132" t="s">
        <v>154</v>
      </c>
      <c r="V1630" s="132" t="s">
        <v>275</v>
      </c>
      <c r="W1630" s="132" t="s">
        <v>267</v>
      </c>
      <c r="X1630" s="133">
        <v>41859</v>
      </c>
      <c r="Y1630" s="134">
        <v>841</v>
      </c>
    </row>
    <row r="1631" spans="6:25" x14ac:dyDescent="0.25">
      <c r="F1631" s="76" t="s">
        <v>150</v>
      </c>
      <c r="G1631" s="77" t="s">
        <v>185</v>
      </c>
      <c r="H1631" s="77" t="s">
        <v>153</v>
      </c>
      <c r="I1631" s="86">
        <v>41885</v>
      </c>
      <c r="J1631" s="78">
        <v>944</v>
      </c>
      <c r="P1631" s="132" t="s">
        <v>151</v>
      </c>
      <c r="Q1631" s="132" t="s">
        <v>304</v>
      </c>
      <c r="R1631" s="132" t="s">
        <v>267</v>
      </c>
      <c r="S1631" s="133">
        <v>41688</v>
      </c>
      <c r="T1631" s="134">
        <v>351.6</v>
      </c>
      <c r="U1631" s="132" t="s">
        <v>154</v>
      </c>
      <c r="V1631" s="132" t="s">
        <v>275</v>
      </c>
      <c r="W1631" s="132" t="s">
        <v>267</v>
      </c>
      <c r="X1631" s="133">
        <v>41861</v>
      </c>
      <c r="Y1631" s="134">
        <v>886</v>
      </c>
    </row>
    <row r="1632" spans="6:25" x14ac:dyDescent="0.25">
      <c r="F1632" s="76" t="s">
        <v>150</v>
      </c>
      <c r="G1632" s="77" t="s">
        <v>185</v>
      </c>
      <c r="H1632" s="77" t="s">
        <v>153</v>
      </c>
      <c r="I1632" s="86">
        <v>41886</v>
      </c>
      <c r="J1632" s="78">
        <v>1032</v>
      </c>
      <c r="P1632" s="132" t="s">
        <v>151</v>
      </c>
      <c r="Q1632" s="132" t="s">
        <v>304</v>
      </c>
      <c r="R1632" s="132" t="s">
        <v>267</v>
      </c>
      <c r="S1632" s="133">
        <v>41788</v>
      </c>
      <c r="T1632" s="134">
        <v>508.3</v>
      </c>
      <c r="U1632" s="132" t="s">
        <v>154</v>
      </c>
      <c r="V1632" s="132" t="s">
        <v>275</v>
      </c>
      <c r="W1632" s="132" t="s">
        <v>267</v>
      </c>
      <c r="X1632" s="133">
        <v>41923</v>
      </c>
      <c r="Y1632" s="134">
        <v>861</v>
      </c>
    </row>
    <row r="1633" spans="6:25" x14ac:dyDescent="0.25">
      <c r="F1633" s="76" t="s">
        <v>150</v>
      </c>
      <c r="G1633" s="77" t="s">
        <v>185</v>
      </c>
      <c r="H1633" s="77" t="s">
        <v>153</v>
      </c>
      <c r="I1633" s="86">
        <v>41887</v>
      </c>
      <c r="J1633" s="78">
        <v>891</v>
      </c>
      <c r="P1633" s="132" t="s">
        <v>151</v>
      </c>
      <c r="Q1633" s="132" t="s">
        <v>304</v>
      </c>
      <c r="R1633" s="132" t="s">
        <v>267</v>
      </c>
      <c r="S1633" s="133">
        <v>41793</v>
      </c>
      <c r="T1633" s="134">
        <v>461.8</v>
      </c>
      <c r="U1633" s="132" t="s">
        <v>154</v>
      </c>
      <c r="V1633" s="132" t="s">
        <v>276</v>
      </c>
      <c r="W1633" s="132" t="s">
        <v>267</v>
      </c>
      <c r="X1633" s="133">
        <v>41694</v>
      </c>
      <c r="Y1633" s="134">
        <v>429</v>
      </c>
    </row>
    <row r="1634" spans="6:25" x14ac:dyDescent="0.25">
      <c r="F1634" s="76" t="s">
        <v>150</v>
      </c>
      <c r="G1634" s="77" t="s">
        <v>185</v>
      </c>
      <c r="H1634" s="77" t="s">
        <v>153</v>
      </c>
      <c r="I1634" s="86">
        <v>41890</v>
      </c>
      <c r="J1634" s="78">
        <v>1175</v>
      </c>
      <c r="P1634" s="132" t="s">
        <v>151</v>
      </c>
      <c r="Q1634" s="132" t="s">
        <v>304</v>
      </c>
      <c r="R1634" s="132" t="s">
        <v>267</v>
      </c>
      <c r="S1634" s="133">
        <v>41794</v>
      </c>
      <c r="T1634" s="134">
        <v>1015.8</v>
      </c>
      <c r="U1634" s="132" t="s">
        <v>154</v>
      </c>
      <c r="V1634" s="132" t="s">
        <v>276</v>
      </c>
      <c r="W1634" s="132" t="s">
        <v>267</v>
      </c>
      <c r="X1634" s="133">
        <v>41695</v>
      </c>
      <c r="Y1634" s="134">
        <v>756</v>
      </c>
    </row>
    <row r="1635" spans="6:25" x14ac:dyDescent="0.25">
      <c r="F1635" s="76" t="s">
        <v>150</v>
      </c>
      <c r="G1635" s="77" t="s">
        <v>185</v>
      </c>
      <c r="H1635" s="77" t="s">
        <v>153</v>
      </c>
      <c r="I1635" s="86">
        <v>41892</v>
      </c>
      <c r="J1635" s="78">
        <v>696</v>
      </c>
      <c r="P1635" s="132" t="s">
        <v>151</v>
      </c>
      <c r="Q1635" s="132" t="s">
        <v>304</v>
      </c>
      <c r="R1635" s="132" t="s">
        <v>267</v>
      </c>
      <c r="S1635" s="133">
        <v>41795</v>
      </c>
      <c r="T1635" s="134">
        <v>891.7</v>
      </c>
      <c r="U1635" s="132" t="s">
        <v>154</v>
      </c>
      <c r="V1635" s="132" t="s">
        <v>276</v>
      </c>
      <c r="W1635" s="132" t="s">
        <v>267</v>
      </c>
      <c r="X1635" s="133">
        <v>41696</v>
      </c>
      <c r="Y1635" s="134">
        <v>382</v>
      </c>
    </row>
    <row r="1636" spans="6:25" x14ac:dyDescent="0.25">
      <c r="F1636" s="76" t="s">
        <v>150</v>
      </c>
      <c r="G1636" s="77" t="s">
        <v>185</v>
      </c>
      <c r="H1636" s="77" t="s">
        <v>153</v>
      </c>
      <c r="I1636" s="86">
        <v>41893</v>
      </c>
      <c r="J1636" s="78">
        <v>777</v>
      </c>
      <c r="P1636" s="132" t="s">
        <v>151</v>
      </c>
      <c r="Q1636" s="132" t="s">
        <v>304</v>
      </c>
      <c r="R1636" s="132" t="s">
        <v>267</v>
      </c>
      <c r="S1636" s="133">
        <v>41796</v>
      </c>
      <c r="T1636" s="134">
        <v>950.4</v>
      </c>
      <c r="U1636" s="132" t="s">
        <v>154</v>
      </c>
      <c r="V1636" s="132" t="s">
        <v>276</v>
      </c>
      <c r="W1636" s="132" t="s">
        <v>267</v>
      </c>
      <c r="X1636" s="133">
        <v>41750</v>
      </c>
      <c r="Y1636" s="134">
        <v>687</v>
      </c>
    </row>
    <row r="1637" spans="6:25" x14ac:dyDescent="0.25">
      <c r="F1637" s="76" t="s">
        <v>150</v>
      </c>
      <c r="G1637" s="77" t="s">
        <v>185</v>
      </c>
      <c r="H1637" s="77" t="s">
        <v>153</v>
      </c>
      <c r="I1637" s="86">
        <v>41894</v>
      </c>
      <c r="J1637" s="78">
        <v>564</v>
      </c>
      <c r="P1637" s="132" t="s">
        <v>151</v>
      </c>
      <c r="Q1637" s="132" t="s">
        <v>304</v>
      </c>
      <c r="R1637" s="132" t="s">
        <v>267</v>
      </c>
      <c r="S1637" s="133">
        <v>41801</v>
      </c>
      <c r="T1637" s="134">
        <v>431.8</v>
      </c>
      <c r="U1637" s="132" t="s">
        <v>154</v>
      </c>
      <c r="V1637" s="132" t="s">
        <v>276</v>
      </c>
      <c r="W1637" s="132" t="s">
        <v>267</v>
      </c>
      <c r="X1637" s="133">
        <v>41750</v>
      </c>
      <c r="Y1637" s="134">
        <v>715</v>
      </c>
    </row>
    <row r="1638" spans="6:25" x14ac:dyDescent="0.25">
      <c r="F1638" s="76" t="s">
        <v>150</v>
      </c>
      <c r="G1638" s="77" t="s">
        <v>185</v>
      </c>
      <c r="H1638" s="77" t="s">
        <v>153</v>
      </c>
      <c r="I1638" s="86">
        <v>41898</v>
      </c>
      <c r="J1638" s="78">
        <v>1007</v>
      </c>
      <c r="P1638" s="132" t="s">
        <v>151</v>
      </c>
      <c r="Q1638" s="132" t="s">
        <v>304</v>
      </c>
      <c r="R1638" s="132" t="s">
        <v>267</v>
      </c>
      <c r="S1638" s="133">
        <v>41802</v>
      </c>
      <c r="T1638" s="134">
        <v>564.70000000000005</v>
      </c>
      <c r="U1638" s="132" t="s">
        <v>154</v>
      </c>
      <c r="V1638" s="132" t="s">
        <v>276</v>
      </c>
      <c r="W1638" s="132" t="s">
        <v>267</v>
      </c>
      <c r="X1638" s="133">
        <v>41751</v>
      </c>
      <c r="Y1638" s="134">
        <v>855</v>
      </c>
    </row>
    <row r="1639" spans="6:25" x14ac:dyDescent="0.25">
      <c r="F1639" s="76" t="s">
        <v>150</v>
      </c>
      <c r="G1639" s="77" t="s">
        <v>185</v>
      </c>
      <c r="H1639" s="77" t="s">
        <v>153</v>
      </c>
      <c r="I1639" s="86">
        <v>41900</v>
      </c>
      <c r="J1639" s="78">
        <v>892</v>
      </c>
      <c r="P1639" s="132" t="s">
        <v>151</v>
      </c>
      <c r="Q1639" s="132" t="s">
        <v>304</v>
      </c>
      <c r="R1639" s="132" t="s">
        <v>267</v>
      </c>
      <c r="S1639" s="133">
        <v>41809</v>
      </c>
      <c r="T1639" s="134">
        <v>262.3</v>
      </c>
      <c r="U1639" s="132" t="s">
        <v>154</v>
      </c>
      <c r="V1639" s="132" t="s">
        <v>276</v>
      </c>
      <c r="W1639" s="132" t="s">
        <v>267</v>
      </c>
      <c r="X1639" s="133">
        <v>41754</v>
      </c>
      <c r="Y1639" s="134">
        <v>1021</v>
      </c>
    </row>
    <row r="1640" spans="6:25" x14ac:dyDescent="0.25">
      <c r="F1640" s="76" t="s">
        <v>150</v>
      </c>
      <c r="G1640" s="77" t="s">
        <v>185</v>
      </c>
      <c r="H1640" s="77" t="s">
        <v>153</v>
      </c>
      <c r="I1640" s="86">
        <v>41901</v>
      </c>
      <c r="J1640" s="78">
        <v>1066</v>
      </c>
      <c r="P1640" s="132" t="s">
        <v>151</v>
      </c>
      <c r="Q1640" s="132" t="s">
        <v>304</v>
      </c>
      <c r="R1640" s="132" t="s">
        <v>267</v>
      </c>
      <c r="S1640" s="133">
        <v>41816</v>
      </c>
      <c r="T1640" s="134">
        <v>490</v>
      </c>
      <c r="U1640" s="132" t="s">
        <v>154</v>
      </c>
      <c r="V1640" s="132" t="s">
        <v>276</v>
      </c>
      <c r="W1640" s="132" t="s">
        <v>267</v>
      </c>
      <c r="X1640" s="133">
        <v>41754</v>
      </c>
      <c r="Y1640" s="134">
        <v>620</v>
      </c>
    </row>
    <row r="1641" spans="6:25" x14ac:dyDescent="0.25">
      <c r="F1641" s="76" t="s">
        <v>150</v>
      </c>
      <c r="G1641" s="77" t="s">
        <v>185</v>
      </c>
      <c r="H1641" s="77" t="s">
        <v>153</v>
      </c>
      <c r="I1641" s="86">
        <v>41904</v>
      </c>
      <c r="J1641" s="78">
        <v>466</v>
      </c>
      <c r="P1641" s="132" t="s">
        <v>151</v>
      </c>
      <c r="Q1641" s="132" t="s">
        <v>304</v>
      </c>
      <c r="R1641" s="132" t="s">
        <v>267</v>
      </c>
      <c r="S1641" s="133">
        <v>41841</v>
      </c>
      <c r="T1641" s="134">
        <v>914.7</v>
      </c>
      <c r="U1641" s="132" t="s">
        <v>154</v>
      </c>
      <c r="V1641" s="132" t="s">
        <v>276</v>
      </c>
      <c r="W1641" s="132" t="s">
        <v>267</v>
      </c>
      <c r="X1641" s="133">
        <v>41755</v>
      </c>
      <c r="Y1641" s="134">
        <v>246</v>
      </c>
    </row>
    <row r="1642" spans="6:25" x14ac:dyDescent="0.25">
      <c r="F1642" s="76" t="s">
        <v>150</v>
      </c>
      <c r="G1642" s="77" t="s">
        <v>185</v>
      </c>
      <c r="H1642" s="77" t="s">
        <v>153</v>
      </c>
      <c r="I1642" s="86">
        <v>41906</v>
      </c>
      <c r="J1642" s="78">
        <v>868</v>
      </c>
      <c r="P1642" s="132" t="s">
        <v>151</v>
      </c>
      <c r="Q1642" s="132" t="s">
        <v>304</v>
      </c>
      <c r="R1642" s="132" t="s">
        <v>267</v>
      </c>
      <c r="S1642" s="133">
        <v>41842</v>
      </c>
      <c r="T1642" s="134">
        <v>461.7</v>
      </c>
      <c r="U1642" s="132" t="s">
        <v>154</v>
      </c>
      <c r="V1642" s="132" t="s">
        <v>276</v>
      </c>
      <c r="W1642" s="132" t="s">
        <v>267</v>
      </c>
      <c r="X1642" s="133">
        <v>41755</v>
      </c>
      <c r="Y1642" s="134">
        <v>367</v>
      </c>
    </row>
    <row r="1643" spans="6:25" x14ac:dyDescent="0.25">
      <c r="F1643" s="76" t="s">
        <v>150</v>
      </c>
      <c r="G1643" s="77" t="s">
        <v>185</v>
      </c>
      <c r="H1643" s="77" t="s">
        <v>153</v>
      </c>
      <c r="I1643" s="86">
        <v>41907</v>
      </c>
      <c r="J1643" s="78">
        <v>788</v>
      </c>
      <c r="P1643" s="132" t="s">
        <v>151</v>
      </c>
      <c r="Q1643" s="132" t="s">
        <v>304</v>
      </c>
      <c r="R1643" s="132" t="s">
        <v>267</v>
      </c>
      <c r="S1643" s="133">
        <v>41843</v>
      </c>
      <c r="T1643" s="134">
        <v>425</v>
      </c>
      <c r="U1643" s="132" t="s">
        <v>154</v>
      </c>
      <c r="V1643" s="132" t="s">
        <v>276</v>
      </c>
      <c r="W1643" s="132" t="s">
        <v>267</v>
      </c>
      <c r="X1643" s="133">
        <v>41755</v>
      </c>
      <c r="Y1643" s="134">
        <v>415</v>
      </c>
    </row>
    <row r="1644" spans="6:25" x14ac:dyDescent="0.25">
      <c r="F1644" s="76" t="s">
        <v>150</v>
      </c>
      <c r="G1644" s="77" t="s">
        <v>185</v>
      </c>
      <c r="H1644" s="77" t="s">
        <v>153</v>
      </c>
      <c r="I1644" s="86">
        <v>41912</v>
      </c>
      <c r="J1644" s="78">
        <v>666</v>
      </c>
      <c r="P1644" s="132" t="s">
        <v>151</v>
      </c>
      <c r="Q1644" s="132" t="s">
        <v>304</v>
      </c>
      <c r="R1644" s="132" t="s">
        <v>267</v>
      </c>
      <c r="S1644" s="133">
        <v>41844</v>
      </c>
      <c r="T1644" s="134">
        <v>530.1</v>
      </c>
      <c r="U1644" s="132" t="s">
        <v>154</v>
      </c>
      <c r="V1644" s="132" t="s">
        <v>276</v>
      </c>
      <c r="W1644" s="132" t="s">
        <v>267</v>
      </c>
      <c r="X1644" s="133">
        <v>41756</v>
      </c>
      <c r="Y1644" s="134">
        <v>458</v>
      </c>
    </row>
    <row r="1645" spans="6:25" x14ac:dyDescent="0.25">
      <c r="F1645" s="76" t="s">
        <v>150</v>
      </c>
      <c r="G1645" s="77" t="s">
        <v>185</v>
      </c>
      <c r="H1645" s="77" t="s">
        <v>153</v>
      </c>
      <c r="I1645" s="86">
        <v>41917</v>
      </c>
      <c r="J1645" s="78">
        <v>476</v>
      </c>
      <c r="P1645" s="132" t="s">
        <v>151</v>
      </c>
      <c r="Q1645" s="132" t="s">
        <v>304</v>
      </c>
      <c r="R1645" s="132" t="s">
        <v>267</v>
      </c>
      <c r="S1645" s="133">
        <v>41845</v>
      </c>
      <c r="T1645" s="134">
        <v>526.20000000000005</v>
      </c>
      <c r="U1645" s="132" t="s">
        <v>154</v>
      </c>
      <c r="V1645" s="132" t="s">
        <v>276</v>
      </c>
      <c r="W1645" s="132" t="s">
        <v>267</v>
      </c>
      <c r="X1645" s="133">
        <v>41756</v>
      </c>
      <c r="Y1645" s="134">
        <v>497</v>
      </c>
    </row>
    <row r="1646" spans="6:25" x14ac:dyDescent="0.25">
      <c r="F1646" s="76" t="s">
        <v>150</v>
      </c>
      <c r="G1646" s="77" t="s">
        <v>185</v>
      </c>
      <c r="H1646" s="77" t="s">
        <v>153</v>
      </c>
      <c r="I1646" s="86">
        <v>41918</v>
      </c>
      <c r="J1646" s="78">
        <v>356</v>
      </c>
      <c r="P1646" s="132" t="s">
        <v>151</v>
      </c>
      <c r="Q1646" s="132" t="s">
        <v>304</v>
      </c>
      <c r="R1646" s="132" t="s">
        <v>267</v>
      </c>
      <c r="S1646" s="133">
        <v>41848</v>
      </c>
      <c r="T1646" s="134">
        <v>541.9</v>
      </c>
      <c r="U1646" s="132" t="s">
        <v>154</v>
      </c>
      <c r="V1646" s="132" t="s">
        <v>276</v>
      </c>
      <c r="W1646" s="132" t="s">
        <v>267</v>
      </c>
      <c r="X1646" s="133">
        <v>41757</v>
      </c>
      <c r="Y1646" s="134">
        <v>1057</v>
      </c>
    </row>
    <row r="1647" spans="6:25" x14ac:dyDescent="0.25">
      <c r="F1647" s="76" t="s">
        <v>150</v>
      </c>
      <c r="G1647" s="77" t="s">
        <v>185</v>
      </c>
      <c r="H1647" s="77" t="s">
        <v>153</v>
      </c>
      <c r="I1647" s="86">
        <v>41918</v>
      </c>
      <c r="J1647" s="78">
        <v>641</v>
      </c>
      <c r="P1647" s="132" t="s">
        <v>151</v>
      </c>
      <c r="Q1647" s="132" t="s">
        <v>304</v>
      </c>
      <c r="R1647" s="132" t="s">
        <v>267</v>
      </c>
      <c r="S1647" s="133">
        <v>41849</v>
      </c>
      <c r="T1647" s="134">
        <v>515</v>
      </c>
      <c r="U1647" s="132" t="s">
        <v>154</v>
      </c>
      <c r="V1647" s="132" t="s">
        <v>276</v>
      </c>
      <c r="W1647" s="132" t="s">
        <v>267</v>
      </c>
      <c r="X1647" s="133">
        <v>41757</v>
      </c>
      <c r="Y1647" s="134">
        <v>652</v>
      </c>
    </row>
    <row r="1648" spans="6:25" x14ac:dyDescent="0.25">
      <c r="F1648" s="76" t="s">
        <v>150</v>
      </c>
      <c r="G1648" s="77" t="s">
        <v>185</v>
      </c>
      <c r="H1648" s="77" t="s">
        <v>153</v>
      </c>
      <c r="I1648" s="86">
        <v>41926</v>
      </c>
      <c r="J1648" s="78">
        <v>1133</v>
      </c>
      <c r="P1648" s="132" t="s">
        <v>151</v>
      </c>
      <c r="Q1648" s="132" t="s">
        <v>304</v>
      </c>
      <c r="R1648" s="132" t="s">
        <v>267</v>
      </c>
      <c r="S1648" s="133">
        <v>41850</v>
      </c>
      <c r="T1648" s="134">
        <v>505.3</v>
      </c>
      <c r="U1648" s="132" t="s">
        <v>154</v>
      </c>
      <c r="V1648" s="132" t="s">
        <v>276</v>
      </c>
      <c r="W1648" s="132" t="s">
        <v>267</v>
      </c>
      <c r="X1648" s="133">
        <v>41758</v>
      </c>
      <c r="Y1648" s="134">
        <v>535</v>
      </c>
    </row>
    <row r="1649" spans="6:25" x14ac:dyDescent="0.25">
      <c r="F1649" s="76" t="s">
        <v>150</v>
      </c>
      <c r="G1649" s="77" t="s">
        <v>185</v>
      </c>
      <c r="H1649" s="77" t="s">
        <v>153</v>
      </c>
      <c r="I1649" s="86">
        <v>41926</v>
      </c>
      <c r="J1649" s="78">
        <v>1036</v>
      </c>
      <c r="P1649" s="132" t="s">
        <v>151</v>
      </c>
      <c r="Q1649" s="132" t="s">
        <v>304</v>
      </c>
      <c r="R1649" s="132" t="s">
        <v>267</v>
      </c>
      <c r="S1649" s="133">
        <v>41851</v>
      </c>
      <c r="T1649" s="134">
        <v>525</v>
      </c>
      <c r="U1649" s="132" t="s">
        <v>154</v>
      </c>
      <c r="V1649" s="132" t="s">
        <v>276</v>
      </c>
      <c r="W1649" s="132" t="s">
        <v>267</v>
      </c>
      <c r="X1649" s="133">
        <v>41759</v>
      </c>
      <c r="Y1649" s="134">
        <v>1205</v>
      </c>
    </row>
    <row r="1650" spans="6:25" x14ac:dyDescent="0.25">
      <c r="F1650" s="76" t="s">
        <v>150</v>
      </c>
      <c r="G1650" s="77" t="s">
        <v>185</v>
      </c>
      <c r="H1650" s="77" t="s">
        <v>153</v>
      </c>
      <c r="I1650" s="86">
        <v>41927</v>
      </c>
      <c r="J1650" s="78">
        <v>923</v>
      </c>
      <c r="P1650" s="132" t="s">
        <v>151</v>
      </c>
      <c r="Q1650" s="132" t="s">
        <v>304</v>
      </c>
      <c r="R1650" s="132" t="s">
        <v>267</v>
      </c>
      <c r="S1650" s="133">
        <v>41852</v>
      </c>
      <c r="T1650" s="134">
        <v>547.1</v>
      </c>
      <c r="U1650" s="132" t="s">
        <v>154</v>
      </c>
      <c r="V1650" s="132" t="s">
        <v>276</v>
      </c>
      <c r="W1650" s="132" t="s">
        <v>267</v>
      </c>
      <c r="X1650" s="133">
        <v>41760</v>
      </c>
      <c r="Y1650" s="134">
        <v>853</v>
      </c>
    </row>
    <row r="1651" spans="6:25" x14ac:dyDescent="0.25">
      <c r="F1651" s="76" t="s">
        <v>150</v>
      </c>
      <c r="G1651" s="77" t="s">
        <v>185</v>
      </c>
      <c r="H1651" s="77" t="s">
        <v>153</v>
      </c>
      <c r="I1651" s="86">
        <v>41928</v>
      </c>
      <c r="J1651" s="78">
        <v>540</v>
      </c>
      <c r="P1651" s="132" t="s">
        <v>151</v>
      </c>
      <c r="Q1651" s="132" t="s">
        <v>304</v>
      </c>
      <c r="R1651" s="132" t="s">
        <v>267</v>
      </c>
      <c r="S1651" s="133">
        <v>41855</v>
      </c>
      <c r="T1651" s="134">
        <v>447.1</v>
      </c>
      <c r="U1651" s="132" t="s">
        <v>154</v>
      </c>
      <c r="V1651" s="132" t="s">
        <v>276</v>
      </c>
      <c r="W1651" s="132" t="s">
        <v>267</v>
      </c>
      <c r="X1651" s="133">
        <v>41760</v>
      </c>
      <c r="Y1651" s="134">
        <v>703</v>
      </c>
    </row>
    <row r="1652" spans="6:25" x14ac:dyDescent="0.25">
      <c r="F1652" s="76" t="s">
        <v>150</v>
      </c>
      <c r="G1652" s="77" t="s">
        <v>185</v>
      </c>
      <c r="H1652" s="77" t="s">
        <v>153</v>
      </c>
      <c r="I1652" s="86">
        <v>41929</v>
      </c>
      <c r="J1652" s="78">
        <v>825</v>
      </c>
      <c r="P1652" s="132" t="s">
        <v>151</v>
      </c>
      <c r="Q1652" s="132" t="s">
        <v>304</v>
      </c>
      <c r="R1652" s="132" t="s">
        <v>267</v>
      </c>
      <c r="S1652" s="133">
        <v>41856</v>
      </c>
      <c r="T1652" s="134">
        <v>511.4</v>
      </c>
      <c r="U1652" s="132" t="s">
        <v>154</v>
      </c>
      <c r="V1652" s="132" t="s">
        <v>276</v>
      </c>
      <c r="W1652" s="132" t="s">
        <v>267</v>
      </c>
      <c r="X1652" s="133">
        <v>41761</v>
      </c>
      <c r="Y1652" s="134">
        <v>1015</v>
      </c>
    </row>
    <row r="1653" spans="6:25" x14ac:dyDescent="0.25">
      <c r="F1653" s="76" t="s">
        <v>150</v>
      </c>
      <c r="G1653" s="77" t="s">
        <v>185</v>
      </c>
      <c r="H1653" s="77" t="s">
        <v>153</v>
      </c>
      <c r="I1653" s="86">
        <v>41933</v>
      </c>
      <c r="J1653" s="78">
        <v>969</v>
      </c>
      <c r="P1653" s="132" t="s">
        <v>151</v>
      </c>
      <c r="Q1653" s="132" t="s">
        <v>304</v>
      </c>
      <c r="R1653" s="132" t="s">
        <v>267</v>
      </c>
      <c r="S1653" s="133">
        <v>41857</v>
      </c>
      <c r="T1653" s="134">
        <v>517.79999999999995</v>
      </c>
      <c r="U1653" s="132" t="s">
        <v>154</v>
      </c>
      <c r="V1653" s="132" t="s">
        <v>276</v>
      </c>
      <c r="W1653" s="132" t="s">
        <v>267</v>
      </c>
      <c r="X1653" s="133">
        <v>41762</v>
      </c>
      <c r="Y1653" s="134">
        <v>547</v>
      </c>
    </row>
    <row r="1654" spans="6:25" x14ac:dyDescent="0.25">
      <c r="F1654" s="76" t="s">
        <v>150</v>
      </c>
      <c r="G1654" s="77" t="s">
        <v>185</v>
      </c>
      <c r="H1654" s="77" t="s">
        <v>153</v>
      </c>
      <c r="I1654" s="86">
        <v>41948</v>
      </c>
      <c r="J1654" s="78">
        <v>832</v>
      </c>
      <c r="P1654" s="132" t="s">
        <v>151</v>
      </c>
      <c r="Q1654" s="132" t="s">
        <v>304</v>
      </c>
      <c r="R1654" s="132" t="s">
        <v>267</v>
      </c>
      <c r="S1654" s="133">
        <v>41858</v>
      </c>
      <c r="T1654" s="134">
        <v>521.70000000000005</v>
      </c>
      <c r="U1654" s="132" t="s">
        <v>154</v>
      </c>
      <c r="V1654" s="132" t="s">
        <v>276</v>
      </c>
      <c r="W1654" s="132" t="s">
        <v>267</v>
      </c>
      <c r="X1654" s="133">
        <v>41762</v>
      </c>
      <c r="Y1654" s="134">
        <v>734</v>
      </c>
    </row>
    <row r="1655" spans="6:25" x14ac:dyDescent="0.25">
      <c r="F1655" s="76" t="s">
        <v>150</v>
      </c>
      <c r="G1655" s="77" t="s">
        <v>185</v>
      </c>
      <c r="H1655" s="77" t="s">
        <v>153</v>
      </c>
      <c r="I1655" s="86">
        <v>41950</v>
      </c>
      <c r="J1655" s="78">
        <v>832</v>
      </c>
      <c r="P1655" s="132" t="s">
        <v>151</v>
      </c>
      <c r="Q1655" s="132" t="s">
        <v>304</v>
      </c>
      <c r="R1655" s="132" t="s">
        <v>267</v>
      </c>
      <c r="S1655" s="133">
        <v>41859</v>
      </c>
      <c r="T1655" s="134">
        <v>502.3</v>
      </c>
      <c r="U1655" s="132" t="s">
        <v>154</v>
      </c>
      <c r="V1655" s="132" t="s">
        <v>276</v>
      </c>
      <c r="W1655" s="132" t="s">
        <v>267</v>
      </c>
      <c r="X1655" s="133">
        <v>41763</v>
      </c>
      <c r="Y1655" s="134">
        <v>820</v>
      </c>
    </row>
    <row r="1656" spans="6:25" x14ac:dyDescent="0.25">
      <c r="F1656" s="76" t="s">
        <v>150</v>
      </c>
      <c r="G1656" s="77" t="s">
        <v>185</v>
      </c>
      <c r="H1656" s="77" t="s">
        <v>153</v>
      </c>
      <c r="I1656" s="86">
        <v>41953</v>
      </c>
      <c r="J1656" s="78">
        <v>327</v>
      </c>
      <c r="P1656" s="132" t="s">
        <v>151</v>
      </c>
      <c r="Q1656" s="132" t="s">
        <v>304</v>
      </c>
      <c r="R1656" s="132" t="s">
        <v>267</v>
      </c>
      <c r="S1656" s="133">
        <v>41862</v>
      </c>
      <c r="T1656" s="134">
        <v>505.7</v>
      </c>
      <c r="U1656" s="132" t="s">
        <v>154</v>
      </c>
      <c r="V1656" s="132" t="s">
        <v>276</v>
      </c>
      <c r="W1656" s="132" t="s">
        <v>267</v>
      </c>
      <c r="X1656" s="133">
        <v>41764</v>
      </c>
      <c r="Y1656" s="134">
        <v>1027</v>
      </c>
    </row>
    <row r="1657" spans="6:25" x14ac:dyDescent="0.25">
      <c r="F1657" s="76" t="s">
        <v>150</v>
      </c>
      <c r="G1657" s="77" t="s">
        <v>185</v>
      </c>
      <c r="H1657" s="77" t="s">
        <v>153</v>
      </c>
      <c r="I1657" s="86">
        <v>41954</v>
      </c>
      <c r="J1657" s="78">
        <v>777</v>
      </c>
      <c r="P1657" s="132" t="s">
        <v>151</v>
      </c>
      <c r="Q1657" s="132" t="s">
        <v>304</v>
      </c>
      <c r="R1657" s="132" t="s">
        <v>267</v>
      </c>
      <c r="S1657" s="133">
        <v>41863</v>
      </c>
      <c r="T1657" s="134">
        <v>505.3</v>
      </c>
      <c r="U1657" s="132" t="s">
        <v>154</v>
      </c>
      <c r="V1657" s="132" t="s">
        <v>276</v>
      </c>
      <c r="W1657" s="132" t="s">
        <v>267</v>
      </c>
      <c r="X1657" s="133">
        <v>41765</v>
      </c>
      <c r="Y1657" s="134">
        <v>675</v>
      </c>
    </row>
    <row r="1658" spans="6:25" x14ac:dyDescent="0.25">
      <c r="F1658" s="76" t="s">
        <v>150</v>
      </c>
      <c r="G1658" s="77" t="s">
        <v>185</v>
      </c>
      <c r="H1658" s="77" t="s">
        <v>153</v>
      </c>
      <c r="I1658" s="86">
        <v>41955</v>
      </c>
      <c r="J1658" s="78">
        <v>1023</v>
      </c>
      <c r="P1658" s="132" t="s">
        <v>151</v>
      </c>
      <c r="Q1658" s="132" t="s">
        <v>304</v>
      </c>
      <c r="R1658" s="132" t="s">
        <v>267</v>
      </c>
      <c r="S1658" s="133">
        <v>41864</v>
      </c>
      <c r="T1658" s="134">
        <v>480.3</v>
      </c>
      <c r="U1658" s="132" t="s">
        <v>154</v>
      </c>
      <c r="V1658" s="132" t="s">
        <v>276</v>
      </c>
      <c r="W1658" s="132" t="s">
        <v>267</v>
      </c>
      <c r="X1658" s="133">
        <v>41765</v>
      </c>
      <c r="Y1658" s="134">
        <v>674</v>
      </c>
    </row>
    <row r="1659" spans="6:25" x14ac:dyDescent="0.25">
      <c r="F1659" s="76" t="s">
        <v>150</v>
      </c>
      <c r="G1659" s="77" t="s">
        <v>185</v>
      </c>
      <c r="H1659" s="77" t="s">
        <v>153</v>
      </c>
      <c r="I1659" s="86">
        <v>41956</v>
      </c>
      <c r="J1659" s="78">
        <v>894</v>
      </c>
      <c r="P1659" s="132" t="s">
        <v>151</v>
      </c>
      <c r="Q1659" s="132" t="s">
        <v>304</v>
      </c>
      <c r="R1659" s="132" t="s">
        <v>267</v>
      </c>
      <c r="S1659" s="133">
        <v>41941</v>
      </c>
      <c r="T1659" s="134">
        <v>352.3</v>
      </c>
      <c r="U1659" s="132" t="s">
        <v>154</v>
      </c>
      <c r="V1659" s="132" t="s">
        <v>276</v>
      </c>
      <c r="W1659" s="132" t="s">
        <v>267</v>
      </c>
      <c r="X1659" s="133">
        <v>41766</v>
      </c>
      <c r="Y1659" s="134">
        <v>542</v>
      </c>
    </row>
    <row r="1660" spans="6:25" x14ac:dyDescent="0.25">
      <c r="F1660" s="76" t="s">
        <v>150</v>
      </c>
      <c r="G1660" s="77" t="s">
        <v>185</v>
      </c>
      <c r="H1660" s="77" t="s">
        <v>153</v>
      </c>
      <c r="I1660" s="86">
        <v>41957</v>
      </c>
      <c r="J1660" s="78">
        <v>969</v>
      </c>
      <c r="P1660" s="132" t="s">
        <v>151</v>
      </c>
      <c r="Q1660" s="132" t="s">
        <v>304</v>
      </c>
      <c r="R1660" s="132" t="s">
        <v>267</v>
      </c>
      <c r="S1660" s="133">
        <v>41982</v>
      </c>
      <c r="T1660" s="134">
        <v>666.4</v>
      </c>
      <c r="U1660" s="132" t="s">
        <v>154</v>
      </c>
      <c r="V1660" s="132" t="s">
        <v>276</v>
      </c>
      <c r="W1660" s="132" t="s">
        <v>267</v>
      </c>
      <c r="X1660" s="133">
        <v>41766</v>
      </c>
      <c r="Y1660" s="134">
        <v>675</v>
      </c>
    </row>
    <row r="1661" spans="6:25" x14ac:dyDescent="0.25">
      <c r="F1661" s="76" t="s">
        <v>150</v>
      </c>
      <c r="G1661" s="77" t="s">
        <v>185</v>
      </c>
      <c r="H1661" s="77" t="s">
        <v>153</v>
      </c>
      <c r="I1661" s="86">
        <v>41958</v>
      </c>
      <c r="J1661" s="78">
        <v>775</v>
      </c>
      <c r="P1661" s="132" t="s">
        <v>151</v>
      </c>
      <c r="Q1661" s="132" t="s">
        <v>304</v>
      </c>
      <c r="R1661" s="132" t="s">
        <v>267</v>
      </c>
      <c r="S1661" s="133">
        <v>41989</v>
      </c>
      <c r="T1661" s="134">
        <v>380.6</v>
      </c>
      <c r="U1661" s="132" t="s">
        <v>154</v>
      </c>
      <c r="V1661" s="132" t="s">
        <v>276</v>
      </c>
      <c r="W1661" s="132" t="s">
        <v>267</v>
      </c>
      <c r="X1661" s="133">
        <v>41767</v>
      </c>
      <c r="Y1661" s="134">
        <v>1129</v>
      </c>
    </row>
    <row r="1662" spans="6:25" x14ac:dyDescent="0.25">
      <c r="F1662" s="76" t="s">
        <v>150</v>
      </c>
      <c r="G1662" s="77" t="s">
        <v>185</v>
      </c>
      <c r="H1662" s="77" t="s">
        <v>153</v>
      </c>
      <c r="I1662" s="86">
        <v>41959</v>
      </c>
      <c r="J1662" s="78">
        <v>545</v>
      </c>
      <c r="P1662" s="132" t="s">
        <v>151</v>
      </c>
      <c r="Q1662" s="132" t="s">
        <v>304</v>
      </c>
      <c r="R1662" s="132" t="s">
        <v>267</v>
      </c>
      <c r="S1662" s="133">
        <v>41995</v>
      </c>
      <c r="T1662" s="134">
        <v>544.70000000000005</v>
      </c>
      <c r="U1662" s="132" t="s">
        <v>154</v>
      </c>
      <c r="V1662" s="132" t="s">
        <v>276</v>
      </c>
      <c r="W1662" s="132" t="s">
        <v>267</v>
      </c>
      <c r="X1662" s="133">
        <v>41768</v>
      </c>
      <c r="Y1662" s="134">
        <v>688</v>
      </c>
    </row>
    <row r="1663" spans="6:25" x14ac:dyDescent="0.25">
      <c r="F1663" s="76" t="s">
        <v>150</v>
      </c>
      <c r="G1663" s="77" t="s">
        <v>185</v>
      </c>
      <c r="H1663" s="77" t="s">
        <v>153</v>
      </c>
      <c r="I1663" s="86">
        <v>41959</v>
      </c>
      <c r="J1663" s="78">
        <v>413</v>
      </c>
      <c r="P1663" s="132" t="s">
        <v>151</v>
      </c>
      <c r="Q1663" s="132" t="s">
        <v>304</v>
      </c>
      <c r="R1663" s="132" t="s">
        <v>267</v>
      </c>
      <c r="S1663" s="133">
        <v>41996</v>
      </c>
      <c r="T1663" s="134">
        <v>350.2</v>
      </c>
      <c r="U1663" s="132" t="s">
        <v>154</v>
      </c>
      <c r="V1663" s="132" t="s">
        <v>276</v>
      </c>
      <c r="W1663" s="132" t="s">
        <v>267</v>
      </c>
      <c r="X1663" s="133">
        <v>41768</v>
      </c>
      <c r="Y1663" s="134">
        <v>637</v>
      </c>
    </row>
    <row r="1664" spans="6:25" x14ac:dyDescent="0.25">
      <c r="F1664" s="76" t="s">
        <v>150</v>
      </c>
      <c r="G1664" s="77" t="s">
        <v>185</v>
      </c>
      <c r="H1664" s="77" t="s">
        <v>153</v>
      </c>
      <c r="I1664" s="86">
        <v>41961</v>
      </c>
      <c r="J1664" s="78">
        <v>1012</v>
      </c>
      <c r="P1664" s="132" t="s">
        <v>151</v>
      </c>
      <c r="Q1664" s="132" t="s">
        <v>304</v>
      </c>
      <c r="R1664" s="132" t="s">
        <v>267</v>
      </c>
      <c r="S1664" s="133">
        <v>41997</v>
      </c>
      <c r="T1664" s="134">
        <v>621.4</v>
      </c>
      <c r="U1664" s="132" t="s">
        <v>154</v>
      </c>
      <c r="V1664" s="132" t="s">
        <v>276</v>
      </c>
      <c r="W1664" s="132" t="s">
        <v>267</v>
      </c>
      <c r="X1664" s="133">
        <v>41770</v>
      </c>
      <c r="Y1664" s="134">
        <v>540</v>
      </c>
    </row>
    <row r="1665" spans="6:25" x14ac:dyDescent="0.25">
      <c r="F1665" s="76" t="s">
        <v>150</v>
      </c>
      <c r="G1665" s="77" t="s">
        <v>185</v>
      </c>
      <c r="H1665" s="77" t="s">
        <v>153</v>
      </c>
      <c r="I1665" s="86">
        <v>41962</v>
      </c>
      <c r="J1665" s="78">
        <v>1106</v>
      </c>
      <c r="P1665" s="132" t="s">
        <v>151</v>
      </c>
      <c r="Q1665" s="132" t="s">
        <v>304</v>
      </c>
      <c r="R1665" s="132" t="s">
        <v>267</v>
      </c>
      <c r="S1665" s="133">
        <v>41999</v>
      </c>
      <c r="T1665" s="134">
        <v>952.8</v>
      </c>
      <c r="U1665" s="132" t="s">
        <v>154</v>
      </c>
      <c r="V1665" s="132" t="s">
        <v>276</v>
      </c>
      <c r="W1665" s="132" t="s">
        <v>267</v>
      </c>
      <c r="X1665" s="133">
        <v>41782</v>
      </c>
      <c r="Y1665" s="134">
        <v>727</v>
      </c>
    </row>
    <row r="1666" spans="6:25" x14ac:dyDescent="0.25">
      <c r="F1666" s="76" t="s">
        <v>150</v>
      </c>
      <c r="G1666" s="77" t="s">
        <v>185</v>
      </c>
      <c r="H1666" s="77" t="s">
        <v>153</v>
      </c>
      <c r="I1666" s="86">
        <v>41963</v>
      </c>
      <c r="J1666" s="78">
        <v>1136</v>
      </c>
      <c r="P1666" s="132" t="s">
        <v>151</v>
      </c>
      <c r="Q1666" s="132" t="s">
        <v>304</v>
      </c>
      <c r="R1666" s="132" t="s">
        <v>267</v>
      </c>
      <c r="S1666" s="133">
        <v>42002</v>
      </c>
      <c r="T1666" s="134">
        <v>800.8</v>
      </c>
      <c r="U1666" s="132" t="s">
        <v>154</v>
      </c>
      <c r="V1666" s="132" t="s">
        <v>276</v>
      </c>
      <c r="W1666" s="132" t="s">
        <v>267</v>
      </c>
      <c r="X1666" s="133">
        <v>41782</v>
      </c>
      <c r="Y1666" s="134">
        <v>536</v>
      </c>
    </row>
    <row r="1667" spans="6:25" x14ac:dyDescent="0.25">
      <c r="F1667" s="76" t="s">
        <v>150</v>
      </c>
      <c r="G1667" s="77" t="s">
        <v>185</v>
      </c>
      <c r="H1667" s="77" t="s">
        <v>153</v>
      </c>
      <c r="I1667" s="86">
        <v>41963</v>
      </c>
      <c r="J1667" s="78">
        <v>699</v>
      </c>
      <c r="P1667" s="132" t="s">
        <v>151</v>
      </c>
      <c r="Q1667" s="132" t="s">
        <v>305</v>
      </c>
      <c r="R1667" s="132" t="s">
        <v>267</v>
      </c>
      <c r="S1667" s="133">
        <v>41662</v>
      </c>
      <c r="T1667" s="134">
        <v>1338.6</v>
      </c>
      <c r="U1667" s="132" t="s">
        <v>154</v>
      </c>
      <c r="V1667" s="132" t="s">
        <v>276</v>
      </c>
      <c r="W1667" s="132" t="s">
        <v>267</v>
      </c>
      <c r="X1667" s="133">
        <v>41785</v>
      </c>
      <c r="Y1667" s="134">
        <v>760</v>
      </c>
    </row>
    <row r="1668" spans="6:25" x14ac:dyDescent="0.25">
      <c r="F1668" s="76" t="s">
        <v>150</v>
      </c>
      <c r="G1668" s="77" t="s">
        <v>185</v>
      </c>
      <c r="H1668" s="77" t="s">
        <v>153</v>
      </c>
      <c r="I1668" s="86">
        <v>41964</v>
      </c>
      <c r="J1668" s="78">
        <v>854</v>
      </c>
      <c r="P1668" s="132" t="s">
        <v>151</v>
      </c>
      <c r="Q1668" s="132" t="s">
        <v>305</v>
      </c>
      <c r="R1668" s="132" t="s">
        <v>267</v>
      </c>
      <c r="S1668" s="133">
        <v>41663</v>
      </c>
      <c r="T1668" s="134">
        <v>1071.9000000000001</v>
      </c>
      <c r="U1668" s="132" t="s">
        <v>154</v>
      </c>
      <c r="V1668" s="132" t="s">
        <v>276</v>
      </c>
      <c r="W1668" s="132" t="s">
        <v>267</v>
      </c>
      <c r="X1668" s="133">
        <v>41786</v>
      </c>
      <c r="Y1668" s="134">
        <v>847</v>
      </c>
    </row>
    <row r="1669" spans="6:25" x14ac:dyDescent="0.25">
      <c r="F1669" s="76" t="s">
        <v>150</v>
      </c>
      <c r="G1669" s="77" t="s">
        <v>185</v>
      </c>
      <c r="H1669" s="77" t="s">
        <v>153</v>
      </c>
      <c r="I1669" s="86">
        <v>41967</v>
      </c>
      <c r="J1669" s="78">
        <v>450</v>
      </c>
      <c r="P1669" s="132" t="s">
        <v>151</v>
      </c>
      <c r="Q1669" s="132" t="s">
        <v>305</v>
      </c>
      <c r="R1669" s="132" t="s">
        <v>267</v>
      </c>
      <c r="S1669" s="133">
        <v>41666</v>
      </c>
      <c r="T1669" s="134">
        <v>886.7</v>
      </c>
      <c r="U1669" s="132" t="s">
        <v>154</v>
      </c>
      <c r="V1669" s="132" t="s">
        <v>276</v>
      </c>
      <c r="W1669" s="132" t="s">
        <v>267</v>
      </c>
      <c r="X1669" s="133">
        <v>41787</v>
      </c>
      <c r="Y1669" s="134">
        <v>615</v>
      </c>
    </row>
    <row r="1670" spans="6:25" x14ac:dyDescent="0.25">
      <c r="F1670" s="76" t="s">
        <v>150</v>
      </c>
      <c r="G1670" s="77" t="s">
        <v>185</v>
      </c>
      <c r="H1670" s="77" t="s">
        <v>153</v>
      </c>
      <c r="I1670" s="86">
        <v>41968</v>
      </c>
      <c r="J1670" s="78">
        <v>594</v>
      </c>
      <c r="P1670" s="132" t="s">
        <v>151</v>
      </c>
      <c r="Q1670" s="132" t="s">
        <v>305</v>
      </c>
      <c r="R1670" s="132" t="s">
        <v>267</v>
      </c>
      <c r="S1670" s="133">
        <v>41677</v>
      </c>
      <c r="T1670" s="134">
        <v>974.4</v>
      </c>
      <c r="U1670" s="132" t="s">
        <v>154</v>
      </c>
      <c r="V1670" s="132" t="s">
        <v>276</v>
      </c>
      <c r="W1670" s="132" t="s">
        <v>267</v>
      </c>
      <c r="X1670" s="133">
        <v>41787</v>
      </c>
      <c r="Y1670" s="134">
        <v>607</v>
      </c>
    </row>
    <row r="1671" spans="6:25" x14ac:dyDescent="0.25">
      <c r="F1671" s="76" t="s">
        <v>150</v>
      </c>
      <c r="G1671" s="77" t="s">
        <v>185</v>
      </c>
      <c r="H1671" s="77" t="s">
        <v>153</v>
      </c>
      <c r="I1671" s="86">
        <v>41974</v>
      </c>
      <c r="J1671" s="78">
        <v>679</v>
      </c>
      <c r="P1671" s="132" t="s">
        <v>151</v>
      </c>
      <c r="Q1671" s="132" t="s">
        <v>305</v>
      </c>
      <c r="R1671" s="132" t="s">
        <v>267</v>
      </c>
      <c r="S1671" s="133">
        <v>41684</v>
      </c>
      <c r="T1671" s="134">
        <v>1037.8</v>
      </c>
      <c r="U1671" s="132" t="s">
        <v>154</v>
      </c>
      <c r="V1671" s="132" t="s">
        <v>276</v>
      </c>
      <c r="W1671" s="132" t="s">
        <v>267</v>
      </c>
      <c r="X1671" s="133">
        <v>41788</v>
      </c>
      <c r="Y1671" s="134">
        <v>601</v>
      </c>
    </row>
    <row r="1672" spans="6:25" x14ac:dyDescent="0.25">
      <c r="F1672" s="76" t="s">
        <v>150</v>
      </c>
      <c r="G1672" s="77" t="s">
        <v>185</v>
      </c>
      <c r="H1672" s="77" t="s">
        <v>153</v>
      </c>
      <c r="I1672" s="86">
        <v>41975</v>
      </c>
      <c r="J1672" s="78">
        <v>728</v>
      </c>
      <c r="P1672" s="132" t="s">
        <v>151</v>
      </c>
      <c r="Q1672" s="132" t="s">
        <v>305</v>
      </c>
      <c r="R1672" s="132" t="s">
        <v>267</v>
      </c>
      <c r="S1672" s="133">
        <v>41687</v>
      </c>
      <c r="T1672" s="134">
        <v>478.3</v>
      </c>
      <c r="U1672" s="132" t="s">
        <v>154</v>
      </c>
      <c r="V1672" s="132" t="s">
        <v>276</v>
      </c>
      <c r="W1672" s="132" t="s">
        <v>267</v>
      </c>
      <c r="X1672" s="133">
        <v>41788</v>
      </c>
      <c r="Y1672" s="134">
        <v>343</v>
      </c>
    </row>
    <row r="1673" spans="6:25" x14ac:dyDescent="0.25">
      <c r="F1673" s="76" t="s">
        <v>150</v>
      </c>
      <c r="G1673" s="77" t="s">
        <v>185</v>
      </c>
      <c r="H1673" s="77" t="s">
        <v>153</v>
      </c>
      <c r="I1673" s="86">
        <v>41976</v>
      </c>
      <c r="J1673" s="78">
        <v>495</v>
      </c>
      <c r="P1673" s="132" t="s">
        <v>151</v>
      </c>
      <c r="Q1673" s="132" t="s">
        <v>305</v>
      </c>
      <c r="R1673" s="132" t="s">
        <v>267</v>
      </c>
      <c r="S1673" s="133">
        <v>41689</v>
      </c>
      <c r="T1673" s="134">
        <v>931</v>
      </c>
      <c r="U1673" s="132" t="s">
        <v>154</v>
      </c>
      <c r="V1673" s="132" t="s">
        <v>276</v>
      </c>
      <c r="W1673" s="132" t="s">
        <v>267</v>
      </c>
      <c r="X1673" s="133">
        <v>41789</v>
      </c>
      <c r="Y1673" s="134">
        <v>801</v>
      </c>
    </row>
    <row r="1674" spans="6:25" x14ac:dyDescent="0.25">
      <c r="F1674" s="76" t="s">
        <v>150</v>
      </c>
      <c r="G1674" s="77" t="s">
        <v>185</v>
      </c>
      <c r="H1674" s="77" t="s">
        <v>153</v>
      </c>
      <c r="I1674" s="86">
        <v>41977</v>
      </c>
      <c r="J1674" s="78">
        <v>444</v>
      </c>
      <c r="P1674" s="132" t="s">
        <v>151</v>
      </c>
      <c r="Q1674" s="132" t="s">
        <v>305</v>
      </c>
      <c r="R1674" s="132" t="s">
        <v>267</v>
      </c>
      <c r="S1674" s="133">
        <v>41835</v>
      </c>
      <c r="T1674" s="134">
        <v>233.5</v>
      </c>
      <c r="U1674" s="132" t="s">
        <v>154</v>
      </c>
      <c r="V1674" s="132" t="s">
        <v>276</v>
      </c>
      <c r="W1674" s="132" t="s">
        <v>267</v>
      </c>
      <c r="X1674" s="133">
        <v>41790</v>
      </c>
      <c r="Y1674" s="134">
        <v>852</v>
      </c>
    </row>
    <row r="1675" spans="6:25" x14ac:dyDescent="0.25">
      <c r="F1675" s="76" t="s">
        <v>150</v>
      </c>
      <c r="G1675" s="77" t="s">
        <v>185</v>
      </c>
      <c r="H1675" s="77" t="s">
        <v>153</v>
      </c>
      <c r="I1675" s="86">
        <v>41978</v>
      </c>
      <c r="J1675" s="78">
        <v>416</v>
      </c>
      <c r="P1675" s="132" t="s">
        <v>151</v>
      </c>
      <c r="Q1675" s="132" t="s">
        <v>305</v>
      </c>
      <c r="R1675" s="132" t="s">
        <v>267</v>
      </c>
      <c r="S1675" s="133">
        <v>41836</v>
      </c>
      <c r="T1675" s="134">
        <v>593.70000000000005</v>
      </c>
      <c r="U1675" s="132" t="s">
        <v>154</v>
      </c>
      <c r="V1675" s="132" t="s">
        <v>276</v>
      </c>
      <c r="W1675" s="132" t="s">
        <v>267</v>
      </c>
      <c r="X1675" s="133">
        <v>41791</v>
      </c>
      <c r="Y1675" s="134">
        <v>687</v>
      </c>
    </row>
    <row r="1676" spans="6:25" x14ac:dyDescent="0.25">
      <c r="F1676" s="76" t="s">
        <v>150</v>
      </c>
      <c r="G1676" s="77" t="s">
        <v>185</v>
      </c>
      <c r="H1676" s="77" t="s">
        <v>153</v>
      </c>
      <c r="I1676" s="86">
        <v>41981</v>
      </c>
      <c r="J1676" s="78">
        <v>472</v>
      </c>
      <c r="P1676" s="132" t="s">
        <v>151</v>
      </c>
      <c r="Q1676" s="132" t="s">
        <v>305</v>
      </c>
      <c r="R1676" s="132" t="s">
        <v>267</v>
      </c>
      <c r="S1676" s="133">
        <v>41837</v>
      </c>
      <c r="T1676" s="134">
        <v>540.5</v>
      </c>
      <c r="U1676" s="132" t="s">
        <v>154</v>
      </c>
      <c r="V1676" s="132" t="s">
        <v>276</v>
      </c>
      <c r="W1676" s="132" t="s">
        <v>267</v>
      </c>
      <c r="X1676" s="133">
        <v>41792</v>
      </c>
      <c r="Y1676" s="134">
        <v>654</v>
      </c>
    </row>
    <row r="1677" spans="6:25" x14ac:dyDescent="0.25">
      <c r="F1677" s="76" t="s">
        <v>150</v>
      </c>
      <c r="G1677" s="77" t="s">
        <v>185</v>
      </c>
      <c r="H1677" s="77" t="s">
        <v>153</v>
      </c>
      <c r="I1677" s="86">
        <v>41982</v>
      </c>
      <c r="J1677" s="78">
        <v>578</v>
      </c>
      <c r="P1677" s="132" t="s">
        <v>151</v>
      </c>
      <c r="Q1677" s="132" t="s">
        <v>305</v>
      </c>
      <c r="R1677" s="132" t="s">
        <v>267</v>
      </c>
      <c r="S1677" s="133">
        <v>41838</v>
      </c>
      <c r="T1677" s="134">
        <v>565.20000000000005</v>
      </c>
      <c r="U1677" s="132" t="s">
        <v>154</v>
      </c>
      <c r="V1677" s="132" t="s">
        <v>276</v>
      </c>
      <c r="W1677" s="132" t="s">
        <v>267</v>
      </c>
      <c r="X1677" s="133">
        <v>41792</v>
      </c>
      <c r="Y1677" s="134">
        <v>555</v>
      </c>
    </row>
    <row r="1678" spans="6:25" x14ac:dyDescent="0.25">
      <c r="F1678" s="76" t="s">
        <v>150</v>
      </c>
      <c r="G1678" s="77" t="s">
        <v>185</v>
      </c>
      <c r="H1678" s="77" t="s">
        <v>153</v>
      </c>
      <c r="I1678" s="86">
        <v>41983</v>
      </c>
      <c r="J1678" s="78">
        <v>498</v>
      </c>
      <c r="P1678" s="132" t="s">
        <v>151</v>
      </c>
      <c r="Q1678" s="132" t="s">
        <v>305</v>
      </c>
      <c r="R1678" s="132" t="s">
        <v>267</v>
      </c>
      <c r="S1678" s="133">
        <v>41841</v>
      </c>
      <c r="T1678" s="134">
        <v>573.79999999999995</v>
      </c>
      <c r="U1678" s="132" t="s">
        <v>154</v>
      </c>
      <c r="V1678" s="132" t="s">
        <v>276</v>
      </c>
      <c r="W1678" s="132" t="s">
        <v>267</v>
      </c>
      <c r="X1678" s="133">
        <v>41793</v>
      </c>
      <c r="Y1678" s="134">
        <v>633</v>
      </c>
    </row>
    <row r="1679" spans="6:25" x14ac:dyDescent="0.25">
      <c r="F1679" s="76" t="s">
        <v>150</v>
      </c>
      <c r="G1679" s="77" t="s">
        <v>185</v>
      </c>
      <c r="H1679" s="77" t="s">
        <v>153</v>
      </c>
      <c r="I1679" s="86">
        <v>41984</v>
      </c>
      <c r="J1679" s="78">
        <v>735</v>
      </c>
      <c r="P1679" s="132" t="s">
        <v>151</v>
      </c>
      <c r="Q1679" s="132" t="s">
        <v>305</v>
      </c>
      <c r="R1679" s="132" t="s">
        <v>267</v>
      </c>
      <c r="S1679" s="133">
        <v>41842</v>
      </c>
      <c r="T1679" s="134">
        <v>548.4</v>
      </c>
      <c r="U1679" s="132" t="s">
        <v>154</v>
      </c>
      <c r="V1679" s="132" t="s">
        <v>276</v>
      </c>
      <c r="W1679" s="132" t="s">
        <v>267</v>
      </c>
      <c r="X1679" s="133">
        <v>41793</v>
      </c>
      <c r="Y1679" s="134">
        <v>575</v>
      </c>
    </row>
    <row r="1680" spans="6:25" x14ac:dyDescent="0.25">
      <c r="F1680" s="76" t="s">
        <v>150</v>
      </c>
      <c r="G1680" s="77" t="s">
        <v>185</v>
      </c>
      <c r="H1680" s="77" t="s">
        <v>153</v>
      </c>
      <c r="I1680" s="86">
        <v>41988</v>
      </c>
      <c r="J1680" s="78">
        <v>541</v>
      </c>
      <c r="P1680" s="132" t="s">
        <v>151</v>
      </c>
      <c r="Q1680" s="132" t="s">
        <v>305</v>
      </c>
      <c r="R1680" s="132" t="s">
        <v>267</v>
      </c>
      <c r="S1680" s="133">
        <v>41843</v>
      </c>
      <c r="T1680" s="134">
        <v>562.1</v>
      </c>
      <c r="U1680" s="132" t="s">
        <v>154</v>
      </c>
      <c r="V1680" s="132" t="s">
        <v>276</v>
      </c>
      <c r="W1680" s="132" t="s">
        <v>267</v>
      </c>
      <c r="X1680" s="133">
        <v>41794</v>
      </c>
      <c r="Y1680" s="134">
        <v>503</v>
      </c>
    </row>
    <row r="1681" spans="6:25" x14ac:dyDescent="0.25">
      <c r="F1681" s="76" t="s">
        <v>150</v>
      </c>
      <c r="G1681" s="77" t="s">
        <v>185</v>
      </c>
      <c r="H1681" s="77" t="s">
        <v>153</v>
      </c>
      <c r="I1681" s="86">
        <v>41990</v>
      </c>
      <c r="J1681" s="78">
        <v>1128</v>
      </c>
      <c r="P1681" s="132" t="s">
        <v>151</v>
      </c>
      <c r="Q1681" s="132" t="s">
        <v>305</v>
      </c>
      <c r="R1681" s="132" t="s">
        <v>267</v>
      </c>
      <c r="S1681" s="133">
        <v>41848</v>
      </c>
      <c r="T1681" s="134">
        <v>987.9</v>
      </c>
      <c r="U1681" s="132" t="s">
        <v>154</v>
      </c>
      <c r="V1681" s="132" t="s">
        <v>276</v>
      </c>
      <c r="W1681" s="132" t="s">
        <v>267</v>
      </c>
      <c r="X1681" s="133">
        <v>41794</v>
      </c>
      <c r="Y1681" s="134">
        <v>661</v>
      </c>
    </row>
    <row r="1682" spans="6:25" x14ac:dyDescent="0.25">
      <c r="F1682" s="76" t="s">
        <v>150</v>
      </c>
      <c r="G1682" s="77" t="s">
        <v>185</v>
      </c>
      <c r="H1682" s="77" t="s">
        <v>153</v>
      </c>
      <c r="I1682" s="86">
        <v>41992</v>
      </c>
      <c r="J1682" s="78">
        <v>683</v>
      </c>
      <c r="P1682" s="132" t="s">
        <v>151</v>
      </c>
      <c r="Q1682" s="132" t="s">
        <v>305</v>
      </c>
      <c r="R1682" s="132" t="s">
        <v>267</v>
      </c>
      <c r="S1682" s="133">
        <v>41849</v>
      </c>
      <c r="T1682" s="134">
        <v>634.1</v>
      </c>
      <c r="U1682" s="132" t="s">
        <v>154</v>
      </c>
      <c r="V1682" s="132" t="s">
        <v>276</v>
      </c>
      <c r="W1682" s="132" t="s">
        <v>267</v>
      </c>
      <c r="X1682" s="133">
        <v>41795</v>
      </c>
      <c r="Y1682" s="134">
        <v>832</v>
      </c>
    </row>
    <row r="1683" spans="6:25" x14ac:dyDescent="0.25">
      <c r="F1683" s="76" t="s">
        <v>150</v>
      </c>
      <c r="G1683" s="77" t="s">
        <v>185</v>
      </c>
      <c r="H1683" s="77" t="s">
        <v>153</v>
      </c>
      <c r="I1683" s="86">
        <v>41996</v>
      </c>
      <c r="J1683" s="78">
        <v>884</v>
      </c>
      <c r="P1683" s="132" t="s">
        <v>151</v>
      </c>
      <c r="Q1683" s="132" t="s">
        <v>305</v>
      </c>
      <c r="R1683" s="132" t="s">
        <v>267</v>
      </c>
      <c r="S1683" s="133">
        <v>41850</v>
      </c>
      <c r="T1683" s="134">
        <v>924.1</v>
      </c>
      <c r="U1683" s="132" t="s">
        <v>154</v>
      </c>
      <c r="V1683" s="132" t="s">
        <v>276</v>
      </c>
      <c r="W1683" s="132" t="s">
        <v>267</v>
      </c>
      <c r="X1683" s="133">
        <v>41795</v>
      </c>
      <c r="Y1683" s="134">
        <v>277</v>
      </c>
    </row>
    <row r="1684" spans="6:25" x14ac:dyDescent="0.25">
      <c r="F1684" s="76" t="s">
        <v>150</v>
      </c>
      <c r="G1684" s="77" t="s">
        <v>185</v>
      </c>
      <c r="H1684" s="77" t="s">
        <v>153</v>
      </c>
      <c r="I1684" s="86">
        <v>42002</v>
      </c>
      <c r="J1684" s="78">
        <v>1120</v>
      </c>
      <c r="P1684" s="132" t="s">
        <v>151</v>
      </c>
      <c r="Q1684" s="132" t="s">
        <v>305</v>
      </c>
      <c r="R1684" s="132" t="s">
        <v>267</v>
      </c>
      <c r="S1684" s="133">
        <v>41936</v>
      </c>
      <c r="T1684" s="134">
        <v>753.5</v>
      </c>
      <c r="U1684" s="132" t="s">
        <v>154</v>
      </c>
      <c r="V1684" s="132" t="s">
        <v>276</v>
      </c>
      <c r="W1684" s="132" t="s">
        <v>267</v>
      </c>
      <c r="X1684" s="133">
        <v>41796</v>
      </c>
      <c r="Y1684" s="134">
        <v>613</v>
      </c>
    </row>
    <row r="1685" spans="6:25" x14ac:dyDescent="0.25">
      <c r="F1685" s="76" t="s">
        <v>150</v>
      </c>
      <c r="G1685" s="77" t="s">
        <v>186</v>
      </c>
      <c r="H1685" s="77" t="s">
        <v>153</v>
      </c>
      <c r="I1685" s="86">
        <v>41751</v>
      </c>
      <c r="J1685" s="78">
        <v>788</v>
      </c>
      <c r="P1685" s="132" t="s">
        <v>151</v>
      </c>
      <c r="Q1685" s="132" t="s">
        <v>305</v>
      </c>
      <c r="R1685" s="132" t="s">
        <v>267</v>
      </c>
      <c r="S1685" s="133">
        <v>41977</v>
      </c>
      <c r="T1685" s="134">
        <v>453.5</v>
      </c>
      <c r="U1685" s="132" t="s">
        <v>154</v>
      </c>
      <c r="V1685" s="132" t="s">
        <v>276</v>
      </c>
      <c r="W1685" s="132" t="s">
        <v>267</v>
      </c>
      <c r="X1685" s="133">
        <v>41796</v>
      </c>
      <c r="Y1685" s="134">
        <v>414</v>
      </c>
    </row>
    <row r="1686" spans="6:25" x14ac:dyDescent="0.25">
      <c r="F1686" s="76" t="s">
        <v>150</v>
      </c>
      <c r="G1686" s="77" t="s">
        <v>186</v>
      </c>
      <c r="H1686" s="77" t="s">
        <v>153</v>
      </c>
      <c r="I1686" s="86">
        <v>41753</v>
      </c>
      <c r="J1686" s="78">
        <v>598</v>
      </c>
      <c r="P1686" s="132" t="s">
        <v>151</v>
      </c>
      <c r="Q1686" s="132" t="s">
        <v>305</v>
      </c>
      <c r="R1686" s="132" t="s">
        <v>267</v>
      </c>
      <c r="S1686" s="133">
        <v>41978</v>
      </c>
      <c r="T1686" s="134">
        <v>856.2</v>
      </c>
      <c r="U1686" s="132" t="s">
        <v>154</v>
      </c>
      <c r="V1686" s="132" t="s">
        <v>276</v>
      </c>
      <c r="W1686" s="132" t="s">
        <v>267</v>
      </c>
      <c r="X1686" s="133">
        <v>41797</v>
      </c>
      <c r="Y1686" s="134">
        <v>481</v>
      </c>
    </row>
    <row r="1687" spans="6:25" x14ac:dyDescent="0.25">
      <c r="F1687" s="76" t="s">
        <v>150</v>
      </c>
      <c r="G1687" s="77" t="s">
        <v>186</v>
      </c>
      <c r="H1687" s="77" t="s">
        <v>153</v>
      </c>
      <c r="I1687" s="86">
        <v>41755</v>
      </c>
      <c r="J1687" s="78">
        <v>1083</v>
      </c>
      <c r="P1687" s="132" t="s">
        <v>151</v>
      </c>
      <c r="Q1687" s="132" t="s">
        <v>305</v>
      </c>
      <c r="R1687" s="132" t="s">
        <v>267</v>
      </c>
      <c r="S1687" s="133">
        <v>41981</v>
      </c>
      <c r="T1687" s="134">
        <v>904.5</v>
      </c>
      <c r="U1687" s="132" t="s">
        <v>154</v>
      </c>
      <c r="V1687" s="132" t="s">
        <v>276</v>
      </c>
      <c r="W1687" s="132" t="s">
        <v>267</v>
      </c>
      <c r="X1687" s="133">
        <v>41797</v>
      </c>
      <c r="Y1687" s="134">
        <v>716</v>
      </c>
    </row>
    <row r="1688" spans="6:25" x14ac:dyDescent="0.25">
      <c r="F1688" s="76" t="s">
        <v>150</v>
      </c>
      <c r="G1688" s="77" t="s">
        <v>186</v>
      </c>
      <c r="H1688" s="77" t="s">
        <v>153</v>
      </c>
      <c r="I1688" s="86">
        <v>41757</v>
      </c>
      <c r="J1688" s="78">
        <v>897</v>
      </c>
      <c r="P1688" s="132" t="s">
        <v>151</v>
      </c>
      <c r="Q1688" s="132" t="s">
        <v>305</v>
      </c>
      <c r="R1688" s="132" t="s">
        <v>267</v>
      </c>
      <c r="S1688" s="133">
        <v>41983</v>
      </c>
      <c r="T1688" s="134">
        <v>552.6</v>
      </c>
      <c r="U1688" s="132" t="s">
        <v>154</v>
      </c>
      <c r="V1688" s="132" t="s">
        <v>276</v>
      </c>
      <c r="W1688" s="132" t="s">
        <v>267</v>
      </c>
      <c r="X1688" s="133">
        <v>41799</v>
      </c>
      <c r="Y1688" s="134">
        <v>880</v>
      </c>
    </row>
    <row r="1689" spans="6:25" x14ac:dyDescent="0.25">
      <c r="F1689" s="76" t="s">
        <v>150</v>
      </c>
      <c r="G1689" s="77" t="s">
        <v>186</v>
      </c>
      <c r="H1689" s="77" t="s">
        <v>153</v>
      </c>
      <c r="I1689" s="86">
        <v>41758</v>
      </c>
      <c r="J1689" s="78">
        <v>438</v>
      </c>
      <c r="P1689" s="132" t="s">
        <v>151</v>
      </c>
      <c r="Q1689" s="132" t="s">
        <v>305</v>
      </c>
      <c r="R1689" s="132" t="s">
        <v>267</v>
      </c>
      <c r="S1689" s="133">
        <v>41985</v>
      </c>
      <c r="T1689" s="134">
        <v>175.5</v>
      </c>
      <c r="U1689" s="132" t="s">
        <v>154</v>
      </c>
      <c r="V1689" s="132" t="s">
        <v>276</v>
      </c>
      <c r="W1689" s="132" t="s">
        <v>267</v>
      </c>
      <c r="X1689" s="133">
        <v>41799</v>
      </c>
      <c r="Y1689" s="134">
        <v>641</v>
      </c>
    </row>
    <row r="1690" spans="6:25" x14ac:dyDescent="0.25">
      <c r="F1690" s="76" t="s">
        <v>150</v>
      </c>
      <c r="G1690" s="77" t="s">
        <v>186</v>
      </c>
      <c r="H1690" s="77" t="s">
        <v>153</v>
      </c>
      <c r="I1690" s="86">
        <v>41759</v>
      </c>
      <c r="J1690" s="78">
        <v>910</v>
      </c>
      <c r="P1690" s="132" t="s">
        <v>151</v>
      </c>
      <c r="Q1690" s="132" t="s">
        <v>305</v>
      </c>
      <c r="R1690" s="132" t="s">
        <v>267</v>
      </c>
      <c r="S1690" s="133">
        <v>41985</v>
      </c>
      <c r="T1690" s="134">
        <v>689.7</v>
      </c>
      <c r="U1690" s="132" t="s">
        <v>154</v>
      </c>
      <c r="V1690" s="132" t="s">
        <v>276</v>
      </c>
      <c r="W1690" s="132" t="s">
        <v>267</v>
      </c>
      <c r="X1690" s="133">
        <v>41800</v>
      </c>
      <c r="Y1690" s="134">
        <v>613</v>
      </c>
    </row>
    <row r="1691" spans="6:25" x14ac:dyDescent="0.25">
      <c r="F1691" s="76" t="s">
        <v>150</v>
      </c>
      <c r="G1691" s="77" t="s">
        <v>186</v>
      </c>
      <c r="H1691" s="77" t="s">
        <v>153</v>
      </c>
      <c r="I1691" s="86">
        <v>41761</v>
      </c>
      <c r="J1691" s="78">
        <v>777</v>
      </c>
      <c r="P1691" s="132" t="s">
        <v>151</v>
      </c>
      <c r="Q1691" s="132" t="s">
        <v>305</v>
      </c>
      <c r="R1691" s="132" t="s">
        <v>267</v>
      </c>
      <c r="S1691" s="133">
        <v>41989</v>
      </c>
      <c r="T1691" s="134">
        <v>563.6</v>
      </c>
      <c r="U1691" s="132" t="s">
        <v>154</v>
      </c>
      <c r="V1691" s="132" t="s">
        <v>276</v>
      </c>
      <c r="W1691" s="132" t="s">
        <v>267</v>
      </c>
      <c r="X1691" s="133">
        <v>41801</v>
      </c>
      <c r="Y1691" s="134">
        <v>534</v>
      </c>
    </row>
    <row r="1692" spans="6:25" x14ac:dyDescent="0.25">
      <c r="F1692" s="76" t="s">
        <v>150</v>
      </c>
      <c r="G1692" s="77" t="s">
        <v>186</v>
      </c>
      <c r="H1692" s="77" t="s">
        <v>153</v>
      </c>
      <c r="I1692" s="86">
        <v>41762</v>
      </c>
      <c r="J1692" s="78">
        <v>528</v>
      </c>
      <c r="P1692" s="132" t="s">
        <v>151</v>
      </c>
      <c r="Q1692" s="132" t="s">
        <v>306</v>
      </c>
      <c r="R1692" s="132" t="s">
        <v>267</v>
      </c>
      <c r="S1692" s="133">
        <v>41653</v>
      </c>
      <c r="T1692" s="134">
        <v>900.5</v>
      </c>
      <c r="U1692" s="132" t="s">
        <v>154</v>
      </c>
      <c r="V1692" s="132" t="s">
        <v>276</v>
      </c>
      <c r="W1692" s="132" t="s">
        <v>267</v>
      </c>
      <c r="X1692" s="133">
        <v>41801</v>
      </c>
      <c r="Y1692" s="134">
        <v>614</v>
      </c>
    </row>
    <row r="1693" spans="6:25" x14ac:dyDescent="0.25">
      <c r="F1693" s="76" t="s">
        <v>150</v>
      </c>
      <c r="G1693" s="77" t="s">
        <v>186</v>
      </c>
      <c r="H1693" s="77" t="s">
        <v>153</v>
      </c>
      <c r="I1693" s="86">
        <v>41762</v>
      </c>
      <c r="J1693" s="78">
        <v>534</v>
      </c>
      <c r="P1693" s="132" t="s">
        <v>151</v>
      </c>
      <c r="Q1693" s="132" t="s">
        <v>306</v>
      </c>
      <c r="R1693" s="132" t="s">
        <v>267</v>
      </c>
      <c r="S1693" s="133">
        <v>41654</v>
      </c>
      <c r="T1693" s="134">
        <v>629.1</v>
      </c>
      <c r="U1693" s="132" t="s">
        <v>154</v>
      </c>
      <c r="V1693" s="132" t="s">
        <v>276</v>
      </c>
      <c r="W1693" s="132" t="s">
        <v>267</v>
      </c>
      <c r="X1693" s="133">
        <v>41802</v>
      </c>
      <c r="Y1693" s="134">
        <v>792</v>
      </c>
    </row>
    <row r="1694" spans="6:25" x14ac:dyDescent="0.25">
      <c r="F1694" s="76" t="s">
        <v>150</v>
      </c>
      <c r="G1694" s="77" t="s">
        <v>186</v>
      </c>
      <c r="H1694" s="77" t="s">
        <v>153</v>
      </c>
      <c r="I1694" s="86">
        <v>41763</v>
      </c>
      <c r="J1694" s="78">
        <v>601</v>
      </c>
      <c r="P1694" s="132" t="s">
        <v>151</v>
      </c>
      <c r="Q1694" s="132" t="s">
        <v>306</v>
      </c>
      <c r="R1694" s="132" t="s">
        <v>267</v>
      </c>
      <c r="S1694" s="133">
        <v>41681</v>
      </c>
      <c r="T1694" s="134">
        <v>881.3</v>
      </c>
      <c r="U1694" s="132" t="s">
        <v>154</v>
      </c>
      <c r="V1694" s="132" t="s">
        <v>276</v>
      </c>
      <c r="W1694" s="132" t="s">
        <v>267</v>
      </c>
      <c r="X1694" s="133">
        <v>41803</v>
      </c>
      <c r="Y1694" s="134">
        <v>403</v>
      </c>
    </row>
    <row r="1695" spans="6:25" x14ac:dyDescent="0.25">
      <c r="F1695" s="76" t="s">
        <v>150</v>
      </c>
      <c r="G1695" s="77" t="s">
        <v>186</v>
      </c>
      <c r="H1695" s="77" t="s">
        <v>153</v>
      </c>
      <c r="I1695" s="86">
        <v>41765</v>
      </c>
      <c r="J1695" s="78">
        <v>674</v>
      </c>
      <c r="P1695" s="132" t="s">
        <v>151</v>
      </c>
      <c r="Q1695" s="132" t="s">
        <v>306</v>
      </c>
      <c r="R1695" s="132" t="s">
        <v>267</v>
      </c>
      <c r="S1695" s="133">
        <v>41688</v>
      </c>
      <c r="T1695" s="134">
        <v>675.2</v>
      </c>
      <c r="U1695" s="132" t="s">
        <v>154</v>
      </c>
      <c r="V1695" s="132" t="s">
        <v>276</v>
      </c>
      <c r="W1695" s="132" t="s">
        <v>267</v>
      </c>
      <c r="X1695" s="133">
        <v>41803</v>
      </c>
      <c r="Y1695" s="134">
        <v>898</v>
      </c>
    </row>
    <row r="1696" spans="6:25" x14ac:dyDescent="0.25">
      <c r="F1696" s="76" t="s">
        <v>150</v>
      </c>
      <c r="G1696" s="77" t="s">
        <v>186</v>
      </c>
      <c r="H1696" s="77" t="s">
        <v>153</v>
      </c>
      <c r="I1696" s="86">
        <v>41767</v>
      </c>
      <c r="J1696" s="78">
        <v>950</v>
      </c>
      <c r="P1696" s="132" t="s">
        <v>151</v>
      </c>
      <c r="Q1696" s="132" t="s">
        <v>306</v>
      </c>
      <c r="R1696" s="132" t="s">
        <v>267</v>
      </c>
      <c r="S1696" s="133">
        <v>41690</v>
      </c>
      <c r="T1696" s="134">
        <v>515.29999999999995</v>
      </c>
      <c r="U1696" s="132" t="s">
        <v>154</v>
      </c>
      <c r="V1696" s="132" t="s">
        <v>276</v>
      </c>
      <c r="W1696" s="132" t="s">
        <v>267</v>
      </c>
      <c r="X1696" s="133">
        <v>41806</v>
      </c>
      <c r="Y1696" s="134">
        <v>638</v>
      </c>
    </row>
    <row r="1697" spans="6:25" x14ac:dyDescent="0.25">
      <c r="F1697" s="76" t="s">
        <v>150</v>
      </c>
      <c r="G1697" s="77" t="s">
        <v>186</v>
      </c>
      <c r="H1697" s="77" t="s">
        <v>153</v>
      </c>
      <c r="I1697" s="86">
        <v>41771</v>
      </c>
      <c r="J1697" s="78">
        <v>1025</v>
      </c>
      <c r="P1697" s="132" t="s">
        <v>151</v>
      </c>
      <c r="Q1697" s="132" t="s">
        <v>306</v>
      </c>
      <c r="R1697" s="132" t="s">
        <v>267</v>
      </c>
      <c r="S1697" s="133">
        <v>41691</v>
      </c>
      <c r="T1697" s="134">
        <v>766.5</v>
      </c>
      <c r="U1697" s="132" t="s">
        <v>154</v>
      </c>
      <c r="V1697" s="132" t="s">
        <v>276</v>
      </c>
      <c r="W1697" s="132" t="s">
        <v>267</v>
      </c>
      <c r="X1697" s="133">
        <v>41807</v>
      </c>
      <c r="Y1697" s="134">
        <v>980</v>
      </c>
    </row>
    <row r="1698" spans="6:25" x14ac:dyDescent="0.25">
      <c r="F1698" s="76" t="s">
        <v>150</v>
      </c>
      <c r="G1698" s="77" t="s">
        <v>186</v>
      </c>
      <c r="H1698" s="77" t="s">
        <v>153</v>
      </c>
      <c r="I1698" s="86">
        <v>41772</v>
      </c>
      <c r="J1698" s="78">
        <v>579</v>
      </c>
      <c r="P1698" s="132" t="s">
        <v>151</v>
      </c>
      <c r="Q1698" s="132" t="s">
        <v>306</v>
      </c>
      <c r="R1698" s="132" t="s">
        <v>267</v>
      </c>
      <c r="S1698" s="133">
        <v>41694</v>
      </c>
      <c r="T1698" s="134">
        <v>571.6</v>
      </c>
      <c r="U1698" s="132" t="s">
        <v>154</v>
      </c>
      <c r="V1698" s="132" t="s">
        <v>276</v>
      </c>
      <c r="W1698" s="132" t="s">
        <v>267</v>
      </c>
      <c r="X1698" s="133">
        <v>41808</v>
      </c>
      <c r="Y1698" s="134">
        <v>739</v>
      </c>
    </row>
    <row r="1699" spans="6:25" x14ac:dyDescent="0.25">
      <c r="F1699" s="76" t="s">
        <v>150</v>
      </c>
      <c r="G1699" s="77" t="s">
        <v>186</v>
      </c>
      <c r="H1699" s="77" t="s">
        <v>153</v>
      </c>
      <c r="I1699" s="86">
        <v>41774</v>
      </c>
      <c r="J1699" s="78">
        <v>1016</v>
      </c>
      <c r="P1699" s="132" t="s">
        <v>151</v>
      </c>
      <c r="Q1699" s="132" t="s">
        <v>306</v>
      </c>
      <c r="R1699" s="132" t="s">
        <v>267</v>
      </c>
      <c r="S1699" s="133">
        <v>41815</v>
      </c>
      <c r="T1699" s="134">
        <v>957.8</v>
      </c>
      <c r="U1699" s="132" t="s">
        <v>154</v>
      </c>
      <c r="V1699" s="132" t="s">
        <v>276</v>
      </c>
      <c r="W1699" s="132" t="s">
        <v>267</v>
      </c>
      <c r="X1699" s="133">
        <v>41809</v>
      </c>
      <c r="Y1699" s="134">
        <v>687</v>
      </c>
    </row>
    <row r="1700" spans="6:25" x14ac:dyDescent="0.25">
      <c r="F1700" s="76" t="s">
        <v>150</v>
      </c>
      <c r="G1700" s="77" t="s">
        <v>186</v>
      </c>
      <c r="H1700" s="77" t="s">
        <v>153</v>
      </c>
      <c r="I1700" s="86">
        <v>41775</v>
      </c>
      <c r="J1700" s="78">
        <v>1125</v>
      </c>
      <c r="P1700" s="132" t="s">
        <v>151</v>
      </c>
      <c r="Q1700" s="132" t="s">
        <v>306</v>
      </c>
      <c r="R1700" s="132" t="s">
        <v>267</v>
      </c>
      <c r="S1700" s="133">
        <v>41894</v>
      </c>
      <c r="T1700" s="134">
        <v>792.6</v>
      </c>
      <c r="U1700" s="132" t="s">
        <v>154</v>
      </c>
      <c r="V1700" s="132" t="s">
        <v>276</v>
      </c>
      <c r="W1700" s="132" t="s">
        <v>267</v>
      </c>
      <c r="X1700" s="133">
        <v>41810</v>
      </c>
      <c r="Y1700" s="134">
        <v>825</v>
      </c>
    </row>
    <row r="1701" spans="6:25" x14ac:dyDescent="0.25">
      <c r="F1701" s="76" t="s">
        <v>150</v>
      </c>
      <c r="G1701" s="77" t="s">
        <v>186</v>
      </c>
      <c r="H1701" s="77" t="s">
        <v>153</v>
      </c>
      <c r="I1701" s="86">
        <v>41779</v>
      </c>
      <c r="J1701" s="78">
        <v>843</v>
      </c>
      <c r="P1701" s="132" t="s">
        <v>151</v>
      </c>
      <c r="Q1701" s="132" t="s">
        <v>306</v>
      </c>
      <c r="R1701" s="132" t="s">
        <v>267</v>
      </c>
      <c r="S1701" s="133">
        <v>41929</v>
      </c>
      <c r="T1701" s="134">
        <v>341.4</v>
      </c>
      <c r="U1701" s="132" t="s">
        <v>154</v>
      </c>
      <c r="V1701" s="132" t="s">
        <v>276</v>
      </c>
      <c r="W1701" s="132" t="s">
        <v>267</v>
      </c>
      <c r="X1701" s="133">
        <v>41811</v>
      </c>
      <c r="Y1701" s="134">
        <v>937</v>
      </c>
    </row>
    <row r="1702" spans="6:25" x14ac:dyDescent="0.25">
      <c r="F1702" s="76" t="s">
        <v>150</v>
      </c>
      <c r="G1702" s="77" t="s">
        <v>186</v>
      </c>
      <c r="H1702" s="77" t="s">
        <v>153</v>
      </c>
      <c r="I1702" s="86">
        <v>41780</v>
      </c>
      <c r="J1702" s="78">
        <v>1292</v>
      </c>
      <c r="P1702" s="132" t="s">
        <v>151</v>
      </c>
      <c r="Q1702" s="132" t="s">
        <v>307</v>
      </c>
      <c r="R1702" s="132" t="s">
        <v>267</v>
      </c>
      <c r="S1702" s="133">
        <v>41639</v>
      </c>
      <c r="T1702" s="134">
        <v>725.3</v>
      </c>
      <c r="U1702" s="132" t="s">
        <v>154</v>
      </c>
      <c r="V1702" s="132" t="s">
        <v>276</v>
      </c>
      <c r="W1702" s="132" t="s">
        <v>267</v>
      </c>
      <c r="X1702" s="133">
        <v>41812</v>
      </c>
      <c r="Y1702" s="134">
        <v>594</v>
      </c>
    </row>
    <row r="1703" spans="6:25" x14ac:dyDescent="0.25">
      <c r="F1703" s="76" t="s">
        <v>150</v>
      </c>
      <c r="G1703" s="77" t="s">
        <v>186</v>
      </c>
      <c r="H1703" s="77" t="s">
        <v>153</v>
      </c>
      <c r="I1703" s="86">
        <v>41781</v>
      </c>
      <c r="J1703" s="78">
        <v>634</v>
      </c>
      <c r="P1703" s="132" t="s">
        <v>151</v>
      </c>
      <c r="Q1703" s="132" t="s">
        <v>307</v>
      </c>
      <c r="R1703" s="132" t="s">
        <v>267</v>
      </c>
      <c r="S1703" s="133">
        <v>41641</v>
      </c>
      <c r="T1703" s="134">
        <v>902.6</v>
      </c>
      <c r="U1703" s="132" t="s">
        <v>154</v>
      </c>
      <c r="V1703" s="132" t="s">
        <v>276</v>
      </c>
      <c r="W1703" s="132" t="s">
        <v>267</v>
      </c>
      <c r="X1703" s="133">
        <v>41813</v>
      </c>
      <c r="Y1703" s="134">
        <v>550</v>
      </c>
    </row>
    <row r="1704" spans="6:25" x14ac:dyDescent="0.25">
      <c r="F1704" s="76" t="s">
        <v>150</v>
      </c>
      <c r="G1704" s="77" t="s">
        <v>186</v>
      </c>
      <c r="H1704" s="77" t="s">
        <v>153</v>
      </c>
      <c r="I1704" s="86">
        <v>41781</v>
      </c>
      <c r="J1704" s="78">
        <v>481</v>
      </c>
      <c r="P1704" s="132" t="s">
        <v>151</v>
      </c>
      <c r="Q1704" s="132" t="s">
        <v>307</v>
      </c>
      <c r="R1704" s="132" t="s">
        <v>267</v>
      </c>
      <c r="S1704" s="133">
        <v>41642</v>
      </c>
      <c r="T1704" s="134">
        <v>822.7</v>
      </c>
      <c r="U1704" s="132" t="s">
        <v>154</v>
      </c>
      <c r="V1704" s="132" t="s">
        <v>276</v>
      </c>
      <c r="W1704" s="132" t="s">
        <v>267</v>
      </c>
      <c r="X1704" s="133">
        <v>41814</v>
      </c>
      <c r="Y1704" s="134">
        <v>747</v>
      </c>
    </row>
    <row r="1705" spans="6:25" x14ac:dyDescent="0.25">
      <c r="F1705" s="76" t="s">
        <v>150</v>
      </c>
      <c r="G1705" s="77" t="s">
        <v>186</v>
      </c>
      <c r="H1705" s="77" t="s">
        <v>153</v>
      </c>
      <c r="I1705" s="86">
        <v>41784</v>
      </c>
      <c r="J1705" s="78">
        <v>1003</v>
      </c>
      <c r="P1705" s="132" t="s">
        <v>151</v>
      </c>
      <c r="Q1705" s="132" t="s">
        <v>307</v>
      </c>
      <c r="R1705" s="132" t="s">
        <v>267</v>
      </c>
      <c r="S1705" s="133">
        <v>41724</v>
      </c>
      <c r="T1705" s="134">
        <v>534.1</v>
      </c>
      <c r="U1705" s="132" t="s">
        <v>154</v>
      </c>
      <c r="V1705" s="132" t="s">
        <v>276</v>
      </c>
      <c r="W1705" s="132" t="s">
        <v>267</v>
      </c>
      <c r="X1705" s="133">
        <v>41814</v>
      </c>
      <c r="Y1705" s="134">
        <v>929</v>
      </c>
    </row>
    <row r="1706" spans="6:25" x14ac:dyDescent="0.25">
      <c r="F1706" s="76" t="s">
        <v>150</v>
      </c>
      <c r="G1706" s="77" t="s">
        <v>186</v>
      </c>
      <c r="H1706" s="77" t="s">
        <v>153</v>
      </c>
      <c r="I1706" s="86">
        <v>41786</v>
      </c>
      <c r="J1706" s="78">
        <v>664</v>
      </c>
      <c r="P1706" s="132" t="s">
        <v>151</v>
      </c>
      <c r="Q1706" s="132" t="s">
        <v>307</v>
      </c>
      <c r="R1706" s="132" t="s">
        <v>267</v>
      </c>
      <c r="S1706" s="133">
        <v>41781</v>
      </c>
      <c r="T1706" s="134">
        <v>833.1</v>
      </c>
      <c r="U1706" s="132" t="s">
        <v>154</v>
      </c>
      <c r="V1706" s="132" t="s">
        <v>276</v>
      </c>
      <c r="W1706" s="132" t="s">
        <v>267</v>
      </c>
      <c r="X1706" s="133">
        <v>41815</v>
      </c>
      <c r="Y1706" s="134">
        <v>291</v>
      </c>
    </row>
    <row r="1707" spans="6:25" x14ac:dyDescent="0.25">
      <c r="F1707" s="76" t="s">
        <v>150</v>
      </c>
      <c r="G1707" s="77" t="s">
        <v>186</v>
      </c>
      <c r="H1707" s="77" t="s">
        <v>153</v>
      </c>
      <c r="I1707" s="86">
        <v>41787</v>
      </c>
      <c r="J1707" s="78">
        <v>546</v>
      </c>
      <c r="P1707" s="132" t="s">
        <v>151</v>
      </c>
      <c r="Q1707" s="132" t="s">
        <v>307</v>
      </c>
      <c r="R1707" s="132" t="s">
        <v>267</v>
      </c>
      <c r="S1707" s="133">
        <v>41782</v>
      </c>
      <c r="T1707" s="134">
        <v>615.9</v>
      </c>
      <c r="U1707" s="132" t="s">
        <v>154</v>
      </c>
      <c r="V1707" s="132" t="s">
        <v>276</v>
      </c>
      <c r="W1707" s="132" t="s">
        <v>267</v>
      </c>
      <c r="X1707" s="133">
        <v>41815</v>
      </c>
      <c r="Y1707" s="134">
        <v>710</v>
      </c>
    </row>
    <row r="1708" spans="6:25" x14ac:dyDescent="0.25">
      <c r="F1708" s="76" t="s">
        <v>150</v>
      </c>
      <c r="G1708" s="77" t="s">
        <v>186</v>
      </c>
      <c r="H1708" s="77" t="s">
        <v>153</v>
      </c>
      <c r="I1708" s="86">
        <v>41788</v>
      </c>
      <c r="J1708" s="78">
        <v>536</v>
      </c>
      <c r="P1708" s="132" t="s">
        <v>151</v>
      </c>
      <c r="Q1708" s="132" t="s">
        <v>307</v>
      </c>
      <c r="R1708" s="132" t="s">
        <v>267</v>
      </c>
      <c r="S1708" s="133">
        <v>41786</v>
      </c>
      <c r="T1708" s="134">
        <v>573</v>
      </c>
      <c r="U1708" s="132" t="s">
        <v>154</v>
      </c>
      <c r="V1708" s="132" t="s">
        <v>276</v>
      </c>
      <c r="W1708" s="132" t="s">
        <v>267</v>
      </c>
      <c r="X1708" s="133">
        <v>41816</v>
      </c>
      <c r="Y1708" s="134">
        <v>315</v>
      </c>
    </row>
    <row r="1709" spans="6:25" x14ac:dyDescent="0.25">
      <c r="F1709" s="76" t="s">
        <v>150</v>
      </c>
      <c r="G1709" s="77" t="s">
        <v>186</v>
      </c>
      <c r="H1709" s="77" t="s">
        <v>153</v>
      </c>
      <c r="I1709" s="86">
        <v>41789</v>
      </c>
      <c r="J1709" s="78">
        <v>1034</v>
      </c>
      <c r="P1709" s="132" t="s">
        <v>151</v>
      </c>
      <c r="Q1709" s="132" t="s">
        <v>307</v>
      </c>
      <c r="R1709" s="132" t="s">
        <v>267</v>
      </c>
      <c r="S1709" s="133">
        <v>41787</v>
      </c>
      <c r="T1709" s="134">
        <v>573.6</v>
      </c>
      <c r="U1709" s="132" t="s">
        <v>154</v>
      </c>
      <c r="V1709" s="132" t="s">
        <v>276</v>
      </c>
      <c r="W1709" s="132" t="s">
        <v>267</v>
      </c>
      <c r="X1709" s="133">
        <v>41816</v>
      </c>
      <c r="Y1709" s="134">
        <v>786</v>
      </c>
    </row>
    <row r="1710" spans="6:25" x14ac:dyDescent="0.25">
      <c r="F1710" s="76" t="s">
        <v>150</v>
      </c>
      <c r="G1710" s="77" t="s">
        <v>186</v>
      </c>
      <c r="H1710" s="77" t="s">
        <v>153</v>
      </c>
      <c r="I1710" s="86">
        <v>41794</v>
      </c>
      <c r="J1710" s="78">
        <v>932</v>
      </c>
      <c r="P1710" s="132" t="s">
        <v>151</v>
      </c>
      <c r="Q1710" s="132" t="s">
        <v>307</v>
      </c>
      <c r="R1710" s="132" t="s">
        <v>267</v>
      </c>
      <c r="S1710" s="133">
        <v>41788</v>
      </c>
      <c r="T1710" s="134">
        <v>969.8</v>
      </c>
      <c r="U1710" s="132" t="s">
        <v>154</v>
      </c>
      <c r="V1710" s="132" t="s">
        <v>276</v>
      </c>
      <c r="W1710" s="132" t="s">
        <v>267</v>
      </c>
      <c r="X1710" s="133">
        <v>41817</v>
      </c>
      <c r="Y1710" s="134">
        <v>313</v>
      </c>
    </row>
    <row r="1711" spans="6:25" x14ac:dyDescent="0.25">
      <c r="F1711" s="76" t="s">
        <v>150</v>
      </c>
      <c r="G1711" s="77" t="s">
        <v>186</v>
      </c>
      <c r="H1711" s="77" t="s">
        <v>153</v>
      </c>
      <c r="I1711" s="86">
        <v>41795</v>
      </c>
      <c r="J1711" s="78">
        <v>389</v>
      </c>
      <c r="P1711" s="132" t="s">
        <v>151</v>
      </c>
      <c r="Q1711" s="132" t="s">
        <v>307</v>
      </c>
      <c r="R1711" s="132" t="s">
        <v>267</v>
      </c>
      <c r="S1711" s="133">
        <v>41802</v>
      </c>
      <c r="T1711" s="134">
        <v>438.3</v>
      </c>
      <c r="U1711" s="132" t="s">
        <v>154</v>
      </c>
      <c r="V1711" s="132" t="s">
        <v>276</v>
      </c>
      <c r="W1711" s="132" t="s">
        <v>267</v>
      </c>
      <c r="X1711" s="133">
        <v>41817</v>
      </c>
      <c r="Y1711" s="134">
        <v>730</v>
      </c>
    </row>
    <row r="1712" spans="6:25" x14ac:dyDescent="0.25">
      <c r="F1712" s="76" t="s">
        <v>150</v>
      </c>
      <c r="G1712" s="77" t="s">
        <v>186</v>
      </c>
      <c r="H1712" s="77" t="s">
        <v>153</v>
      </c>
      <c r="I1712" s="86">
        <v>41796</v>
      </c>
      <c r="J1712" s="78">
        <v>636</v>
      </c>
      <c r="P1712" s="132" t="s">
        <v>151</v>
      </c>
      <c r="Q1712" s="132" t="s">
        <v>307</v>
      </c>
      <c r="R1712" s="132" t="s">
        <v>267</v>
      </c>
      <c r="S1712" s="133">
        <v>41803</v>
      </c>
      <c r="T1712" s="134">
        <v>604</v>
      </c>
      <c r="U1712" s="132" t="s">
        <v>154</v>
      </c>
      <c r="V1712" s="132" t="s">
        <v>276</v>
      </c>
      <c r="W1712" s="132" t="s">
        <v>267</v>
      </c>
      <c r="X1712" s="133">
        <v>41820</v>
      </c>
      <c r="Y1712" s="134">
        <v>669</v>
      </c>
    </row>
    <row r="1713" spans="6:25" x14ac:dyDescent="0.25">
      <c r="F1713" s="76" t="s">
        <v>150</v>
      </c>
      <c r="G1713" s="77" t="s">
        <v>186</v>
      </c>
      <c r="H1713" s="77" t="s">
        <v>153</v>
      </c>
      <c r="I1713" s="86">
        <v>41798</v>
      </c>
      <c r="J1713" s="78">
        <v>920</v>
      </c>
      <c r="P1713" s="132" t="s">
        <v>151</v>
      </c>
      <c r="Q1713" s="132" t="s">
        <v>307</v>
      </c>
      <c r="R1713" s="132" t="s">
        <v>267</v>
      </c>
      <c r="S1713" s="133">
        <v>41810</v>
      </c>
      <c r="T1713" s="134">
        <v>239.7</v>
      </c>
      <c r="U1713" s="132" t="s">
        <v>154</v>
      </c>
      <c r="V1713" s="132" t="s">
        <v>276</v>
      </c>
      <c r="W1713" s="132" t="s">
        <v>267</v>
      </c>
      <c r="X1713" s="133">
        <v>41821</v>
      </c>
      <c r="Y1713" s="134">
        <v>824</v>
      </c>
    </row>
    <row r="1714" spans="6:25" x14ac:dyDescent="0.25">
      <c r="F1714" s="76" t="s">
        <v>150</v>
      </c>
      <c r="G1714" s="77" t="s">
        <v>186</v>
      </c>
      <c r="H1714" s="77" t="s">
        <v>153</v>
      </c>
      <c r="I1714" s="86">
        <v>41799</v>
      </c>
      <c r="J1714" s="78">
        <v>563</v>
      </c>
      <c r="P1714" s="132" t="s">
        <v>151</v>
      </c>
      <c r="Q1714" s="132" t="s">
        <v>307</v>
      </c>
      <c r="R1714" s="132" t="s">
        <v>267</v>
      </c>
      <c r="S1714" s="133">
        <v>41830</v>
      </c>
      <c r="T1714" s="134">
        <v>159.80000000000001</v>
      </c>
      <c r="U1714" s="132" t="s">
        <v>154</v>
      </c>
      <c r="V1714" s="132" t="s">
        <v>276</v>
      </c>
      <c r="W1714" s="132" t="s">
        <v>267</v>
      </c>
      <c r="X1714" s="133">
        <v>41822</v>
      </c>
      <c r="Y1714" s="134">
        <v>649</v>
      </c>
    </row>
    <row r="1715" spans="6:25" x14ac:dyDescent="0.25">
      <c r="F1715" s="76" t="s">
        <v>150</v>
      </c>
      <c r="G1715" s="77" t="s">
        <v>186</v>
      </c>
      <c r="H1715" s="77" t="s">
        <v>153</v>
      </c>
      <c r="I1715" s="86">
        <v>41801</v>
      </c>
      <c r="J1715" s="78">
        <v>1288</v>
      </c>
      <c r="P1715" s="132" t="s">
        <v>151</v>
      </c>
      <c r="Q1715" s="132" t="s">
        <v>307</v>
      </c>
      <c r="R1715" s="132" t="s">
        <v>267</v>
      </c>
      <c r="S1715" s="133">
        <v>41961</v>
      </c>
      <c r="T1715" s="134">
        <v>1091.3</v>
      </c>
      <c r="U1715" s="132" t="s">
        <v>154</v>
      </c>
      <c r="V1715" s="132" t="s">
        <v>276</v>
      </c>
      <c r="W1715" s="132" t="s">
        <v>267</v>
      </c>
      <c r="X1715" s="133">
        <v>41822</v>
      </c>
      <c r="Y1715" s="134">
        <v>904</v>
      </c>
    </row>
    <row r="1716" spans="6:25" x14ac:dyDescent="0.25">
      <c r="F1716" s="76" t="s">
        <v>150</v>
      </c>
      <c r="G1716" s="77" t="s">
        <v>186</v>
      </c>
      <c r="H1716" s="77" t="s">
        <v>153</v>
      </c>
      <c r="I1716" s="86">
        <v>41802</v>
      </c>
      <c r="J1716" s="78">
        <v>407</v>
      </c>
      <c r="P1716" s="132" t="s">
        <v>151</v>
      </c>
      <c r="Q1716" s="132" t="s">
        <v>307</v>
      </c>
      <c r="R1716" s="132" t="s">
        <v>267</v>
      </c>
      <c r="S1716" s="133">
        <v>41962</v>
      </c>
      <c r="T1716" s="134">
        <v>597.1</v>
      </c>
      <c r="U1716" s="132" t="s">
        <v>154</v>
      </c>
      <c r="V1716" s="132" t="s">
        <v>276</v>
      </c>
      <c r="W1716" s="132" t="s">
        <v>267</v>
      </c>
      <c r="X1716" s="133">
        <v>41823</v>
      </c>
      <c r="Y1716" s="134">
        <v>1031</v>
      </c>
    </row>
    <row r="1717" spans="6:25" x14ac:dyDescent="0.25">
      <c r="F1717" s="76" t="s">
        <v>150</v>
      </c>
      <c r="G1717" s="77" t="s">
        <v>186</v>
      </c>
      <c r="H1717" s="77" t="s">
        <v>153</v>
      </c>
      <c r="I1717" s="86">
        <v>41808</v>
      </c>
      <c r="J1717" s="78">
        <v>880</v>
      </c>
      <c r="P1717" s="132" t="s">
        <v>151</v>
      </c>
      <c r="Q1717" s="132" t="s">
        <v>307</v>
      </c>
      <c r="R1717" s="132" t="s">
        <v>267</v>
      </c>
      <c r="S1717" s="133">
        <v>41963</v>
      </c>
      <c r="T1717" s="134">
        <v>953.5</v>
      </c>
      <c r="U1717" s="132" t="s">
        <v>154</v>
      </c>
      <c r="V1717" s="132" t="s">
        <v>276</v>
      </c>
      <c r="W1717" s="132" t="s">
        <v>267</v>
      </c>
      <c r="X1717" s="133">
        <v>41827</v>
      </c>
      <c r="Y1717" s="134">
        <v>940</v>
      </c>
    </row>
    <row r="1718" spans="6:25" x14ac:dyDescent="0.25">
      <c r="F1718" s="76" t="s">
        <v>150</v>
      </c>
      <c r="G1718" s="77" t="s">
        <v>186</v>
      </c>
      <c r="H1718" s="77" t="s">
        <v>153</v>
      </c>
      <c r="I1718" s="86">
        <v>41809</v>
      </c>
      <c r="J1718" s="78">
        <v>1233</v>
      </c>
      <c r="P1718" s="132" t="s">
        <v>151</v>
      </c>
      <c r="Q1718" s="132" t="s">
        <v>307</v>
      </c>
      <c r="R1718" s="132" t="s">
        <v>267</v>
      </c>
      <c r="S1718" s="133">
        <v>41964</v>
      </c>
      <c r="T1718" s="134">
        <v>409.9</v>
      </c>
      <c r="U1718" s="132" t="s">
        <v>154</v>
      </c>
      <c r="V1718" s="132" t="s">
        <v>276</v>
      </c>
      <c r="W1718" s="132" t="s">
        <v>267</v>
      </c>
      <c r="X1718" s="133">
        <v>41828</v>
      </c>
      <c r="Y1718" s="134">
        <v>920</v>
      </c>
    </row>
    <row r="1719" spans="6:25" x14ac:dyDescent="0.25">
      <c r="F1719" s="76" t="s">
        <v>150</v>
      </c>
      <c r="G1719" s="77" t="s">
        <v>186</v>
      </c>
      <c r="H1719" s="77" t="s">
        <v>153</v>
      </c>
      <c r="I1719" s="86">
        <v>41811</v>
      </c>
      <c r="J1719" s="78">
        <v>772</v>
      </c>
      <c r="P1719" s="132" t="s">
        <v>151</v>
      </c>
      <c r="Q1719" s="132" t="s">
        <v>307</v>
      </c>
      <c r="R1719" s="132" t="s">
        <v>267</v>
      </c>
      <c r="S1719" s="133">
        <v>41967</v>
      </c>
      <c r="T1719" s="134">
        <v>663.7</v>
      </c>
      <c r="U1719" s="132" t="s">
        <v>154</v>
      </c>
      <c r="V1719" s="132" t="s">
        <v>276</v>
      </c>
      <c r="W1719" s="132" t="s">
        <v>267</v>
      </c>
      <c r="X1719" s="133">
        <v>41829</v>
      </c>
      <c r="Y1719" s="134">
        <v>1265</v>
      </c>
    </row>
    <row r="1720" spans="6:25" x14ac:dyDescent="0.25">
      <c r="F1720" s="76" t="s">
        <v>150</v>
      </c>
      <c r="G1720" s="77" t="s">
        <v>186</v>
      </c>
      <c r="H1720" s="77" t="s">
        <v>153</v>
      </c>
      <c r="I1720" s="86">
        <v>41811</v>
      </c>
      <c r="J1720" s="78">
        <v>816</v>
      </c>
      <c r="P1720" s="132" t="s">
        <v>151</v>
      </c>
      <c r="Q1720" s="132" t="s">
        <v>307</v>
      </c>
      <c r="R1720" s="132" t="s">
        <v>267</v>
      </c>
      <c r="S1720" s="133">
        <v>41968</v>
      </c>
      <c r="T1720" s="134">
        <v>672.4</v>
      </c>
      <c r="U1720" s="132" t="s">
        <v>154</v>
      </c>
      <c r="V1720" s="132" t="s">
        <v>276</v>
      </c>
      <c r="W1720" s="132" t="s">
        <v>267</v>
      </c>
      <c r="X1720" s="133">
        <v>41830</v>
      </c>
      <c r="Y1720" s="134">
        <v>717</v>
      </c>
    </row>
    <row r="1721" spans="6:25" x14ac:dyDescent="0.25">
      <c r="F1721" s="76" t="s">
        <v>150</v>
      </c>
      <c r="G1721" s="77" t="s">
        <v>186</v>
      </c>
      <c r="H1721" s="77" t="s">
        <v>153</v>
      </c>
      <c r="I1721" s="86">
        <v>41812</v>
      </c>
      <c r="J1721" s="78">
        <v>868</v>
      </c>
      <c r="P1721" s="132" t="s">
        <v>151</v>
      </c>
      <c r="Q1721" s="132" t="s">
        <v>307</v>
      </c>
      <c r="R1721" s="132" t="s">
        <v>267</v>
      </c>
      <c r="S1721" s="133">
        <v>41976</v>
      </c>
      <c r="T1721" s="134">
        <v>381.3</v>
      </c>
      <c r="U1721" s="132" t="s">
        <v>154</v>
      </c>
      <c r="V1721" s="132" t="s">
        <v>276</v>
      </c>
      <c r="W1721" s="132" t="s">
        <v>267</v>
      </c>
      <c r="X1721" s="133">
        <v>41831</v>
      </c>
      <c r="Y1721" s="134">
        <v>528</v>
      </c>
    </row>
    <row r="1722" spans="6:25" x14ac:dyDescent="0.25">
      <c r="F1722" s="76" t="s">
        <v>150</v>
      </c>
      <c r="G1722" s="77" t="s">
        <v>186</v>
      </c>
      <c r="H1722" s="77" t="s">
        <v>153</v>
      </c>
      <c r="I1722" s="86">
        <v>41814</v>
      </c>
      <c r="J1722" s="78">
        <v>1190</v>
      </c>
      <c r="P1722" s="132" t="s">
        <v>151</v>
      </c>
      <c r="Q1722" s="132" t="s">
        <v>307</v>
      </c>
      <c r="R1722" s="132" t="s">
        <v>267</v>
      </c>
      <c r="S1722" s="133">
        <v>41983</v>
      </c>
      <c r="T1722" s="134">
        <v>380.6</v>
      </c>
      <c r="U1722" s="132" t="s">
        <v>154</v>
      </c>
      <c r="V1722" s="132" t="s">
        <v>276</v>
      </c>
      <c r="W1722" s="132" t="s">
        <v>267</v>
      </c>
      <c r="X1722" s="133">
        <v>41832</v>
      </c>
      <c r="Y1722" s="134">
        <v>804</v>
      </c>
    </row>
    <row r="1723" spans="6:25" x14ac:dyDescent="0.25">
      <c r="F1723" s="76" t="s">
        <v>150</v>
      </c>
      <c r="G1723" s="77" t="s">
        <v>186</v>
      </c>
      <c r="H1723" s="77" t="s">
        <v>153</v>
      </c>
      <c r="I1723" s="86">
        <v>41816</v>
      </c>
      <c r="J1723" s="78">
        <v>813</v>
      </c>
      <c r="P1723" s="132" t="s">
        <v>151</v>
      </c>
      <c r="Q1723" s="132" t="s">
        <v>307</v>
      </c>
      <c r="R1723" s="132" t="s">
        <v>267</v>
      </c>
      <c r="S1723" s="133">
        <v>41985</v>
      </c>
      <c r="T1723" s="134">
        <v>1056.5999999999999</v>
      </c>
      <c r="U1723" s="132" t="s">
        <v>154</v>
      </c>
      <c r="V1723" s="132" t="s">
        <v>276</v>
      </c>
      <c r="W1723" s="132" t="s">
        <v>267</v>
      </c>
      <c r="X1723" s="133">
        <v>41832</v>
      </c>
      <c r="Y1723" s="134">
        <v>858</v>
      </c>
    </row>
    <row r="1724" spans="6:25" x14ac:dyDescent="0.25">
      <c r="F1724" s="76" t="s">
        <v>150</v>
      </c>
      <c r="G1724" s="77" t="s">
        <v>186</v>
      </c>
      <c r="H1724" s="77" t="s">
        <v>153</v>
      </c>
      <c r="I1724" s="86">
        <v>41821</v>
      </c>
      <c r="J1724" s="78">
        <v>859</v>
      </c>
      <c r="P1724" s="132" t="s">
        <v>151</v>
      </c>
      <c r="Q1724" s="132" t="s">
        <v>307</v>
      </c>
      <c r="R1724" s="132" t="s">
        <v>267</v>
      </c>
      <c r="S1724" s="133">
        <v>41988</v>
      </c>
      <c r="T1724" s="134">
        <v>472.2</v>
      </c>
      <c r="U1724" s="132" t="s">
        <v>154</v>
      </c>
      <c r="V1724" s="132" t="s">
        <v>276</v>
      </c>
      <c r="W1724" s="132" t="s">
        <v>267</v>
      </c>
      <c r="X1724" s="133">
        <v>41833</v>
      </c>
      <c r="Y1724" s="134">
        <v>832</v>
      </c>
    </row>
    <row r="1725" spans="6:25" x14ac:dyDescent="0.25">
      <c r="F1725" s="76" t="s">
        <v>150</v>
      </c>
      <c r="G1725" s="77" t="s">
        <v>186</v>
      </c>
      <c r="H1725" s="77" t="s">
        <v>153</v>
      </c>
      <c r="I1725" s="86">
        <v>41856</v>
      </c>
      <c r="J1725" s="78">
        <v>1099</v>
      </c>
      <c r="P1725" s="132" t="s">
        <v>151</v>
      </c>
      <c r="Q1725" s="132" t="s">
        <v>307</v>
      </c>
      <c r="R1725" s="132" t="s">
        <v>267</v>
      </c>
      <c r="S1725" s="133">
        <v>41989</v>
      </c>
      <c r="T1725" s="134">
        <v>443.9</v>
      </c>
      <c r="U1725" s="132" t="s">
        <v>154</v>
      </c>
      <c r="V1725" s="132" t="s">
        <v>276</v>
      </c>
      <c r="W1725" s="132" t="s">
        <v>267</v>
      </c>
      <c r="X1725" s="133">
        <v>41834</v>
      </c>
      <c r="Y1725" s="134">
        <v>570</v>
      </c>
    </row>
    <row r="1726" spans="6:25" x14ac:dyDescent="0.25">
      <c r="F1726" s="76" t="s">
        <v>150</v>
      </c>
      <c r="G1726" s="77" t="s">
        <v>186</v>
      </c>
      <c r="H1726" s="77" t="s">
        <v>153</v>
      </c>
      <c r="I1726" s="86">
        <v>41859</v>
      </c>
      <c r="J1726" s="78">
        <v>1209</v>
      </c>
      <c r="P1726" s="132" t="s">
        <v>151</v>
      </c>
      <c r="Q1726" s="132" t="s">
        <v>307</v>
      </c>
      <c r="R1726" s="132" t="s">
        <v>267</v>
      </c>
      <c r="S1726" s="133">
        <v>41990</v>
      </c>
      <c r="T1726" s="134">
        <v>514.1</v>
      </c>
      <c r="U1726" s="132" t="s">
        <v>154</v>
      </c>
      <c r="V1726" s="132" t="s">
        <v>276</v>
      </c>
      <c r="W1726" s="132" t="s">
        <v>267</v>
      </c>
      <c r="X1726" s="133">
        <v>41835</v>
      </c>
      <c r="Y1726" s="134">
        <v>926</v>
      </c>
    </row>
    <row r="1727" spans="6:25" x14ac:dyDescent="0.25">
      <c r="F1727" s="76" t="s">
        <v>150</v>
      </c>
      <c r="G1727" s="77" t="s">
        <v>186</v>
      </c>
      <c r="H1727" s="77" t="s">
        <v>153</v>
      </c>
      <c r="I1727" s="86">
        <v>41862</v>
      </c>
      <c r="J1727" s="78">
        <v>789</v>
      </c>
      <c r="P1727" s="132" t="s">
        <v>151</v>
      </c>
      <c r="Q1727" s="132" t="s">
        <v>307</v>
      </c>
      <c r="R1727" s="132" t="s">
        <v>267</v>
      </c>
      <c r="S1727" s="133">
        <v>41991</v>
      </c>
      <c r="T1727" s="134">
        <v>526</v>
      </c>
      <c r="U1727" s="132" t="s">
        <v>154</v>
      </c>
      <c r="V1727" s="132" t="s">
        <v>276</v>
      </c>
      <c r="W1727" s="132" t="s">
        <v>267</v>
      </c>
      <c r="X1727" s="133">
        <v>41928</v>
      </c>
      <c r="Y1727" s="134">
        <v>575</v>
      </c>
    </row>
    <row r="1728" spans="6:25" x14ac:dyDescent="0.25">
      <c r="F1728" s="76" t="s">
        <v>150</v>
      </c>
      <c r="G1728" s="77" t="s">
        <v>186</v>
      </c>
      <c r="H1728" s="77" t="s">
        <v>153</v>
      </c>
      <c r="I1728" s="86">
        <v>41862</v>
      </c>
      <c r="J1728" s="78">
        <v>511</v>
      </c>
      <c r="P1728" s="132" t="s">
        <v>151</v>
      </c>
      <c r="Q1728" s="132" t="s">
        <v>307</v>
      </c>
      <c r="R1728" s="132" t="s">
        <v>267</v>
      </c>
      <c r="S1728" s="133">
        <v>41992</v>
      </c>
      <c r="T1728" s="134">
        <v>624</v>
      </c>
      <c r="U1728" s="132" t="s">
        <v>154</v>
      </c>
      <c r="V1728" s="132" t="s">
        <v>276</v>
      </c>
      <c r="W1728" s="132" t="s">
        <v>267</v>
      </c>
      <c r="X1728" s="133">
        <v>41929</v>
      </c>
      <c r="Y1728" s="134">
        <v>563</v>
      </c>
    </row>
    <row r="1729" spans="6:25" x14ac:dyDescent="0.25">
      <c r="F1729" s="76" t="s">
        <v>150</v>
      </c>
      <c r="G1729" s="77" t="s">
        <v>186</v>
      </c>
      <c r="H1729" s="77" t="s">
        <v>153</v>
      </c>
      <c r="I1729" s="86">
        <v>41864</v>
      </c>
      <c r="J1729" s="78">
        <v>921</v>
      </c>
      <c r="P1729" s="132" t="s">
        <v>151</v>
      </c>
      <c r="Q1729" s="132" t="s">
        <v>307</v>
      </c>
      <c r="R1729" s="132" t="s">
        <v>267</v>
      </c>
      <c r="S1729" s="133">
        <v>41997</v>
      </c>
      <c r="T1729" s="134">
        <v>369.2</v>
      </c>
      <c r="U1729" s="132" t="s">
        <v>154</v>
      </c>
      <c r="V1729" s="132" t="s">
        <v>276</v>
      </c>
      <c r="W1729" s="132" t="s">
        <v>267</v>
      </c>
      <c r="X1729" s="133">
        <v>41932</v>
      </c>
      <c r="Y1729" s="134">
        <v>753</v>
      </c>
    </row>
    <row r="1730" spans="6:25" x14ac:dyDescent="0.25">
      <c r="F1730" s="76" t="s">
        <v>150</v>
      </c>
      <c r="G1730" s="77" t="s">
        <v>186</v>
      </c>
      <c r="H1730" s="77" t="s">
        <v>153</v>
      </c>
      <c r="I1730" s="86">
        <v>41867</v>
      </c>
      <c r="J1730" s="78">
        <v>1007</v>
      </c>
      <c r="P1730" s="132" t="s">
        <v>151</v>
      </c>
      <c r="Q1730" s="132" t="s">
        <v>308</v>
      </c>
      <c r="R1730" s="132" t="s">
        <v>267</v>
      </c>
      <c r="S1730" s="133">
        <v>41635</v>
      </c>
      <c r="T1730" s="134">
        <v>684.5</v>
      </c>
      <c r="U1730" s="132" t="s">
        <v>154</v>
      </c>
      <c r="V1730" s="132" t="s">
        <v>276</v>
      </c>
      <c r="W1730" s="132" t="s">
        <v>267</v>
      </c>
      <c r="X1730" s="133">
        <v>41933</v>
      </c>
      <c r="Y1730" s="134">
        <v>871</v>
      </c>
    </row>
    <row r="1731" spans="6:25" x14ac:dyDescent="0.25">
      <c r="F1731" s="76" t="s">
        <v>150</v>
      </c>
      <c r="G1731" s="77" t="s">
        <v>186</v>
      </c>
      <c r="H1731" s="77" t="s">
        <v>153</v>
      </c>
      <c r="I1731" s="86">
        <v>41869</v>
      </c>
      <c r="J1731" s="78">
        <v>672</v>
      </c>
      <c r="P1731" s="132" t="s">
        <v>151</v>
      </c>
      <c r="Q1731" s="132" t="s">
        <v>308</v>
      </c>
      <c r="R1731" s="132" t="s">
        <v>267</v>
      </c>
      <c r="S1731" s="133">
        <v>41638</v>
      </c>
      <c r="T1731" s="134">
        <v>606.79999999999995</v>
      </c>
      <c r="U1731" s="132" t="s">
        <v>154</v>
      </c>
      <c r="V1731" s="132" t="s">
        <v>276</v>
      </c>
      <c r="W1731" s="132" t="s">
        <v>267</v>
      </c>
      <c r="X1731" s="133">
        <v>41940</v>
      </c>
      <c r="Y1731" s="134">
        <v>1059</v>
      </c>
    </row>
    <row r="1732" spans="6:25" x14ac:dyDescent="0.25">
      <c r="F1732" s="76" t="s">
        <v>150</v>
      </c>
      <c r="G1732" s="77" t="s">
        <v>186</v>
      </c>
      <c r="H1732" s="77" t="s">
        <v>153</v>
      </c>
      <c r="I1732" s="86">
        <v>41870</v>
      </c>
      <c r="J1732" s="78">
        <v>702</v>
      </c>
      <c r="P1732" s="132" t="s">
        <v>151</v>
      </c>
      <c r="Q1732" s="132" t="s">
        <v>308</v>
      </c>
      <c r="R1732" s="132" t="s">
        <v>267</v>
      </c>
      <c r="S1732" s="133">
        <v>41639</v>
      </c>
      <c r="T1732" s="134">
        <v>658.5</v>
      </c>
      <c r="U1732" s="132" t="s">
        <v>154</v>
      </c>
      <c r="V1732" s="132" t="s">
        <v>276</v>
      </c>
      <c r="W1732" s="132" t="s">
        <v>267</v>
      </c>
      <c r="X1732" s="133">
        <v>41941</v>
      </c>
      <c r="Y1732" s="134">
        <v>1052</v>
      </c>
    </row>
    <row r="1733" spans="6:25" x14ac:dyDescent="0.25">
      <c r="F1733" s="76" t="s">
        <v>150</v>
      </c>
      <c r="G1733" s="77" t="s">
        <v>186</v>
      </c>
      <c r="H1733" s="77" t="s">
        <v>153</v>
      </c>
      <c r="I1733" s="86">
        <v>41871</v>
      </c>
      <c r="J1733" s="78">
        <v>801</v>
      </c>
      <c r="P1733" s="132" t="s">
        <v>151</v>
      </c>
      <c r="Q1733" s="132" t="s">
        <v>308</v>
      </c>
      <c r="R1733" s="132" t="s">
        <v>267</v>
      </c>
      <c r="S1733" s="133">
        <v>41641</v>
      </c>
      <c r="T1733" s="134">
        <v>645.20000000000005</v>
      </c>
      <c r="U1733" s="132" t="s">
        <v>154</v>
      </c>
      <c r="V1733" s="132" t="s">
        <v>276</v>
      </c>
      <c r="W1733" s="132" t="s">
        <v>267</v>
      </c>
      <c r="X1733" s="133">
        <v>41942</v>
      </c>
      <c r="Y1733" s="134">
        <v>907</v>
      </c>
    </row>
    <row r="1734" spans="6:25" x14ac:dyDescent="0.25">
      <c r="F1734" s="76" t="s">
        <v>150</v>
      </c>
      <c r="G1734" s="77" t="s">
        <v>186</v>
      </c>
      <c r="H1734" s="77" t="s">
        <v>153</v>
      </c>
      <c r="I1734" s="86">
        <v>41872</v>
      </c>
      <c r="J1734" s="78">
        <v>711</v>
      </c>
      <c r="P1734" s="132" t="s">
        <v>151</v>
      </c>
      <c r="Q1734" s="132" t="s">
        <v>308</v>
      </c>
      <c r="R1734" s="132" t="s">
        <v>267</v>
      </c>
      <c r="S1734" s="133">
        <v>41642</v>
      </c>
      <c r="T1734" s="134">
        <v>809.7</v>
      </c>
      <c r="U1734" s="132" t="s">
        <v>154</v>
      </c>
      <c r="V1734" s="132" t="s">
        <v>276</v>
      </c>
      <c r="W1734" s="132" t="s">
        <v>267</v>
      </c>
      <c r="X1734" s="133">
        <v>41943</v>
      </c>
      <c r="Y1734" s="134">
        <v>889</v>
      </c>
    </row>
    <row r="1735" spans="6:25" x14ac:dyDescent="0.25">
      <c r="F1735" s="76" t="s">
        <v>150</v>
      </c>
      <c r="G1735" s="77" t="s">
        <v>186</v>
      </c>
      <c r="H1735" s="77" t="s">
        <v>153</v>
      </c>
      <c r="I1735" s="86">
        <v>41873</v>
      </c>
      <c r="J1735" s="78">
        <v>632</v>
      </c>
      <c r="P1735" s="132" t="s">
        <v>151</v>
      </c>
      <c r="Q1735" s="132" t="s">
        <v>308</v>
      </c>
      <c r="R1735" s="132" t="s">
        <v>267</v>
      </c>
      <c r="S1735" s="133">
        <v>41645</v>
      </c>
      <c r="T1735" s="134">
        <v>1037.9000000000001</v>
      </c>
      <c r="U1735" s="132" t="s">
        <v>154</v>
      </c>
      <c r="V1735" s="132" t="s">
        <v>276</v>
      </c>
      <c r="W1735" s="132" t="s">
        <v>267</v>
      </c>
      <c r="X1735" s="133">
        <v>41945</v>
      </c>
      <c r="Y1735" s="134">
        <v>445</v>
      </c>
    </row>
    <row r="1736" spans="6:25" x14ac:dyDescent="0.25">
      <c r="F1736" s="76" t="s">
        <v>150</v>
      </c>
      <c r="G1736" s="77" t="s">
        <v>186</v>
      </c>
      <c r="H1736" s="77" t="s">
        <v>153</v>
      </c>
      <c r="I1736" s="86">
        <v>41875</v>
      </c>
      <c r="J1736" s="78">
        <v>1260</v>
      </c>
      <c r="P1736" s="132" t="s">
        <v>151</v>
      </c>
      <c r="Q1736" s="132" t="s">
        <v>308</v>
      </c>
      <c r="R1736" s="132" t="s">
        <v>267</v>
      </c>
      <c r="S1736" s="133">
        <v>41646</v>
      </c>
      <c r="T1736" s="134">
        <v>841.5</v>
      </c>
      <c r="U1736" s="132" t="s">
        <v>154</v>
      </c>
      <c r="V1736" s="132" t="s">
        <v>276</v>
      </c>
      <c r="W1736" s="132" t="s">
        <v>267</v>
      </c>
      <c r="X1736" s="133">
        <v>41945</v>
      </c>
      <c r="Y1736" s="134">
        <v>680</v>
      </c>
    </row>
    <row r="1737" spans="6:25" x14ac:dyDescent="0.25">
      <c r="F1737" s="76" t="s">
        <v>150</v>
      </c>
      <c r="G1737" s="77" t="s">
        <v>186</v>
      </c>
      <c r="H1737" s="77" t="s">
        <v>153</v>
      </c>
      <c r="I1737" s="86">
        <v>41876</v>
      </c>
      <c r="J1737" s="78">
        <v>634</v>
      </c>
      <c r="P1737" s="132" t="s">
        <v>151</v>
      </c>
      <c r="Q1737" s="132" t="s">
        <v>308</v>
      </c>
      <c r="R1737" s="132" t="s">
        <v>267</v>
      </c>
      <c r="S1737" s="133">
        <v>41647</v>
      </c>
      <c r="T1737" s="134">
        <v>903.4</v>
      </c>
      <c r="U1737" s="132" t="s">
        <v>154</v>
      </c>
      <c r="V1737" s="132" t="s">
        <v>276</v>
      </c>
      <c r="W1737" s="132" t="s">
        <v>267</v>
      </c>
      <c r="X1737" s="133">
        <v>41946</v>
      </c>
      <c r="Y1737" s="134">
        <v>804</v>
      </c>
    </row>
    <row r="1738" spans="6:25" x14ac:dyDescent="0.25">
      <c r="F1738" s="76" t="s">
        <v>150</v>
      </c>
      <c r="G1738" s="77" t="s">
        <v>186</v>
      </c>
      <c r="H1738" s="77" t="s">
        <v>153</v>
      </c>
      <c r="I1738" s="86">
        <v>41878</v>
      </c>
      <c r="J1738" s="78">
        <v>881</v>
      </c>
      <c r="P1738" s="132" t="s">
        <v>151</v>
      </c>
      <c r="Q1738" s="132" t="s">
        <v>308</v>
      </c>
      <c r="R1738" s="132" t="s">
        <v>267</v>
      </c>
      <c r="S1738" s="133">
        <v>41648</v>
      </c>
      <c r="T1738" s="134">
        <v>628.20000000000005</v>
      </c>
      <c r="U1738" s="132" t="s">
        <v>154</v>
      </c>
      <c r="V1738" s="132" t="s">
        <v>276</v>
      </c>
      <c r="W1738" s="132" t="s">
        <v>267</v>
      </c>
      <c r="X1738" s="133">
        <v>41947</v>
      </c>
      <c r="Y1738" s="134">
        <v>545</v>
      </c>
    </row>
    <row r="1739" spans="6:25" x14ac:dyDescent="0.25">
      <c r="F1739" s="76" t="s">
        <v>150</v>
      </c>
      <c r="G1739" s="77" t="s">
        <v>186</v>
      </c>
      <c r="H1739" s="77" t="s">
        <v>153</v>
      </c>
      <c r="I1739" s="86">
        <v>41880</v>
      </c>
      <c r="J1739" s="78">
        <v>1386</v>
      </c>
      <c r="P1739" s="132" t="s">
        <v>151</v>
      </c>
      <c r="Q1739" s="132" t="s">
        <v>308</v>
      </c>
      <c r="R1739" s="132" t="s">
        <v>267</v>
      </c>
      <c r="S1739" s="133">
        <v>41649</v>
      </c>
      <c r="T1739" s="134">
        <v>600</v>
      </c>
      <c r="U1739" s="132" t="s">
        <v>154</v>
      </c>
      <c r="V1739" s="132" t="s">
        <v>276</v>
      </c>
      <c r="W1739" s="132" t="s">
        <v>267</v>
      </c>
      <c r="X1739" s="133">
        <v>41947</v>
      </c>
      <c r="Y1739" s="134">
        <v>337</v>
      </c>
    </row>
    <row r="1740" spans="6:25" x14ac:dyDescent="0.25">
      <c r="F1740" s="76" t="s">
        <v>150</v>
      </c>
      <c r="G1740" s="77" t="s">
        <v>186</v>
      </c>
      <c r="H1740" s="77" t="s">
        <v>153</v>
      </c>
      <c r="I1740" s="86">
        <v>41882</v>
      </c>
      <c r="J1740" s="78">
        <v>598</v>
      </c>
      <c r="P1740" s="132" t="s">
        <v>151</v>
      </c>
      <c r="Q1740" s="132" t="s">
        <v>308</v>
      </c>
      <c r="R1740" s="132" t="s">
        <v>267</v>
      </c>
      <c r="S1740" s="133">
        <v>41652</v>
      </c>
      <c r="T1740" s="134">
        <v>597.4</v>
      </c>
      <c r="U1740" s="132" t="s">
        <v>154</v>
      </c>
      <c r="V1740" s="132" t="s">
        <v>276</v>
      </c>
      <c r="W1740" s="132" t="s">
        <v>267</v>
      </c>
      <c r="X1740" s="133">
        <v>41948</v>
      </c>
      <c r="Y1740" s="134">
        <v>948</v>
      </c>
    </row>
    <row r="1741" spans="6:25" x14ac:dyDescent="0.25">
      <c r="F1741" s="76" t="s">
        <v>150</v>
      </c>
      <c r="G1741" s="77" t="s">
        <v>186</v>
      </c>
      <c r="H1741" s="77" t="s">
        <v>153</v>
      </c>
      <c r="I1741" s="86">
        <v>41884</v>
      </c>
      <c r="J1741" s="78">
        <v>949</v>
      </c>
      <c r="P1741" s="132" t="s">
        <v>151</v>
      </c>
      <c r="Q1741" s="132" t="s">
        <v>308</v>
      </c>
      <c r="R1741" s="132" t="s">
        <v>267</v>
      </c>
      <c r="S1741" s="133">
        <v>41668</v>
      </c>
      <c r="T1741" s="134">
        <v>1150.8</v>
      </c>
      <c r="U1741" s="132" t="s">
        <v>154</v>
      </c>
      <c r="V1741" s="132" t="s">
        <v>276</v>
      </c>
      <c r="W1741" s="132" t="s">
        <v>267</v>
      </c>
      <c r="X1741" s="133">
        <v>41949</v>
      </c>
      <c r="Y1741" s="134">
        <v>732</v>
      </c>
    </row>
    <row r="1742" spans="6:25" x14ac:dyDescent="0.25">
      <c r="F1742" s="76" t="s">
        <v>150</v>
      </c>
      <c r="G1742" s="77" t="s">
        <v>186</v>
      </c>
      <c r="H1742" s="77" t="s">
        <v>153</v>
      </c>
      <c r="I1742" s="86">
        <v>41885</v>
      </c>
      <c r="J1742" s="78">
        <v>904</v>
      </c>
      <c r="P1742" s="132" t="s">
        <v>151</v>
      </c>
      <c r="Q1742" s="132" t="s">
        <v>308</v>
      </c>
      <c r="R1742" s="132" t="s">
        <v>267</v>
      </c>
      <c r="S1742" s="133">
        <v>41827</v>
      </c>
      <c r="T1742" s="134">
        <v>582.70000000000005</v>
      </c>
      <c r="U1742" s="132" t="s">
        <v>154</v>
      </c>
      <c r="V1742" s="132" t="s">
        <v>276</v>
      </c>
      <c r="W1742" s="132" t="s">
        <v>267</v>
      </c>
      <c r="X1742" s="133">
        <v>41950</v>
      </c>
      <c r="Y1742" s="134">
        <v>461</v>
      </c>
    </row>
    <row r="1743" spans="6:25" x14ac:dyDescent="0.25">
      <c r="F1743" s="76" t="s">
        <v>150</v>
      </c>
      <c r="G1743" s="77" t="s">
        <v>186</v>
      </c>
      <c r="H1743" s="77" t="s">
        <v>153</v>
      </c>
      <c r="I1743" s="86">
        <v>41887</v>
      </c>
      <c r="J1743" s="78">
        <v>642</v>
      </c>
      <c r="P1743" s="132" t="s">
        <v>151</v>
      </c>
      <c r="Q1743" s="132" t="s">
        <v>308</v>
      </c>
      <c r="R1743" s="132" t="s">
        <v>267</v>
      </c>
      <c r="S1743" s="133">
        <v>41827</v>
      </c>
      <c r="T1743" s="134">
        <v>1368.9</v>
      </c>
      <c r="U1743" s="132" t="s">
        <v>154</v>
      </c>
      <c r="V1743" s="132" t="s">
        <v>276</v>
      </c>
      <c r="W1743" s="132" t="s">
        <v>267</v>
      </c>
      <c r="X1743" s="133">
        <v>41951</v>
      </c>
      <c r="Y1743" s="134">
        <v>442</v>
      </c>
    </row>
    <row r="1744" spans="6:25" x14ac:dyDescent="0.25">
      <c r="F1744" s="76" t="s">
        <v>150</v>
      </c>
      <c r="G1744" s="77" t="s">
        <v>186</v>
      </c>
      <c r="H1744" s="77" t="s">
        <v>153</v>
      </c>
      <c r="I1744" s="86">
        <v>41890</v>
      </c>
      <c r="J1744" s="78">
        <v>687</v>
      </c>
      <c r="P1744" s="132" t="s">
        <v>151</v>
      </c>
      <c r="Q1744" s="132" t="s">
        <v>308</v>
      </c>
      <c r="R1744" s="132" t="s">
        <v>267</v>
      </c>
      <c r="S1744" s="133">
        <v>41828</v>
      </c>
      <c r="T1744" s="134">
        <v>658.9</v>
      </c>
      <c r="U1744" s="132" t="s">
        <v>154</v>
      </c>
      <c r="V1744" s="132" t="s">
        <v>276</v>
      </c>
      <c r="W1744" s="132" t="s">
        <v>267</v>
      </c>
      <c r="X1744" s="133">
        <v>41952</v>
      </c>
      <c r="Y1744" s="134">
        <v>711</v>
      </c>
    </row>
    <row r="1745" spans="6:25" x14ac:dyDescent="0.25">
      <c r="F1745" s="76" t="s">
        <v>150</v>
      </c>
      <c r="G1745" s="77" t="s">
        <v>186</v>
      </c>
      <c r="H1745" s="77" t="s">
        <v>153</v>
      </c>
      <c r="I1745" s="86">
        <v>41892</v>
      </c>
      <c r="J1745" s="78">
        <v>676</v>
      </c>
      <c r="P1745" s="132" t="s">
        <v>151</v>
      </c>
      <c r="Q1745" s="132" t="s">
        <v>308</v>
      </c>
      <c r="R1745" s="132" t="s">
        <v>267</v>
      </c>
      <c r="S1745" s="133">
        <v>41829</v>
      </c>
      <c r="T1745" s="134">
        <v>947.3</v>
      </c>
      <c r="U1745" s="132" t="s">
        <v>154</v>
      </c>
      <c r="V1745" s="132" t="s">
        <v>276</v>
      </c>
      <c r="W1745" s="132" t="s">
        <v>267</v>
      </c>
      <c r="X1745" s="133">
        <v>41953</v>
      </c>
      <c r="Y1745" s="134">
        <v>464</v>
      </c>
    </row>
    <row r="1746" spans="6:25" x14ac:dyDescent="0.25">
      <c r="F1746" s="76" t="s">
        <v>150</v>
      </c>
      <c r="G1746" s="77" t="s">
        <v>186</v>
      </c>
      <c r="H1746" s="77" t="s">
        <v>153</v>
      </c>
      <c r="I1746" s="86">
        <v>41898</v>
      </c>
      <c r="J1746" s="78">
        <v>752</v>
      </c>
      <c r="P1746" s="132" t="s">
        <v>151</v>
      </c>
      <c r="Q1746" s="132" t="s">
        <v>308</v>
      </c>
      <c r="R1746" s="132" t="s">
        <v>267</v>
      </c>
      <c r="S1746" s="133">
        <v>41831</v>
      </c>
      <c r="T1746" s="134">
        <v>529.70000000000005</v>
      </c>
      <c r="U1746" s="132" t="s">
        <v>154</v>
      </c>
      <c r="V1746" s="132" t="s">
        <v>276</v>
      </c>
      <c r="W1746" s="132" t="s">
        <v>267</v>
      </c>
      <c r="X1746" s="133">
        <v>41954</v>
      </c>
      <c r="Y1746" s="134">
        <v>735</v>
      </c>
    </row>
    <row r="1747" spans="6:25" x14ac:dyDescent="0.25">
      <c r="F1747" s="76" t="s">
        <v>150</v>
      </c>
      <c r="G1747" s="77" t="s">
        <v>186</v>
      </c>
      <c r="H1747" s="77" t="s">
        <v>153</v>
      </c>
      <c r="I1747" s="86">
        <v>41899</v>
      </c>
      <c r="J1747" s="78">
        <v>732</v>
      </c>
      <c r="P1747" s="132" t="s">
        <v>151</v>
      </c>
      <c r="Q1747" s="132" t="s">
        <v>308</v>
      </c>
      <c r="R1747" s="132" t="s">
        <v>267</v>
      </c>
      <c r="S1747" s="133">
        <v>41834</v>
      </c>
      <c r="T1747" s="134">
        <v>898.4</v>
      </c>
      <c r="U1747" s="132" t="s">
        <v>154</v>
      </c>
      <c r="V1747" s="132" t="s">
        <v>276</v>
      </c>
      <c r="W1747" s="132" t="s">
        <v>267</v>
      </c>
      <c r="X1747" s="133">
        <v>41954</v>
      </c>
      <c r="Y1747" s="134">
        <v>453</v>
      </c>
    </row>
    <row r="1748" spans="6:25" x14ac:dyDescent="0.25">
      <c r="F1748" s="76" t="s">
        <v>150</v>
      </c>
      <c r="G1748" s="77" t="s">
        <v>186</v>
      </c>
      <c r="H1748" s="77" t="s">
        <v>153</v>
      </c>
      <c r="I1748" s="86">
        <v>41900</v>
      </c>
      <c r="J1748" s="78">
        <v>877</v>
      </c>
      <c r="P1748" s="132" t="s">
        <v>151</v>
      </c>
      <c r="Q1748" s="132" t="s">
        <v>308</v>
      </c>
      <c r="R1748" s="132" t="s">
        <v>267</v>
      </c>
      <c r="S1748" s="133">
        <v>41849</v>
      </c>
      <c r="T1748" s="134">
        <v>777.1</v>
      </c>
      <c r="U1748" s="132" t="s">
        <v>154</v>
      </c>
      <c r="V1748" s="132" t="s">
        <v>276</v>
      </c>
      <c r="W1748" s="132" t="s">
        <v>267</v>
      </c>
      <c r="X1748" s="133">
        <v>41955</v>
      </c>
      <c r="Y1748" s="134">
        <v>500</v>
      </c>
    </row>
    <row r="1749" spans="6:25" x14ac:dyDescent="0.25">
      <c r="F1749" s="76" t="s">
        <v>150</v>
      </c>
      <c r="G1749" s="77" t="s">
        <v>186</v>
      </c>
      <c r="H1749" s="77" t="s">
        <v>153</v>
      </c>
      <c r="I1749" s="86">
        <v>41901</v>
      </c>
      <c r="J1749" s="78">
        <v>918</v>
      </c>
      <c r="P1749" s="132" t="s">
        <v>151</v>
      </c>
      <c r="Q1749" s="132" t="s">
        <v>308</v>
      </c>
      <c r="R1749" s="132" t="s">
        <v>267</v>
      </c>
      <c r="S1749" s="133">
        <v>41850</v>
      </c>
      <c r="T1749" s="134">
        <v>633.70000000000005</v>
      </c>
      <c r="U1749" s="132" t="s">
        <v>154</v>
      </c>
      <c r="V1749" s="132" t="s">
        <v>276</v>
      </c>
      <c r="W1749" s="132" t="s">
        <v>267</v>
      </c>
      <c r="X1749" s="133">
        <v>41956</v>
      </c>
      <c r="Y1749" s="134">
        <v>716</v>
      </c>
    </row>
    <row r="1750" spans="6:25" x14ac:dyDescent="0.25">
      <c r="F1750" s="76" t="s">
        <v>150</v>
      </c>
      <c r="G1750" s="77" t="s">
        <v>186</v>
      </c>
      <c r="H1750" s="77" t="s">
        <v>153</v>
      </c>
      <c r="I1750" s="86">
        <v>41904</v>
      </c>
      <c r="J1750" s="78">
        <v>564</v>
      </c>
      <c r="P1750" s="132" t="s">
        <v>151</v>
      </c>
      <c r="Q1750" s="132" t="s">
        <v>308</v>
      </c>
      <c r="R1750" s="132" t="s">
        <v>267</v>
      </c>
      <c r="S1750" s="133">
        <v>41851</v>
      </c>
      <c r="T1750" s="134">
        <v>818.5</v>
      </c>
      <c r="U1750" s="132" t="s">
        <v>154</v>
      </c>
      <c r="V1750" s="132" t="s">
        <v>276</v>
      </c>
      <c r="W1750" s="132" t="s">
        <v>267</v>
      </c>
      <c r="X1750" s="133">
        <v>41957</v>
      </c>
      <c r="Y1750" s="134">
        <v>877</v>
      </c>
    </row>
    <row r="1751" spans="6:25" x14ac:dyDescent="0.25">
      <c r="F1751" s="76" t="s">
        <v>150</v>
      </c>
      <c r="G1751" s="77" t="s">
        <v>186</v>
      </c>
      <c r="H1751" s="77" t="s">
        <v>153</v>
      </c>
      <c r="I1751" s="86">
        <v>41905</v>
      </c>
      <c r="J1751" s="78">
        <v>625</v>
      </c>
      <c r="P1751" s="132" t="s">
        <v>151</v>
      </c>
      <c r="Q1751" s="132" t="s">
        <v>308</v>
      </c>
      <c r="R1751" s="132" t="s">
        <v>267</v>
      </c>
      <c r="S1751" s="133">
        <v>41944</v>
      </c>
      <c r="T1751" s="134">
        <v>997.6</v>
      </c>
      <c r="U1751" s="132" t="s">
        <v>154</v>
      </c>
      <c r="V1751" s="132" t="s">
        <v>276</v>
      </c>
      <c r="W1751" s="132" t="s">
        <v>267</v>
      </c>
      <c r="X1751" s="133">
        <v>41960</v>
      </c>
      <c r="Y1751" s="134">
        <v>453</v>
      </c>
    </row>
    <row r="1752" spans="6:25" x14ac:dyDescent="0.25">
      <c r="F1752" s="76" t="s">
        <v>150</v>
      </c>
      <c r="G1752" s="77" t="s">
        <v>186</v>
      </c>
      <c r="H1752" s="77" t="s">
        <v>153</v>
      </c>
      <c r="I1752" s="86">
        <v>41907</v>
      </c>
      <c r="J1752" s="78">
        <v>1195</v>
      </c>
      <c r="P1752" s="132" t="s">
        <v>151</v>
      </c>
      <c r="Q1752" s="132" t="s">
        <v>308</v>
      </c>
      <c r="R1752" s="132" t="s">
        <v>267</v>
      </c>
      <c r="S1752" s="133">
        <v>41945</v>
      </c>
      <c r="T1752" s="134">
        <v>527.4</v>
      </c>
      <c r="U1752" s="132" t="s">
        <v>154</v>
      </c>
      <c r="V1752" s="132" t="s">
        <v>276</v>
      </c>
      <c r="W1752" s="132" t="s">
        <v>267</v>
      </c>
      <c r="X1752" s="133">
        <v>41961</v>
      </c>
      <c r="Y1752" s="134">
        <v>785</v>
      </c>
    </row>
    <row r="1753" spans="6:25" x14ac:dyDescent="0.25">
      <c r="F1753" s="76" t="s">
        <v>150</v>
      </c>
      <c r="G1753" s="77" t="s">
        <v>186</v>
      </c>
      <c r="H1753" s="77" t="s">
        <v>153</v>
      </c>
      <c r="I1753" s="86">
        <v>41908</v>
      </c>
      <c r="J1753" s="78">
        <v>520</v>
      </c>
      <c r="P1753" s="132" t="s">
        <v>151</v>
      </c>
      <c r="Q1753" s="132" t="s">
        <v>308</v>
      </c>
      <c r="R1753" s="132" t="s">
        <v>267</v>
      </c>
      <c r="S1753" s="133">
        <v>41946</v>
      </c>
      <c r="T1753" s="134">
        <v>589.70000000000005</v>
      </c>
      <c r="U1753" s="132" t="s">
        <v>154</v>
      </c>
      <c r="V1753" s="132" t="s">
        <v>276</v>
      </c>
      <c r="W1753" s="132" t="s">
        <v>267</v>
      </c>
      <c r="X1753" s="133">
        <v>41961</v>
      </c>
      <c r="Y1753" s="134">
        <v>346</v>
      </c>
    </row>
    <row r="1754" spans="6:25" x14ac:dyDescent="0.25">
      <c r="F1754" s="76" t="s">
        <v>150</v>
      </c>
      <c r="G1754" s="77" t="s">
        <v>186</v>
      </c>
      <c r="H1754" s="77" t="s">
        <v>153</v>
      </c>
      <c r="I1754" s="86">
        <v>41911</v>
      </c>
      <c r="J1754" s="78">
        <v>624</v>
      </c>
      <c r="P1754" s="132" t="s">
        <v>151</v>
      </c>
      <c r="Q1754" s="132" t="s">
        <v>308</v>
      </c>
      <c r="R1754" s="132" t="s">
        <v>267</v>
      </c>
      <c r="S1754" s="133">
        <v>41947</v>
      </c>
      <c r="T1754" s="134">
        <v>788.5</v>
      </c>
      <c r="U1754" s="132" t="s">
        <v>154</v>
      </c>
      <c r="V1754" s="132" t="s">
        <v>276</v>
      </c>
      <c r="W1754" s="132" t="s">
        <v>267</v>
      </c>
      <c r="X1754" s="133">
        <v>41962</v>
      </c>
      <c r="Y1754" s="134">
        <v>729</v>
      </c>
    </row>
    <row r="1755" spans="6:25" x14ac:dyDescent="0.25">
      <c r="F1755" s="76" t="s">
        <v>150</v>
      </c>
      <c r="G1755" s="77" t="s">
        <v>186</v>
      </c>
      <c r="H1755" s="77" t="s">
        <v>153</v>
      </c>
      <c r="I1755" s="86">
        <v>41912</v>
      </c>
      <c r="J1755" s="78">
        <v>600</v>
      </c>
      <c r="P1755" s="132" t="s">
        <v>151</v>
      </c>
      <c r="Q1755" s="132" t="s">
        <v>308</v>
      </c>
      <c r="R1755" s="132" t="s">
        <v>267</v>
      </c>
      <c r="S1755" s="133">
        <v>41956</v>
      </c>
      <c r="T1755" s="134">
        <v>962.8</v>
      </c>
      <c r="U1755" s="132" t="s">
        <v>154</v>
      </c>
      <c r="V1755" s="132" t="s">
        <v>276</v>
      </c>
      <c r="W1755" s="132" t="s">
        <v>267</v>
      </c>
      <c r="X1755" s="133">
        <v>41963</v>
      </c>
      <c r="Y1755" s="134">
        <v>725</v>
      </c>
    </row>
    <row r="1756" spans="6:25" x14ac:dyDescent="0.25">
      <c r="F1756" s="76" t="s">
        <v>150</v>
      </c>
      <c r="G1756" s="77" t="s">
        <v>186</v>
      </c>
      <c r="H1756" s="77" t="s">
        <v>153</v>
      </c>
      <c r="I1756" s="86">
        <v>41913</v>
      </c>
      <c r="J1756" s="78">
        <v>744</v>
      </c>
      <c r="P1756" s="132" t="s">
        <v>151</v>
      </c>
      <c r="Q1756" s="132" t="s">
        <v>308</v>
      </c>
      <c r="R1756" s="132" t="s">
        <v>267</v>
      </c>
      <c r="S1756" s="133">
        <v>41957</v>
      </c>
      <c r="T1756" s="134">
        <v>569.4</v>
      </c>
      <c r="U1756" s="132" t="s">
        <v>154</v>
      </c>
      <c r="V1756" s="132" t="s">
        <v>276</v>
      </c>
      <c r="W1756" s="132" t="s">
        <v>267</v>
      </c>
      <c r="X1756" s="133">
        <v>41963</v>
      </c>
      <c r="Y1756" s="134">
        <v>388</v>
      </c>
    </row>
    <row r="1757" spans="6:25" x14ac:dyDescent="0.25">
      <c r="F1757" s="76" t="s">
        <v>150</v>
      </c>
      <c r="G1757" s="77" t="s">
        <v>186</v>
      </c>
      <c r="H1757" s="77" t="s">
        <v>153</v>
      </c>
      <c r="I1757" s="86">
        <v>41919</v>
      </c>
      <c r="J1757" s="78">
        <v>548</v>
      </c>
      <c r="P1757" s="132" t="s">
        <v>151</v>
      </c>
      <c r="Q1757" s="132" t="s">
        <v>308</v>
      </c>
      <c r="R1757" s="132" t="s">
        <v>267</v>
      </c>
      <c r="S1757" s="133">
        <v>41960</v>
      </c>
      <c r="T1757" s="134">
        <v>1063.3</v>
      </c>
      <c r="U1757" s="132" t="s">
        <v>154</v>
      </c>
      <c r="V1757" s="132" t="s">
        <v>276</v>
      </c>
      <c r="W1757" s="132" t="s">
        <v>267</v>
      </c>
      <c r="X1757" s="133">
        <v>41964</v>
      </c>
      <c r="Y1757" s="134">
        <v>555</v>
      </c>
    </row>
    <row r="1758" spans="6:25" x14ac:dyDescent="0.25">
      <c r="F1758" s="76" t="s">
        <v>150</v>
      </c>
      <c r="G1758" s="77" t="s">
        <v>186</v>
      </c>
      <c r="H1758" s="77" t="s">
        <v>153</v>
      </c>
      <c r="I1758" s="86">
        <v>41920</v>
      </c>
      <c r="J1758" s="78">
        <v>651</v>
      </c>
      <c r="P1758" s="132" t="s">
        <v>151</v>
      </c>
      <c r="Q1758" s="132" t="s">
        <v>308</v>
      </c>
      <c r="R1758" s="132" t="s">
        <v>267</v>
      </c>
      <c r="S1758" s="133">
        <v>41961</v>
      </c>
      <c r="T1758" s="134">
        <v>383.1</v>
      </c>
      <c r="U1758" s="132" t="s">
        <v>154</v>
      </c>
      <c r="V1758" s="132" t="s">
        <v>276</v>
      </c>
      <c r="W1758" s="132" t="s">
        <v>267</v>
      </c>
      <c r="X1758" s="133">
        <v>41966</v>
      </c>
      <c r="Y1758" s="134">
        <v>684</v>
      </c>
    </row>
    <row r="1759" spans="6:25" x14ac:dyDescent="0.25">
      <c r="F1759" s="76" t="s">
        <v>150</v>
      </c>
      <c r="G1759" s="77" t="s">
        <v>186</v>
      </c>
      <c r="H1759" s="77" t="s">
        <v>153</v>
      </c>
      <c r="I1759" s="86">
        <v>41921</v>
      </c>
      <c r="J1759" s="78">
        <v>606</v>
      </c>
      <c r="P1759" s="132" t="s">
        <v>151</v>
      </c>
      <c r="Q1759" s="132" t="s">
        <v>308</v>
      </c>
      <c r="R1759" s="132" t="s">
        <v>267</v>
      </c>
      <c r="S1759" s="133">
        <v>41968</v>
      </c>
      <c r="T1759" s="134">
        <v>998.2</v>
      </c>
      <c r="U1759" s="132" t="s">
        <v>154</v>
      </c>
      <c r="V1759" s="132" t="s">
        <v>276</v>
      </c>
      <c r="W1759" s="132" t="s">
        <v>267</v>
      </c>
      <c r="X1759" s="133">
        <v>41967</v>
      </c>
      <c r="Y1759" s="134">
        <v>706</v>
      </c>
    </row>
    <row r="1760" spans="6:25" x14ac:dyDescent="0.25">
      <c r="F1760" s="76" t="s">
        <v>150</v>
      </c>
      <c r="G1760" s="77" t="s">
        <v>186</v>
      </c>
      <c r="H1760" s="77" t="s">
        <v>153</v>
      </c>
      <c r="I1760" s="86">
        <v>41922</v>
      </c>
      <c r="J1760" s="78">
        <v>649</v>
      </c>
      <c r="P1760" s="132" t="s">
        <v>151</v>
      </c>
      <c r="Q1760" s="132" t="s">
        <v>308</v>
      </c>
      <c r="R1760" s="132" t="s">
        <v>267</v>
      </c>
      <c r="S1760" s="133">
        <v>41969</v>
      </c>
      <c r="T1760" s="134">
        <v>594.20000000000005</v>
      </c>
      <c r="U1760" s="132" t="s">
        <v>154</v>
      </c>
      <c r="V1760" s="132" t="s">
        <v>276</v>
      </c>
      <c r="W1760" s="132" t="s">
        <v>267</v>
      </c>
      <c r="X1760" s="133">
        <v>41968</v>
      </c>
      <c r="Y1760" s="134">
        <v>770</v>
      </c>
    </row>
    <row r="1761" spans="6:25" x14ac:dyDescent="0.25">
      <c r="F1761" s="76" t="s">
        <v>150</v>
      </c>
      <c r="G1761" s="77" t="s">
        <v>186</v>
      </c>
      <c r="H1761" s="77" t="s">
        <v>153</v>
      </c>
      <c r="I1761" s="86">
        <v>41925</v>
      </c>
      <c r="J1761" s="78">
        <v>552</v>
      </c>
      <c r="P1761" s="132" t="s">
        <v>151</v>
      </c>
      <c r="Q1761" s="132" t="s">
        <v>308</v>
      </c>
      <c r="R1761" s="132" t="s">
        <v>267</v>
      </c>
      <c r="S1761" s="133">
        <v>41971</v>
      </c>
      <c r="T1761" s="134">
        <v>855.2</v>
      </c>
      <c r="U1761" s="132" t="s">
        <v>154</v>
      </c>
      <c r="V1761" s="132" t="s">
        <v>276</v>
      </c>
      <c r="W1761" s="132" t="s">
        <v>267</v>
      </c>
      <c r="X1761" s="133">
        <v>41969</v>
      </c>
      <c r="Y1761" s="134">
        <v>841</v>
      </c>
    </row>
    <row r="1762" spans="6:25" x14ac:dyDescent="0.25">
      <c r="F1762" s="76" t="s">
        <v>150</v>
      </c>
      <c r="G1762" s="77" t="s">
        <v>186</v>
      </c>
      <c r="H1762" s="77" t="s">
        <v>153</v>
      </c>
      <c r="I1762" s="86">
        <v>41926</v>
      </c>
      <c r="J1762" s="78">
        <v>664</v>
      </c>
      <c r="P1762" s="132" t="s">
        <v>151</v>
      </c>
      <c r="Q1762" s="132" t="s">
        <v>308</v>
      </c>
      <c r="R1762" s="132" t="s">
        <v>267</v>
      </c>
      <c r="S1762" s="133">
        <v>41974</v>
      </c>
      <c r="T1762" s="134">
        <v>402.3</v>
      </c>
      <c r="U1762" s="132" t="s">
        <v>154</v>
      </c>
      <c r="V1762" s="132" t="s">
        <v>276</v>
      </c>
      <c r="W1762" s="132" t="s">
        <v>267</v>
      </c>
      <c r="X1762" s="133">
        <v>41971</v>
      </c>
      <c r="Y1762" s="134">
        <v>466</v>
      </c>
    </row>
    <row r="1763" spans="6:25" x14ac:dyDescent="0.25">
      <c r="F1763" s="76" t="s">
        <v>150</v>
      </c>
      <c r="G1763" s="77" t="s">
        <v>186</v>
      </c>
      <c r="H1763" s="77" t="s">
        <v>153</v>
      </c>
      <c r="I1763" s="86">
        <v>41929</v>
      </c>
      <c r="J1763" s="78">
        <v>535</v>
      </c>
      <c r="P1763" s="132" t="s">
        <v>151</v>
      </c>
      <c r="Q1763" s="132" t="s">
        <v>242</v>
      </c>
      <c r="R1763" s="132" t="s">
        <v>174</v>
      </c>
      <c r="S1763" s="133">
        <v>41695</v>
      </c>
      <c r="T1763" s="134">
        <v>751.9</v>
      </c>
      <c r="U1763" s="132" t="s">
        <v>154</v>
      </c>
      <c r="V1763" s="132" t="s">
        <v>276</v>
      </c>
      <c r="W1763" s="132" t="s">
        <v>267</v>
      </c>
      <c r="X1763" s="133">
        <v>41971</v>
      </c>
      <c r="Y1763" s="134">
        <v>541</v>
      </c>
    </row>
    <row r="1764" spans="6:25" x14ac:dyDescent="0.25">
      <c r="F1764" s="76" t="s">
        <v>150</v>
      </c>
      <c r="G1764" s="77" t="s">
        <v>187</v>
      </c>
      <c r="H1764" s="77" t="s">
        <v>153</v>
      </c>
      <c r="I1764" s="86">
        <v>41718</v>
      </c>
      <c r="J1764" s="78">
        <v>780</v>
      </c>
      <c r="P1764" s="132" t="s">
        <v>151</v>
      </c>
      <c r="Q1764" s="132" t="s">
        <v>242</v>
      </c>
      <c r="R1764" s="132" t="s">
        <v>174</v>
      </c>
      <c r="S1764" s="133">
        <v>41863</v>
      </c>
      <c r="T1764" s="134">
        <v>420.4</v>
      </c>
      <c r="U1764" s="132" t="s">
        <v>154</v>
      </c>
      <c r="V1764" s="132" t="s">
        <v>276</v>
      </c>
      <c r="W1764" s="132" t="s">
        <v>267</v>
      </c>
      <c r="X1764" s="133">
        <v>41974</v>
      </c>
      <c r="Y1764" s="134">
        <v>1039</v>
      </c>
    </row>
    <row r="1765" spans="6:25" x14ac:dyDescent="0.25">
      <c r="F1765" s="76" t="s">
        <v>150</v>
      </c>
      <c r="G1765" s="77" t="s">
        <v>187</v>
      </c>
      <c r="H1765" s="77" t="s">
        <v>153</v>
      </c>
      <c r="I1765" s="86">
        <v>41719</v>
      </c>
      <c r="J1765" s="78">
        <v>1160</v>
      </c>
      <c r="P1765" s="132" t="s">
        <v>151</v>
      </c>
      <c r="Q1765" s="132" t="s">
        <v>309</v>
      </c>
      <c r="R1765" s="132" t="s">
        <v>174</v>
      </c>
      <c r="S1765" s="133">
        <v>41869</v>
      </c>
      <c r="T1765" s="134">
        <v>705.3</v>
      </c>
      <c r="U1765" s="132" t="s">
        <v>154</v>
      </c>
      <c r="V1765" s="132" t="s">
        <v>276</v>
      </c>
      <c r="W1765" s="132" t="s">
        <v>267</v>
      </c>
      <c r="X1765" s="133">
        <v>41975</v>
      </c>
      <c r="Y1765" s="134">
        <v>645</v>
      </c>
    </row>
    <row r="1766" spans="6:25" x14ac:dyDescent="0.25">
      <c r="F1766" s="76" t="s">
        <v>150</v>
      </c>
      <c r="G1766" s="77" t="s">
        <v>187</v>
      </c>
      <c r="H1766" s="77" t="s">
        <v>153</v>
      </c>
      <c r="I1766" s="86">
        <v>41722</v>
      </c>
      <c r="J1766" s="78">
        <v>1233</v>
      </c>
      <c r="P1766" s="132" t="s">
        <v>151</v>
      </c>
      <c r="Q1766" s="132" t="s">
        <v>243</v>
      </c>
      <c r="R1766" s="132" t="s">
        <v>174</v>
      </c>
      <c r="S1766" s="133">
        <v>41809</v>
      </c>
      <c r="T1766" s="134">
        <v>1579.5</v>
      </c>
      <c r="U1766" s="132" t="s">
        <v>154</v>
      </c>
      <c r="V1766" s="132" t="s">
        <v>276</v>
      </c>
      <c r="W1766" s="132" t="s">
        <v>267</v>
      </c>
      <c r="X1766" s="133">
        <v>41975</v>
      </c>
      <c r="Y1766" s="134">
        <v>551</v>
      </c>
    </row>
    <row r="1767" spans="6:25" x14ac:dyDescent="0.25">
      <c r="F1767" s="76" t="s">
        <v>150</v>
      </c>
      <c r="G1767" s="77" t="s">
        <v>187</v>
      </c>
      <c r="H1767" s="77" t="s">
        <v>153</v>
      </c>
      <c r="I1767" s="86">
        <v>41723</v>
      </c>
      <c r="J1767" s="78">
        <v>668</v>
      </c>
      <c r="P1767" s="132" t="s">
        <v>151</v>
      </c>
      <c r="Q1767" s="132" t="s">
        <v>243</v>
      </c>
      <c r="R1767" s="132" t="s">
        <v>174</v>
      </c>
      <c r="S1767" s="133">
        <v>41810</v>
      </c>
      <c r="T1767" s="134">
        <v>793.9</v>
      </c>
      <c r="U1767" s="132" t="s">
        <v>154</v>
      </c>
      <c r="V1767" s="132" t="s">
        <v>276</v>
      </c>
      <c r="W1767" s="132" t="s">
        <v>267</v>
      </c>
      <c r="X1767" s="133">
        <v>41976</v>
      </c>
      <c r="Y1767" s="134">
        <v>411</v>
      </c>
    </row>
    <row r="1768" spans="6:25" x14ac:dyDescent="0.25">
      <c r="F1768" s="76" t="s">
        <v>150</v>
      </c>
      <c r="G1768" s="77" t="s">
        <v>187</v>
      </c>
      <c r="H1768" s="77" t="s">
        <v>153</v>
      </c>
      <c r="I1768" s="86">
        <v>41725</v>
      </c>
      <c r="J1768" s="78">
        <v>1180</v>
      </c>
      <c r="P1768" s="132" t="s">
        <v>151</v>
      </c>
      <c r="Q1768" s="132" t="s">
        <v>243</v>
      </c>
      <c r="R1768" s="132" t="s">
        <v>174</v>
      </c>
      <c r="S1768" s="133">
        <v>41813</v>
      </c>
      <c r="T1768" s="134">
        <v>659.1</v>
      </c>
      <c r="U1768" s="132" t="s">
        <v>154</v>
      </c>
      <c r="V1768" s="132" t="s">
        <v>276</v>
      </c>
      <c r="W1768" s="132" t="s">
        <v>267</v>
      </c>
      <c r="X1768" s="133">
        <v>41977</v>
      </c>
      <c r="Y1768" s="134">
        <v>281</v>
      </c>
    </row>
    <row r="1769" spans="6:25" x14ac:dyDescent="0.25">
      <c r="F1769" s="76" t="s">
        <v>150</v>
      </c>
      <c r="G1769" s="77" t="s">
        <v>187</v>
      </c>
      <c r="H1769" s="77" t="s">
        <v>153</v>
      </c>
      <c r="I1769" s="86">
        <v>41726</v>
      </c>
      <c r="J1769" s="78">
        <v>263</v>
      </c>
      <c r="P1769" s="132" t="s">
        <v>151</v>
      </c>
      <c r="Q1769" s="132" t="s">
        <v>243</v>
      </c>
      <c r="R1769" s="132" t="s">
        <v>174</v>
      </c>
      <c r="S1769" s="133">
        <v>41827</v>
      </c>
      <c r="T1769" s="134">
        <v>1154.7</v>
      </c>
      <c r="U1769" s="132" t="s">
        <v>154</v>
      </c>
      <c r="V1769" s="132" t="s">
        <v>276</v>
      </c>
      <c r="W1769" s="132" t="s">
        <v>267</v>
      </c>
      <c r="X1769" s="133">
        <v>41977</v>
      </c>
      <c r="Y1769" s="134">
        <v>551</v>
      </c>
    </row>
    <row r="1770" spans="6:25" x14ac:dyDescent="0.25">
      <c r="F1770" s="76" t="s">
        <v>150</v>
      </c>
      <c r="G1770" s="77" t="s">
        <v>187</v>
      </c>
      <c r="H1770" s="77" t="s">
        <v>153</v>
      </c>
      <c r="I1770" s="86">
        <v>41729</v>
      </c>
      <c r="J1770" s="78">
        <v>1028</v>
      </c>
      <c r="P1770" s="132" t="s">
        <v>151</v>
      </c>
      <c r="Q1770" s="132" t="s">
        <v>243</v>
      </c>
      <c r="R1770" s="132" t="s">
        <v>174</v>
      </c>
      <c r="S1770" s="133">
        <v>41886</v>
      </c>
      <c r="T1770" s="134">
        <v>364.2</v>
      </c>
      <c r="U1770" s="132" t="s">
        <v>154</v>
      </c>
      <c r="V1770" s="132" t="s">
        <v>276</v>
      </c>
      <c r="W1770" s="132" t="s">
        <v>267</v>
      </c>
      <c r="X1770" s="133">
        <v>41978</v>
      </c>
      <c r="Y1770" s="134">
        <v>560</v>
      </c>
    </row>
    <row r="1771" spans="6:25" x14ac:dyDescent="0.25">
      <c r="F1771" s="76" t="s">
        <v>150</v>
      </c>
      <c r="G1771" s="77" t="s">
        <v>187</v>
      </c>
      <c r="H1771" s="77" t="s">
        <v>153</v>
      </c>
      <c r="I1771" s="86">
        <v>41732</v>
      </c>
      <c r="J1771" s="78">
        <v>1009</v>
      </c>
      <c r="P1771" s="132" t="s">
        <v>151</v>
      </c>
      <c r="Q1771" s="132" t="s">
        <v>243</v>
      </c>
      <c r="R1771" s="132" t="s">
        <v>174</v>
      </c>
      <c r="S1771" s="133">
        <v>41887</v>
      </c>
      <c r="T1771" s="134">
        <v>920.9</v>
      </c>
      <c r="U1771" s="132" t="s">
        <v>154</v>
      </c>
      <c r="V1771" s="132" t="s">
        <v>276</v>
      </c>
      <c r="W1771" s="132" t="s">
        <v>267</v>
      </c>
      <c r="X1771" s="133">
        <v>41978</v>
      </c>
      <c r="Y1771" s="134">
        <v>310</v>
      </c>
    </row>
    <row r="1772" spans="6:25" x14ac:dyDescent="0.25">
      <c r="F1772" s="76" t="s">
        <v>150</v>
      </c>
      <c r="G1772" s="77" t="s">
        <v>187</v>
      </c>
      <c r="H1772" s="77" t="s">
        <v>153</v>
      </c>
      <c r="I1772" s="86">
        <v>41732</v>
      </c>
      <c r="J1772" s="78">
        <v>1234</v>
      </c>
      <c r="P1772" s="132" t="s">
        <v>151</v>
      </c>
      <c r="Q1772" s="132" t="s">
        <v>243</v>
      </c>
      <c r="R1772" s="132" t="s">
        <v>174</v>
      </c>
      <c r="S1772" s="133">
        <v>41890</v>
      </c>
      <c r="T1772" s="134">
        <v>804.3</v>
      </c>
      <c r="U1772" s="132" t="s">
        <v>154</v>
      </c>
      <c r="V1772" s="132" t="s">
        <v>276</v>
      </c>
      <c r="W1772" s="132" t="s">
        <v>267</v>
      </c>
      <c r="X1772" s="133">
        <v>41979</v>
      </c>
      <c r="Y1772" s="134">
        <v>460</v>
      </c>
    </row>
    <row r="1773" spans="6:25" x14ac:dyDescent="0.25">
      <c r="F1773" s="76" t="s">
        <v>150</v>
      </c>
      <c r="G1773" s="77" t="s">
        <v>187</v>
      </c>
      <c r="H1773" s="77" t="s">
        <v>153</v>
      </c>
      <c r="I1773" s="86">
        <v>41733</v>
      </c>
      <c r="J1773" s="78">
        <v>817</v>
      </c>
      <c r="P1773" s="132" t="s">
        <v>151</v>
      </c>
      <c r="Q1773" s="132" t="s">
        <v>243</v>
      </c>
      <c r="R1773" s="132" t="s">
        <v>174</v>
      </c>
      <c r="S1773" s="133">
        <v>41891</v>
      </c>
      <c r="T1773" s="134">
        <v>757.1</v>
      </c>
      <c r="U1773" s="132" t="s">
        <v>154</v>
      </c>
      <c r="V1773" s="132" t="s">
        <v>276</v>
      </c>
      <c r="W1773" s="132" t="s">
        <v>267</v>
      </c>
      <c r="X1773" s="133">
        <v>41980</v>
      </c>
      <c r="Y1773" s="134">
        <v>216</v>
      </c>
    </row>
    <row r="1774" spans="6:25" x14ac:dyDescent="0.25">
      <c r="F1774" s="76" t="s">
        <v>150</v>
      </c>
      <c r="G1774" s="77" t="s">
        <v>187</v>
      </c>
      <c r="H1774" s="77" t="s">
        <v>153</v>
      </c>
      <c r="I1774" s="86">
        <v>41735</v>
      </c>
      <c r="J1774" s="78">
        <v>1107</v>
      </c>
      <c r="P1774" s="132" t="s">
        <v>151</v>
      </c>
      <c r="Q1774" s="132" t="s">
        <v>243</v>
      </c>
      <c r="R1774" s="132" t="s">
        <v>174</v>
      </c>
      <c r="S1774" s="133">
        <v>41892</v>
      </c>
      <c r="T1774" s="134">
        <v>818.1</v>
      </c>
      <c r="U1774" s="132" t="s">
        <v>154</v>
      </c>
      <c r="V1774" s="132" t="s">
        <v>276</v>
      </c>
      <c r="W1774" s="132" t="s">
        <v>267</v>
      </c>
      <c r="X1774" s="133">
        <v>41980</v>
      </c>
      <c r="Y1774" s="134">
        <v>460</v>
      </c>
    </row>
    <row r="1775" spans="6:25" x14ac:dyDescent="0.25">
      <c r="F1775" s="76" t="s">
        <v>150</v>
      </c>
      <c r="G1775" s="77" t="s">
        <v>187</v>
      </c>
      <c r="H1775" s="77" t="s">
        <v>153</v>
      </c>
      <c r="I1775" s="86">
        <v>41736</v>
      </c>
      <c r="J1775" s="78">
        <v>1205</v>
      </c>
      <c r="P1775" s="132" t="s">
        <v>151</v>
      </c>
      <c r="Q1775" s="132" t="s">
        <v>243</v>
      </c>
      <c r="R1775" s="132" t="s">
        <v>174</v>
      </c>
      <c r="S1775" s="133">
        <v>41893</v>
      </c>
      <c r="T1775" s="134">
        <v>849.8</v>
      </c>
      <c r="U1775" s="132" t="s">
        <v>154</v>
      </c>
      <c r="V1775" s="132" t="s">
        <v>276</v>
      </c>
      <c r="W1775" s="132" t="s">
        <v>267</v>
      </c>
      <c r="X1775" s="133">
        <v>41980</v>
      </c>
      <c r="Y1775" s="134">
        <v>677</v>
      </c>
    </row>
    <row r="1776" spans="6:25" x14ac:dyDescent="0.25">
      <c r="F1776" s="76" t="s">
        <v>150</v>
      </c>
      <c r="G1776" s="77" t="s">
        <v>187</v>
      </c>
      <c r="H1776" s="77" t="s">
        <v>153</v>
      </c>
      <c r="I1776" s="86">
        <v>41737</v>
      </c>
      <c r="J1776" s="78">
        <v>624</v>
      </c>
      <c r="P1776" s="132" t="s">
        <v>151</v>
      </c>
      <c r="Q1776" s="132" t="s">
        <v>243</v>
      </c>
      <c r="R1776" s="132" t="s">
        <v>174</v>
      </c>
      <c r="S1776" s="133">
        <v>41894</v>
      </c>
      <c r="T1776" s="134">
        <v>885</v>
      </c>
      <c r="U1776" s="132" t="s">
        <v>154</v>
      </c>
      <c r="V1776" s="132" t="s">
        <v>276</v>
      </c>
      <c r="W1776" s="132" t="s">
        <v>267</v>
      </c>
      <c r="X1776" s="133">
        <v>41981</v>
      </c>
      <c r="Y1776" s="134">
        <v>615</v>
      </c>
    </row>
    <row r="1777" spans="6:25" x14ac:dyDescent="0.25">
      <c r="F1777" s="76" t="s">
        <v>150</v>
      </c>
      <c r="G1777" s="77" t="s">
        <v>187</v>
      </c>
      <c r="H1777" s="77" t="s">
        <v>153</v>
      </c>
      <c r="I1777" s="86">
        <v>41738</v>
      </c>
      <c r="J1777" s="78">
        <v>458</v>
      </c>
      <c r="P1777" s="132" t="s">
        <v>151</v>
      </c>
      <c r="Q1777" s="132" t="s">
        <v>243</v>
      </c>
      <c r="R1777" s="132" t="s">
        <v>174</v>
      </c>
      <c r="S1777" s="133">
        <v>41897</v>
      </c>
      <c r="T1777" s="134">
        <v>731.4</v>
      </c>
      <c r="U1777" s="132" t="s">
        <v>154</v>
      </c>
      <c r="V1777" s="132" t="s">
        <v>276</v>
      </c>
      <c r="W1777" s="132" t="s">
        <v>267</v>
      </c>
      <c r="X1777" s="133">
        <v>41981</v>
      </c>
      <c r="Y1777" s="134">
        <v>573</v>
      </c>
    </row>
    <row r="1778" spans="6:25" x14ac:dyDescent="0.25">
      <c r="F1778" s="76" t="s">
        <v>150</v>
      </c>
      <c r="G1778" s="77" t="s">
        <v>187</v>
      </c>
      <c r="H1778" s="77" t="s">
        <v>153</v>
      </c>
      <c r="I1778" s="86">
        <v>41753</v>
      </c>
      <c r="J1778" s="78">
        <v>154</v>
      </c>
      <c r="P1778" s="132" t="s">
        <v>151</v>
      </c>
      <c r="Q1778" s="132" t="s">
        <v>243</v>
      </c>
      <c r="R1778" s="132" t="s">
        <v>174</v>
      </c>
      <c r="S1778" s="133">
        <v>41898</v>
      </c>
      <c r="T1778" s="134">
        <v>733.2</v>
      </c>
      <c r="U1778" s="132" t="s">
        <v>154</v>
      </c>
      <c r="V1778" s="132" t="s">
        <v>276</v>
      </c>
      <c r="W1778" s="132" t="s">
        <v>267</v>
      </c>
      <c r="X1778" s="133">
        <v>41982</v>
      </c>
      <c r="Y1778" s="134">
        <v>889</v>
      </c>
    </row>
    <row r="1779" spans="6:25" x14ac:dyDescent="0.25">
      <c r="F1779" s="76" t="s">
        <v>150</v>
      </c>
      <c r="G1779" s="77" t="s">
        <v>187</v>
      </c>
      <c r="H1779" s="77" t="s">
        <v>153</v>
      </c>
      <c r="I1779" s="86">
        <v>41755</v>
      </c>
      <c r="J1779" s="78">
        <v>1147</v>
      </c>
      <c r="P1779" s="132" t="s">
        <v>151</v>
      </c>
      <c r="Q1779" s="132" t="s">
        <v>243</v>
      </c>
      <c r="R1779" s="132" t="s">
        <v>174</v>
      </c>
      <c r="S1779" s="133">
        <v>41988</v>
      </c>
      <c r="T1779" s="134">
        <v>934.9</v>
      </c>
      <c r="U1779" s="132" t="s">
        <v>154</v>
      </c>
      <c r="V1779" s="132" t="s">
        <v>276</v>
      </c>
      <c r="W1779" s="132" t="s">
        <v>267</v>
      </c>
      <c r="X1779" s="133">
        <v>41983</v>
      </c>
      <c r="Y1779" s="134">
        <v>570</v>
      </c>
    </row>
    <row r="1780" spans="6:25" x14ac:dyDescent="0.25">
      <c r="F1780" s="76" t="s">
        <v>150</v>
      </c>
      <c r="G1780" s="77" t="s">
        <v>187</v>
      </c>
      <c r="H1780" s="77" t="s">
        <v>153</v>
      </c>
      <c r="I1780" s="86">
        <v>41755</v>
      </c>
      <c r="J1780" s="78">
        <v>1053</v>
      </c>
      <c r="P1780" s="132" t="s">
        <v>151</v>
      </c>
      <c r="Q1780" s="132" t="s">
        <v>238</v>
      </c>
      <c r="R1780" s="132" t="s">
        <v>174</v>
      </c>
      <c r="S1780" s="133">
        <v>41800</v>
      </c>
      <c r="T1780" s="134">
        <v>471.7</v>
      </c>
      <c r="U1780" s="132" t="s">
        <v>154</v>
      </c>
      <c r="V1780" s="132" t="s">
        <v>276</v>
      </c>
      <c r="W1780" s="132" t="s">
        <v>267</v>
      </c>
      <c r="X1780" s="133">
        <v>41983</v>
      </c>
      <c r="Y1780" s="134">
        <v>252</v>
      </c>
    </row>
    <row r="1781" spans="6:25" x14ac:dyDescent="0.25">
      <c r="F1781" s="76" t="s">
        <v>150</v>
      </c>
      <c r="G1781" s="77" t="s">
        <v>187</v>
      </c>
      <c r="H1781" s="77" t="s">
        <v>153</v>
      </c>
      <c r="I1781" s="86">
        <v>41756</v>
      </c>
      <c r="J1781" s="78">
        <v>943</v>
      </c>
      <c r="P1781" s="132" t="s">
        <v>151</v>
      </c>
      <c r="Q1781" s="132" t="s">
        <v>238</v>
      </c>
      <c r="R1781" s="132" t="s">
        <v>174</v>
      </c>
      <c r="S1781" s="133">
        <v>41801</v>
      </c>
      <c r="T1781" s="134">
        <v>712.5</v>
      </c>
      <c r="U1781" s="132" t="s">
        <v>154</v>
      </c>
      <c r="V1781" s="132" t="s">
        <v>276</v>
      </c>
      <c r="W1781" s="132" t="s">
        <v>267</v>
      </c>
      <c r="X1781" s="133">
        <v>41984</v>
      </c>
      <c r="Y1781" s="134">
        <v>284</v>
      </c>
    </row>
    <row r="1782" spans="6:25" x14ac:dyDescent="0.25">
      <c r="F1782" s="76" t="s">
        <v>150</v>
      </c>
      <c r="G1782" s="77" t="s">
        <v>187</v>
      </c>
      <c r="H1782" s="77" t="s">
        <v>153</v>
      </c>
      <c r="I1782" s="86">
        <v>41758</v>
      </c>
      <c r="J1782" s="78">
        <v>1211</v>
      </c>
      <c r="P1782" s="132" t="s">
        <v>151</v>
      </c>
      <c r="Q1782" s="132" t="s">
        <v>238</v>
      </c>
      <c r="R1782" s="132" t="s">
        <v>174</v>
      </c>
      <c r="S1782" s="133">
        <v>41831</v>
      </c>
      <c r="T1782" s="134">
        <v>1299.2</v>
      </c>
      <c r="U1782" s="132" t="s">
        <v>154</v>
      </c>
      <c r="V1782" s="132" t="s">
        <v>276</v>
      </c>
      <c r="W1782" s="132" t="s">
        <v>267</v>
      </c>
      <c r="X1782" s="133">
        <v>41984</v>
      </c>
      <c r="Y1782" s="134">
        <v>561</v>
      </c>
    </row>
    <row r="1783" spans="6:25" x14ac:dyDescent="0.25">
      <c r="F1783" s="76" t="s">
        <v>150</v>
      </c>
      <c r="G1783" s="77" t="s">
        <v>187</v>
      </c>
      <c r="H1783" s="77" t="s">
        <v>153</v>
      </c>
      <c r="I1783" s="86">
        <v>41758</v>
      </c>
      <c r="J1783" s="78">
        <v>1043</v>
      </c>
      <c r="P1783" s="132" t="s">
        <v>151</v>
      </c>
      <c r="Q1783" s="132" t="s">
        <v>238</v>
      </c>
      <c r="R1783" s="132" t="s">
        <v>174</v>
      </c>
      <c r="S1783" s="133">
        <v>41834</v>
      </c>
      <c r="T1783" s="134">
        <v>797</v>
      </c>
      <c r="U1783" s="132" t="s">
        <v>154</v>
      </c>
      <c r="V1783" s="132" t="s">
        <v>276</v>
      </c>
      <c r="W1783" s="132" t="s">
        <v>267</v>
      </c>
      <c r="X1783" s="133">
        <v>41985</v>
      </c>
      <c r="Y1783" s="134">
        <v>529</v>
      </c>
    </row>
    <row r="1784" spans="6:25" x14ac:dyDescent="0.25">
      <c r="F1784" s="76" t="s">
        <v>150</v>
      </c>
      <c r="G1784" s="77" t="s">
        <v>187</v>
      </c>
      <c r="H1784" s="77" t="s">
        <v>153</v>
      </c>
      <c r="I1784" s="86">
        <v>41760</v>
      </c>
      <c r="J1784" s="78">
        <v>1261</v>
      </c>
      <c r="P1784" s="132" t="s">
        <v>151</v>
      </c>
      <c r="Q1784" s="132" t="s">
        <v>238</v>
      </c>
      <c r="R1784" s="132" t="s">
        <v>174</v>
      </c>
      <c r="S1784" s="133">
        <v>41872</v>
      </c>
      <c r="T1784" s="134">
        <v>1028.7</v>
      </c>
      <c r="U1784" s="132" t="s">
        <v>154</v>
      </c>
      <c r="V1784" s="132" t="s">
        <v>276</v>
      </c>
      <c r="W1784" s="132" t="s">
        <v>267</v>
      </c>
      <c r="X1784" s="133">
        <v>41988</v>
      </c>
      <c r="Y1784" s="134">
        <v>727</v>
      </c>
    </row>
    <row r="1785" spans="6:25" x14ac:dyDescent="0.25">
      <c r="F1785" s="76" t="s">
        <v>150</v>
      </c>
      <c r="G1785" s="77" t="s">
        <v>187</v>
      </c>
      <c r="H1785" s="77" t="s">
        <v>153</v>
      </c>
      <c r="I1785" s="86">
        <v>41761</v>
      </c>
      <c r="J1785" s="78">
        <v>899</v>
      </c>
      <c r="P1785" s="132" t="s">
        <v>151</v>
      </c>
      <c r="Q1785" s="132" t="s">
        <v>238</v>
      </c>
      <c r="R1785" s="132" t="s">
        <v>174</v>
      </c>
      <c r="S1785" s="133">
        <v>41919</v>
      </c>
      <c r="T1785" s="134">
        <v>1348.6</v>
      </c>
      <c r="U1785" s="132" t="s">
        <v>154</v>
      </c>
      <c r="V1785" s="132" t="s">
        <v>277</v>
      </c>
      <c r="W1785" s="132" t="s">
        <v>267</v>
      </c>
      <c r="X1785" s="133">
        <v>41796</v>
      </c>
      <c r="Y1785" s="134">
        <v>1099</v>
      </c>
    </row>
    <row r="1786" spans="6:25" x14ac:dyDescent="0.25">
      <c r="F1786" s="76" t="s">
        <v>150</v>
      </c>
      <c r="G1786" s="77" t="s">
        <v>187</v>
      </c>
      <c r="H1786" s="77" t="s">
        <v>153</v>
      </c>
      <c r="I1786" s="86">
        <v>41763</v>
      </c>
      <c r="J1786" s="78">
        <v>351</v>
      </c>
      <c r="P1786" s="132" t="s">
        <v>151</v>
      </c>
      <c r="Q1786" s="132" t="s">
        <v>238</v>
      </c>
      <c r="R1786" s="132" t="s">
        <v>174</v>
      </c>
      <c r="S1786" s="133">
        <v>41920</v>
      </c>
      <c r="T1786" s="134">
        <v>690.9</v>
      </c>
      <c r="U1786" s="132" t="s">
        <v>154</v>
      </c>
      <c r="V1786" s="132" t="s">
        <v>277</v>
      </c>
      <c r="W1786" s="132" t="s">
        <v>267</v>
      </c>
      <c r="X1786" s="133">
        <v>41797</v>
      </c>
      <c r="Y1786" s="134">
        <v>437</v>
      </c>
    </row>
    <row r="1787" spans="6:25" x14ac:dyDescent="0.25">
      <c r="F1787" s="76" t="s">
        <v>150</v>
      </c>
      <c r="G1787" s="77" t="s">
        <v>187</v>
      </c>
      <c r="H1787" s="77" t="s">
        <v>153</v>
      </c>
      <c r="I1787" s="86">
        <v>41763</v>
      </c>
      <c r="J1787" s="78">
        <v>933</v>
      </c>
      <c r="P1787" s="132" t="s">
        <v>151</v>
      </c>
      <c r="Q1787" s="132" t="s">
        <v>238</v>
      </c>
      <c r="R1787" s="132" t="s">
        <v>174</v>
      </c>
      <c r="S1787" s="133">
        <v>41921</v>
      </c>
      <c r="T1787" s="134">
        <v>601.5</v>
      </c>
      <c r="U1787" s="132" t="s">
        <v>154</v>
      </c>
      <c r="V1787" s="132" t="s">
        <v>277</v>
      </c>
      <c r="W1787" s="132" t="s">
        <v>267</v>
      </c>
      <c r="X1787" s="133">
        <v>41798</v>
      </c>
      <c r="Y1787" s="134">
        <v>737</v>
      </c>
    </row>
    <row r="1788" spans="6:25" x14ac:dyDescent="0.25">
      <c r="F1788" s="76" t="s">
        <v>150</v>
      </c>
      <c r="G1788" s="77" t="s">
        <v>187</v>
      </c>
      <c r="H1788" s="77" t="s">
        <v>153</v>
      </c>
      <c r="I1788" s="86">
        <v>41764</v>
      </c>
      <c r="J1788" s="78">
        <v>712</v>
      </c>
      <c r="P1788" s="132" t="s">
        <v>151</v>
      </c>
      <c r="Q1788" s="132" t="s">
        <v>238</v>
      </c>
      <c r="R1788" s="132" t="s">
        <v>174</v>
      </c>
      <c r="S1788" s="133">
        <v>41947</v>
      </c>
      <c r="T1788" s="134">
        <v>301.60000000000002</v>
      </c>
      <c r="U1788" s="132" t="s">
        <v>154</v>
      </c>
      <c r="V1788" s="132" t="s">
        <v>277</v>
      </c>
      <c r="W1788" s="132" t="s">
        <v>267</v>
      </c>
      <c r="X1788" s="133">
        <v>41798</v>
      </c>
      <c r="Y1788" s="134">
        <v>523</v>
      </c>
    </row>
    <row r="1789" spans="6:25" x14ac:dyDescent="0.25">
      <c r="F1789" s="76" t="s">
        <v>150</v>
      </c>
      <c r="G1789" s="77" t="s">
        <v>187</v>
      </c>
      <c r="H1789" s="77" t="s">
        <v>153</v>
      </c>
      <c r="I1789" s="86">
        <v>41765</v>
      </c>
      <c r="J1789" s="78">
        <v>958</v>
      </c>
      <c r="P1789" s="132" t="s">
        <v>151</v>
      </c>
      <c r="Q1789" s="132" t="s">
        <v>238</v>
      </c>
      <c r="R1789" s="132" t="s">
        <v>174</v>
      </c>
      <c r="S1789" s="133">
        <v>41948</v>
      </c>
      <c r="T1789" s="134">
        <v>238.4</v>
      </c>
      <c r="U1789" s="132" t="s">
        <v>154</v>
      </c>
      <c r="V1789" s="132" t="s">
        <v>277</v>
      </c>
      <c r="W1789" s="132" t="s">
        <v>267</v>
      </c>
      <c r="X1789" s="133">
        <v>41893</v>
      </c>
      <c r="Y1789" s="134">
        <v>1008</v>
      </c>
    </row>
    <row r="1790" spans="6:25" x14ac:dyDescent="0.25">
      <c r="F1790" s="76" t="s">
        <v>150</v>
      </c>
      <c r="G1790" s="77" t="s">
        <v>187</v>
      </c>
      <c r="H1790" s="77" t="s">
        <v>153</v>
      </c>
      <c r="I1790" s="86">
        <v>41768</v>
      </c>
      <c r="J1790" s="78">
        <v>1134</v>
      </c>
      <c r="P1790" s="132" t="s">
        <v>151</v>
      </c>
      <c r="Q1790" s="132" t="s">
        <v>238</v>
      </c>
      <c r="R1790" s="132" t="s">
        <v>174</v>
      </c>
      <c r="S1790" s="133">
        <v>41949</v>
      </c>
      <c r="T1790" s="134">
        <v>304.7</v>
      </c>
      <c r="U1790" s="132" t="s">
        <v>154</v>
      </c>
      <c r="V1790" s="132" t="s">
        <v>277</v>
      </c>
      <c r="W1790" s="132" t="s">
        <v>267</v>
      </c>
      <c r="X1790" s="133">
        <v>41894</v>
      </c>
      <c r="Y1790" s="134">
        <v>937</v>
      </c>
    </row>
    <row r="1791" spans="6:25" x14ac:dyDescent="0.25">
      <c r="F1791" s="76" t="s">
        <v>150</v>
      </c>
      <c r="G1791" s="77" t="s">
        <v>187</v>
      </c>
      <c r="H1791" s="77" t="s">
        <v>153</v>
      </c>
      <c r="I1791" s="86">
        <v>41772</v>
      </c>
      <c r="J1791" s="78">
        <v>779</v>
      </c>
      <c r="P1791" s="132" t="s">
        <v>151</v>
      </c>
      <c r="Q1791" s="132" t="s">
        <v>238</v>
      </c>
      <c r="R1791" s="132" t="s">
        <v>174</v>
      </c>
      <c r="S1791" s="133">
        <v>41950</v>
      </c>
      <c r="T1791" s="134">
        <v>249.7</v>
      </c>
      <c r="U1791" s="132" t="s">
        <v>154</v>
      </c>
      <c r="V1791" s="132" t="s">
        <v>277</v>
      </c>
      <c r="W1791" s="132" t="s">
        <v>267</v>
      </c>
      <c r="X1791" s="133">
        <v>41895</v>
      </c>
      <c r="Y1791" s="134">
        <v>479</v>
      </c>
    </row>
    <row r="1792" spans="6:25" x14ac:dyDescent="0.25">
      <c r="F1792" s="76" t="s">
        <v>150</v>
      </c>
      <c r="G1792" s="77" t="s">
        <v>187</v>
      </c>
      <c r="H1792" s="77" t="s">
        <v>153</v>
      </c>
      <c r="I1792" s="86">
        <v>41774</v>
      </c>
      <c r="J1792" s="78">
        <v>844</v>
      </c>
      <c r="P1792" s="132" t="s">
        <v>151</v>
      </c>
      <c r="Q1792" s="132" t="s">
        <v>310</v>
      </c>
      <c r="R1792" s="132" t="s">
        <v>174</v>
      </c>
      <c r="S1792" s="133">
        <v>41710</v>
      </c>
      <c r="T1792" s="134">
        <v>335.1</v>
      </c>
      <c r="U1792" s="132" t="s">
        <v>154</v>
      </c>
      <c r="V1792" s="132" t="s">
        <v>277</v>
      </c>
      <c r="W1792" s="132" t="s">
        <v>267</v>
      </c>
      <c r="X1792" s="133">
        <v>41975</v>
      </c>
      <c r="Y1792" s="134">
        <v>441</v>
      </c>
    </row>
    <row r="1793" spans="6:25" x14ac:dyDescent="0.25">
      <c r="F1793" s="76" t="s">
        <v>150</v>
      </c>
      <c r="G1793" s="77" t="s">
        <v>187</v>
      </c>
      <c r="H1793" s="77" t="s">
        <v>153</v>
      </c>
      <c r="I1793" s="86">
        <v>41778</v>
      </c>
      <c r="J1793" s="78">
        <v>1074</v>
      </c>
      <c r="P1793" s="132" t="s">
        <v>151</v>
      </c>
      <c r="Q1793" s="132" t="s">
        <v>310</v>
      </c>
      <c r="R1793" s="132" t="s">
        <v>174</v>
      </c>
      <c r="S1793" s="133">
        <v>41711</v>
      </c>
      <c r="T1793" s="134">
        <v>712.3</v>
      </c>
      <c r="U1793" s="132" t="s">
        <v>154</v>
      </c>
      <c r="V1793" s="132" t="s">
        <v>277</v>
      </c>
      <c r="W1793" s="132" t="s">
        <v>267</v>
      </c>
      <c r="X1793" s="133">
        <v>41976</v>
      </c>
      <c r="Y1793" s="134">
        <v>485</v>
      </c>
    </row>
    <row r="1794" spans="6:25" x14ac:dyDescent="0.25">
      <c r="F1794" s="76" t="s">
        <v>150</v>
      </c>
      <c r="G1794" s="77" t="s">
        <v>187</v>
      </c>
      <c r="H1794" s="77" t="s">
        <v>153</v>
      </c>
      <c r="I1794" s="86">
        <v>41780</v>
      </c>
      <c r="J1794" s="78">
        <v>591</v>
      </c>
      <c r="P1794" s="132" t="s">
        <v>151</v>
      </c>
      <c r="Q1794" s="132" t="s">
        <v>310</v>
      </c>
      <c r="R1794" s="132" t="s">
        <v>174</v>
      </c>
      <c r="S1794" s="133">
        <v>41712</v>
      </c>
      <c r="T1794" s="134">
        <v>910.4</v>
      </c>
      <c r="U1794" s="132" t="s">
        <v>154</v>
      </c>
      <c r="V1794" s="132" t="s">
        <v>277</v>
      </c>
      <c r="W1794" s="132" t="s">
        <v>267</v>
      </c>
      <c r="X1794" s="133">
        <v>41976</v>
      </c>
      <c r="Y1794" s="134">
        <v>300</v>
      </c>
    </row>
    <row r="1795" spans="6:25" x14ac:dyDescent="0.25">
      <c r="F1795" s="76" t="s">
        <v>150</v>
      </c>
      <c r="G1795" s="77" t="s">
        <v>187</v>
      </c>
      <c r="H1795" s="77" t="s">
        <v>153</v>
      </c>
      <c r="I1795" s="86">
        <v>41781</v>
      </c>
      <c r="J1795" s="78">
        <v>466</v>
      </c>
      <c r="P1795" s="132" t="s">
        <v>151</v>
      </c>
      <c r="Q1795" s="132" t="s">
        <v>310</v>
      </c>
      <c r="R1795" s="132" t="s">
        <v>174</v>
      </c>
      <c r="S1795" s="133">
        <v>41715</v>
      </c>
      <c r="T1795" s="134">
        <v>789.2</v>
      </c>
      <c r="U1795" s="132" t="s">
        <v>154</v>
      </c>
      <c r="V1795" s="132" t="s">
        <v>277</v>
      </c>
      <c r="W1795" s="132" t="s">
        <v>267</v>
      </c>
      <c r="X1795" s="133">
        <v>41977</v>
      </c>
      <c r="Y1795" s="134">
        <v>485</v>
      </c>
    </row>
    <row r="1796" spans="6:25" x14ac:dyDescent="0.25">
      <c r="F1796" s="76" t="s">
        <v>150</v>
      </c>
      <c r="G1796" s="77" t="s">
        <v>187</v>
      </c>
      <c r="H1796" s="77" t="s">
        <v>153</v>
      </c>
      <c r="I1796" s="86">
        <v>41784</v>
      </c>
      <c r="J1796" s="78">
        <v>834</v>
      </c>
      <c r="P1796" s="132" t="s">
        <v>151</v>
      </c>
      <c r="Q1796" s="132" t="s">
        <v>310</v>
      </c>
      <c r="R1796" s="132" t="s">
        <v>174</v>
      </c>
      <c r="S1796" s="133">
        <v>41716</v>
      </c>
      <c r="T1796" s="134">
        <v>837.7</v>
      </c>
      <c r="U1796" s="132" t="s">
        <v>154</v>
      </c>
      <c r="V1796" s="132" t="s">
        <v>277</v>
      </c>
      <c r="W1796" s="132" t="s">
        <v>267</v>
      </c>
      <c r="X1796" s="133">
        <v>41978</v>
      </c>
      <c r="Y1796" s="134">
        <v>1080</v>
      </c>
    </row>
    <row r="1797" spans="6:25" x14ac:dyDescent="0.25">
      <c r="F1797" s="76" t="s">
        <v>150</v>
      </c>
      <c r="G1797" s="77" t="s">
        <v>187</v>
      </c>
      <c r="H1797" s="77" t="s">
        <v>153</v>
      </c>
      <c r="I1797" s="86">
        <v>41787</v>
      </c>
      <c r="J1797" s="78">
        <v>672</v>
      </c>
      <c r="P1797" s="132" t="s">
        <v>151</v>
      </c>
      <c r="Q1797" s="132" t="s">
        <v>310</v>
      </c>
      <c r="R1797" s="132" t="s">
        <v>174</v>
      </c>
      <c r="S1797" s="133">
        <v>41717</v>
      </c>
      <c r="T1797" s="134">
        <v>718.4</v>
      </c>
      <c r="U1797" s="132" t="s">
        <v>154</v>
      </c>
      <c r="V1797" s="132" t="s">
        <v>277</v>
      </c>
      <c r="W1797" s="132" t="s">
        <v>267</v>
      </c>
      <c r="X1797" s="133">
        <v>41979</v>
      </c>
      <c r="Y1797" s="134">
        <v>727</v>
      </c>
    </row>
    <row r="1798" spans="6:25" x14ac:dyDescent="0.25">
      <c r="F1798" s="76" t="s">
        <v>150</v>
      </c>
      <c r="G1798" s="77" t="s">
        <v>187</v>
      </c>
      <c r="H1798" s="77" t="s">
        <v>153</v>
      </c>
      <c r="I1798" s="86">
        <v>41789</v>
      </c>
      <c r="J1798" s="78">
        <v>892</v>
      </c>
      <c r="P1798" s="132" t="s">
        <v>151</v>
      </c>
      <c r="Q1798" s="132" t="s">
        <v>310</v>
      </c>
      <c r="R1798" s="132" t="s">
        <v>174</v>
      </c>
      <c r="S1798" s="133">
        <v>41718</v>
      </c>
      <c r="T1798" s="134">
        <v>745.7</v>
      </c>
      <c r="U1798" s="132" t="s">
        <v>154</v>
      </c>
      <c r="V1798" s="132" t="s">
        <v>277</v>
      </c>
      <c r="W1798" s="132" t="s">
        <v>267</v>
      </c>
      <c r="X1798" s="133">
        <v>41980</v>
      </c>
      <c r="Y1798" s="134">
        <v>529</v>
      </c>
    </row>
    <row r="1799" spans="6:25" x14ac:dyDescent="0.25">
      <c r="F1799" s="76" t="s">
        <v>150</v>
      </c>
      <c r="G1799" s="77" t="s">
        <v>187</v>
      </c>
      <c r="H1799" s="77" t="s">
        <v>153</v>
      </c>
      <c r="I1799" s="86">
        <v>41792</v>
      </c>
      <c r="J1799" s="78">
        <v>704</v>
      </c>
      <c r="P1799" s="132" t="s">
        <v>151</v>
      </c>
      <c r="Q1799" s="132" t="s">
        <v>310</v>
      </c>
      <c r="R1799" s="132" t="s">
        <v>174</v>
      </c>
      <c r="S1799" s="133">
        <v>41719</v>
      </c>
      <c r="T1799" s="134">
        <v>673.3</v>
      </c>
      <c r="U1799" s="132" t="s">
        <v>154</v>
      </c>
      <c r="V1799" s="132" t="s">
        <v>277</v>
      </c>
      <c r="W1799" s="132" t="s">
        <v>267</v>
      </c>
      <c r="X1799" s="133">
        <v>41981</v>
      </c>
      <c r="Y1799" s="134">
        <v>545</v>
      </c>
    </row>
    <row r="1800" spans="6:25" x14ac:dyDescent="0.25">
      <c r="F1800" s="76" t="s">
        <v>150</v>
      </c>
      <c r="G1800" s="77" t="s">
        <v>187</v>
      </c>
      <c r="H1800" s="77" t="s">
        <v>153</v>
      </c>
      <c r="I1800" s="86">
        <v>41794</v>
      </c>
      <c r="J1800" s="78">
        <v>858</v>
      </c>
      <c r="P1800" s="132" t="s">
        <v>151</v>
      </c>
      <c r="Q1800" s="132" t="s">
        <v>310</v>
      </c>
      <c r="R1800" s="132" t="s">
        <v>174</v>
      </c>
      <c r="S1800" s="133">
        <v>41722</v>
      </c>
      <c r="T1800" s="134">
        <v>1078.0999999999999</v>
      </c>
      <c r="U1800" s="132" t="s">
        <v>154</v>
      </c>
      <c r="V1800" s="132" t="s">
        <v>277</v>
      </c>
      <c r="W1800" s="132" t="s">
        <v>267</v>
      </c>
      <c r="X1800" s="133">
        <v>41981</v>
      </c>
      <c r="Y1800" s="134">
        <v>304</v>
      </c>
    </row>
    <row r="1801" spans="6:25" x14ac:dyDescent="0.25">
      <c r="F1801" s="76" t="s">
        <v>150</v>
      </c>
      <c r="G1801" s="77" t="s">
        <v>187</v>
      </c>
      <c r="H1801" s="77" t="s">
        <v>153</v>
      </c>
      <c r="I1801" s="86">
        <v>41796</v>
      </c>
      <c r="J1801" s="78">
        <v>836</v>
      </c>
      <c r="P1801" s="132" t="s">
        <v>151</v>
      </c>
      <c r="Q1801" s="132" t="s">
        <v>310</v>
      </c>
      <c r="R1801" s="132" t="s">
        <v>174</v>
      </c>
      <c r="S1801" s="133">
        <v>41723</v>
      </c>
      <c r="T1801" s="134">
        <v>700.8</v>
      </c>
      <c r="U1801" s="132" t="s">
        <v>154</v>
      </c>
      <c r="V1801" s="132" t="s">
        <v>277</v>
      </c>
      <c r="W1801" s="132" t="s">
        <v>267</v>
      </c>
      <c r="X1801" s="133">
        <v>41982</v>
      </c>
      <c r="Y1801" s="134">
        <v>440</v>
      </c>
    </row>
    <row r="1802" spans="6:25" x14ac:dyDescent="0.25">
      <c r="F1802" s="76" t="s">
        <v>150</v>
      </c>
      <c r="G1802" s="77" t="s">
        <v>187</v>
      </c>
      <c r="H1802" s="77" t="s">
        <v>153</v>
      </c>
      <c r="I1802" s="86">
        <v>41800</v>
      </c>
      <c r="J1802" s="78">
        <v>872</v>
      </c>
      <c r="P1802" s="132" t="s">
        <v>151</v>
      </c>
      <c r="Q1802" s="132" t="s">
        <v>310</v>
      </c>
      <c r="R1802" s="132" t="s">
        <v>174</v>
      </c>
      <c r="S1802" s="133">
        <v>41724</v>
      </c>
      <c r="T1802" s="134">
        <v>822.3</v>
      </c>
      <c r="U1802" s="132" t="s">
        <v>154</v>
      </c>
      <c r="V1802" s="132" t="s">
        <v>277</v>
      </c>
      <c r="W1802" s="132" t="s">
        <v>267</v>
      </c>
      <c r="X1802" s="133">
        <v>41983</v>
      </c>
      <c r="Y1802" s="134">
        <v>736</v>
      </c>
    </row>
    <row r="1803" spans="6:25" x14ac:dyDescent="0.25">
      <c r="F1803" s="76" t="s">
        <v>150</v>
      </c>
      <c r="G1803" s="77" t="s">
        <v>187</v>
      </c>
      <c r="H1803" s="77" t="s">
        <v>153</v>
      </c>
      <c r="I1803" s="86">
        <v>41802</v>
      </c>
      <c r="J1803" s="78">
        <v>869</v>
      </c>
      <c r="P1803" s="132" t="s">
        <v>151</v>
      </c>
      <c r="Q1803" s="132" t="s">
        <v>239</v>
      </c>
      <c r="R1803" s="132" t="s">
        <v>174</v>
      </c>
      <c r="S1803" s="133">
        <v>41668</v>
      </c>
      <c r="T1803" s="134">
        <v>1098.5</v>
      </c>
      <c r="U1803" s="132" t="s">
        <v>154</v>
      </c>
      <c r="V1803" s="132" t="s">
        <v>277</v>
      </c>
      <c r="W1803" s="132" t="s">
        <v>267</v>
      </c>
      <c r="X1803" s="133">
        <v>41984</v>
      </c>
      <c r="Y1803" s="134">
        <v>677</v>
      </c>
    </row>
    <row r="1804" spans="6:25" x14ac:dyDescent="0.25">
      <c r="F1804" s="76" t="s">
        <v>150</v>
      </c>
      <c r="G1804" s="77" t="s">
        <v>187</v>
      </c>
      <c r="H1804" s="77" t="s">
        <v>153</v>
      </c>
      <c r="I1804" s="86">
        <v>41806</v>
      </c>
      <c r="J1804" s="78">
        <v>881</v>
      </c>
      <c r="P1804" s="132" t="s">
        <v>151</v>
      </c>
      <c r="Q1804" s="132" t="s">
        <v>311</v>
      </c>
      <c r="R1804" s="132" t="s">
        <v>174</v>
      </c>
      <c r="S1804" s="133">
        <v>41822</v>
      </c>
      <c r="T1804" s="134">
        <v>665.7</v>
      </c>
      <c r="U1804" s="132" t="s">
        <v>154</v>
      </c>
      <c r="V1804" s="132" t="s">
        <v>277</v>
      </c>
      <c r="W1804" s="132" t="s">
        <v>267</v>
      </c>
      <c r="X1804" s="133">
        <v>41985</v>
      </c>
      <c r="Y1804" s="134">
        <v>870</v>
      </c>
    </row>
    <row r="1805" spans="6:25" x14ac:dyDescent="0.25">
      <c r="F1805" s="76" t="s">
        <v>150</v>
      </c>
      <c r="G1805" s="77" t="s">
        <v>187</v>
      </c>
      <c r="H1805" s="77" t="s">
        <v>153</v>
      </c>
      <c r="I1805" s="86">
        <v>41808</v>
      </c>
      <c r="J1805" s="78">
        <v>844</v>
      </c>
      <c r="P1805" s="132" t="s">
        <v>151</v>
      </c>
      <c r="Q1805" s="132" t="s">
        <v>311</v>
      </c>
      <c r="R1805" s="132" t="s">
        <v>174</v>
      </c>
      <c r="S1805" s="133">
        <v>41823</v>
      </c>
      <c r="T1805" s="134">
        <v>564.1</v>
      </c>
      <c r="U1805" s="132" t="s">
        <v>154</v>
      </c>
      <c r="V1805" s="132" t="s">
        <v>277</v>
      </c>
      <c r="W1805" s="132" t="s">
        <v>267</v>
      </c>
      <c r="X1805" s="133">
        <v>41986</v>
      </c>
      <c r="Y1805" s="134">
        <v>261</v>
      </c>
    </row>
    <row r="1806" spans="6:25" x14ac:dyDescent="0.25">
      <c r="F1806" s="76" t="s">
        <v>150</v>
      </c>
      <c r="G1806" s="77" t="s">
        <v>187</v>
      </c>
      <c r="H1806" s="77" t="s">
        <v>153</v>
      </c>
      <c r="I1806" s="86">
        <v>41810</v>
      </c>
      <c r="J1806" s="78">
        <v>903</v>
      </c>
      <c r="P1806" s="132" t="s">
        <v>151</v>
      </c>
      <c r="Q1806" s="132" t="s">
        <v>311</v>
      </c>
      <c r="R1806" s="132" t="s">
        <v>174</v>
      </c>
      <c r="S1806" s="133">
        <v>41827</v>
      </c>
      <c r="T1806" s="134">
        <v>745.8</v>
      </c>
      <c r="U1806" s="132" t="s">
        <v>154</v>
      </c>
      <c r="V1806" s="132" t="s">
        <v>277</v>
      </c>
      <c r="W1806" s="132" t="s">
        <v>267</v>
      </c>
      <c r="X1806" s="133">
        <v>41987</v>
      </c>
      <c r="Y1806" s="134">
        <v>594</v>
      </c>
    </row>
    <row r="1807" spans="6:25" x14ac:dyDescent="0.25">
      <c r="F1807" s="76" t="s">
        <v>150</v>
      </c>
      <c r="G1807" s="77" t="s">
        <v>187</v>
      </c>
      <c r="H1807" s="77" t="s">
        <v>153</v>
      </c>
      <c r="I1807" s="86">
        <v>41814</v>
      </c>
      <c r="J1807" s="78">
        <v>847</v>
      </c>
      <c r="P1807" s="132" t="s">
        <v>151</v>
      </c>
      <c r="Q1807" s="132" t="s">
        <v>311</v>
      </c>
      <c r="R1807" s="132" t="s">
        <v>174</v>
      </c>
      <c r="S1807" s="133">
        <v>41828</v>
      </c>
      <c r="T1807" s="134">
        <v>620.79999999999995</v>
      </c>
      <c r="U1807" s="132" t="s">
        <v>154</v>
      </c>
      <c r="V1807" s="132" t="s">
        <v>277</v>
      </c>
      <c r="W1807" s="132" t="s">
        <v>267</v>
      </c>
      <c r="X1807" s="133">
        <v>41987</v>
      </c>
      <c r="Y1807" s="134">
        <v>703</v>
      </c>
    </row>
    <row r="1808" spans="6:25" x14ac:dyDescent="0.25">
      <c r="F1808" s="76" t="s">
        <v>150</v>
      </c>
      <c r="G1808" s="77" t="s">
        <v>187</v>
      </c>
      <c r="H1808" s="77" t="s">
        <v>153</v>
      </c>
      <c r="I1808" s="86">
        <v>41816</v>
      </c>
      <c r="J1808" s="78">
        <v>937</v>
      </c>
      <c r="P1808" s="132" t="s">
        <v>151</v>
      </c>
      <c r="Q1808" s="132" t="s">
        <v>311</v>
      </c>
      <c r="R1808" s="132" t="s">
        <v>174</v>
      </c>
      <c r="S1808" s="133">
        <v>41829</v>
      </c>
      <c r="T1808" s="134">
        <v>825.9</v>
      </c>
      <c r="U1808" s="132" t="s">
        <v>154</v>
      </c>
      <c r="V1808" s="132" t="s">
        <v>277</v>
      </c>
      <c r="W1808" s="132" t="s">
        <v>267</v>
      </c>
      <c r="X1808" s="133">
        <v>41988</v>
      </c>
      <c r="Y1808" s="134">
        <v>758</v>
      </c>
    </row>
    <row r="1809" spans="6:25" x14ac:dyDescent="0.25">
      <c r="F1809" s="76" t="s">
        <v>150</v>
      </c>
      <c r="G1809" s="77" t="s">
        <v>187</v>
      </c>
      <c r="H1809" s="77" t="s">
        <v>153</v>
      </c>
      <c r="I1809" s="86">
        <v>41820</v>
      </c>
      <c r="J1809" s="78">
        <v>829</v>
      </c>
      <c r="P1809" s="132" t="s">
        <v>151</v>
      </c>
      <c r="Q1809" s="132" t="s">
        <v>314</v>
      </c>
      <c r="R1809" s="132" t="s">
        <v>174</v>
      </c>
      <c r="S1809" s="133">
        <v>41635</v>
      </c>
      <c r="T1809" s="134">
        <v>720.8</v>
      </c>
      <c r="U1809" s="132" t="s">
        <v>154</v>
      </c>
      <c r="V1809" s="132" t="s">
        <v>277</v>
      </c>
      <c r="W1809" s="132" t="s">
        <v>267</v>
      </c>
      <c r="X1809" s="133">
        <v>41989</v>
      </c>
      <c r="Y1809" s="134">
        <v>816</v>
      </c>
    </row>
    <row r="1810" spans="6:25" x14ac:dyDescent="0.25">
      <c r="F1810" s="76" t="s">
        <v>150</v>
      </c>
      <c r="G1810" s="77" t="s">
        <v>187</v>
      </c>
      <c r="H1810" s="77" t="s">
        <v>153</v>
      </c>
      <c r="I1810" s="86">
        <v>41822</v>
      </c>
      <c r="J1810" s="78">
        <v>883</v>
      </c>
      <c r="P1810" s="132" t="s">
        <v>151</v>
      </c>
      <c r="Q1810" s="132" t="s">
        <v>315</v>
      </c>
      <c r="R1810" s="132" t="s">
        <v>174</v>
      </c>
      <c r="S1810" s="133">
        <v>41744</v>
      </c>
      <c r="T1810" s="134">
        <v>809.6</v>
      </c>
      <c r="U1810" s="132" t="s">
        <v>154</v>
      </c>
      <c r="V1810" s="132" t="s">
        <v>277</v>
      </c>
      <c r="W1810" s="132" t="s">
        <v>267</v>
      </c>
      <c r="X1810" s="133">
        <v>41989</v>
      </c>
      <c r="Y1810" s="134">
        <v>306</v>
      </c>
    </row>
    <row r="1811" spans="6:25" x14ac:dyDescent="0.25">
      <c r="F1811" s="76" t="s">
        <v>150</v>
      </c>
      <c r="G1811" s="77" t="s">
        <v>187</v>
      </c>
      <c r="H1811" s="77" t="s">
        <v>153</v>
      </c>
      <c r="I1811" s="86">
        <v>41827</v>
      </c>
      <c r="J1811" s="78">
        <v>859</v>
      </c>
      <c r="P1811" s="132" t="s">
        <v>151</v>
      </c>
      <c r="Q1811" s="132" t="s">
        <v>316</v>
      </c>
      <c r="R1811" s="132" t="s">
        <v>174</v>
      </c>
      <c r="S1811" s="133">
        <v>41822</v>
      </c>
      <c r="T1811" s="134">
        <v>1146.0999999999999</v>
      </c>
      <c r="U1811" s="132" t="s">
        <v>154</v>
      </c>
      <c r="V1811" s="132" t="s">
        <v>277</v>
      </c>
      <c r="W1811" s="132" t="s">
        <v>267</v>
      </c>
      <c r="X1811" s="133">
        <v>41990</v>
      </c>
      <c r="Y1811" s="134">
        <v>743</v>
      </c>
    </row>
    <row r="1812" spans="6:25" x14ac:dyDescent="0.25">
      <c r="F1812" s="76" t="s">
        <v>150</v>
      </c>
      <c r="G1812" s="77" t="s">
        <v>187</v>
      </c>
      <c r="H1812" s="77" t="s">
        <v>153</v>
      </c>
      <c r="I1812" s="86">
        <v>41829</v>
      </c>
      <c r="J1812" s="78">
        <v>860</v>
      </c>
      <c r="P1812" s="132" t="s">
        <v>151</v>
      </c>
      <c r="Q1812" s="132" t="s">
        <v>316</v>
      </c>
      <c r="R1812" s="132" t="s">
        <v>174</v>
      </c>
      <c r="S1812" s="133">
        <v>41837</v>
      </c>
      <c r="T1812" s="134">
        <v>591</v>
      </c>
      <c r="U1812" s="132" t="s">
        <v>154</v>
      </c>
      <c r="V1812" s="132" t="s">
        <v>277</v>
      </c>
      <c r="W1812" s="132" t="s">
        <v>267</v>
      </c>
      <c r="X1812" s="133">
        <v>41991</v>
      </c>
      <c r="Y1812" s="134">
        <v>523</v>
      </c>
    </row>
    <row r="1813" spans="6:25" x14ac:dyDescent="0.25">
      <c r="F1813" s="76" t="s">
        <v>150</v>
      </c>
      <c r="G1813" s="77" t="s">
        <v>187</v>
      </c>
      <c r="H1813" s="77" t="s">
        <v>153</v>
      </c>
      <c r="I1813" s="86">
        <v>41831</v>
      </c>
      <c r="J1813" s="78">
        <v>912</v>
      </c>
      <c r="P1813" s="132" t="s">
        <v>151</v>
      </c>
      <c r="Q1813" s="132" t="s">
        <v>316</v>
      </c>
      <c r="R1813" s="132" t="s">
        <v>174</v>
      </c>
      <c r="S1813" s="133">
        <v>41838</v>
      </c>
      <c r="T1813" s="134">
        <v>818.7</v>
      </c>
      <c r="U1813" s="132" t="s">
        <v>154</v>
      </c>
      <c r="V1813" s="132" t="s">
        <v>277</v>
      </c>
      <c r="W1813" s="132" t="s">
        <v>267</v>
      </c>
      <c r="X1813" s="133">
        <v>41991</v>
      </c>
      <c r="Y1813" s="134">
        <v>586</v>
      </c>
    </row>
    <row r="1814" spans="6:25" x14ac:dyDescent="0.25">
      <c r="F1814" s="76" t="s">
        <v>150</v>
      </c>
      <c r="G1814" s="77" t="s">
        <v>187</v>
      </c>
      <c r="H1814" s="77" t="s">
        <v>153</v>
      </c>
      <c r="I1814" s="86">
        <v>41835</v>
      </c>
      <c r="J1814" s="78">
        <v>907</v>
      </c>
      <c r="P1814" s="132" t="s">
        <v>151</v>
      </c>
      <c r="Q1814" s="132" t="s">
        <v>316</v>
      </c>
      <c r="R1814" s="132" t="s">
        <v>174</v>
      </c>
      <c r="S1814" s="133">
        <v>41955</v>
      </c>
      <c r="T1814" s="134">
        <v>766</v>
      </c>
      <c r="U1814" s="132" t="s">
        <v>154</v>
      </c>
      <c r="V1814" s="132" t="s">
        <v>277</v>
      </c>
      <c r="W1814" s="132" t="s">
        <v>267</v>
      </c>
      <c r="X1814" s="133">
        <v>41992</v>
      </c>
      <c r="Y1814" s="134">
        <v>665</v>
      </c>
    </row>
    <row r="1815" spans="6:25" x14ac:dyDescent="0.25">
      <c r="F1815" s="76" t="s">
        <v>150</v>
      </c>
      <c r="G1815" s="77" t="s">
        <v>187</v>
      </c>
      <c r="H1815" s="77" t="s">
        <v>153</v>
      </c>
      <c r="I1815" s="86">
        <v>41932</v>
      </c>
      <c r="J1815" s="78">
        <v>800</v>
      </c>
      <c r="P1815" s="132" t="s">
        <v>151</v>
      </c>
      <c r="Q1815" s="132" t="s">
        <v>316</v>
      </c>
      <c r="R1815" s="132" t="s">
        <v>174</v>
      </c>
      <c r="S1815" s="133">
        <v>41967</v>
      </c>
      <c r="T1815" s="134">
        <v>488.8</v>
      </c>
      <c r="U1815" s="132" t="s">
        <v>154</v>
      </c>
      <c r="V1815" s="132" t="s">
        <v>277</v>
      </c>
      <c r="W1815" s="132" t="s">
        <v>267</v>
      </c>
      <c r="X1815" s="133">
        <v>41993</v>
      </c>
      <c r="Y1815" s="134">
        <v>806</v>
      </c>
    </row>
    <row r="1816" spans="6:25" x14ac:dyDescent="0.25">
      <c r="F1816" s="76" t="s">
        <v>150</v>
      </c>
      <c r="G1816" s="77" t="s">
        <v>187</v>
      </c>
      <c r="H1816" s="77" t="s">
        <v>153</v>
      </c>
      <c r="I1816" s="86">
        <v>41933</v>
      </c>
      <c r="J1816" s="78">
        <v>776</v>
      </c>
      <c r="P1816" s="132" t="s">
        <v>151</v>
      </c>
      <c r="Q1816" s="132" t="s">
        <v>316</v>
      </c>
      <c r="R1816" s="132" t="s">
        <v>174</v>
      </c>
      <c r="S1816" s="133">
        <v>41969</v>
      </c>
      <c r="T1816" s="134">
        <v>1089</v>
      </c>
      <c r="U1816" s="132" t="s">
        <v>154</v>
      </c>
      <c r="V1816" s="132" t="s">
        <v>277</v>
      </c>
      <c r="W1816" s="132" t="s">
        <v>267</v>
      </c>
      <c r="X1816" s="133">
        <v>41993</v>
      </c>
      <c r="Y1816" s="134">
        <v>395</v>
      </c>
    </row>
    <row r="1817" spans="6:25" x14ac:dyDescent="0.25">
      <c r="F1817" s="76" t="s">
        <v>150</v>
      </c>
      <c r="G1817" s="77" t="s">
        <v>187</v>
      </c>
      <c r="H1817" s="77" t="s">
        <v>153</v>
      </c>
      <c r="I1817" s="86">
        <v>41934</v>
      </c>
      <c r="J1817" s="78">
        <v>812</v>
      </c>
      <c r="P1817" s="132" t="s">
        <v>151</v>
      </c>
      <c r="Q1817" s="132" t="s">
        <v>316</v>
      </c>
      <c r="R1817" s="132" t="s">
        <v>174</v>
      </c>
      <c r="S1817" s="133">
        <v>41971</v>
      </c>
      <c r="T1817" s="134">
        <v>553.29999999999995</v>
      </c>
      <c r="U1817" s="132" t="s">
        <v>154</v>
      </c>
      <c r="V1817" s="132" t="s">
        <v>277</v>
      </c>
      <c r="W1817" s="132" t="s">
        <v>267</v>
      </c>
      <c r="X1817" s="133">
        <v>41994</v>
      </c>
      <c r="Y1817" s="134">
        <v>519</v>
      </c>
    </row>
    <row r="1818" spans="6:25" x14ac:dyDescent="0.25">
      <c r="F1818" s="76" t="s">
        <v>150</v>
      </c>
      <c r="G1818" s="77" t="s">
        <v>187</v>
      </c>
      <c r="H1818" s="77" t="s">
        <v>153</v>
      </c>
      <c r="I1818" s="86">
        <v>41935</v>
      </c>
      <c r="J1818" s="78">
        <v>553</v>
      </c>
      <c r="P1818" s="132" t="s">
        <v>151</v>
      </c>
      <c r="Q1818" s="132" t="s">
        <v>319</v>
      </c>
      <c r="R1818" s="132" t="s">
        <v>174</v>
      </c>
      <c r="S1818" s="133">
        <v>41800</v>
      </c>
      <c r="T1818" s="134">
        <v>558</v>
      </c>
      <c r="U1818" s="132" t="s">
        <v>154</v>
      </c>
      <c r="V1818" s="132" t="s">
        <v>277</v>
      </c>
      <c r="W1818" s="132" t="s">
        <v>267</v>
      </c>
      <c r="X1818" s="133">
        <v>41994</v>
      </c>
      <c r="Y1818" s="134">
        <v>684</v>
      </c>
    </row>
    <row r="1819" spans="6:25" x14ac:dyDescent="0.25">
      <c r="F1819" s="76" t="s">
        <v>150</v>
      </c>
      <c r="G1819" s="77" t="s">
        <v>187</v>
      </c>
      <c r="H1819" s="77" t="s">
        <v>153</v>
      </c>
      <c r="I1819" s="86">
        <v>41936</v>
      </c>
      <c r="J1819" s="78">
        <v>566</v>
      </c>
      <c r="P1819" s="132" t="s">
        <v>151</v>
      </c>
      <c r="Q1819" s="132" t="s">
        <v>233</v>
      </c>
      <c r="R1819" s="132" t="s">
        <v>234</v>
      </c>
      <c r="S1819" s="133">
        <v>41712</v>
      </c>
      <c r="T1819" s="134">
        <v>1480.6</v>
      </c>
      <c r="U1819" s="132" t="s">
        <v>154</v>
      </c>
      <c r="V1819" s="132" t="s">
        <v>277</v>
      </c>
      <c r="W1819" s="132" t="s">
        <v>267</v>
      </c>
      <c r="X1819" s="133">
        <v>41995</v>
      </c>
      <c r="Y1819" s="134">
        <v>716</v>
      </c>
    </row>
    <row r="1820" spans="6:25" x14ac:dyDescent="0.25">
      <c r="F1820" s="76" t="s">
        <v>150</v>
      </c>
      <c r="G1820" s="77" t="s">
        <v>187</v>
      </c>
      <c r="H1820" s="77" t="s">
        <v>153</v>
      </c>
      <c r="I1820" s="86">
        <v>41939</v>
      </c>
      <c r="J1820" s="78">
        <v>512</v>
      </c>
      <c r="P1820" s="132" t="s">
        <v>151</v>
      </c>
      <c r="Q1820" s="132" t="s">
        <v>233</v>
      </c>
      <c r="R1820" s="132" t="s">
        <v>234</v>
      </c>
      <c r="S1820" s="133">
        <v>41753</v>
      </c>
      <c r="T1820" s="134">
        <v>1685.4</v>
      </c>
      <c r="U1820" s="132" t="s">
        <v>154</v>
      </c>
      <c r="V1820" s="132" t="s">
        <v>277</v>
      </c>
      <c r="W1820" s="132" t="s">
        <v>267</v>
      </c>
      <c r="X1820" s="133">
        <v>41996</v>
      </c>
      <c r="Y1820" s="134">
        <v>857</v>
      </c>
    </row>
    <row r="1821" spans="6:25" x14ac:dyDescent="0.25">
      <c r="F1821" s="76" t="s">
        <v>150</v>
      </c>
      <c r="G1821" s="77" t="s">
        <v>187</v>
      </c>
      <c r="H1821" s="77" t="s">
        <v>153</v>
      </c>
      <c r="I1821" s="86">
        <v>41940</v>
      </c>
      <c r="J1821" s="78">
        <v>546</v>
      </c>
      <c r="P1821" s="132" t="s">
        <v>151</v>
      </c>
      <c r="Q1821" s="132" t="s">
        <v>233</v>
      </c>
      <c r="R1821" s="132" t="s">
        <v>234</v>
      </c>
      <c r="S1821" s="133">
        <v>41762</v>
      </c>
      <c r="T1821" s="134">
        <v>1361.4</v>
      </c>
      <c r="U1821" s="132" t="s">
        <v>154</v>
      </c>
      <c r="V1821" s="132" t="s">
        <v>277</v>
      </c>
      <c r="W1821" s="132" t="s">
        <v>267</v>
      </c>
      <c r="X1821" s="133">
        <v>41997</v>
      </c>
      <c r="Y1821" s="134">
        <v>369</v>
      </c>
    </row>
    <row r="1822" spans="6:25" x14ac:dyDescent="0.25">
      <c r="F1822" s="76" t="s">
        <v>150</v>
      </c>
      <c r="G1822" s="77" t="s">
        <v>187</v>
      </c>
      <c r="H1822" s="77" t="s">
        <v>153</v>
      </c>
      <c r="I1822" s="86">
        <v>41941</v>
      </c>
      <c r="J1822" s="78">
        <v>661</v>
      </c>
      <c r="P1822" s="132" t="s">
        <v>151</v>
      </c>
      <c r="Q1822" s="132" t="s">
        <v>235</v>
      </c>
      <c r="R1822" s="132" t="s">
        <v>234</v>
      </c>
      <c r="S1822" s="133">
        <v>41694</v>
      </c>
      <c r="T1822" s="134">
        <v>613.70000000000005</v>
      </c>
      <c r="U1822" s="132" t="s">
        <v>154</v>
      </c>
      <c r="V1822" s="132" t="s">
        <v>277</v>
      </c>
      <c r="W1822" s="132" t="s">
        <v>267</v>
      </c>
      <c r="X1822" s="133">
        <v>41997</v>
      </c>
      <c r="Y1822" s="134">
        <v>570</v>
      </c>
    </row>
    <row r="1823" spans="6:25" x14ac:dyDescent="0.25">
      <c r="F1823" s="76" t="s">
        <v>150</v>
      </c>
      <c r="G1823" s="77" t="s">
        <v>187</v>
      </c>
      <c r="H1823" s="77" t="s">
        <v>153</v>
      </c>
      <c r="I1823" s="86">
        <v>41942</v>
      </c>
      <c r="J1823" s="78">
        <v>526</v>
      </c>
      <c r="P1823" s="132" t="s">
        <v>151</v>
      </c>
      <c r="Q1823" s="132" t="s">
        <v>236</v>
      </c>
      <c r="R1823" s="132" t="s">
        <v>234</v>
      </c>
      <c r="S1823" s="133">
        <v>41781</v>
      </c>
      <c r="T1823" s="134">
        <v>1534</v>
      </c>
      <c r="U1823" s="132" t="s">
        <v>154</v>
      </c>
      <c r="V1823" s="132" t="s">
        <v>277</v>
      </c>
      <c r="W1823" s="132" t="s">
        <v>267</v>
      </c>
      <c r="X1823" s="133">
        <v>41998</v>
      </c>
      <c r="Y1823" s="134">
        <v>240</v>
      </c>
    </row>
    <row r="1824" spans="6:25" x14ac:dyDescent="0.25">
      <c r="F1824" s="76" t="s">
        <v>150</v>
      </c>
      <c r="G1824" s="77" t="s">
        <v>187</v>
      </c>
      <c r="H1824" s="77" t="s">
        <v>153</v>
      </c>
      <c r="I1824" s="86">
        <v>41946</v>
      </c>
      <c r="J1824" s="78">
        <v>537</v>
      </c>
      <c r="P1824" s="132" t="s">
        <v>151</v>
      </c>
      <c r="Q1824" s="132" t="s">
        <v>236</v>
      </c>
      <c r="R1824" s="132" t="s">
        <v>234</v>
      </c>
      <c r="S1824" s="133">
        <v>41794</v>
      </c>
      <c r="T1824" s="134">
        <v>1400.6</v>
      </c>
      <c r="U1824" s="132" t="s">
        <v>154</v>
      </c>
      <c r="V1824" s="132" t="s">
        <v>277</v>
      </c>
      <c r="W1824" s="132" t="s">
        <v>267</v>
      </c>
      <c r="X1824" s="133">
        <v>41998</v>
      </c>
      <c r="Y1824" s="134">
        <v>561</v>
      </c>
    </row>
    <row r="1825" spans="6:25" x14ac:dyDescent="0.25">
      <c r="F1825" s="76" t="s">
        <v>150</v>
      </c>
      <c r="G1825" s="77" t="s">
        <v>187</v>
      </c>
      <c r="H1825" s="77" t="s">
        <v>153</v>
      </c>
      <c r="I1825" s="86">
        <v>41946</v>
      </c>
      <c r="J1825" s="78">
        <v>987</v>
      </c>
      <c r="P1825" s="132" t="s">
        <v>151</v>
      </c>
      <c r="Q1825" s="132" t="s">
        <v>237</v>
      </c>
      <c r="R1825" s="132" t="s">
        <v>234</v>
      </c>
      <c r="S1825" s="133">
        <v>41641</v>
      </c>
      <c r="T1825" s="134">
        <v>1481.2</v>
      </c>
      <c r="U1825" s="132" t="s">
        <v>154</v>
      </c>
      <c r="V1825" s="132" t="s">
        <v>277</v>
      </c>
      <c r="W1825" s="132" t="s">
        <v>267</v>
      </c>
      <c r="X1825" s="133">
        <v>41999</v>
      </c>
      <c r="Y1825" s="134">
        <v>570</v>
      </c>
    </row>
    <row r="1826" spans="6:25" x14ac:dyDescent="0.25">
      <c r="F1826" s="76" t="s">
        <v>150</v>
      </c>
      <c r="G1826" s="77" t="s">
        <v>188</v>
      </c>
      <c r="H1826" s="77" t="s">
        <v>153</v>
      </c>
      <c r="I1826" s="86">
        <v>41635</v>
      </c>
      <c r="J1826" s="78">
        <v>915</v>
      </c>
      <c r="P1826" s="132" t="s">
        <v>151</v>
      </c>
      <c r="Q1826" s="132" t="s">
        <v>237</v>
      </c>
      <c r="R1826" s="132" t="s">
        <v>234</v>
      </c>
      <c r="S1826" s="133">
        <v>41649</v>
      </c>
      <c r="T1826" s="134">
        <v>1700.6</v>
      </c>
      <c r="U1826" s="132" t="s">
        <v>154</v>
      </c>
      <c r="V1826" s="132" t="s">
        <v>277</v>
      </c>
      <c r="W1826" s="132" t="s">
        <v>267</v>
      </c>
      <c r="X1826" s="133">
        <v>41999</v>
      </c>
      <c r="Y1826" s="134">
        <v>778</v>
      </c>
    </row>
    <row r="1827" spans="6:25" x14ac:dyDescent="0.25">
      <c r="F1827" s="76" t="s">
        <v>150</v>
      </c>
      <c r="G1827" s="77" t="s">
        <v>188</v>
      </c>
      <c r="H1827" s="77" t="s">
        <v>153</v>
      </c>
      <c r="I1827" s="86">
        <v>41639</v>
      </c>
      <c r="J1827" s="78">
        <v>1052</v>
      </c>
      <c r="P1827" s="132" t="s">
        <v>151</v>
      </c>
      <c r="Q1827" s="132" t="s">
        <v>237</v>
      </c>
      <c r="R1827" s="132" t="s">
        <v>234</v>
      </c>
      <c r="S1827" s="133">
        <v>41660</v>
      </c>
      <c r="T1827" s="134">
        <v>1303.4000000000001</v>
      </c>
      <c r="U1827" s="132" t="s">
        <v>154</v>
      </c>
      <c r="V1827" s="132" t="s">
        <v>277</v>
      </c>
      <c r="W1827" s="132" t="s">
        <v>267</v>
      </c>
      <c r="X1827" s="133">
        <v>42000</v>
      </c>
      <c r="Y1827" s="134">
        <v>441</v>
      </c>
    </row>
    <row r="1828" spans="6:25" x14ac:dyDescent="0.25">
      <c r="F1828" s="76" t="s">
        <v>150</v>
      </c>
      <c r="G1828" s="77" t="s">
        <v>188</v>
      </c>
      <c r="H1828" s="77" t="s">
        <v>153</v>
      </c>
      <c r="I1828" s="86">
        <v>41640</v>
      </c>
      <c r="J1828" s="78">
        <v>1126</v>
      </c>
      <c r="P1828" s="132" t="s">
        <v>151</v>
      </c>
      <c r="Q1828" s="132" t="s">
        <v>237</v>
      </c>
      <c r="R1828" s="132" t="s">
        <v>234</v>
      </c>
      <c r="S1828" s="133">
        <v>41908</v>
      </c>
      <c r="T1828" s="134">
        <v>1202.5999999999999</v>
      </c>
      <c r="U1828" s="132" t="s">
        <v>154</v>
      </c>
      <c r="V1828" s="132" t="s">
        <v>277</v>
      </c>
      <c r="W1828" s="132" t="s">
        <v>267</v>
      </c>
      <c r="X1828" s="133">
        <v>42000</v>
      </c>
      <c r="Y1828" s="134">
        <v>713</v>
      </c>
    </row>
    <row r="1829" spans="6:25" x14ac:dyDescent="0.25">
      <c r="F1829" s="76" t="s">
        <v>150</v>
      </c>
      <c r="G1829" s="77" t="s">
        <v>188</v>
      </c>
      <c r="H1829" s="77" t="s">
        <v>153</v>
      </c>
      <c r="I1829" s="86">
        <v>41641</v>
      </c>
      <c r="J1829" s="78">
        <v>884</v>
      </c>
      <c r="P1829" s="132" t="s">
        <v>151</v>
      </c>
      <c r="Q1829" s="132" t="s">
        <v>237</v>
      </c>
      <c r="R1829" s="132" t="s">
        <v>234</v>
      </c>
      <c r="S1829" s="133">
        <v>41920</v>
      </c>
      <c r="T1829" s="134">
        <v>1101.0999999999999</v>
      </c>
      <c r="U1829" s="132" t="s">
        <v>154</v>
      </c>
      <c r="V1829" s="132" t="s">
        <v>277</v>
      </c>
      <c r="W1829" s="132" t="s">
        <v>267</v>
      </c>
      <c r="X1829" s="133">
        <v>42002</v>
      </c>
      <c r="Y1829" s="134">
        <v>676</v>
      </c>
    </row>
    <row r="1830" spans="6:25" x14ac:dyDescent="0.25">
      <c r="F1830" s="76" t="s">
        <v>150</v>
      </c>
      <c r="G1830" s="77" t="s">
        <v>188</v>
      </c>
      <c r="H1830" s="77" t="s">
        <v>153</v>
      </c>
      <c r="I1830" s="86">
        <v>41646</v>
      </c>
      <c r="J1830" s="78">
        <v>1318</v>
      </c>
      <c r="S1830" s="135" t="s">
        <v>274</v>
      </c>
      <c r="T1830" s="136">
        <f>SUM(T4:T1818)</f>
        <v>1237275.699999999</v>
      </c>
      <c r="U1830" s="132" t="s">
        <v>154</v>
      </c>
      <c r="V1830" s="132" t="s">
        <v>278</v>
      </c>
      <c r="W1830" s="132" t="s">
        <v>267</v>
      </c>
      <c r="X1830" s="133">
        <v>41927</v>
      </c>
      <c r="Y1830" s="134">
        <v>496</v>
      </c>
    </row>
    <row r="1831" spans="6:25" x14ac:dyDescent="0.25">
      <c r="F1831" s="76" t="s">
        <v>150</v>
      </c>
      <c r="G1831" s="77" t="s">
        <v>188</v>
      </c>
      <c r="H1831" s="77" t="s">
        <v>153</v>
      </c>
      <c r="I1831" s="86">
        <v>41648</v>
      </c>
      <c r="J1831" s="78">
        <v>622</v>
      </c>
      <c r="S1831" s="135" t="s">
        <v>323</v>
      </c>
      <c r="T1831" s="136">
        <f>SUM(T1819:T1829)</f>
        <v>14864.6</v>
      </c>
      <c r="U1831" s="132" t="s">
        <v>154</v>
      </c>
      <c r="V1831" s="132" t="s">
        <v>278</v>
      </c>
      <c r="W1831" s="132" t="s">
        <v>267</v>
      </c>
      <c r="X1831" s="133">
        <v>41992</v>
      </c>
      <c r="Y1831" s="134">
        <v>431</v>
      </c>
    </row>
    <row r="1832" spans="6:25" x14ac:dyDescent="0.25">
      <c r="F1832" s="76" t="s">
        <v>150</v>
      </c>
      <c r="G1832" s="77" t="s">
        <v>188</v>
      </c>
      <c r="H1832" s="77" t="s">
        <v>153</v>
      </c>
      <c r="I1832" s="86">
        <v>41652</v>
      </c>
      <c r="J1832" s="78">
        <v>1071</v>
      </c>
      <c r="P1832" s="6"/>
      <c r="Q1832" s="6"/>
      <c r="R1832" s="6"/>
      <c r="S1832" s="6"/>
      <c r="T1832" s="6"/>
      <c r="U1832" s="132" t="s">
        <v>154</v>
      </c>
      <c r="V1832" s="132" t="s">
        <v>278</v>
      </c>
      <c r="W1832" s="132" t="s">
        <v>267</v>
      </c>
      <c r="X1832" s="133">
        <v>41993</v>
      </c>
      <c r="Y1832" s="134">
        <v>543</v>
      </c>
    </row>
    <row r="1833" spans="6:25" x14ac:dyDescent="0.25">
      <c r="F1833" s="76" t="s">
        <v>150</v>
      </c>
      <c r="G1833" s="77" t="s">
        <v>188</v>
      </c>
      <c r="H1833" s="77" t="s">
        <v>153</v>
      </c>
      <c r="I1833" s="86">
        <v>41654</v>
      </c>
      <c r="J1833" s="78">
        <v>883</v>
      </c>
      <c r="P1833" s="6"/>
      <c r="Q1833" s="6"/>
      <c r="R1833" s="6"/>
      <c r="S1833" s="118"/>
      <c r="T1833" s="119"/>
      <c r="U1833" s="132" t="s">
        <v>154</v>
      </c>
      <c r="V1833" s="132" t="s">
        <v>278</v>
      </c>
      <c r="W1833" s="132" t="s">
        <v>267</v>
      </c>
      <c r="X1833" s="133">
        <v>41994</v>
      </c>
      <c r="Y1833" s="134">
        <v>521</v>
      </c>
    </row>
    <row r="1834" spans="6:25" x14ac:dyDescent="0.25">
      <c r="F1834" s="76" t="s">
        <v>150</v>
      </c>
      <c r="G1834" s="77" t="s">
        <v>188</v>
      </c>
      <c r="H1834" s="77" t="s">
        <v>153</v>
      </c>
      <c r="I1834" s="86">
        <v>41656</v>
      </c>
      <c r="J1834" s="78">
        <v>1170</v>
      </c>
      <c r="P1834" s="6"/>
      <c r="Q1834" s="6"/>
      <c r="R1834" s="6"/>
      <c r="S1834" s="118"/>
      <c r="T1834" s="119"/>
      <c r="U1834" s="132" t="s">
        <v>154</v>
      </c>
      <c r="V1834" s="132" t="s">
        <v>278</v>
      </c>
      <c r="W1834" s="132" t="s">
        <v>267</v>
      </c>
      <c r="X1834" s="133">
        <v>41995</v>
      </c>
      <c r="Y1834" s="134">
        <v>551</v>
      </c>
    </row>
    <row r="1835" spans="6:25" x14ac:dyDescent="0.25">
      <c r="F1835" s="76" t="s">
        <v>150</v>
      </c>
      <c r="G1835" s="77" t="s">
        <v>188</v>
      </c>
      <c r="H1835" s="77" t="s">
        <v>153</v>
      </c>
      <c r="I1835" s="86">
        <v>41657</v>
      </c>
      <c r="J1835" s="78">
        <v>699</v>
      </c>
      <c r="P1835" s="6"/>
      <c r="Q1835" s="6"/>
      <c r="R1835" s="6"/>
      <c r="S1835" s="118"/>
      <c r="T1835" s="119"/>
      <c r="U1835" s="132" t="s">
        <v>154</v>
      </c>
      <c r="V1835" s="132" t="s">
        <v>278</v>
      </c>
      <c r="W1835" s="132" t="s">
        <v>267</v>
      </c>
      <c r="X1835" s="133">
        <v>41996</v>
      </c>
      <c r="Y1835" s="134">
        <v>719</v>
      </c>
    </row>
    <row r="1836" spans="6:25" x14ac:dyDescent="0.25">
      <c r="F1836" s="76" t="s">
        <v>150</v>
      </c>
      <c r="G1836" s="77" t="s">
        <v>188</v>
      </c>
      <c r="H1836" s="77" t="s">
        <v>153</v>
      </c>
      <c r="I1836" s="86">
        <v>41658</v>
      </c>
      <c r="J1836" s="78">
        <v>752</v>
      </c>
      <c r="P1836" s="6"/>
      <c r="Q1836" s="6"/>
      <c r="R1836" s="6"/>
      <c r="S1836" s="118"/>
      <c r="T1836" s="119"/>
      <c r="U1836" s="132" t="s">
        <v>154</v>
      </c>
      <c r="V1836" s="132" t="s">
        <v>278</v>
      </c>
      <c r="W1836" s="132" t="s">
        <v>267</v>
      </c>
      <c r="X1836" s="133">
        <v>41997</v>
      </c>
      <c r="Y1836" s="134">
        <v>800</v>
      </c>
    </row>
    <row r="1837" spans="6:25" x14ac:dyDescent="0.25">
      <c r="F1837" s="76" t="s">
        <v>150</v>
      </c>
      <c r="G1837" s="77" t="s">
        <v>188</v>
      </c>
      <c r="H1837" s="77" t="s">
        <v>153</v>
      </c>
      <c r="I1837" s="86">
        <v>41662</v>
      </c>
      <c r="J1837" s="78">
        <v>1358</v>
      </c>
      <c r="P1837" s="6"/>
      <c r="Q1837" s="6"/>
      <c r="R1837" s="6"/>
      <c r="S1837" s="118"/>
      <c r="T1837" s="119"/>
      <c r="U1837" s="132" t="s">
        <v>154</v>
      </c>
      <c r="V1837" s="132" t="s">
        <v>278</v>
      </c>
      <c r="W1837" s="132" t="s">
        <v>267</v>
      </c>
      <c r="X1837" s="133">
        <v>41999</v>
      </c>
      <c r="Y1837" s="134">
        <v>695</v>
      </c>
    </row>
    <row r="1838" spans="6:25" x14ac:dyDescent="0.25">
      <c r="F1838" s="76" t="s">
        <v>150</v>
      </c>
      <c r="G1838" s="77" t="s">
        <v>188</v>
      </c>
      <c r="H1838" s="77" t="s">
        <v>153</v>
      </c>
      <c r="I1838" s="86">
        <v>41663</v>
      </c>
      <c r="J1838" s="78">
        <v>837</v>
      </c>
      <c r="P1838" s="6"/>
      <c r="Q1838" s="6"/>
      <c r="R1838" s="6"/>
      <c r="S1838" s="118"/>
      <c r="T1838" s="119"/>
      <c r="U1838" s="132" t="s">
        <v>154</v>
      </c>
      <c r="V1838" s="132" t="s">
        <v>278</v>
      </c>
      <c r="W1838" s="132" t="s">
        <v>267</v>
      </c>
      <c r="X1838" s="133">
        <v>42001</v>
      </c>
      <c r="Y1838" s="134">
        <v>656</v>
      </c>
    </row>
    <row r="1839" spans="6:25" x14ac:dyDescent="0.25">
      <c r="F1839" s="76" t="s">
        <v>150</v>
      </c>
      <c r="G1839" s="77" t="s">
        <v>188</v>
      </c>
      <c r="H1839" s="77" t="s">
        <v>153</v>
      </c>
      <c r="I1839" s="86">
        <v>41666</v>
      </c>
      <c r="J1839" s="78">
        <v>981</v>
      </c>
      <c r="P1839" s="6"/>
      <c r="Q1839" s="6"/>
      <c r="R1839" s="6"/>
      <c r="S1839" s="118"/>
      <c r="T1839" s="119"/>
      <c r="U1839" s="132" t="s">
        <v>154</v>
      </c>
      <c r="V1839" s="132" t="s">
        <v>278</v>
      </c>
      <c r="W1839" s="132" t="s">
        <v>267</v>
      </c>
      <c r="X1839" s="133">
        <v>42001</v>
      </c>
      <c r="Y1839" s="134">
        <v>619</v>
      </c>
    </row>
    <row r="1840" spans="6:25" x14ac:dyDescent="0.25">
      <c r="F1840" s="76" t="s">
        <v>150</v>
      </c>
      <c r="G1840" s="77" t="s">
        <v>188</v>
      </c>
      <c r="H1840" s="77" t="s">
        <v>153</v>
      </c>
      <c r="I1840" s="86">
        <v>41693</v>
      </c>
      <c r="J1840" s="78">
        <v>1093</v>
      </c>
      <c r="P1840" s="6"/>
      <c r="Q1840" s="6"/>
      <c r="R1840" s="6"/>
      <c r="S1840" s="118"/>
      <c r="T1840" s="119"/>
      <c r="U1840" s="132" t="s">
        <v>154</v>
      </c>
      <c r="V1840" s="132" t="s">
        <v>278</v>
      </c>
      <c r="W1840" s="132" t="s">
        <v>267</v>
      </c>
      <c r="X1840" s="133">
        <v>42002</v>
      </c>
      <c r="Y1840" s="134">
        <v>372</v>
      </c>
    </row>
    <row r="1841" spans="6:25" x14ac:dyDescent="0.25">
      <c r="F1841" s="76" t="s">
        <v>150</v>
      </c>
      <c r="G1841" s="77" t="s">
        <v>188</v>
      </c>
      <c r="H1841" s="77" t="s">
        <v>153</v>
      </c>
      <c r="I1841" s="86">
        <v>41695</v>
      </c>
      <c r="J1841" s="78">
        <v>875</v>
      </c>
      <c r="P1841" s="6"/>
      <c r="Q1841" s="6"/>
      <c r="R1841" s="6"/>
      <c r="S1841" s="118"/>
      <c r="T1841" s="119"/>
      <c r="U1841" s="132" t="s">
        <v>154</v>
      </c>
      <c r="V1841" s="132" t="s">
        <v>278</v>
      </c>
      <c r="W1841" s="132" t="s">
        <v>267</v>
      </c>
      <c r="X1841" s="133">
        <v>42002</v>
      </c>
      <c r="Y1841" s="134">
        <v>756</v>
      </c>
    </row>
    <row r="1842" spans="6:25" x14ac:dyDescent="0.25">
      <c r="F1842" s="76" t="s">
        <v>150</v>
      </c>
      <c r="G1842" s="77" t="s">
        <v>188</v>
      </c>
      <c r="H1842" s="77" t="s">
        <v>153</v>
      </c>
      <c r="I1842" s="86">
        <v>41697</v>
      </c>
      <c r="J1842" s="78">
        <v>983</v>
      </c>
      <c r="P1842" s="6"/>
      <c r="Q1842" s="6"/>
      <c r="R1842" s="6"/>
      <c r="S1842" s="118"/>
      <c r="T1842" s="119"/>
      <c r="U1842" s="132" t="s">
        <v>154</v>
      </c>
      <c r="V1842" s="132" t="s">
        <v>279</v>
      </c>
      <c r="W1842" s="132" t="s">
        <v>267</v>
      </c>
      <c r="X1842" s="133">
        <v>41683</v>
      </c>
      <c r="Y1842" s="134">
        <v>965</v>
      </c>
    </row>
    <row r="1843" spans="6:25" x14ac:dyDescent="0.25">
      <c r="F1843" s="76" t="s">
        <v>150</v>
      </c>
      <c r="G1843" s="77" t="s">
        <v>188</v>
      </c>
      <c r="H1843" s="77" t="s">
        <v>153</v>
      </c>
      <c r="I1843" s="86">
        <v>41701</v>
      </c>
      <c r="J1843" s="78">
        <v>1039</v>
      </c>
      <c r="P1843" s="6"/>
      <c r="Q1843" s="6"/>
      <c r="R1843" s="6"/>
      <c r="S1843" s="118"/>
      <c r="T1843" s="119"/>
      <c r="U1843" s="132" t="s">
        <v>154</v>
      </c>
      <c r="V1843" s="132" t="s">
        <v>279</v>
      </c>
      <c r="W1843" s="132" t="s">
        <v>267</v>
      </c>
      <c r="X1843" s="133">
        <v>41710</v>
      </c>
      <c r="Y1843" s="134">
        <v>269</v>
      </c>
    </row>
    <row r="1844" spans="6:25" x14ac:dyDescent="0.25">
      <c r="F1844" s="76" t="s">
        <v>150</v>
      </c>
      <c r="G1844" s="77" t="s">
        <v>188</v>
      </c>
      <c r="H1844" s="77" t="s">
        <v>153</v>
      </c>
      <c r="I1844" s="86">
        <v>41702</v>
      </c>
      <c r="J1844" s="78">
        <v>651</v>
      </c>
      <c r="P1844" s="6"/>
      <c r="Q1844" s="6"/>
      <c r="R1844" s="6"/>
      <c r="S1844" s="118"/>
      <c r="T1844" s="119"/>
      <c r="U1844" s="132" t="s">
        <v>154</v>
      </c>
      <c r="V1844" s="132" t="s">
        <v>279</v>
      </c>
      <c r="W1844" s="132" t="s">
        <v>267</v>
      </c>
      <c r="X1844" s="133">
        <v>41711</v>
      </c>
      <c r="Y1844" s="134">
        <v>170</v>
      </c>
    </row>
    <row r="1845" spans="6:25" x14ac:dyDescent="0.25">
      <c r="F1845" s="76" t="s">
        <v>150</v>
      </c>
      <c r="G1845" s="77" t="s">
        <v>188</v>
      </c>
      <c r="H1845" s="77" t="s">
        <v>153</v>
      </c>
      <c r="I1845" s="86">
        <v>41704</v>
      </c>
      <c r="J1845" s="78">
        <v>1053</v>
      </c>
      <c r="P1845" s="6"/>
      <c r="Q1845" s="6"/>
      <c r="R1845" s="6"/>
      <c r="S1845" s="118"/>
      <c r="T1845" s="119"/>
      <c r="U1845" s="132" t="s">
        <v>154</v>
      </c>
      <c r="V1845" s="132" t="s">
        <v>279</v>
      </c>
      <c r="W1845" s="132" t="s">
        <v>267</v>
      </c>
      <c r="X1845" s="133">
        <v>41715</v>
      </c>
      <c r="Y1845" s="134">
        <v>620</v>
      </c>
    </row>
    <row r="1846" spans="6:25" x14ac:dyDescent="0.25">
      <c r="F1846" s="76" t="s">
        <v>150</v>
      </c>
      <c r="G1846" s="77" t="s">
        <v>188</v>
      </c>
      <c r="H1846" s="77" t="s">
        <v>153</v>
      </c>
      <c r="I1846" s="86">
        <v>41706</v>
      </c>
      <c r="J1846" s="78">
        <v>918</v>
      </c>
      <c r="P1846" s="6"/>
      <c r="Q1846" s="6"/>
      <c r="R1846" s="6"/>
      <c r="S1846" s="118"/>
      <c r="T1846" s="119"/>
      <c r="U1846" s="132" t="s">
        <v>154</v>
      </c>
      <c r="V1846" s="132" t="s">
        <v>279</v>
      </c>
      <c r="W1846" s="132" t="s">
        <v>267</v>
      </c>
      <c r="X1846" s="133">
        <v>41716</v>
      </c>
      <c r="Y1846" s="134">
        <v>700</v>
      </c>
    </row>
    <row r="1847" spans="6:25" x14ac:dyDescent="0.25">
      <c r="F1847" s="76" t="s">
        <v>150</v>
      </c>
      <c r="G1847" s="77" t="s">
        <v>188</v>
      </c>
      <c r="H1847" s="77" t="s">
        <v>153</v>
      </c>
      <c r="I1847" s="86">
        <v>41708</v>
      </c>
      <c r="J1847" s="78">
        <v>899</v>
      </c>
      <c r="P1847" s="6"/>
      <c r="Q1847" s="6"/>
      <c r="R1847" s="6"/>
      <c r="S1847" s="118"/>
      <c r="T1847" s="119"/>
      <c r="U1847" s="132" t="s">
        <v>154</v>
      </c>
      <c r="V1847" s="132" t="s">
        <v>279</v>
      </c>
      <c r="W1847" s="132" t="s">
        <v>267</v>
      </c>
      <c r="X1847" s="133">
        <v>41717</v>
      </c>
      <c r="Y1847" s="134">
        <v>517</v>
      </c>
    </row>
    <row r="1848" spans="6:25" x14ac:dyDescent="0.25">
      <c r="F1848" s="76" t="s">
        <v>150</v>
      </c>
      <c r="G1848" s="77" t="s">
        <v>188</v>
      </c>
      <c r="H1848" s="77" t="s">
        <v>153</v>
      </c>
      <c r="I1848" s="86">
        <v>41712</v>
      </c>
      <c r="J1848" s="78">
        <v>1084</v>
      </c>
      <c r="P1848" s="6"/>
      <c r="Q1848" s="6"/>
      <c r="R1848" s="6"/>
      <c r="S1848" s="118"/>
      <c r="T1848" s="119"/>
      <c r="U1848" s="132" t="s">
        <v>154</v>
      </c>
      <c r="V1848" s="132" t="s">
        <v>279</v>
      </c>
      <c r="W1848" s="132" t="s">
        <v>267</v>
      </c>
      <c r="X1848" s="133">
        <v>41718</v>
      </c>
      <c r="Y1848" s="134">
        <v>875</v>
      </c>
    </row>
    <row r="1849" spans="6:25" x14ac:dyDescent="0.25">
      <c r="F1849" s="76" t="s">
        <v>150</v>
      </c>
      <c r="G1849" s="77" t="s">
        <v>188</v>
      </c>
      <c r="H1849" s="77" t="s">
        <v>153</v>
      </c>
      <c r="I1849" s="86">
        <v>41724</v>
      </c>
      <c r="J1849" s="78">
        <v>622</v>
      </c>
      <c r="P1849" s="6"/>
      <c r="Q1849" s="6"/>
      <c r="R1849" s="6"/>
      <c r="S1849" s="118"/>
      <c r="T1849" s="119"/>
      <c r="U1849" s="132" t="s">
        <v>154</v>
      </c>
      <c r="V1849" s="132" t="s">
        <v>279</v>
      </c>
      <c r="W1849" s="132" t="s">
        <v>267</v>
      </c>
      <c r="X1849" s="133">
        <v>41719</v>
      </c>
      <c r="Y1849" s="134">
        <v>610</v>
      </c>
    </row>
    <row r="1850" spans="6:25" x14ac:dyDescent="0.25">
      <c r="F1850" s="76" t="s">
        <v>150</v>
      </c>
      <c r="G1850" s="77" t="s">
        <v>188</v>
      </c>
      <c r="H1850" s="77" t="s">
        <v>153</v>
      </c>
      <c r="I1850" s="86">
        <v>41726</v>
      </c>
      <c r="J1850" s="78">
        <v>824</v>
      </c>
      <c r="P1850" s="6"/>
      <c r="Q1850" s="6"/>
      <c r="R1850" s="6"/>
      <c r="S1850" s="118"/>
      <c r="T1850" s="119"/>
      <c r="U1850" s="132" t="s">
        <v>154</v>
      </c>
      <c r="V1850" s="132" t="s">
        <v>279</v>
      </c>
      <c r="W1850" s="132" t="s">
        <v>267</v>
      </c>
      <c r="X1850" s="133">
        <v>41722</v>
      </c>
      <c r="Y1850" s="134">
        <v>580</v>
      </c>
    </row>
    <row r="1851" spans="6:25" x14ac:dyDescent="0.25">
      <c r="F1851" s="76" t="s">
        <v>150</v>
      </c>
      <c r="G1851" s="77" t="s">
        <v>188</v>
      </c>
      <c r="H1851" s="77" t="s">
        <v>153</v>
      </c>
      <c r="I1851" s="86">
        <v>41727</v>
      </c>
      <c r="J1851" s="78">
        <v>810</v>
      </c>
      <c r="P1851" s="6"/>
      <c r="Q1851" s="6"/>
      <c r="R1851" s="6"/>
      <c r="S1851" s="118"/>
      <c r="T1851" s="119"/>
      <c r="U1851" s="132" t="s">
        <v>154</v>
      </c>
      <c r="V1851" s="132" t="s">
        <v>279</v>
      </c>
      <c r="W1851" s="132" t="s">
        <v>267</v>
      </c>
      <c r="X1851" s="133">
        <v>41723</v>
      </c>
      <c r="Y1851" s="134">
        <v>649</v>
      </c>
    </row>
    <row r="1852" spans="6:25" x14ac:dyDescent="0.25">
      <c r="F1852" s="76" t="s">
        <v>150</v>
      </c>
      <c r="G1852" s="77" t="s">
        <v>188</v>
      </c>
      <c r="H1852" s="77" t="s">
        <v>153</v>
      </c>
      <c r="I1852" s="86">
        <v>41730</v>
      </c>
      <c r="J1852" s="78">
        <v>726</v>
      </c>
      <c r="P1852" s="6"/>
      <c r="Q1852" s="6"/>
      <c r="R1852" s="6"/>
      <c r="S1852" s="118"/>
      <c r="T1852" s="119"/>
      <c r="U1852" s="132" t="s">
        <v>154</v>
      </c>
      <c r="V1852" s="132" t="s">
        <v>279</v>
      </c>
      <c r="W1852" s="132" t="s">
        <v>267</v>
      </c>
      <c r="X1852" s="133">
        <v>41842</v>
      </c>
      <c r="Y1852" s="134">
        <v>380</v>
      </c>
    </row>
    <row r="1853" spans="6:25" x14ac:dyDescent="0.25">
      <c r="F1853" s="76" t="s">
        <v>150</v>
      </c>
      <c r="G1853" s="77" t="s">
        <v>188</v>
      </c>
      <c r="H1853" s="77" t="s">
        <v>153</v>
      </c>
      <c r="I1853" s="86">
        <v>41732</v>
      </c>
      <c r="J1853" s="78">
        <v>767</v>
      </c>
      <c r="P1853" s="6"/>
      <c r="Q1853" s="6"/>
      <c r="R1853" s="6"/>
      <c r="S1853" s="118"/>
      <c r="T1853" s="119"/>
      <c r="U1853" s="132" t="s">
        <v>154</v>
      </c>
      <c r="V1853" s="132" t="s">
        <v>279</v>
      </c>
      <c r="W1853" s="132" t="s">
        <v>267</v>
      </c>
      <c r="X1853" s="133">
        <v>41843</v>
      </c>
      <c r="Y1853" s="134">
        <v>294</v>
      </c>
    </row>
    <row r="1854" spans="6:25" x14ac:dyDescent="0.25">
      <c r="F1854" s="76" t="s">
        <v>150</v>
      </c>
      <c r="G1854" s="77" t="s">
        <v>188</v>
      </c>
      <c r="H1854" s="77" t="s">
        <v>153</v>
      </c>
      <c r="I1854" s="86">
        <v>41737</v>
      </c>
      <c r="J1854" s="78">
        <v>791</v>
      </c>
      <c r="P1854" s="6"/>
      <c r="Q1854" s="6"/>
      <c r="R1854" s="6"/>
      <c r="S1854" s="118"/>
      <c r="T1854" s="119"/>
      <c r="U1854" s="132" t="s">
        <v>154</v>
      </c>
      <c r="V1854" s="132" t="s">
        <v>279</v>
      </c>
      <c r="W1854" s="132" t="s">
        <v>267</v>
      </c>
      <c r="X1854" s="133">
        <v>41843</v>
      </c>
      <c r="Y1854" s="134">
        <v>750</v>
      </c>
    </row>
    <row r="1855" spans="6:25" x14ac:dyDescent="0.25">
      <c r="F1855" s="76" t="s">
        <v>150</v>
      </c>
      <c r="G1855" s="77" t="s">
        <v>188</v>
      </c>
      <c r="H1855" s="77" t="s">
        <v>153</v>
      </c>
      <c r="I1855" s="86">
        <v>41739</v>
      </c>
      <c r="J1855" s="78">
        <v>773</v>
      </c>
      <c r="P1855" s="6"/>
      <c r="Q1855" s="6"/>
      <c r="R1855" s="6"/>
      <c r="S1855" s="118"/>
      <c r="T1855" s="119"/>
      <c r="U1855" s="132" t="s">
        <v>154</v>
      </c>
      <c r="V1855" s="132" t="s">
        <v>279</v>
      </c>
      <c r="W1855" s="132" t="s">
        <v>267</v>
      </c>
      <c r="X1855" s="133">
        <v>41844</v>
      </c>
      <c r="Y1855" s="134">
        <v>685</v>
      </c>
    </row>
    <row r="1856" spans="6:25" x14ac:dyDescent="0.25">
      <c r="F1856" s="76" t="s">
        <v>150</v>
      </c>
      <c r="G1856" s="77" t="s">
        <v>188</v>
      </c>
      <c r="H1856" s="77" t="s">
        <v>153</v>
      </c>
      <c r="I1856" s="86">
        <v>41739</v>
      </c>
      <c r="J1856" s="78">
        <v>603</v>
      </c>
      <c r="P1856" s="6"/>
      <c r="Q1856" s="6"/>
      <c r="R1856" s="6"/>
      <c r="S1856" s="118"/>
      <c r="T1856" s="119"/>
      <c r="U1856" s="132" t="s">
        <v>154</v>
      </c>
      <c r="V1856" s="132" t="s">
        <v>279</v>
      </c>
      <c r="W1856" s="132" t="s">
        <v>267</v>
      </c>
      <c r="X1856" s="133">
        <v>41844</v>
      </c>
      <c r="Y1856" s="134">
        <v>324</v>
      </c>
    </row>
    <row r="1857" spans="6:25" x14ac:dyDescent="0.25">
      <c r="F1857" s="76" t="s">
        <v>150</v>
      </c>
      <c r="G1857" s="77" t="s">
        <v>188</v>
      </c>
      <c r="H1857" s="77" t="s">
        <v>153</v>
      </c>
      <c r="I1857" s="86">
        <v>41746</v>
      </c>
      <c r="J1857" s="78">
        <v>1154</v>
      </c>
      <c r="P1857" s="6"/>
      <c r="Q1857" s="6"/>
      <c r="R1857" s="6"/>
      <c r="S1857" s="118"/>
      <c r="T1857" s="119"/>
      <c r="U1857" s="132" t="s">
        <v>154</v>
      </c>
      <c r="V1857" s="132" t="s">
        <v>279</v>
      </c>
      <c r="W1857" s="132" t="s">
        <v>267</v>
      </c>
      <c r="X1857" s="133">
        <v>41845</v>
      </c>
      <c r="Y1857" s="134">
        <v>622</v>
      </c>
    </row>
    <row r="1858" spans="6:25" x14ac:dyDescent="0.25">
      <c r="F1858" s="76" t="s">
        <v>150</v>
      </c>
      <c r="G1858" s="77" t="s">
        <v>188</v>
      </c>
      <c r="H1858" s="77" t="s">
        <v>153</v>
      </c>
      <c r="I1858" s="86">
        <v>41749</v>
      </c>
      <c r="J1858" s="78">
        <v>810</v>
      </c>
      <c r="P1858" s="6"/>
      <c r="Q1858" s="6"/>
      <c r="R1858" s="6"/>
      <c r="S1858" s="118"/>
      <c r="T1858" s="119"/>
      <c r="U1858" s="132" t="s">
        <v>154</v>
      </c>
      <c r="V1858" s="132" t="s">
        <v>279</v>
      </c>
      <c r="W1858" s="132" t="s">
        <v>267</v>
      </c>
      <c r="X1858" s="133">
        <v>41845</v>
      </c>
      <c r="Y1858" s="134">
        <v>650</v>
      </c>
    </row>
    <row r="1859" spans="6:25" x14ac:dyDescent="0.25">
      <c r="F1859" s="76" t="s">
        <v>150</v>
      </c>
      <c r="G1859" s="77" t="s">
        <v>188</v>
      </c>
      <c r="H1859" s="77" t="s">
        <v>153</v>
      </c>
      <c r="I1859" s="86">
        <v>41750</v>
      </c>
      <c r="J1859" s="78">
        <v>619</v>
      </c>
      <c r="P1859" s="6"/>
      <c r="Q1859" s="6"/>
      <c r="R1859" s="6"/>
      <c r="S1859" s="118"/>
      <c r="T1859" s="119"/>
      <c r="U1859" s="132" t="s">
        <v>154</v>
      </c>
      <c r="V1859" s="132" t="s">
        <v>279</v>
      </c>
      <c r="W1859" s="132" t="s">
        <v>267</v>
      </c>
      <c r="X1859" s="133">
        <v>41847</v>
      </c>
      <c r="Y1859" s="134">
        <v>414</v>
      </c>
    </row>
    <row r="1860" spans="6:25" x14ac:dyDescent="0.25">
      <c r="F1860" s="76" t="s">
        <v>150</v>
      </c>
      <c r="G1860" s="77" t="s">
        <v>188</v>
      </c>
      <c r="H1860" s="77" t="s">
        <v>153</v>
      </c>
      <c r="I1860" s="86">
        <v>41751</v>
      </c>
      <c r="J1860" s="78">
        <v>631</v>
      </c>
      <c r="P1860" s="6"/>
      <c r="Q1860" s="6"/>
      <c r="R1860" s="6"/>
      <c r="S1860" s="118"/>
      <c r="T1860" s="119"/>
      <c r="U1860" s="132" t="s">
        <v>154</v>
      </c>
      <c r="V1860" s="132" t="s">
        <v>279</v>
      </c>
      <c r="W1860" s="132" t="s">
        <v>267</v>
      </c>
      <c r="X1860" s="133">
        <v>41848</v>
      </c>
      <c r="Y1860" s="134">
        <v>810</v>
      </c>
    </row>
    <row r="1861" spans="6:25" x14ac:dyDescent="0.25">
      <c r="F1861" s="76" t="s">
        <v>150</v>
      </c>
      <c r="G1861" s="77" t="s">
        <v>188</v>
      </c>
      <c r="H1861" s="77" t="s">
        <v>153</v>
      </c>
      <c r="I1861" s="86">
        <v>41752</v>
      </c>
      <c r="J1861" s="78">
        <v>692</v>
      </c>
      <c r="P1861" s="6"/>
      <c r="Q1861" s="6"/>
      <c r="R1861" s="6"/>
      <c r="S1861" s="118"/>
      <c r="T1861" s="119"/>
      <c r="U1861" s="132" t="s">
        <v>154</v>
      </c>
      <c r="V1861" s="132" t="s">
        <v>279</v>
      </c>
      <c r="W1861" s="132" t="s">
        <v>267</v>
      </c>
      <c r="X1861" s="133">
        <v>41974</v>
      </c>
      <c r="Y1861" s="134">
        <v>376</v>
      </c>
    </row>
    <row r="1862" spans="6:25" x14ac:dyDescent="0.25">
      <c r="F1862" s="76" t="s">
        <v>150</v>
      </c>
      <c r="G1862" s="77" t="s">
        <v>188</v>
      </c>
      <c r="H1862" s="77" t="s">
        <v>153</v>
      </c>
      <c r="I1862" s="86">
        <v>41753</v>
      </c>
      <c r="J1862" s="78">
        <v>806</v>
      </c>
      <c r="P1862" s="6"/>
      <c r="Q1862" s="6"/>
      <c r="R1862" s="6"/>
      <c r="S1862" s="118"/>
      <c r="T1862" s="119"/>
      <c r="U1862" s="132" t="s">
        <v>154</v>
      </c>
      <c r="V1862" s="132" t="s">
        <v>279</v>
      </c>
      <c r="W1862" s="132" t="s">
        <v>267</v>
      </c>
      <c r="X1862" s="133">
        <v>41975</v>
      </c>
      <c r="Y1862" s="134">
        <v>639</v>
      </c>
    </row>
    <row r="1863" spans="6:25" x14ac:dyDescent="0.25">
      <c r="F1863" s="76" t="s">
        <v>150</v>
      </c>
      <c r="G1863" s="77" t="s">
        <v>188</v>
      </c>
      <c r="H1863" s="77" t="s">
        <v>153</v>
      </c>
      <c r="I1863" s="86">
        <v>41754</v>
      </c>
      <c r="J1863" s="78">
        <v>566</v>
      </c>
      <c r="P1863" s="6"/>
      <c r="Q1863" s="6"/>
      <c r="R1863" s="6"/>
      <c r="S1863" s="118"/>
      <c r="T1863" s="119"/>
      <c r="U1863" s="132" t="s">
        <v>154</v>
      </c>
      <c r="V1863" s="132" t="s">
        <v>279</v>
      </c>
      <c r="W1863" s="132" t="s">
        <v>267</v>
      </c>
      <c r="X1863" s="133">
        <v>41976</v>
      </c>
      <c r="Y1863" s="134">
        <v>272</v>
      </c>
    </row>
    <row r="1864" spans="6:25" x14ac:dyDescent="0.25">
      <c r="F1864" s="76" t="s">
        <v>150</v>
      </c>
      <c r="G1864" s="77" t="s">
        <v>188</v>
      </c>
      <c r="H1864" s="77" t="s">
        <v>153</v>
      </c>
      <c r="I1864" s="86">
        <v>41755</v>
      </c>
      <c r="J1864" s="78">
        <v>785</v>
      </c>
      <c r="P1864" s="6"/>
      <c r="Q1864" s="6"/>
      <c r="R1864" s="6"/>
      <c r="S1864" s="118"/>
      <c r="T1864" s="119"/>
      <c r="U1864" s="132" t="s">
        <v>154</v>
      </c>
      <c r="V1864" s="132" t="s">
        <v>279</v>
      </c>
      <c r="W1864" s="132" t="s">
        <v>267</v>
      </c>
      <c r="X1864" s="133">
        <v>41976</v>
      </c>
      <c r="Y1864" s="134">
        <v>583</v>
      </c>
    </row>
    <row r="1865" spans="6:25" x14ac:dyDescent="0.25">
      <c r="F1865" s="76" t="s">
        <v>150</v>
      </c>
      <c r="G1865" s="77" t="s">
        <v>188</v>
      </c>
      <c r="H1865" s="77" t="s">
        <v>153</v>
      </c>
      <c r="I1865" s="86">
        <v>41756</v>
      </c>
      <c r="J1865" s="78">
        <v>631</v>
      </c>
      <c r="P1865" s="6"/>
      <c r="Q1865" s="6"/>
      <c r="R1865" s="6"/>
      <c r="S1865" s="118"/>
      <c r="T1865" s="119"/>
      <c r="U1865" s="132" t="s">
        <v>154</v>
      </c>
      <c r="V1865" s="132" t="s">
        <v>279</v>
      </c>
      <c r="W1865" s="132" t="s">
        <v>267</v>
      </c>
      <c r="X1865" s="133">
        <v>41980</v>
      </c>
      <c r="Y1865" s="134">
        <v>865</v>
      </c>
    </row>
    <row r="1866" spans="6:25" x14ac:dyDescent="0.25">
      <c r="F1866" s="76" t="s">
        <v>150</v>
      </c>
      <c r="G1866" s="77" t="s">
        <v>188</v>
      </c>
      <c r="H1866" s="77" t="s">
        <v>153</v>
      </c>
      <c r="I1866" s="86">
        <v>41757</v>
      </c>
      <c r="J1866" s="78">
        <v>700</v>
      </c>
      <c r="P1866" s="6"/>
      <c r="Q1866" s="6"/>
      <c r="R1866" s="6"/>
      <c r="S1866" s="118"/>
      <c r="T1866" s="119"/>
      <c r="U1866" s="132" t="s">
        <v>154</v>
      </c>
      <c r="V1866" s="132" t="s">
        <v>279</v>
      </c>
      <c r="W1866" s="132" t="s">
        <v>267</v>
      </c>
      <c r="X1866" s="133">
        <v>41981</v>
      </c>
      <c r="Y1866" s="134">
        <v>660</v>
      </c>
    </row>
    <row r="1867" spans="6:25" x14ac:dyDescent="0.25">
      <c r="F1867" s="76" t="s">
        <v>150</v>
      </c>
      <c r="G1867" s="77" t="s">
        <v>188</v>
      </c>
      <c r="H1867" s="77" t="s">
        <v>153</v>
      </c>
      <c r="I1867" s="86">
        <v>41758</v>
      </c>
      <c r="J1867" s="78">
        <v>723</v>
      </c>
      <c r="P1867" s="6"/>
      <c r="Q1867" s="6"/>
      <c r="R1867" s="6"/>
      <c r="S1867" s="118"/>
      <c r="T1867" s="119"/>
      <c r="U1867" s="132" t="s">
        <v>154</v>
      </c>
      <c r="V1867" s="132" t="s">
        <v>279</v>
      </c>
      <c r="W1867" s="132" t="s">
        <v>267</v>
      </c>
      <c r="X1867" s="133">
        <v>41982</v>
      </c>
      <c r="Y1867" s="134">
        <v>554</v>
      </c>
    </row>
    <row r="1868" spans="6:25" x14ac:dyDescent="0.25">
      <c r="F1868" s="76" t="s">
        <v>150</v>
      </c>
      <c r="G1868" s="77" t="s">
        <v>188</v>
      </c>
      <c r="H1868" s="77" t="s">
        <v>153</v>
      </c>
      <c r="I1868" s="86">
        <v>41760</v>
      </c>
      <c r="J1868" s="78">
        <v>893</v>
      </c>
      <c r="P1868" s="6"/>
      <c r="Q1868" s="6"/>
      <c r="R1868" s="6"/>
      <c r="S1868" s="118"/>
      <c r="T1868" s="119"/>
      <c r="U1868" s="132" t="s">
        <v>154</v>
      </c>
      <c r="V1868" s="132" t="s">
        <v>279</v>
      </c>
      <c r="W1868" s="132" t="s">
        <v>267</v>
      </c>
      <c r="X1868" s="133">
        <v>41982</v>
      </c>
      <c r="Y1868" s="134">
        <v>285</v>
      </c>
    </row>
    <row r="1869" spans="6:25" x14ac:dyDescent="0.25">
      <c r="F1869" s="76" t="s">
        <v>150</v>
      </c>
      <c r="G1869" s="77" t="s">
        <v>188</v>
      </c>
      <c r="H1869" s="77" t="s">
        <v>153</v>
      </c>
      <c r="I1869" s="86">
        <v>41765</v>
      </c>
      <c r="J1869" s="78">
        <v>779</v>
      </c>
      <c r="P1869" s="6"/>
      <c r="Q1869" s="6"/>
      <c r="R1869" s="6"/>
      <c r="S1869" s="118"/>
      <c r="T1869" s="119"/>
      <c r="U1869" s="132" t="s">
        <v>154</v>
      </c>
      <c r="V1869" s="132" t="s">
        <v>279</v>
      </c>
      <c r="W1869" s="132" t="s">
        <v>267</v>
      </c>
      <c r="X1869" s="133">
        <v>41983</v>
      </c>
      <c r="Y1869" s="134">
        <v>456</v>
      </c>
    </row>
    <row r="1870" spans="6:25" x14ac:dyDescent="0.25">
      <c r="F1870" s="76" t="s">
        <v>150</v>
      </c>
      <c r="G1870" s="77" t="s">
        <v>188</v>
      </c>
      <c r="H1870" s="77" t="s">
        <v>153</v>
      </c>
      <c r="I1870" s="86">
        <v>41767</v>
      </c>
      <c r="J1870" s="78">
        <v>741</v>
      </c>
      <c r="P1870" s="6"/>
      <c r="Q1870" s="6"/>
      <c r="R1870" s="6"/>
      <c r="S1870" s="118"/>
      <c r="T1870" s="119"/>
      <c r="U1870" s="132" t="s">
        <v>154</v>
      </c>
      <c r="V1870" s="132" t="s">
        <v>279</v>
      </c>
      <c r="W1870" s="132" t="s">
        <v>267</v>
      </c>
      <c r="X1870" s="133">
        <v>41984</v>
      </c>
      <c r="Y1870" s="134">
        <v>815</v>
      </c>
    </row>
    <row r="1871" spans="6:25" x14ac:dyDescent="0.25">
      <c r="F1871" s="76" t="s">
        <v>150</v>
      </c>
      <c r="G1871" s="77" t="s">
        <v>188</v>
      </c>
      <c r="H1871" s="77" t="s">
        <v>153</v>
      </c>
      <c r="I1871" s="86">
        <v>41771</v>
      </c>
      <c r="J1871" s="78">
        <v>1258</v>
      </c>
      <c r="P1871" s="6"/>
      <c r="Q1871" s="6"/>
      <c r="R1871" s="6"/>
      <c r="S1871" s="118"/>
      <c r="T1871" s="119"/>
      <c r="U1871" s="132" t="s">
        <v>154</v>
      </c>
      <c r="V1871" s="132" t="s">
        <v>279</v>
      </c>
      <c r="W1871" s="132" t="s">
        <v>267</v>
      </c>
      <c r="X1871" s="133">
        <v>41985</v>
      </c>
      <c r="Y1871" s="134">
        <v>509</v>
      </c>
    </row>
    <row r="1872" spans="6:25" x14ac:dyDescent="0.25">
      <c r="F1872" s="76" t="s">
        <v>150</v>
      </c>
      <c r="G1872" s="77" t="s">
        <v>188</v>
      </c>
      <c r="H1872" s="77" t="s">
        <v>153</v>
      </c>
      <c r="I1872" s="86">
        <v>41771</v>
      </c>
      <c r="J1872" s="78">
        <v>948</v>
      </c>
      <c r="P1872" s="6"/>
      <c r="Q1872" s="6"/>
      <c r="R1872" s="6"/>
      <c r="S1872" s="118"/>
      <c r="T1872" s="119"/>
      <c r="U1872" s="132" t="s">
        <v>154</v>
      </c>
      <c r="V1872" s="132" t="s">
        <v>279</v>
      </c>
      <c r="W1872" s="132" t="s">
        <v>267</v>
      </c>
      <c r="X1872" s="133">
        <v>41985</v>
      </c>
      <c r="Y1872" s="134">
        <v>457</v>
      </c>
    </row>
    <row r="1873" spans="6:25" x14ac:dyDescent="0.25">
      <c r="F1873" s="76" t="s">
        <v>150</v>
      </c>
      <c r="G1873" s="77" t="s">
        <v>188</v>
      </c>
      <c r="H1873" s="77" t="s">
        <v>153</v>
      </c>
      <c r="I1873" s="86">
        <v>41773</v>
      </c>
      <c r="J1873" s="78">
        <v>887</v>
      </c>
      <c r="P1873" s="6"/>
      <c r="Q1873" s="6"/>
      <c r="R1873" s="6"/>
      <c r="S1873" s="118"/>
      <c r="T1873" s="119"/>
      <c r="U1873" s="132" t="s">
        <v>154</v>
      </c>
      <c r="V1873" s="132" t="s">
        <v>279</v>
      </c>
      <c r="W1873" s="132" t="s">
        <v>267</v>
      </c>
      <c r="X1873" s="133">
        <v>41986</v>
      </c>
      <c r="Y1873" s="134">
        <v>626</v>
      </c>
    </row>
    <row r="1874" spans="6:25" x14ac:dyDescent="0.25">
      <c r="F1874" s="76" t="s">
        <v>150</v>
      </c>
      <c r="G1874" s="77" t="s">
        <v>188</v>
      </c>
      <c r="H1874" s="77" t="s">
        <v>153</v>
      </c>
      <c r="I1874" s="86">
        <v>41803</v>
      </c>
      <c r="J1874" s="78">
        <v>940</v>
      </c>
      <c r="P1874" s="6"/>
      <c r="Q1874" s="6"/>
      <c r="R1874" s="6"/>
      <c r="S1874" s="118"/>
      <c r="T1874" s="119"/>
      <c r="U1874" s="132" t="s">
        <v>154</v>
      </c>
      <c r="V1874" s="132" t="s">
        <v>279</v>
      </c>
      <c r="W1874" s="132" t="s">
        <v>267</v>
      </c>
      <c r="X1874" s="133">
        <v>41986</v>
      </c>
      <c r="Y1874" s="134">
        <v>435</v>
      </c>
    </row>
    <row r="1875" spans="6:25" x14ac:dyDescent="0.25">
      <c r="F1875" s="76" t="s">
        <v>150</v>
      </c>
      <c r="G1875" s="77" t="s">
        <v>188</v>
      </c>
      <c r="H1875" s="77" t="s">
        <v>153</v>
      </c>
      <c r="I1875" s="86">
        <v>41807</v>
      </c>
      <c r="J1875" s="78">
        <v>1137</v>
      </c>
      <c r="P1875" s="6"/>
      <c r="Q1875" s="6"/>
      <c r="R1875" s="6"/>
      <c r="S1875" s="118"/>
      <c r="T1875" s="119"/>
      <c r="U1875" s="132" t="s">
        <v>154</v>
      </c>
      <c r="V1875" s="132" t="s">
        <v>279</v>
      </c>
      <c r="W1875" s="132" t="s">
        <v>267</v>
      </c>
      <c r="X1875" s="133">
        <v>41987</v>
      </c>
      <c r="Y1875" s="134">
        <v>413</v>
      </c>
    </row>
    <row r="1876" spans="6:25" x14ac:dyDescent="0.25">
      <c r="F1876" s="76" t="s">
        <v>150</v>
      </c>
      <c r="G1876" s="77" t="s">
        <v>188</v>
      </c>
      <c r="H1876" s="77" t="s">
        <v>153</v>
      </c>
      <c r="I1876" s="86">
        <v>41808</v>
      </c>
      <c r="J1876" s="78">
        <v>1366</v>
      </c>
      <c r="P1876" s="6"/>
      <c r="Q1876" s="6"/>
      <c r="R1876" s="6"/>
      <c r="S1876" s="118"/>
      <c r="T1876" s="119"/>
      <c r="U1876" s="132" t="s">
        <v>154</v>
      </c>
      <c r="V1876" s="132" t="s">
        <v>279</v>
      </c>
      <c r="W1876" s="132" t="s">
        <v>267</v>
      </c>
      <c r="X1876" s="133">
        <v>41987</v>
      </c>
      <c r="Y1876" s="134">
        <v>198</v>
      </c>
    </row>
    <row r="1877" spans="6:25" x14ac:dyDescent="0.25">
      <c r="F1877" s="76" t="s">
        <v>150</v>
      </c>
      <c r="G1877" s="77" t="s">
        <v>188</v>
      </c>
      <c r="H1877" s="77" t="s">
        <v>153</v>
      </c>
      <c r="I1877" s="86">
        <v>41829</v>
      </c>
      <c r="J1877" s="78">
        <v>1111</v>
      </c>
      <c r="P1877" s="6"/>
      <c r="Q1877" s="6"/>
      <c r="R1877" s="6"/>
      <c r="S1877" s="118"/>
      <c r="T1877" s="119"/>
      <c r="U1877" s="132" t="s">
        <v>154</v>
      </c>
      <c r="V1877" s="132" t="s">
        <v>279</v>
      </c>
      <c r="W1877" s="132" t="s">
        <v>267</v>
      </c>
      <c r="X1877" s="133">
        <v>41987</v>
      </c>
      <c r="Y1877" s="134">
        <v>672</v>
      </c>
    </row>
    <row r="1878" spans="6:25" x14ac:dyDescent="0.25">
      <c r="F1878" s="76" t="s">
        <v>150</v>
      </c>
      <c r="G1878" s="77" t="s">
        <v>188</v>
      </c>
      <c r="H1878" s="77" t="s">
        <v>153</v>
      </c>
      <c r="I1878" s="86">
        <v>41832</v>
      </c>
      <c r="J1878" s="78">
        <v>1129</v>
      </c>
      <c r="P1878" s="6"/>
      <c r="Q1878" s="6"/>
      <c r="R1878" s="6"/>
      <c r="S1878" s="118"/>
      <c r="T1878" s="119"/>
      <c r="U1878" s="132" t="s">
        <v>154</v>
      </c>
      <c r="V1878" s="132" t="s">
        <v>279</v>
      </c>
      <c r="W1878" s="132" t="s">
        <v>267</v>
      </c>
      <c r="X1878" s="133">
        <v>41988</v>
      </c>
      <c r="Y1878" s="134">
        <v>413</v>
      </c>
    </row>
    <row r="1879" spans="6:25" x14ac:dyDescent="0.25">
      <c r="F1879" s="76" t="s">
        <v>150</v>
      </c>
      <c r="G1879" s="77" t="s">
        <v>188</v>
      </c>
      <c r="H1879" s="77" t="s">
        <v>153</v>
      </c>
      <c r="I1879" s="86">
        <v>41832</v>
      </c>
      <c r="J1879" s="78">
        <v>1016</v>
      </c>
      <c r="P1879" s="6"/>
      <c r="Q1879" s="6"/>
      <c r="R1879" s="6"/>
      <c r="S1879" s="118"/>
      <c r="T1879" s="119"/>
      <c r="U1879" s="132" t="s">
        <v>154</v>
      </c>
      <c r="V1879" s="132" t="s">
        <v>279</v>
      </c>
      <c r="W1879" s="132" t="s">
        <v>267</v>
      </c>
      <c r="X1879" s="133">
        <v>41989</v>
      </c>
      <c r="Y1879" s="134">
        <v>693</v>
      </c>
    </row>
    <row r="1880" spans="6:25" x14ac:dyDescent="0.25">
      <c r="F1880" s="76" t="s">
        <v>150</v>
      </c>
      <c r="G1880" s="77" t="s">
        <v>188</v>
      </c>
      <c r="H1880" s="77" t="s">
        <v>153</v>
      </c>
      <c r="I1880" s="86">
        <v>41833</v>
      </c>
      <c r="J1880" s="78">
        <v>1360</v>
      </c>
      <c r="P1880" s="6"/>
      <c r="Q1880" s="6"/>
      <c r="R1880" s="6"/>
      <c r="S1880" s="118"/>
      <c r="T1880" s="119"/>
      <c r="U1880" s="132" t="s">
        <v>154</v>
      </c>
      <c r="V1880" s="132" t="s">
        <v>279</v>
      </c>
      <c r="W1880" s="132" t="s">
        <v>267</v>
      </c>
      <c r="X1880" s="133">
        <v>41990</v>
      </c>
      <c r="Y1880" s="134">
        <v>291</v>
      </c>
    </row>
    <row r="1881" spans="6:25" x14ac:dyDescent="0.25">
      <c r="F1881" s="76" t="s">
        <v>150</v>
      </c>
      <c r="G1881" s="77" t="s">
        <v>188</v>
      </c>
      <c r="H1881" s="77" t="s">
        <v>153</v>
      </c>
      <c r="I1881" s="86">
        <v>41834</v>
      </c>
      <c r="J1881" s="78">
        <v>1129</v>
      </c>
      <c r="P1881" s="6"/>
      <c r="Q1881" s="6"/>
      <c r="R1881" s="6"/>
      <c r="S1881" s="118"/>
      <c r="T1881" s="119"/>
      <c r="U1881" s="132" t="s">
        <v>154</v>
      </c>
      <c r="V1881" s="132" t="s">
        <v>279</v>
      </c>
      <c r="W1881" s="132" t="s">
        <v>267</v>
      </c>
      <c r="X1881" s="133">
        <v>41990</v>
      </c>
      <c r="Y1881" s="134">
        <v>735</v>
      </c>
    </row>
    <row r="1882" spans="6:25" x14ac:dyDescent="0.25">
      <c r="F1882" s="76" t="s">
        <v>150</v>
      </c>
      <c r="G1882" s="77" t="s">
        <v>188</v>
      </c>
      <c r="H1882" s="77" t="s">
        <v>153</v>
      </c>
      <c r="I1882" s="86">
        <v>41835</v>
      </c>
      <c r="J1882" s="78">
        <v>1248</v>
      </c>
      <c r="P1882" s="6"/>
      <c r="Q1882" s="6"/>
      <c r="R1882" s="6"/>
      <c r="S1882" s="118"/>
      <c r="T1882" s="119"/>
      <c r="U1882" s="132" t="s">
        <v>154</v>
      </c>
      <c r="V1882" s="132" t="s">
        <v>279</v>
      </c>
      <c r="W1882" s="132" t="s">
        <v>267</v>
      </c>
      <c r="X1882" s="133">
        <v>41991</v>
      </c>
      <c r="Y1882" s="134">
        <v>836</v>
      </c>
    </row>
    <row r="1883" spans="6:25" x14ac:dyDescent="0.25">
      <c r="F1883" s="76" t="s">
        <v>150</v>
      </c>
      <c r="G1883" s="77" t="s">
        <v>188</v>
      </c>
      <c r="H1883" s="77" t="s">
        <v>153</v>
      </c>
      <c r="I1883" s="86">
        <v>41837</v>
      </c>
      <c r="J1883" s="78">
        <v>684</v>
      </c>
      <c r="P1883" s="6"/>
      <c r="Q1883" s="6"/>
      <c r="R1883" s="6"/>
      <c r="S1883" s="118"/>
      <c r="T1883" s="119"/>
      <c r="U1883" s="132" t="s">
        <v>154</v>
      </c>
      <c r="V1883" s="132" t="s">
        <v>279</v>
      </c>
      <c r="W1883" s="132" t="s">
        <v>267</v>
      </c>
      <c r="X1883" s="133">
        <v>41992</v>
      </c>
      <c r="Y1883" s="134">
        <v>502</v>
      </c>
    </row>
    <row r="1884" spans="6:25" x14ac:dyDescent="0.25">
      <c r="F1884" s="76" t="s">
        <v>150</v>
      </c>
      <c r="G1884" s="77" t="s">
        <v>188</v>
      </c>
      <c r="H1884" s="77" t="s">
        <v>153</v>
      </c>
      <c r="I1884" s="86">
        <v>41842</v>
      </c>
      <c r="J1884" s="78">
        <v>1379</v>
      </c>
      <c r="P1884" s="6"/>
      <c r="Q1884" s="6"/>
      <c r="R1884" s="6"/>
      <c r="S1884" s="118"/>
      <c r="T1884" s="119"/>
      <c r="U1884" s="132" t="s">
        <v>154</v>
      </c>
      <c r="V1884" s="132" t="s">
        <v>280</v>
      </c>
      <c r="W1884" s="132" t="s">
        <v>267</v>
      </c>
      <c r="X1884" s="133">
        <v>41699</v>
      </c>
      <c r="Y1884" s="134">
        <v>518</v>
      </c>
    </row>
    <row r="1885" spans="6:25" x14ac:dyDescent="0.25">
      <c r="F1885" s="76" t="s">
        <v>150</v>
      </c>
      <c r="G1885" s="77" t="s">
        <v>188</v>
      </c>
      <c r="H1885" s="77" t="s">
        <v>153</v>
      </c>
      <c r="I1885" s="86">
        <v>41844</v>
      </c>
      <c r="J1885" s="78">
        <v>1291</v>
      </c>
      <c r="P1885" s="6"/>
      <c r="Q1885" s="6"/>
      <c r="R1885" s="6"/>
      <c r="S1885" s="118"/>
      <c r="T1885" s="119"/>
      <c r="U1885" s="132" t="s">
        <v>154</v>
      </c>
      <c r="V1885" s="132" t="s">
        <v>280</v>
      </c>
      <c r="W1885" s="132" t="s">
        <v>267</v>
      </c>
      <c r="X1885" s="133">
        <v>41700</v>
      </c>
      <c r="Y1885" s="134">
        <v>274</v>
      </c>
    </row>
    <row r="1886" spans="6:25" x14ac:dyDescent="0.25">
      <c r="F1886" s="76" t="s">
        <v>150</v>
      </c>
      <c r="G1886" s="77" t="s">
        <v>188</v>
      </c>
      <c r="H1886" s="77" t="s">
        <v>153</v>
      </c>
      <c r="I1886" s="86">
        <v>41848</v>
      </c>
      <c r="J1886" s="78">
        <v>920</v>
      </c>
      <c r="P1886" s="6"/>
      <c r="Q1886" s="6"/>
      <c r="R1886" s="6"/>
      <c r="S1886" s="118"/>
      <c r="T1886" s="119"/>
      <c r="U1886" s="132" t="s">
        <v>154</v>
      </c>
      <c r="V1886" s="132" t="s">
        <v>280</v>
      </c>
      <c r="W1886" s="132" t="s">
        <v>267</v>
      </c>
      <c r="X1886" s="133">
        <v>41701</v>
      </c>
      <c r="Y1886" s="134">
        <v>1290</v>
      </c>
    </row>
    <row r="1887" spans="6:25" x14ac:dyDescent="0.25">
      <c r="F1887" s="76" t="s">
        <v>150</v>
      </c>
      <c r="G1887" s="77" t="s">
        <v>188</v>
      </c>
      <c r="H1887" s="77" t="s">
        <v>153</v>
      </c>
      <c r="I1887" s="86">
        <v>41849</v>
      </c>
      <c r="J1887" s="78">
        <v>446</v>
      </c>
      <c r="P1887" s="6"/>
      <c r="Q1887" s="6"/>
      <c r="R1887" s="6"/>
      <c r="S1887" s="118"/>
      <c r="T1887" s="119"/>
      <c r="U1887" s="132" t="s">
        <v>154</v>
      </c>
      <c r="V1887" s="132" t="s">
        <v>280</v>
      </c>
      <c r="W1887" s="132" t="s">
        <v>267</v>
      </c>
      <c r="X1887" s="133">
        <v>41702</v>
      </c>
      <c r="Y1887" s="134">
        <v>890</v>
      </c>
    </row>
    <row r="1888" spans="6:25" x14ac:dyDescent="0.25">
      <c r="F1888" s="76" t="s">
        <v>150</v>
      </c>
      <c r="G1888" s="77" t="s">
        <v>188</v>
      </c>
      <c r="H1888" s="77" t="s">
        <v>153</v>
      </c>
      <c r="I1888" s="86">
        <v>41853</v>
      </c>
      <c r="J1888" s="78">
        <v>1126</v>
      </c>
      <c r="P1888" s="6"/>
      <c r="Q1888" s="6"/>
      <c r="R1888" s="6"/>
      <c r="S1888" s="118"/>
      <c r="T1888" s="119"/>
      <c r="U1888" s="132" t="s">
        <v>154</v>
      </c>
      <c r="V1888" s="132" t="s">
        <v>280</v>
      </c>
      <c r="W1888" s="132" t="s">
        <v>267</v>
      </c>
      <c r="X1888" s="133">
        <v>41702</v>
      </c>
      <c r="Y1888" s="134">
        <v>710</v>
      </c>
    </row>
    <row r="1889" spans="6:25" x14ac:dyDescent="0.25">
      <c r="F1889" s="76" t="s">
        <v>150</v>
      </c>
      <c r="G1889" s="77" t="s">
        <v>188</v>
      </c>
      <c r="H1889" s="77" t="s">
        <v>153</v>
      </c>
      <c r="I1889" s="86">
        <v>41853</v>
      </c>
      <c r="J1889" s="78">
        <v>1030</v>
      </c>
      <c r="P1889" s="6"/>
      <c r="Q1889" s="6"/>
      <c r="R1889" s="6"/>
      <c r="S1889" s="118"/>
      <c r="T1889" s="119"/>
      <c r="U1889" s="132" t="s">
        <v>154</v>
      </c>
      <c r="V1889" s="132" t="s">
        <v>280</v>
      </c>
      <c r="W1889" s="132" t="s">
        <v>267</v>
      </c>
      <c r="X1889" s="133">
        <v>41703</v>
      </c>
      <c r="Y1889" s="134">
        <v>800</v>
      </c>
    </row>
    <row r="1890" spans="6:25" x14ac:dyDescent="0.25">
      <c r="F1890" s="76" t="s">
        <v>150</v>
      </c>
      <c r="G1890" s="77" t="s">
        <v>188</v>
      </c>
      <c r="H1890" s="77" t="s">
        <v>153</v>
      </c>
      <c r="I1890" s="86">
        <v>41854</v>
      </c>
      <c r="J1890" s="78">
        <v>1243</v>
      </c>
      <c r="P1890" s="6"/>
      <c r="Q1890" s="6"/>
      <c r="R1890" s="6"/>
      <c r="S1890" s="118"/>
      <c r="T1890" s="119"/>
      <c r="U1890" s="132" t="s">
        <v>154</v>
      </c>
      <c r="V1890" s="132" t="s">
        <v>280</v>
      </c>
      <c r="W1890" s="132" t="s">
        <v>267</v>
      </c>
      <c r="X1890" s="133">
        <v>41704</v>
      </c>
      <c r="Y1890" s="134">
        <v>585</v>
      </c>
    </row>
    <row r="1891" spans="6:25" x14ac:dyDescent="0.25">
      <c r="F1891" s="76" t="s">
        <v>150</v>
      </c>
      <c r="G1891" s="77" t="s">
        <v>188</v>
      </c>
      <c r="H1891" s="77" t="s">
        <v>153</v>
      </c>
      <c r="I1891" s="86">
        <v>41855</v>
      </c>
      <c r="J1891" s="78">
        <v>1208</v>
      </c>
      <c r="P1891" s="6"/>
      <c r="Q1891" s="6"/>
      <c r="R1891" s="6"/>
      <c r="S1891" s="118"/>
      <c r="T1891" s="119"/>
      <c r="U1891" s="132" t="s">
        <v>154</v>
      </c>
      <c r="V1891" s="132" t="s">
        <v>280</v>
      </c>
      <c r="W1891" s="132" t="s">
        <v>267</v>
      </c>
      <c r="X1891" s="133">
        <v>41705</v>
      </c>
      <c r="Y1891" s="134">
        <v>868</v>
      </c>
    </row>
    <row r="1892" spans="6:25" x14ac:dyDescent="0.25">
      <c r="F1892" s="76" t="s">
        <v>150</v>
      </c>
      <c r="G1892" s="77" t="s">
        <v>188</v>
      </c>
      <c r="H1892" s="77" t="s">
        <v>153</v>
      </c>
      <c r="I1892" s="86">
        <v>41856</v>
      </c>
      <c r="J1892" s="78">
        <v>1244</v>
      </c>
      <c r="P1892" s="6"/>
      <c r="Q1892" s="6"/>
      <c r="R1892" s="6"/>
      <c r="S1892" s="118"/>
      <c r="T1892" s="119"/>
      <c r="U1892" s="132" t="s">
        <v>154</v>
      </c>
      <c r="V1892" s="132" t="s">
        <v>280</v>
      </c>
      <c r="W1892" s="132" t="s">
        <v>267</v>
      </c>
      <c r="X1892" s="133">
        <v>41705</v>
      </c>
      <c r="Y1892" s="134">
        <v>461</v>
      </c>
    </row>
    <row r="1893" spans="6:25" x14ac:dyDescent="0.25">
      <c r="F1893" s="76" t="s">
        <v>150</v>
      </c>
      <c r="G1893" s="77" t="s">
        <v>188</v>
      </c>
      <c r="H1893" s="77" t="s">
        <v>153</v>
      </c>
      <c r="I1893" s="86">
        <v>41858</v>
      </c>
      <c r="J1893" s="78">
        <v>1325</v>
      </c>
      <c r="P1893" s="6"/>
      <c r="Q1893" s="6"/>
      <c r="R1893" s="6"/>
      <c r="S1893" s="118"/>
      <c r="T1893" s="119"/>
      <c r="U1893" s="132" t="s">
        <v>154</v>
      </c>
      <c r="V1893" s="132" t="s">
        <v>280</v>
      </c>
      <c r="W1893" s="132" t="s">
        <v>267</v>
      </c>
      <c r="X1893" s="133">
        <v>41706</v>
      </c>
      <c r="Y1893" s="134">
        <v>797</v>
      </c>
    </row>
    <row r="1894" spans="6:25" x14ac:dyDescent="0.25">
      <c r="F1894" s="76" t="s">
        <v>150</v>
      </c>
      <c r="G1894" s="77" t="s">
        <v>188</v>
      </c>
      <c r="H1894" s="77" t="s">
        <v>153</v>
      </c>
      <c r="I1894" s="86">
        <v>41860</v>
      </c>
      <c r="J1894" s="78">
        <v>1114</v>
      </c>
      <c r="P1894" s="6"/>
      <c r="Q1894" s="6"/>
      <c r="R1894" s="6"/>
      <c r="S1894" s="118"/>
      <c r="T1894" s="119"/>
      <c r="U1894" s="132" t="s">
        <v>154</v>
      </c>
      <c r="V1894" s="132" t="s">
        <v>280</v>
      </c>
      <c r="W1894" s="132" t="s">
        <v>267</v>
      </c>
      <c r="X1894" s="133">
        <v>41707</v>
      </c>
      <c r="Y1894" s="134">
        <v>1024</v>
      </c>
    </row>
    <row r="1895" spans="6:25" x14ac:dyDescent="0.25">
      <c r="F1895" s="76" t="s">
        <v>150</v>
      </c>
      <c r="G1895" s="77" t="s">
        <v>188</v>
      </c>
      <c r="H1895" s="77" t="s">
        <v>153</v>
      </c>
      <c r="I1895" s="86">
        <v>41861</v>
      </c>
      <c r="J1895" s="78">
        <v>1064</v>
      </c>
      <c r="P1895" s="6"/>
      <c r="Q1895" s="6"/>
      <c r="R1895" s="6"/>
      <c r="S1895" s="118"/>
      <c r="T1895" s="119"/>
      <c r="U1895" s="132" t="s">
        <v>154</v>
      </c>
      <c r="V1895" s="132" t="s">
        <v>280</v>
      </c>
      <c r="W1895" s="132" t="s">
        <v>267</v>
      </c>
      <c r="X1895" s="133">
        <v>41708</v>
      </c>
      <c r="Y1895" s="134">
        <v>385</v>
      </c>
    </row>
    <row r="1896" spans="6:25" x14ac:dyDescent="0.25">
      <c r="F1896" s="76" t="s">
        <v>150</v>
      </c>
      <c r="G1896" s="77" t="s">
        <v>188</v>
      </c>
      <c r="H1896" s="77" t="s">
        <v>153</v>
      </c>
      <c r="I1896" s="86">
        <v>41863</v>
      </c>
      <c r="J1896" s="78">
        <v>990</v>
      </c>
      <c r="P1896" s="6"/>
      <c r="Q1896" s="6"/>
      <c r="R1896" s="6"/>
      <c r="S1896" s="118"/>
      <c r="T1896" s="119"/>
      <c r="U1896" s="132" t="s">
        <v>154</v>
      </c>
      <c r="V1896" s="132" t="s">
        <v>280</v>
      </c>
      <c r="W1896" s="132" t="s">
        <v>267</v>
      </c>
      <c r="X1896" s="133">
        <v>41709</v>
      </c>
      <c r="Y1896" s="134">
        <v>703</v>
      </c>
    </row>
    <row r="1897" spans="6:25" x14ac:dyDescent="0.25">
      <c r="F1897" s="76" t="s">
        <v>150</v>
      </c>
      <c r="G1897" s="77" t="s">
        <v>188</v>
      </c>
      <c r="H1897" s="77" t="s">
        <v>153</v>
      </c>
      <c r="I1897" s="86">
        <v>41874</v>
      </c>
      <c r="J1897" s="78">
        <v>909</v>
      </c>
      <c r="P1897" s="6"/>
      <c r="Q1897" s="6"/>
      <c r="R1897" s="6"/>
      <c r="S1897" s="118"/>
      <c r="T1897" s="119"/>
      <c r="U1897" s="132" t="s">
        <v>154</v>
      </c>
      <c r="V1897" s="132" t="s">
        <v>280</v>
      </c>
      <c r="W1897" s="132" t="s">
        <v>267</v>
      </c>
      <c r="X1897" s="133">
        <v>41710</v>
      </c>
      <c r="Y1897" s="134">
        <v>805</v>
      </c>
    </row>
    <row r="1898" spans="6:25" x14ac:dyDescent="0.25">
      <c r="F1898" s="76" t="s">
        <v>150</v>
      </c>
      <c r="G1898" s="77" t="s">
        <v>188</v>
      </c>
      <c r="H1898" s="77" t="s">
        <v>153</v>
      </c>
      <c r="I1898" s="86">
        <v>41874</v>
      </c>
      <c r="J1898" s="78">
        <v>789</v>
      </c>
      <c r="P1898" s="6"/>
      <c r="Q1898" s="6"/>
      <c r="R1898" s="6"/>
      <c r="S1898" s="118"/>
      <c r="T1898" s="119"/>
      <c r="U1898" s="132" t="s">
        <v>154</v>
      </c>
      <c r="V1898" s="132" t="s">
        <v>280</v>
      </c>
      <c r="W1898" s="132" t="s">
        <v>267</v>
      </c>
      <c r="X1898" s="133">
        <v>41711</v>
      </c>
      <c r="Y1898" s="134">
        <v>810</v>
      </c>
    </row>
    <row r="1899" spans="6:25" x14ac:dyDescent="0.25">
      <c r="F1899" s="76" t="s">
        <v>150</v>
      </c>
      <c r="G1899" s="77" t="s">
        <v>188</v>
      </c>
      <c r="H1899" s="77" t="s">
        <v>153</v>
      </c>
      <c r="I1899" s="86">
        <v>41875</v>
      </c>
      <c r="J1899" s="78">
        <v>887</v>
      </c>
      <c r="P1899" s="6"/>
      <c r="Q1899" s="6"/>
      <c r="R1899" s="6"/>
      <c r="S1899" s="118"/>
      <c r="T1899" s="119"/>
      <c r="U1899" s="132" t="s">
        <v>154</v>
      </c>
      <c r="V1899" s="132" t="s">
        <v>280</v>
      </c>
      <c r="W1899" s="132" t="s">
        <v>267</v>
      </c>
      <c r="X1899" s="133">
        <v>41712</v>
      </c>
      <c r="Y1899" s="134">
        <v>940</v>
      </c>
    </row>
    <row r="1900" spans="6:25" x14ac:dyDescent="0.25">
      <c r="F1900" s="76" t="s">
        <v>150</v>
      </c>
      <c r="G1900" s="77" t="s">
        <v>188</v>
      </c>
      <c r="H1900" s="77" t="s">
        <v>153</v>
      </c>
      <c r="I1900" s="86">
        <v>41876</v>
      </c>
      <c r="J1900" s="78">
        <v>1118</v>
      </c>
      <c r="P1900" s="6"/>
      <c r="Q1900" s="6"/>
      <c r="R1900" s="6"/>
      <c r="S1900" s="118"/>
      <c r="T1900" s="119"/>
      <c r="U1900" s="132" t="s">
        <v>154</v>
      </c>
      <c r="V1900" s="132" t="s">
        <v>280</v>
      </c>
      <c r="W1900" s="132" t="s">
        <v>267</v>
      </c>
      <c r="X1900" s="133">
        <v>41716</v>
      </c>
      <c r="Y1900" s="134">
        <v>895</v>
      </c>
    </row>
    <row r="1901" spans="6:25" x14ac:dyDescent="0.25">
      <c r="F1901" s="76" t="s">
        <v>150</v>
      </c>
      <c r="G1901" s="77" t="s">
        <v>188</v>
      </c>
      <c r="H1901" s="77" t="s">
        <v>153</v>
      </c>
      <c r="I1901" s="86">
        <v>41877</v>
      </c>
      <c r="J1901" s="78">
        <v>964</v>
      </c>
      <c r="P1901" s="6"/>
      <c r="Q1901" s="6"/>
      <c r="R1901" s="6"/>
      <c r="S1901" s="118"/>
      <c r="T1901" s="119"/>
      <c r="U1901" s="132" t="s">
        <v>154</v>
      </c>
      <c r="V1901" s="132" t="s">
        <v>280</v>
      </c>
      <c r="W1901" s="132" t="s">
        <v>267</v>
      </c>
      <c r="X1901" s="133">
        <v>41717</v>
      </c>
      <c r="Y1901" s="134">
        <v>543</v>
      </c>
    </row>
    <row r="1902" spans="6:25" x14ac:dyDescent="0.25">
      <c r="F1902" s="76" t="s">
        <v>150</v>
      </c>
      <c r="G1902" s="77" t="s">
        <v>188</v>
      </c>
      <c r="H1902" s="77" t="s">
        <v>153</v>
      </c>
      <c r="I1902" s="86">
        <v>41878</v>
      </c>
      <c r="J1902" s="78">
        <v>988</v>
      </c>
      <c r="P1902" s="6"/>
      <c r="Q1902" s="6"/>
      <c r="R1902" s="6"/>
      <c r="S1902" s="118"/>
      <c r="T1902" s="119"/>
      <c r="U1902" s="132" t="s">
        <v>154</v>
      </c>
      <c r="V1902" s="132" t="s">
        <v>280</v>
      </c>
      <c r="W1902" s="132" t="s">
        <v>267</v>
      </c>
      <c r="X1902" s="133">
        <v>41717</v>
      </c>
      <c r="Y1902" s="134">
        <v>590</v>
      </c>
    </row>
    <row r="1903" spans="6:25" x14ac:dyDescent="0.25">
      <c r="F1903" s="76" t="s">
        <v>150</v>
      </c>
      <c r="G1903" s="77" t="s">
        <v>188</v>
      </c>
      <c r="H1903" s="77" t="s">
        <v>153</v>
      </c>
      <c r="I1903" s="86">
        <v>41879</v>
      </c>
      <c r="J1903" s="78">
        <v>964</v>
      </c>
      <c r="P1903" s="6"/>
      <c r="Q1903" s="6"/>
      <c r="R1903" s="6"/>
      <c r="S1903" s="118"/>
      <c r="T1903" s="119"/>
      <c r="U1903" s="132" t="s">
        <v>154</v>
      </c>
      <c r="V1903" s="132" t="s">
        <v>280</v>
      </c>
      <c r="W1903" s="132" t="s">
        <v>267</v>
      </c>
      <c r="X1903" s="133">
        <v>41718</v>
      </c>
      <c r="Y1903" s="134">
        <v>570</v>
      </c>
    </row>
    <row r="1904" spans="6:25" x14ac:dyDescent="0.25">
      <c r="F1904" s="76" t="s">
        <v>150</v>
      </c>
      <c r="G1904" s="77" t="s">
        <v>188</v>
      </c>
      <c r="H1904" s="77" t="s">
        <v>153</v>
      </c>
      <c r="I1904" s="86">
        <v>41905</v>
      </c>
      <c r="J1904" s="78">
        <v>904</v>
      </c>
      <c r="P1904" s="6"/>
      <c r="Q1904" s="6"/>
      <c r="R1904" s="6"/>
      <c r="S1904" s="118"/>
      <c r="T1904" s="119"/>
      <c r="U1904" s="132" t="s">
        <v>154</v>
      </c>
      <c r="V1904" s="132" t="s">
        <v>280</v>
      </c>
      <c r="W1904" s="132" t="s">
        <v>267</v>
      </c>
      <c r="X1904" s="133">
        <v>41719</v>
      </c>
      <c r="Y1904" s="134">
        <v>583</v>
      </c>
    </row>
    <row r="1905" spans="6:25" x14ac:dyDescent="0.25">
      <c r="F1905" s="76" t="s">
        <v>150</v>
      </c>
      <c r="G1905" s="77" t="s">
        <v>188</v>
      </c>
      <c r="H1905" s="77" t="s">
        <v>153</v>
      </c>
      <c r="I1905" s="86">
        <v>41905</v>
      </c>
      <c r="J1905" s="78">
        <v>1215</v>
      </c>
      <c r="P1905" s="6"/>
      <c r="Q1905" s="6"/>
      <c r="R1905" s="6"/>
      <c r="S1905" s="118"/>
      <c r="T1905" s="119"/>
      <c r="U1905" s="132" t="s">
        <v>154</v>
      </c>
      <c r="V1905" s="132" t="s">
        <v>280</v>
      </c>
      <c r="W1905" s="132" t="s">
        <v>267</v>
      </c>
      <c r="X1905" s="133">
        <v>41720</v>
      </c>
      <c r="Y1905" s="134">
        <v>1105</v>
      </c>
    </row>
    <row r="1906" spans="6:25" x14ac:dyDescent="0.25">
      <c r="F1906" s="76" t="s">
        <v>150</v>
      </c>
      <c r="G1906" s="77" t="s">
        <v>188</v>
      </c>
      <c r="H1906" s="77" t="s">
        <v>153</v>
      </c>
      <c r="I1906" s="86">
        <v>41907</v>
      </c>
      <c r="J1906" s="78">
        <v>1173</v>
      </c>
      <c r="P1906" s="6"/>
      <c r="Q1906" s="6"/>
      <c r="R1906" s="6"/>
      <c r="S1906" s="118"/>
      <c r="T1906" s="119"/>
      <c r="U1906" s="132" t="s">
        <v>154</v>
      </c>
      <c r="V1906" s="132" t="s">
        <v>280</v>
      </c>
      <c r="W1906" s="132" t="s">
        <v>267</v>
      </c>
      <c r="X1906" s="133">
        <v>41721</v>
      </c>
      <c r="Y1906" s="134">
        <v>291</v>
      </c>
    </row>
    <row r="1907" spans="6:25" x14ac:dyDescent="0.25">
      <c r="F1907" s="76" t="s">
        <v>150</v>
      </c>
      <c r="G1907" s="77" t="s">
        <v>188</v>
      </c>
      <c r="H1907" s="77" t="s">
        <v>153</v>
      </c>
      <c r="I1907" s="86">
        <v>41907</v>
      </c>
      <c r="J1907" s="78">
        <v>1155</v>
      </c>
      <c r="P1907" s="6"/>
      <c r="Q1907" s="6"/>
      <c r="R1907" s="6"/>
      <c r="S1907" s="118"/>
      <c r="T1907" s="119"/>
      <c r="U1907" s="132" t="s">
        <v>154</v>
      </c>
      <c r="V1907" s="132" t="s">
        <v>280</v>
      </c>
      <c r="W1907" s="132" t="s">
        <v>267</v>
      </c>
      <c r="X1907" s="133">
        <v>41722</v>
      </c>
      <c r="Y1907" s="134">
        <v>652</v>
      </c>
    </row>
    <row r="1908" spans="6:25" x14ac:dyDescent="0.25">
      <c r="F1908" s="76" t="s">
        <v>150</v>
      </c>
      <c r="G1908" s="77" t="s">
        <v>188</v>
      </c>
      <c r="H1908" s="77" t="s">
        <v>153</v>
      </c>
      <c r="I1908" s="86">
        <v>41908</v>
      </c>
      <c r="J1908" s="78">
        <v>1146</v>
      </c>
      <c r="P1908" s="6"/>
      <c r="Q1908" s="6"/>
      <c r="R1908" s="6"/>
      <c r="S1908" s="118"/>
      <c r="T1908" s="119"/>
      <c r="U1908" s="132" t="s">
        <v>154</v>
      </c>
      <c r="V1908" s="132" t="s">
        <v>280</v>
      </c>
      <c r="W1908" s="132" t="s">
        <v>267</v>
      </c>
      <c r="X1908" s="133">
        <v>41722</v>
      </c>
      <c r="Y1908" s="134">
        <v>405</v>
      </c>
    </row>
    <row r="1909" spans="6:25" x14ac:dyDescent="0.25">
      <c r="F1909" s="76" t="s">
        <v>150</v>
      </c>
      <c r="G1909" s="77" t="s">
        <v>188</v>
      </c>
      <c r="H1909" s="77" t="s">
        <v>153</v>
      </c>
      <c r="I1909" s="86">
        <v>41909</v>
      </c>
      <c r="J1909" s="78">
        <v>1356</v>
      </c>
      <c r="P1909" s="6"/>
      <c r="Q1909" s="6"/>
      <c r="R1909" s="6"/>
      <c r="S1909" s="118"/>
      <c r="T1909" s="119"/>
      <c r="U1909" s="132" t="s">
        <v>154</v>
      </c>
      <c r="V1909" s="132" t="s">
        <v>280</v>
      </c>
      <c r="W1909" s="132" t="s">
        <v>267</v>
      </c>
      <c r="X1909" s="133">
        <v>41723</v>
      </c>
      <c r="Y1909" s="134">
        <v>710</v>
      </c>
    </row>
    <row r="1910" spans="6:25" x14ac:dyDescent="0.25">
      <c r="F1910" s="76" t="s">
        <v>150</v>
      </c>
      <c r="G1910" s="77" t="s">
        <v>188</v>
      </c>
      <c r="H1910" s="77" t="s">
        <v>153</v>
      </c>
      <c r="I1910" s="86">
        <v>41910</v>
      </c>
      <c r="J1910" s="78">
        <v>835</v>
      </c>
      <c r="P1910" s="6"/>
      <c r="Q1910" s="6"/>
      <c r="R1910" s="6"/>
      <c r="S1910" s="118"/>
      <c r="T1910" s="119"/>
      <c r="U1910" s="132" t="s">
        <v>154</v>
      </c>
      <c r="V1910" s="132" t="s">
        <v>280</v>
      </c>
      <c r="W1910" s="132" t="s">
        <v>267</v>
      </c>
      <c r="X1910" s="133">
        <v>41723</v>
      </c>
      <c r="Y1910" s="134">
        <v>568</v>
      </c>
    </row>
    <row r="1911" spans="6:25" x14ac:dyDescent="0.25">
      <c r="F1911" s="76" t="s">
        <v>150</v>
      </c>
      <c r="G1911" s="77" t="s">
        <v>188</v>
      </c>
      <c r="H1911" s="77" t="s">
        <v>153</v>
      </c>
      <c r="I1911" s="86">
        <v>41911</v>
      </c>
      <c r="J1911" s="78">
        <v>1145</v>
      </c>
      <c r="P1911" s="6"/>
      <c r="Q1911" s="6"/>
      <c r="R1911" s="6"/>
      <c r="S1911" s="118"/>
      <c r="T1911" s="119"/>
      <c r="U1911" s="132" t="s">
        <v>154</v>
      </c>
      <c r="V1911" s="132" t="s">
        <v>280</v>
      </c>
      <c r="W1911" s="132" t="s">
        <v>267</v>
      </c>
      <c r="X1911" s="133">
        <v>41724</v>
      </c>
      <c r="Y1911" s="134">
        <v>490</v>
      </c>
    </row>
    <row r="1912" spans="6:25" x14ac:dyDescent="0.25">
      <c r="F1912" s="76" t="s">
        <v>150</v>
      </c>
      <c r="G1912" s="77" t="s">
        <v>188</v>
      </c>
      <c r="H1912" s="77" t="s">
        <v>153</v>
      </c>
      <c r="I1912" s="86">
        <v>41913</v>
      </c>
      <c r="J1912" s="78">
        <v>1275</v>
      </c>
      <c r="P1912" s="6"/>
      <c r="Q1912" s="6"/>
      <c r="R1912" s="6"/>
      <c r="S1912" s="118"/>
      <c r="T1912" s="119"/>
      <c r="U1912" s="132" t="s">
        <v>154</v>
      </c>
      <c r="V1912" s="132" t="s">
        <v>280</v>
      </c>
      <c r="W1912" s="132" t="s">
        <v>267</v>
      </c>
      <c r="X1912" s="133">
        <v>41725</v>
      </c>
      <c r="Y1912" s="134">
        <v>804</v>
      </c>
    </row>
    <row r="1913" spans="6:25" x14ac:dyDescent="0.25">
      <c r="F1913" s="76" t="s">
        <v>150</v>
      </c>
      <c r="G1913" s="77" t="s">
        <v>188</v>
      </c>
      <c r="H1913" s="77" t="s">
        <v>153</v>
      </c>
      <c r="I1913" s="86">
        <v>41913</v>
      </c>
      <c r="J1913" s="78">
        <v>1098</v>
      </c>
      <c r="P1913" s="6"/>
      <c r="Q1913" s="6"/>
      <c r="R1913" s="6"/>
      <c r="S1913" s="118"/>
      <c r="T1913" s="119"/>
      <c r="U1913" s="132" t="s">
        <v>154</v>
      </c>
      <c r="V1913" s="132" t="s">
        <v>280</v>
      </c>
      <c r="W1913" s="132" t="s">
        <v>267</v>
      </c>
      <c r="X1913" s="133">
        <v>41726</v>
      </c>
      <c r="Y1913" s="134">
        <v>671</v>
      </c>
    </row>
    <row r="1914" spans="6:25" x14ac:dyDescent="0.25">
      <c r="F1914" s="76" t="s">
        <v>150</v>
      </c>
      <c r="G1914" s="77" t="s">
        <v>188</v>
      </c>
      <c r="H1914" s="77" t="s">
        <v>153</v>
      </c>
      <c r="I1914" s="86">
        <v>41914</v>
      </c>
      <c r="J1914" s="78">
        <v>1176</v>
      </c>
      <c r="P1914" s="6"/>
      <c r="Q1914" s="6"/>
      <c r="R1914" s="6"/>
      <c r="S1914" s="118"/>
      <c r="T1914" s="119"/>
      <c r="U1914" s="132" t="s">
        <v>154</v>
      </c>
      <c r="V1914" s="132" t="s">
        <v>280</v>
      </c>
      <c r="W1914" s="132" t="s">
        <v>267</v>
      </c>
      <c r="X1914" s="133">
        <v>41726</v>
      </c>
      <c r="Y1914" s="134">
        <v>742</v>
      </c>
    </row>
    <row r="1915" spans="6:25" x14ac:dyDescent="0.25">
      <c r="F1915" s="76" t="s">
        <v>150</v>
      </c>
      <c r="G1915" s="77" t="s">
        <v>188</v>
      </c>
      <c r="H1915" s="77" t="s">
        <v>153</v>
      </c>
      <c r="I1915" s="86">
        <v>41915</v>
      </c>
      <c r="J1915" s="78">
        <v>923</v>
      </c>
      <c r="P1915" s="6"/>
      <c r="Q1915" s="6"/>
      <c r="R1915" s="6"/>
      <c r="S1915" s="118"/>
      <c r="T1915" s="119"/>
      <c r="U1915" s="132" t="s">
        <v>154</v>
      </c>
      <c r="V1915" s="132" t="s">
        <v>280</v>
      </c>
      <c r="W1915" s="132" t="s">
        <v>267</v>
      </c>
      <c r="X1915" s="133">
        <v>41726</v>
      </c>
      <c r="Y1915" s="134">
        <v>983</v>
      </c>
    </row>
    <row r="1916" spans="6:25" x14ac:dyDescent="0.25">
      <c r="F1916" s="76" t="s">
        <v>150</v>
      </c>
      <c r="G1916" s="77" t="s">
        <v>188</v>
      </c>
      <c r="H1916" s="77" t="s">
        <v>153</v>
      </c>
      <c r="I1916" s="86">
        <v>41918</v>
      </c>
      <c r="J1916" s="78">
        <v>935</v>
      </c>
      <c r="P1916" s="6"/>
      <c r="Q1916" s="6"/>
      <c r="R1916" s="6"/>
      <c r="S1916" s="118"/>
      <c r="T1916" s="119"/>
      <c r="U1916" s="132" t="s">
        <v>154</v>
      </c>
      <c r="V1916" s="132" t="s">
        <v>280</v>
      </c>
      <c r="W1916" s="132" t="s">
        <v>267</v>
      </c>
      <c r="X1916" s="133">
        <v>41771</v>
      </c>
      <c r="Y1916" s="134">
        <v>661</v>
      </c>
    </row>
    <row r="1917" spans="6:25" x14ac:dyDescent="0.25">
      <c r="F1917" s="76" t="s">
        <v>150</v>
      </c>
      <c r="G1917" s="77" t="s">
        <v>188</v>
      </c>
      <c r="H1917" s="77" t="s">
        <v>153</v>
      </c>
      <c r="I1917" s="86">
        <v>41919</v>
      </c>
      <c r="J1917" s="78">
        <v>1219</v>
      </c>
      <c r="P1917" s="6"/>
      <c r="Q1917" s="6"/>
      <c r="R1917" s="6"/>
      <c r="S1917" s="118"/>
      <c r="T1917" s="119"/>
      <c r="U1917" s="132" t="s">
        <v>154</v>
      </c>
      <c r="V1917" s="132" t="s">
        <v>280</v>
      </c>
      <c r="W1917" s="132" t="s">
        <v>267</v>
      </c>
      <c r="X1917" s="133">
        <v>41772</v>
      </c>
      <c r="Y1917" s="134">
        <v>596</v>
      </c>
    </row>
    <row r="1918" spans="6:25" x14ac:dyDescent="0.25">
      <c r="F1918" s="76" t="s">
        <v>150</v>
      </c>
      <c r="G1918" s="77" t="s">
        <v>188</v>
      </c>
      <c r="H1918" s="77" t="s">
        <v>153</v>
      </c>
      <c r="I1918" s="86">
        <v>41920</v>
      </c>
      <c r="J1918" s="78">
        <v>880</v>
      </c>
      <c r="P1918" s="6"/>
      <c r="Q1918" s="6"/>
      <c r="R1918" s="6"/>
      <c r="S1918" s="118"/>
      <c r="T1918" s="119"/>
      <c r="U1918" s="132" t="s">
        <v>154</v>
      </c>
      <c r="V1918" s="132" t="s">
        <v>280</v>
      </c>
      <c r="W1918" s="132" t="s">
        <v>267</v>
      </c>
      <c r="X1918" s="133">
        <v>41772</v>
      </c>
      <c r="Y1918" s="134">
        <v>706</v>
      </c>
    </row>
    <row r="1919" spans="6:25" x14ac:dyDescent="0.25">
      <c r="F1919" s="76" t="s">
        <v>150</v>
      </c>
      <c r="G1919" s="77" t="s">
        <v>188</v>
      </c>
      <c r="H1919" s="77" t="s">
        <v>153</v>
      </c>
      <c r="I1919" s="86">
        <v>41922</v>
      </c>
      <c r="J1919" s="78">
        <v>1104</v>
      </c>
      <c r="P1919" s="6"/>
      <c r="Q1919" s="6"/>
      <c r="R1919" s="6"/>
      <c r="S1919" s="118"/>
      <c r="T1919" s="119"/>
      <c r="U1919" s="132" t="s">
        <v>154</v>
      </c>
      <c r="V1919" s="132" t="s">
        <v>280</v>
      </c>
      <c r="W1919" s="132" t="s">
        <v>267</v>
      </c>
      <c r="X1919" s="133">
        <v>41773</v>
      </c>
      <c r="Y1919" s="134">
        <v>670</v>
      </c>
    </row>
    <row r="1920" spans="6:25" x14ac:dyDescent="0.25">
      <c r="F1920" s="76" t="s">
        <v>150</v>
      </c>
      <c r="G1920" s="77" t="s">
        <v>188</v>
      </c>
      <c r="H1920" s="77" t="s">
        <v>153</v>
      </c>
      <c r="I1920" s="86">
        <v>41922</v>
      </c>
      <c r="J1920" s="78">
        <v>1239</v>
      </c>
      <c r="P1920" s="6"/>
      <c r="Q1920" s="6"/>
      <c r="R1920" s="6"/>
      <c r="S1920" s="118"/>
      <c r="T1920" s="119"/>
      <c r="U1920" s="132" t="s">
        <v>154</v>
      </c>
      <c r="V1920" s="132" t="s">
        <v>280</v>
      </c>
      <c r="W1920" s="132" t="s">
        <v>267</v>
      </c>
      <c r="X1920" s="133">
        <v>41774</v>
      </c>
      <c r="Y1920" s="134">
        <v>885</v>
      </c>
    </row>
    <row r="1921" spans="6:25" x14ac:dyDescent="0.25">
      <c r="F1921" s="76" t="s">
        <v>150</v>
      </c>
      <c r="G1921" s="77" t="s">
        <v>188</v>
      </c>
      <c r="H1921" s="77" t="s">
        <v>153</v>
      </c>
      <c r="I1921" s="86">
        <v>41932</v>
      </c>
      <c r="J1921" s="78">
        <v>437</v>
      </c>
      <c r="P1921" s="6"/>
      <c r="Q1921" s="6"/>
      <c r="R1921" s="6"/>
      <c r="S1921" s="118"/>
      <c r="T1921" s="119"/>
      <c r="U1921" s="132" t="s">
        <v>154</v>
      </c>
      <c r="V1921" s="132" t="s">
        <v>280</v>
      </c>
      <c r="W1921" s="132" t="s">
        <v>267</v>
      </c>
      <c r="X1921" s="133">
        <v>41775</v>
      </c>
      <c r="Y1921" s="134">
        <v>870</v>
      </c>
    </row>
    <row r="1922" spans="6:25" x14ac:dyDescent="0.25">
      <c r="F1922" s="76" t="s">
        <v>150</v>
      </c>
      <c r="G1922" s="77" t="s">
        <v>188</v>
      </c>
      <c r="H1922" s="77" t="s">
        <v>153</v>
      </c>
      <c r="I1922" s="86">
        <v>41933</v>
      </c>
      <c r="J1922" s="78">
        <v>628</v>
      </c>
      <c r="P1922" s="6"/>
      <c r="Q1922" s="6"/>
      <c r="R1922" s="6"/>
      <c r="S1922" s="118"/>
      <c r="T1922" s="119"/>
      <c r="U1922" s="132" t="s">
        <v>154</v>
      </c>
      <c r="V1922" s="132" t="s">
        <v>280</v>
      </c>
      <c r="W1922" s="132" t="s">
        <v>267</v>
      </c>
      <c r="X1922" s="133">
        <v>41778</v>
      </c>
      <c r="Y1922" s="134">
        <v>879</v>
      </c>
    </row>
    <row r="1923" spans="6:25" x14ac:dyDescent="0.25">
      <c r="F1923" s="76" t="s">
        <v>150</v>
      </c>
      <c r="G1923" s="77" t="s">
        <v>188</v>
      </c>
      <c r="H1923" s="77" t="s">
        <v>153</v>
      </c>
      <c r="I1923" s="86">
        <v>41934</v>
      </c>
      <c r="J1923" s="78">
        <v>574</v>
      </c>
      <c r="P1923" s="6"/>
      <c r="Q1923" s="6"/>
      <c r="R1923" s="6"/>
      <c r="S1923" s="118"/>
      <c r="T1923" s="119"/>
      <c r="U1923" s="132" t="s">
        <v>154</v>
      </c>
      <c r="V1923" s="132" t="s">
        <v>280</v>
      </c>
      <c r="W1923" s="132" t="s">
        <v>267</v>
      </c>
      <c r="X1923" s="133">
        <v>41779</v>
      </c>
      <c r="Y1923" s="134">
        <v>1081</v>
      </c>
    </row>
    <row r="1924" spans="6:25" x14ac:dyDescent="0.25">
      <c r="F1924" s="76" t="s">
        <v>150</v>
      </c>
      <c r="G1924" s="77" t="s">
        <v>188</v>
      </c>
      <c r="H1924" s="77" t="s">
        <v>153</v>
      </c>
      <c r="I1924" s="86">
        <v>41935</v>
      </c>
      <c r="J1924" s="78">
        <v>674</v>
      </c>
      <c r="P1924" s="6"/>
      <c r="Q1924" s="6"/>
      <c r="R1924" s="6"/>
      <c r="S1924" s="118"/>
      <c r="T1924" s="119"/>
      <c r="U1924" s="132" t="s">
        <v>154</v>
      </c>
      <c r="V1924" s="132" t="s">
        <v>280</v>
      </c>
      <c r="W1924" s="132" t="s">
        <v>267</v>
      </c>
      <c r="X1924" s="133">
        <v>41779</v>
      </c>
      <c r="Y1924" s="134">
        <v>731</v>
      </c>
    </row>
    <row r="1925" spans="6:25" x14ac:dyDescent="0.25">
      <c r="F1925" s="76" t="s">
        <v>150</v>
      </c>
      <c r="G1925" s="77" t="s">
        <v>188</v>
      </c>
      <c r="H1925" s="77" t="s">
        <v>153</v>
      </c>
      <c r="I1925" s="86">
        <v>41942</v>
      </c>
      <c r="J1925" s="78">
        <v>1003</v>
      </c>
      <c r="P1925" s="6"/>
      <c r="Q1925" s="6"/>
      <c r="R1925" s="6"/>
      <c r="S1925" s="118"/>
      <c r="T1925" s="119"/>
      <c r="U1925" s="132" t="s">
        <v>154</v>
      </c>
      <c r="V1925" s="132" t="s">
        <v>280</v>
      </c>
      <c r="W1925" s="132" t="s">
        <v>267</v>
      </c>
      <c r="X1925" s="133">
        <v>41780</v>
      </c>
      <c r="Y1925" s="134">
        <v>661</v>
      </c>
    </row>
    <row r="1926" spans="6:25" x14ac:dyDescent="0.25">
      <c r="F1926" s="76" t="s">
        <v>150</v>
      </c>
      <c r="G1926" s="77" t="s">
        <v>188</v>
      </c>
      <c r="H1926" s="77" t="s">
        <v>153</v>
      </c>
      <c r="I1926" s="86">
        <v>41947</v>
      </c>
      <c r="J1926" s="78">
        <v>980</v>
      </c>
      <c r="P1926" s="6"/>
      <c r="Q1926" s="6"/>
      <c r="R1926" s="6"/>
      <c r="S1926" s="118"/>
      <c r="T1926" s="119"/>
      <c r="U1926" s="132" t="s">
        <v>154</v>
      </c>
      <c r="V1926" s="132" t="s">
        <v>280</v>
      </c>
      <c r="W1926" s="132" t="s">
        <v>267</v>
      </c>
      <c r="X1926" s="133">
        <v>41787</v>
      </c>
      <c r="Y1926" s="134">
        <v>729</v>
      </c>
    </row>
    <row r="1927" spans="6:25" x14ac:dyDescent="0.25">
      <c r="F1927" s="76" t="s">
        <v>150</v>
      </c>
      <c r="G1927" s="77" t="s">
        <v>188</v>
      </c>
      <c r="H1927" s="77" t="s">
        <v>153</v>
      </c>
      <c r="I1927" s="86">
        <v>41949</v>
      </c>
      <c r="J1927" s="78">
        <v>827</v>
      </c>
      <c r="P1927" s="6"/>
      <c r="Q1927" s="6"/>
      <c r="R1927" s="6"/>
      <c r="S1927" s="118"/>
      <c r="T1927" s="119"/>
      <c r="U1927" s="132" t="s">
        <v>154</v>
      </c>
      <c r="V1927" s="132" t="s">
        <v>280</v>
      </c>
      <c r="W1927" s="132" t="s">
        <v>267</v>
      </c>
      <c r="X1927" s="133">
        <v>41788</v>
      </c>
      <c r="Y1927" s="134">
        <v>925</v>
      </c>
    </row>
    <row r="1928" spans="6:25" x14ac:dyDescent="0.25">
      <c r="F1928" s="76" t="s">
        <v>150</v>
      </c>
      <c r="G1928" s="77" t="s">
        <v>188</v>
      </c>
      <c r="H1928" s="77" t="s">
        <v>153</v>
      </c>
      <c r="I1928" s="86">
        <v>41949</v>
      </c>
      <c r="J1928" s="78">
        <v>387</v>
      </c>
      <c r="P1928" s="6"/>
      <c r="Q1928" s="6"/>
      <c r="R1928" s="6"/>
      <c r="S1928" s="118"/>
      <c r="T1928" s="119"/>
      <c r="U1928" s="132" t="s">
        <v>154</v>
      </c>
      <c r="V1928" s="132" t="s">
        <v>280</v>
      </c>
      <c r="W1928" s="132" t="s">
        <v>267</v>
      </c>
      <c r="X1928" s="133">
        <v>41789</v>
      </c>
      <c r="Y1928" s="134">
        <v>655</v>
      </c>
    </row>
    <row r="1929" spans="6:25" x14ac:dyDescent="0.25">
      <c r="F1929" s="76" t="s">
        <v>150</v>
      </c>
      <c r="G1929" s="77" t="s">
        <v>188</v>
      </c>
      <c r="H1929" s="77" t="s">
        <v>153</v>
      </c>
      <c r="I1929" s="86">
        <v>41953</v>
      </c>
      <c r="J1929" s="78">
        <v>616</v>
      </c>
      <c r="P1929" s="6"/>
      <c r="Q1929" s="6"/>
      <c r="R1929" s="6"/>
      <c r="S1929" s="118"/>
      <c r="T1929" s="119"/>
      <c r="U1929" s="132" t="s">
        <v>154</v>
      </c>
      <c r="V1929" s="132" t="s">
        <v>280</v>
      </c>
      <c r="W1929" s="132" t="s">
        <v>267</v>
      </c>
      <c r="X1929" s="133">
        <v>41789</v>
      </c>
      <c r="Y1929" s="134">
        <v>655</v>
      </c>
    </row>
    <row r="1930" spans="6:25" x14ac:dyDescent="0.25">
      <c r="F1930" s="76" t="s">
        <v>150</v>
      </c>
      <c r="G1930" s="77" t="s">
        <v>188</v>
      </c>
      <c r="H1930" s="77" t="s">
        <v>153</v>
      </c>
      <c r="I1930" s="86">
        <v>41957</v>
      </c>
      <c r="J1930" s="78">
        <v>633</v>
      </c>
      <c r="P1930" s="6"/>
      <c r="Q1930" s="6"/>
      <c r="R1930" s="6"/>
      <c r="S1930" s="118"/>
      <c r="T1930" s="119"/>
      <c r="U1930" s="132" t="s">
        <v>154</v>
      </c>
      <c r="V1930" s="132" t="s">
        <v>280</v>
      </c>
      <c r="W1930" s="132" t="s">
        <v>267</v>
      </c>
      <c r="X1930" s="133">
        <v>41792</v>
      </c>
      <c r="Y1930" s="134">
        <v>703</v>
      </c>
    </row>
    <row r="1931" spans="6:25" x14ac:dyDescent="0.25">
      <c r="F1931" s="76" t="s">
        <v>150</v>
      </c>
      <c r="G1931" s="77" t="s">
        <v>188</v>
      </c>
      <c r="H1931" s="77" t="s">
        <v>153</v>
      </c>
      <c r="I1931" s="86">
        <v>41960</v>
      </c>
      <c r="J1931" s="78">
        <v>517</v>
      </c>
      <c r="P1931" s="6"/>
      <c r="Q1931" s="6"/>
      <c r="R1931" s="6"/>
      <c r="S1931" s="118"/>
      <c r="T1931" s="119"/>
      <c r="U1931" s="132" t="s">
        <v>154</v>
      </c>
      <c r="V1931" s="132" t="s">
        <v>280</v>
      </c>
      <c r="W1931" s="132" t="s">
        <v>267</v>
      </c>
      <c r="X1931" s="133">
        <v>41793</v>
      </c>
      <c r="Y1931" s="134">
        <v>685</v>
      </c>
    </row>
    <row r="1932" spans="6:25" x14ac:dyDescent="0.25">
      <c r="F1932" s="76" t="s">
        <v>150</v>
      </c>
      <c r="G1932" s="77" t="s">
        <v>188</v>
      </c>
      <c r="H1932" s="77" t="s">
        <v>153</v>
      </c>
      <c r="I1932" s="86">
        <v>41989</v>
      </c>
      <c r="J1932" s="78">
        <v>919</v>
      </c>
      <c r="P1932" s="6"/>
      <c r="Q1932" s="6"/>
      <c r="R1932" s="6"/>
      <c r="S1932" s="118"/>
      <c r="T1932" s="119"/>
      <c r="U1932" s="132" t="s">
        <v>154</v>
      </c>
      <c r="V1932" s="132" t="s">
        <v>280</v>
      </c>
      <c r="W1932" s="132" t="s">
        <v>267</v>
      </c>
      <c r="X1932" s="133">
        <v>41794</v>
      </c>
      <c r="Y1932" s="134">
        <v>540</v>
      </c>
    </row>
    <row r="1933" spans="6:25" x14ac:dyDescent="0.25">
      <c r="F1933" s="76" t="s">
        <v>150</v>
      </c>
      <c r="G1933" s="77" t="s">
        <v>188</v>
      </c>
      <c r="H1933" s="77" t="s">
        <v>153</v>
      </c>
      <c r="I1933" s="86">
        <v>41991</v>
      </c>
      <c r="J1933" s="78">
        <v>559</v>
      </c>
      <c r="P1933" s="6"/>
      <c r="Q1933" s="6"/>
      <c r="R1933" s="6"/>
      <c r="S1933" s="118"/>
      <c r="T1933" s="119"/>
      <c r="U1933" s="132" t="s">
        <v>154</v>
      </c>
      <c r="V1933" s="132" t="s">
        <v>280</v>
      </c>
      <c r="W1933" s="132" t="s">
        <v>267</v>
      </c>
      <c r="X1933" s="133">
        <v>41795</v>
      </c>
      <c r="Y1933" s="134">
        <v>1220</v>
      </c>
    </row>
    <row r="1934" spans="6:25" x14ac:dyDescent="0.25">
      <c r="F1934" s="76" t="s">
        <v>150</v>
      </c>
      <c r="G1934" s="77" t="s">
        <v>188</v>
      </c>
      <c r="H1934" s="77" t="s">
        <v>153</v>
      </c>
      <c r="I1934" s="86">
        <v>41992</v>
      </c>
      <c r="J1934" s="78">
        <v>772</v>
      </c>
      <c r="P1934" s="6"/>
      <c r="Q1934" s="6"/>
      <c r="R1934" s="6"/>
      <c r="S1934" s="118"/>
      <c r="T1934" s="119"/>
      <c r="U1934" s="132" t="s">
        <v>154</v>
      </c>
      <c r="V1934" s="132" t="s">
        <v>280</v>
      </c>
      <c r="W1934" s="132" t="s">
        <v>267</v>
      </c>
      <c r="X1934" s="133">
        <v>41831</v>
      </c>
      <c r="Y1934" s="134">
        <v>821</v>
      </c>
    </row>
    <row r="1935" spans="6:25" x14ac:dyDescent="0.25">
      <c r="F1935" s="76" t="s">
        <v>150</v>
      </c>
      <c r="G1935" s="77" t="s">
        <v>188</v>
      </c>
      <c r="H1935" s="77" t="s">
        <v>153</v>
      </c>
      <c r="I1935" s="86">
        <v>41995</v>
      </c>
      <c r="J1935" s="78">
        <v>664</v>
      </c>
      <c r="P1935" s="6"/>
      <c r="Q1935" s="6"/>
      <c r="R1935" s="6"/>
      <c r="S1935" s="118"/>
      <c r="T1935" s="119"/>
      <c r="U1935" s="132" t="s">
        <v>154</v>
      </c>
      <c r="V1935" s="132" t="s">
        <v>280</v>
      </c>
      <c r="W1935" s="132" t="s">
        <v>267</v>
      </c>
      <c r="X1935" s="133">
        <v>41832</v>
      </c>
      <c r="Y1935" s="134">
        <v>513</v>
      </c>
    </row>
    <row r="1936" spans="6:25" x14ac:dyDescent="0.25">
      <c r="F1936" s="76" t="s">
        <v>150</v>
      </c>
      <c r="G1936" s="77" t="s">
        <v>188</v>
      </c>
      <c r="H1936" s="77" t="s">
        <v>153</v>
      </c>
      <c r="I1936" s="86">
        <v>41997</v>
      </c>
      <c r="J1936" s="78">
        <v>1167</v>
      </c>
      <c r="P1936" s="6"/>
      <c r="Q1936" s="6"/>
      <c r="R1936" s="6"/>
      <c r="S1936" s="118"/>
      <c r="T1936" s="119"/>
      <c r="U1936" s="132" t="s">
        <v>154</v>
      </c>
      <c r="V1936" s="132" t="s">
        <v>280</v>
      </c>
      <c r="W1936" s="132" t="s">
        <v>267</v>
      </c>
      <c r="X1936" s="133">
        <v>41833</v>
      </c>
      <c r="Y1936" s="134">
        <v>792</v>
      </c>
    </row>
    <row r="1937" spans="6:25" x14ac:dyDescent="0.25">
      <c r="F1937" s="76" t="s">
        <v>150</v>
      </c>
      <c r="G1937" s="77" t="s">
        <v>164</v>
      </c>
      <c r="H1937" s="77" t="s">
        <v>153</v>
      </c>
      <c r="I1937" s="86">
        <v>41934</v>
      </c>
      <c r="J1937" s="78">
        <v>1007</v>
      </c>
      <c r="P1937" s="6"/>
      <c r="Q1937" s="6"/>
      <c r="R1937" s="6"/>
      <c r="S1937" s="118"/>
      <c r="T1937" s="119"/>
      <c r="U1937" s="132" t="s">
        <v>154</v>
      </c>
      <c r="V1937" s="132" t="s">
        <v>280</v>
      </c>
      <c r="W1937" s="132" t="s">
        <v>267</v>
      </c>
      <c r="X1937" s="133">
        <v>41833</v>
      </c>
      <c r="Y1937" s="134">
        <v>708</v>
      </c>
    </row>
    <row r="1938" spans="6:25" x14ac:dyDescent="0.25">
      <c r="F1938" s="76" t="s">
        <v>150</v>
      </c>
      <c r="G1938" s="77" t="s">
        <v>166</v>
      </c>
      <c r="H1938" s="77" t="s">
        <v>153</v>
      </c>
      <c r="I1938" s="86">
        <v>41672</v>
      </c>
      <c r="J1938" s="78">
        <v>647</v>
      </c>
      <c r="P1938" s="6"/>
      <c r="Q1938" s="6"/>
      <c r="R1938" s="6"/>
      <c r="S1938" s="118"/>
      <c r="T1938" s="119"/>
      <c r="U1938" s="132" t="s">
        <v>154</v>
      </c>
      <c r="V1938" s="132" t="s">
        <v>280</v>
      </c>
      <c r="W1938" s="132" t="s">
        <v>267</v>
      </c>
      <c r="X1938" s="133">
        <v>41834</v>
      </c>
      <c r="Y1938" s="134">
        <v>925</v>
      </c>
    </row>
    <row r="1939" spans="6:25" x14ac:dyDescent="0.25">
      <c r="F1939" s="76" t="s">
        <v>150</v>
      </c>
      <c r="G1939" s="77" t="s">
        <v>166</v>
      </c>
      <c r="H1939" s="77" t="s">
        <v>153</v>
      </c>
      <c r="I1939" s="86">
        <v>41674</v>
      </c>
      <c r="J1939" s="78">
        <v>935</v>
      </c>
      <c r="P1939" s="6"/>
      <c r="Q1939" s="6"/>
      <c r="R1939" s="6"/>
      <c r="S1939" s="118"/>
      <c r="T1939" s="119"/>
      <c r="U1939" s="132" t="s">
        <v>154</v>
      </c>
      <c r="V1939" s="132" t="s">
        <v>280</v>
      </c>
      <c r="W1939" s="132" t="s">
        <v>267</v>
      </c>
      <c r="X1939" s="133">
        <v>41835</v>
      </c>
      <c r="Y1939" s="134">
        <v>870</v>
      </c>
    </row>
    <row r="1940" spans="6:25" x14ac:dyDescent="0.25">
      <c r="F1940" s="76" t="s">
        <v>150</v>
      </c>
      <c r="G1940" s="77" t="s">
        <v>166</v>
      </c>
      <c r="H1940" s="77" t="s">
        <v>153</v>
      </c>
      <c r="I1940" s="86">
        <v>41675</v>
      </c>
      <c r="J1940" s="78">
        <v>739</v>
      </c>
      <c r="P1940" s="6"/>
      <c r="Q1940" s="6"/>
      <c r="R1940" s="6"/>
      <c r="S1940" s="118"/>
      <c r="T1940" s="119"/>
      <c r="U1940" s="132" t="s">
        <v>154</v>
      </c>
      <c r="V1940" s="132" t="s">
        <v>280</v>
      </c>
      <c r="W1940" s="132" t="s">
        <v>267</v>
      </c>
      <c r="X1940" s="133">
        <v>41836</v>
      </c>
      <c r="Y1940" s="134">
        <v>860</v>
      </c>
    </row>
    <row r="1941" spans="6:25" x14ac:dyDescent="0.25">
      <c r="F1941" s="76" t="s">
        <v>150</v>
      </c>
      <c r="G1941" s="77" t="s">
        <v>166</v>
      </c>
      <c r="H1941" s="77" t="s">
        <v>153</v>
      </c>
      <c r="I1941" s="86">
        <v>41677</v>
      </c>
      <c r="J1941" s="78">
        <v>670</v>
      </c>
      <c r="P1941" s="6"/>
      <c r="Q1941" s="6"/>
      <c r="R1941" s="6"/>
      <c r="S1941" s="118"/>
      <c r="T1941" s="119"/>
      <c r="U1941" s="132" t="s">
        <v>154</v>
      </c>
      <c r="V1941" s="132" t="s">
        <v>280</v>
      </c>
      <c r="W1941" s="132" t="s">
        <v>267</v>
      </c>
      <c r="X1941" s="133">
        <v>41837</v>
      </c>
      <c r="Y1941" s="134">
        <v>803</v>
      </c>
    </row>
    <row r="1942" spans="6:25" x14ac:dyDescent="0.25">
      <c r="F1942" s="76" t="s">
        <v>150</v>
      </c>
      <c r="G1942" s="77" t="s">
        <v>166</v>
      </c>
      <c r="H1942" s="77" t="s">
        <v>153</v>
      </c>
      <c r="I1942" s="86">
        <v>41677</v>
      </c>
      <c r="J1942" s="78">
        <v>1064</v>
      </c>
      <c r="P1942" s="6"/>
      <c r="Q1942" s="6"/>
      <c r="R1942" s="6"/>
      <c r="S1942" s="118"/>
      <c r="T1942" s="119"/>
      <c r="U1942" s="132" t="s">
        <v>154</v>
      </c>
      <c r="V1942" s="132" t="s">
        <v>280</v>
      </c>
      <c r="W1942" s="132" t="s">
        <v>267</v>
      </c>
      <c r="X1942" s="133">
        <v>41838</v>
      </c>
      <c r="Y1942" s="134">
        <v>600</v>
      </c>
    </row>
    <row r="1943" spans="6:25" x14ac:dyDescent="0.25">
      <c r="F1943" s="76" t="s">
        <v>150</v>
      </c>
      <c r="G1943" s="77" t="s">
        <v>166</v>
      </c>
      <c r="H1943" s="77" t="s">
        <v>153</v>
      </c>
      <c r="I1943" s="86">
        <v>41679</v>
      </c>
      <c r="J1943" s="78">
        <v>878</v>
      </c>
      <c r="P1943" s="6"/>
      <c r="Q1943" s="6"/>
      <c r="R1943" s="6"/>
      <c r="S1943" s="118"/>
      <c r="T1943" s="119"/>
      <c r="U1943" s="132" t="s">
        <v>154</v>
      </c>
      <c r="V1943" s="132" t="s">
        <v>280</v>
      </c>
      <c r="W1943" s="132" t="s">
        <v>267</v>
      </c>
      <c r="X1943" s="133">
        <v>41838</v>
      </c>
      <c r="Y1943" s="134">
        <v>843</v>
      </c>
    </row>
    <row r="1944" spans="6:25" x14ac:dyDescent="0.25">
      <c r="F1944" s="76" t="s">
        <v>150</v>
      </c>
      <c r="G1944" s="77" t="s">
        <v>166</v>
      </c>
      <c r="H1944" s="77" t="s">
        <v>153</v>
      </c>
      <c r="I1944" s="86">
        <v>41680</v>
      </c>
      <c r="J1944" s="78">
        <v>996</v>
      </c>
      <c r="P1944" s="6"/>
      <c r="Q1944" s="6"/>
      <c r="R1944" s="6"/>
      <c r="S1944" s="118"/>
      <c r="T1944" s="119"/>
      <c r="U1944" s="132" t="s">
        <v>154</v>
      </c>
      <c r="V1944" s="132" t="s">
        <v>280</v>
      </c>
      <c r="W1944" s="132" t="s">
        <v>267</v>
      </c>
      <c r="X1944" s="133">
        <v>41840</v>
      </c>
      <c r="Y1944" s="134">
        <v>537</v>
      </c>
    </row>
    <row r="1945" spans="6:25" x14ac:dyDescent="0.25">
      <c r="F1945" s="76" t="s">
        <v>150</v>
      </c>
      <c r="G1945" s="77" t="s">
        <v>166</v>
      </c>
      <c r="H1945" s="77" t="s">
        <v>153</v>
      </c>
      <c r="I1945" s="86">
        <v>41681</v>
      </c>
      <c r="J1945" s="78">
        <v>944</v>
      </c>
      <c r="P1945" s="6"/>
      <c r="Q1945" s="6"/>
      <c r="R1945" s="6"/>
      <c r="S1945" s="118"/>
      <c r="T1945" s="119"/>
      <c r="U1945" s="132" t="s">
        <v>154</v>
      </c>
      <c r="V1945" s="132" t="s">
        <v>280</v>
      </c>
      <c r="W1945" s="132" t="s">
        <v>267</v>
      </c>
      <c r="X1945" s="133">
        <v>41841</v>
      </c>
      <c r="Y1945" s="134">
        <v>790</v>
      </c>
    </row>
    <row r="1946" spans="6:25" x14ac:dyDescent="0.25">
      <c r="F1946" s="76" t="s">
        <v>150</v>
      </c>
      <c r="G1946" s="77" t="s">
        <v>166</v>
      </c>
      <c r="H1946" s="77" t="s">
        <v>153</v>
      </c>
      <c r="I1946" s="86">
        <v>41682</v>
      </c>
      <c r="J1946" s="78">
        <v>481</v>
      </c>
      <c r="P1946" s="6"/>
      <c r="Q1946" s="6"/>
      <c r="R1946" s="6"/>
      <c r="S1946" s="118"/>
      <c r="T1946" s="119"/>
      <c r="U1946" s="132" t="s">
        <v>154</v>
      </c>
      <c r="V1946" s="132" t="s">
        <v>280</v>
      </c>
      <c r="W1946" s="132" t="s">
        <v>267</v>
      </c>
      <c r="X1946" s="133">
        <v>41841</v>
      </c>
      <c r="Y1946" s="134">
        <v>705</v>
      </c>
    </row>
    <row r="1947" spans="6:25" x14ac:dyDescent="0.25">
      <c r="F1947" s="76" t="s">
        <v>150</v>
      </c>
      <c r="G1947" s="77" t="s">
        <v>166</v>
      </c>
      <c r="H1947" s="77" t="s">
        <v>153</v>
      </c>
      <c r="I1947" s="86">
        <v>41683</v>
      </c>
      <c r="J1947" s="78">
        <v>1118</v>
      </c>
      <c r="P1947" s="6"/>
      <c r="Q1947" s="6"/>
      <c r="R1947" s="6"/>
      <c r="S1947" s="118"/>
      <c r="T1947" s="119"/>
      <c r="U1947" s="132" t="s">
        <v>154</v>
      </c>
      <c r="V1947" s="132" t="s">
        <v>280</v>
      </c>
      <c r="W1947" s="132" t="s">
        <v>267</v>
      </c>
      <c r="X1947" s="133">
        <v>41863</v>
      </c>
      <c r="Y1947" s="134">
        <v>970</v>
      </c>
    </row>
    <row r="1948" spans="6:25" x14ac:dyDescent="0.25">
      <c r="F1948" s="76" t="s">
        <v>150</v>
      </c>
      <c r="G1948" s="77" t="s">
        <v>166</v>
      </c>
      <c r="H1948" s="77" t="s">
        <v>153</v>
      </c>
      <c r="I1948" s="86">
        <v>41689</v>
      </c>
      <c r="J1948" s="78">
        <v>808</v>
      </c>
      <c r="P1948" s="6"/>
      <c r="Q1948" s="6"/>
      <c r="R1948" s="6"/>
      <c r="S1948" s="118"/>
      <c r="T1948" s="119"/>
      <c r="U1948" s="132" t="s">
        <v>154</v>
      </c>
      <c r="V1948" s="132" t="s">
        <v>280</v>
      </c>
      <c r="W1948" s="132" t="s">
        <v>267</v>
      </c>
      <c r="X1948" s="133">
        <v>41864</v>
      </c>
      <c r="Y1948" s="134">
        <v>950</v>
      </c>
    </row>
    <row r="1949" spans="6:25" x14ac:dyDescent="0.25">
      <c r="F1949" s="76" t="s">
        <v>150</v>
      </c>
      <c r="G1949" s="77" t="s">
        <v>166</v>
      </c>
      <c r="H1949" s="77" t="s">
        <v>153</v>
      </c>
      <c r="I1949" s="86">
        <v>41690</v>
      </c>
      <c r="J1949" s="78">
        <v>511</v>
      </c>
      <c r="P1949" s="6"/>
      <c r="Q1949" s="6"/>
      <c r="R1949" s="6"/>
      <c r="S1949" s="118"/>
      <c r="T1949" s="119"/>
      <c r="U1949" s="132" t="s">
        <v>154</v>
      </c>
      <c r="V1949" s="132" t="s">
        <v>280</v>
      </c>
      <c r="W1949" s="132" t="s">
        <v>267</v>
      </c>
      <c r="X1949" s="133">
        <v>41865</v>
      </c>
      <c r="Y1949" s="134">
        <v>866</v>
      </c>
    </row>
    <row r="1950" spans="6:25" x14ac:dyDescent="0.25">
      <c r="F1950" s="76" t="s">
        <v>150</v>
      </c>
      <c r="G1950" s="77" t="s">
        <v>166</v>
      </c>
      <c r="H1950" s="77" t="s">
        <v>153</v>
      </c>
      <c r="I1950" s="86">
        <v>41691</v>
      </c>
      <c r="J1950" s="78">
        <v>1047</v>
      </c>
      <c r="P1950" s="6"/>
      <c r="Q1950" s="6"/>
      <c r="R1950" s="6"/>
      <c r="S1950" s="118"/>
      <c r="T1950" s="119"/>
      <c r="U1950" s="132" t="s">
        <v>154</v>
      </c>
      <c r="V1950" s="132" t="s">
        <v>280</v>
      </c>
      <c r="W1950" s="132" t="s">
        <v>267</v>
      </c>
      <c r="X1950" s="133">
        <v>41929</v>
      </c>
      <c r="Y1950" s="134">
        <v>859</v>
      </c>
    </row>
    <row r="1951" spans="6:25" x14ac:dyDescent="0.25">
      <c r="F1951" s="76" t="s">
        <v>150</v>
      </c>
      <c r="G1951" s="77" t="s">
        <v>166</v>
      </c>
      <c r="H1951" s="77" t="s">
        <v>153</v>
      </c>
      <c r="I1951" s="86">
        <v>41694</v>
      </c>
      <c r="J1951" s="78">
        <v>1196</v>
      </c>
      <c r="P1951" s="6"/>
      <c r="Q1951" s="6"/>
      <c r="R1951" s="6"/>
      <c r="S1951" s="118"/>
      <c r="T1951" s="119"/>
      <c r="U1951" s="132" t="s">
        <v>154</v>
      </c>
      <c r="V1951" s="132" t="s">
        <v>281</v>
      </c>
      <c r="W1951" s="132" t="s">
        <v>267</v>
      </c>
      <c r="X1951" s="133">
        <v>41660</v>
      </c>
      <c r="Y1951" s="134">
        <v>503</v>
      </c>
    </row>
    <row r="1952" spans="6:25" x14ac:dyDescent="0.25">
      <c r="F1952" s="76" t="s">
        <v>150</v>
      </c>
      <c r="G1952" s="77" t="s">
        <v>166</v>
      </c>
      <c r="H1952" s="77" t="s">
        <v>153</v>
      </c>
      <c r="I1952" s="86">
        <v>41695</v>
      </c>
      <c r="J1952" s="78">
        <v>596</v>
      </c>
      <c r="P1952" s="6"/>
      <c r="Q1952" s="6"/>
      <c r="R1952" s="6"/>
      <c r="S1952" s="118"/>
      <c r="T1952" s="119"/>
      <c r="U1952" s="132" t="s">
        <v>154</v>
      </c>
      <c r="V1952" s="132" t="s">
        <v>281</v>
      </c>
      <c r="W1952" s="132" t="s">
        <v>267</v>
      </c>
      <c r="X1952" s="133">
        <v>41661</v>
      </c>
      <c r="Y1952" s="134">
        <v>875</v>
      </c>
    </row>
    <row r="1953" spans="6:25" x14ac:dyDescent="0.25">
      <c r="F1953" s="76" t="s">
        <v>150</v>
      </c>
      <c r="G1953" s="77" t="s">
        <v>166</v>
      </c>
      <c r="H1953" s="77" t="s">
        <v>153</v>
      </c>
      <c r="I1953" s="86">
        <v>41696</v>
      </c>
      <c r="J1953" s="78">
        <v>1345</v>
      </c>
      <c r="P1953" s="6"/>
      <c r="Q1953" s="6"/>
      <c r="R1953" s="6"/>
      <c r="S1953" s="118"/>
      <c r="T1953" s="119"/>
      <c r="U1953" s="132" t="s">
        <v>154</v>
      </c>
      <c r="V1953" s="132" t="s">
        <v>281</v>
      </c>
      <c r="W1953" s="132" t="s">
        <v>267</v>
      </c>
      <c r="X1953" s="133">
        <v>41662</v>
      </c>
      <c r="Y1953" s="134">
        <v>1001</v>
      </c>
    </row>
    <row r="1954" spans="6:25" x14ac:dyDescent="0.25">
      <c r="F1954" s="76" t="s">
        <v>150</v>
      </c>
      <c r="G1954" s="77" t="s">
        <v>166</v>
      </c>
      <c r="H1954" s="77" t="s">
        <v>153</v>
      </c>
      <c r="I1954" s="86">
        <v>41698</v>
      </c>
      <c r="J1954" s="78">
        <v>1182</v>
      </c>
      <c r="P1954" s="6"/>
      <c r="Q1954" s="6"/>
      <c r="R1954" s="6"/>
      <c r="S1954" s="118"/>
      <c r="T1954" s="119"/>
      <c r="U1954" s="132" t="s">
        <v>154</v>
      </c>
      <c r="V1954" s="132" t="s">
        <v>281</v>
      </c>
      <c r="W1954" s="132" t="s">
        <v>267</v>
      </c>
      <c r="X1954" s="133">
        <v>41717</v>
      </c>
      <c r="Y1954" s="134">
        <v>310</v>
      </c>
    </row>
    <row r="1955" spans="6:25" x14ac:dyDescent="0.25">
      <c r="F1955" s="76" t="s">
        <v>150</v>
      </c>
      <c r="G1955" s="77" t="s">
        <v>166</v>
      </c>
      <c r="H1955" s="77" t="s">
        <v>153</v>
      </c>
      <c r="I1955" s="86">
        <v>41701</v>
      </c>
      <c r="J1955" s="78">
        <v>1133</v>
      </c>
      <c r="P1955" s="6"/>
      <c r="Q1955" s="6"/>
      <c r="R1955" s="6"/>
      <c r="S1955" s="118"/>
      <c r="T1955" s="119"/>
      <c r="U1955" s="132" t="s">
        <v>154</v>
      </c>
      <c r="V1955" s="132" t="s">
        <v>281</v>
      </c>
      <c r="W1955" s="132" t="s">
        <v>267</v>
      </c>
      <c r="X1955" s="133">
        <v>41718</v>
      </c>
      <c r="Y1955" s="134">
        <v>479</v>
      </c>
    </row>
    <row r="1956" spans="6:25" x14ac:dyDescent="0.25">
      <c r="F1956" s="76" t="s">
        <v>150</v>
      </c>
      <c r="G1956" s="77" t="s">
        <v>166</v>
      </c>
      <c r="H1956" s="77" t="s">
        <v>153</v>
      </c>
      <c r="I1956" s="86">
        <v>41703</v>
      </c>
      <c r="J1956" s="78">
        <v>996</v>
      </c>
      <c r="P1956" s="6"/>
      <c r="Q1956" s="6"/>
      <c r="R1956" s="6"/>
      <c r="S1956" s="118"/>
      <c r="T1956" s="119"/>
      <c r="U1956" s="132" t="s">
        <v>154</v>
      </c>
      <c r="V1956" s="132" t="s">
        <v>281</v>
      </c>
      <c r="W1956" s="132" t="s">
        <v>267</v>
      </c>
      <c r="X1956" s="133">
        <v>41719</v>
      </c>
      <c r="Y1956" s="134">
        <v>587</v>
      </c>
    </row>
    <row r="1957" spans="6:25" x14ac:dyDescent="0.25">
      <c r="F1957" s="76" t="s">
        <v>150</v>
      </c>
      <c r="G1957" s="77" t="s">
        <v>166</v>
      </c>
      <c r="H1957" s="77" t="s">
        <v>153</v>
      </c>
      <c r="I1957" s="86">
        <v>41704</v>
      </c>
      <c r="J1957" s="78">
        <v>421</v>
      </c>
      <c r="P1957" s="6"/>
      <c r="Q1957" s="6"/>
      <c r="R1957" s="6"/>
      <c r="S1957" s="118"/>
      <c r="T1957" s="119"/>
      <c r="U1957" s="132" t="s">
        <v>154</v>
      </c>
      <c r="V1957" s="132" t="s">
        <v>281</v>
      </c>
      <c r="W1957" s="132" t="s">
        <v>267</v>
      </c>
      <c r="X1957" s="133">
        <v>41719</v>
      </c>
      <c r="Y1957" s="134">
        <v>720</v>
      </c>
    </row>
    <row r="1958" spans="6:25" x14ac:dyDescent="0.25">
      <c r="F1958" s="76" t="s">
        <v>150</v>
      </c>
      <c r="G1958" s="77" t="s">
        <v>166</v>
      </c>
      <c r="H1958" s="77" t="s">
        <v>153</v>
      </c>
      <c r="I1958" s="86">
        <v>41705</v>
      </c>
      <c r="J1958" s="78">
        <v>1180</v>
      </c>
      <c r="P1958" s="6"/>
      <c r="Q1958" s="6"/>
      <c r="R1958" s="6"/>
      <c r="S1958" s="118"/>
      <c r="T1958" s="119"/>
      <c r="U1958" s="132" t="s">
        <v>154</v>
      </c>
      <c r="V1958" s="132" t="s">
        <v>281</v>
      </c>
      <c r="W1958" s="132" t="s">
        <v>267</v>
      </c>
      <c r="X1958" s="133">
        <v>41722</v>
      </c>
      <c r="Y1958" s="134">
        <v>850</v>
      </c>
    </row>
    <row r="1959" spans="6:25" x14ac:dyDescent="0.25">
      <c r="F1959" s="76" t="s">
        <v>150</v>
      </c>
      <c r="G1959" s="77" t="s">
        <v>166</v>
      </c>
      <c r="H1959" s="77" t="s">
        <v>153</v>
      </c>
      <c r="I1959" s="86">
        <v>41722</v>
      </c>
      <c r="J1959" s="78">
        <v>517</v>
      </c>
      <c r="P1959" s="6"/>
      <c r="Q1959" s="6"/>
      <c r="R1959" s="6"/>
      <c r="S1959" s="118"/>
      <c r="T1959" s="119"/>
      <c r="U1959" s="132" t="s">
        <v>154</v>
      </c>
      <c r="V1959" s="132" t="s">
        <v>281</v>
      </c>
      <c r="W1959" s="132" t="s">
        <v>267</v>
      </c>
      <c r="X1959" s="133">
        <v>41723</v>
      </c>
      <c r="Y1959" s="134">
        <v>576</v>
      </c>
    </row>
    <row r="1960" spans="6:25" x14ac:dyDescent="0.25">
      <c r="F1960" s="76" t="s">
        <v>150</v>
      </c>
      <c r="G1960" s="77" t="s">
        <v>166</v>
      </c>
      <c r="H1960" s="77" t="s">
        <v>153</v>
      </c>
      <c r="I1960" s="86">
        <v>41724</v>
      </c>
      <c r="J1960" s="78">
        <v>839</v>
      </c>
      <c r="P1960" s="6"/>
      <c r="Q1960" s="6"/>
      <c r="R1960" s="6"/>
      <c r="S1960" s="118"/>
      <c r="T1960" s="119"/>
      <c r="U1960" s="132" t="s">
        <v>154</v>
      </c>
      <c r="V1960" s="132" t="s">
        <v>281</v>
      </c>
      <c r="W1960" s="132" t="s">
        <v>267</v>
      </c>
      <c r="X1960" s="133">
        <v>41724</v>
      </c>
      <c r="Y1960" s="134">
        <v>339</v>
      </c>
    </row>
    <row r="1961" spans="6:25" x14ac:dyDescent="0.25">
      <c r="F1961" s="76" t="s">
        <v>150</v>
      </c>
      <c r="G1961" s="77" t="s">
        <v>166</v>
      </c>
      <c r="H1961" s="77" t="s">
        <v>153</v>
      </c>
      <c r="I1961" s="86">
        <v>41726</v>
      </c>
      <c r="J1961" s="78">
        <v>485</v>
      </c>
      <c r="P1961" s="6"/>
      <c r="Q1961" s="6"/>
      <c r="R1961" s="6"/>
      <c r="S1961" s="118"/>
      <c r="T1961" s="119"/>
      <c r="U1961" s="132" t="s">
        <v>154</v>
      </c>
      <c r="V1961" s="132" t="s">
        <v>281</v>
      </c>
      <c r="W1961" s="132" t="s">
        <v>267</v>
      </c>
      <c r="X1961" s="133">
        <v>41724</v>
      </c>
      <c r="Y1961" s="134">
        <v>591</v>
      </c>
    </row>
    <row r="1962" spans="6:25" x14ac:dyDescent="0.25">
      <c r="F1962" s="76" t="s">
        <v>150</v>
      </c>
      <c r="G1962" s="77" t="s">
        <v>166</v>
      </c>
      <c r="H1962" s="77" t="s">
        <v>153</v>
      </c>
      <c r="I1962" s="86">
        <v>41729</v>
      </c>
      <c r="J1962" s="78">
        <v>405</v>
      </c>
      <c r="P1962" s="6"/>
      <c r="Q1962" s="6"/>
      <c r="R1962" s="6"/>
      <c r="S1962" s="118"/>
      <c r="T1962" s="119"/>
      <c r="U1962" s="132" t="s">
        <v>154</v>
      </c>
      <c r="V1962" s="132" t="s">
        <v>281</v>
      </c>
      <c r="W1962" s="132" t="s">
        <v>267</v>
      </c>
      <c r="X1962" s="133">
        <v>41725</v>
      </c>
      <c r="Y1962" s="134">
        <v>507</v>
      </c>
    </row>
    <row r="1963" spans="6:25" x14ac:dyDescent="0.25">
      <c r="F1963" s="76" t="s">
        <v>150</v>
      </c>
      <c r="G1963" s="77" t="s">
        <v>166</v>
      </c>
      <c r="H1963" s="77" t="s">
        <v>153</v>
      </c>
      <c r="I1963" s="86">
        <v>41745</v>
      </c>
      <c r="J1963" s="78">
        <v>1250</v>
      </c>
      <c r="P1963" s="6"/>
      <c r="Q1963" s="6"/>
      <c r="R1963" s="6"/>
      <c r="S1963" s="118"/>
      <c r="T1963" s="119"/>
      <c r="U1963" s="132" t="s">
        <v>154</v>
      </c>
      <c r="V1963" s="132" t="s">
        <v>281</v>
      </c>
      <c r="W1963" s="132" t="s">
        <v>267</v>
      </c>
      <c r="X1963" s="133">
        <v>41726</v>
      </c>
      <c r="Y1963" s="134">
        <v>884</v>
      </c>
    </row>
    <row r="1964" spans="6:25" x14ac:dyDescent="0.25">
      <c r="F1964" s="76" t="s">
        <v>150</v>
      </c>
      <c r="G1964" s="77" t="s">
        <v>166</v>
      </c>
      <c r="H1964" s="77" t="s">
        <v>153</v>
      </c>
      <c r="I1964" s="86">
        <v>41746</v>
      </c>
      <c r="J1964" s="78">
        <v>468</v>
      </c>
      <c r="P1964" s="6"/>
      <c r="Q1964" s="6"/>
      <c r="R1964" s="6"/>
      <c r="S1964" s="118"/>
      <c r="T1964" s="119"/>
      <c r="U1964" s="132" t="s">
        <v>154</v>
      </c>
      <c r="V1964" s="132" t="s">
        <v>281</v>
      </c>
      <c r="W1964" s="132" t="s">
        <v>267</v>
      </c>
      <c r="X1964" s="133">
        <v>41727</v>
      </c>
      <c r="Y1964" s="134">
        <v>887</v>
      </c>
    </row>
    <row r="1965" spans="6:25" x14ac:dyDescent="0.25">
      <c r="F1965" s="76" t="s">
        <v>150</v>
      </c>
      <c r="G1965" s="77" t="s">
        <v>166</v>
      </c>
      <c r="H1965" s="77" t="s">
        <v>153</v>
      </c>
      <c r="I1965" s="86">
        <v>41746</v>
      </c>
      <c r="J1965" s="78">
        <v>474</v>
      </c>
      <c r="P1965" s="6"/>
      <c r="Q1965" s="6"/>
      <c r="R1965" s="6"/>
      <c r="S1965" s="118"/>
      <c r="T1965" s="119"/>
      <c r="U1965" s="132" t="s">
        <v>154</v>
      </c>
      <c r="V1965" s="132" t="s">
        <v>281</v>
      </c>
      <c r="W1965" s="132" t="s">
        <v>267</v>
      </c>
      <c r="X1965" s="133">
        <v>41727</v>
      </c>
      <c r="Y1965" s="134">
        <v>497</v>
      </c>
    </row>
    <row r="1966" spans="6:25" x14ac:dyDescent="0.25">
      <c r="F1966" s="76" t="s">
        <v>150</v>
      </c>
      <c r="G1966" s="77" t="s">
        <v>166</v>
      </c>
      <c r="H1966" s="77" t="s">
        <v>153</v>
      </c>
      <c r="I1966" s="86">
        <v>41747</v>
      </c>
      <c r="J1966" s="78">
        <v>871</v>
      </c>
      <c r="P1966" s="6"/>
      <c r="Q1966" s="6"/>
      <c r="R1966" s="6"/>
      <c r="S1966" s="118"/>
      <c r="T1966" s="119"/>
      <c r="U1966" s="132" t="s">
        <v>154</v>
      </c>
      <c r="V1966" s="132" t="s">
        <v>281</v>
      </c>
      <c r="W1966" s="132" t="s">
        <v>267</v>
      </c>
      <c r="X1966" s="133">
        <v>41728</v>
      </c>
      <c r="Y1966" s="134">
        <v>729</v>
      </c>
    </row>
    <row r="1967" spans="6:25" x14ac:dyDescent="0.25">
      <c r="F1967" s="76" t="s">
        <v>150</v>
      </c>
      <c r="G1967" s="77" t="s">
        <v>166</v>
      </c>
      <c r="H1967" s="77" t="s">
        <v>153</v>
      </c>
      <c r="I1967" s="86">
        <v>41750</v>
      </c>
      <c r="J1967" s="78">
        <v>1098</v>
      </c>
      <c r="P1967" s="6"/>
      <c r="Q1967" s="6"/>
      <c r="R1967" s="6"/>
      <c r="S1967" s="118"/>
      <c r="T1967" s="119"/>
      <c r="U1967" s="132" t="s">
        <v>154</v>
      </c>
      <c r="V1967" s="132" t="s">
        <v>281</v>
      </c>
      <c r="W1967" s="132" t="s">
        <v>267</v>
      </c>
      <c r="X1967" s="133">
        <v>41728</v>
      </c>
      <c r="Y1967" s="134">
        <v>840</v>
      </c>
    </row>
    <row r="1968" spans="6:25" x14ac:dyDescent="0.25">
      <c r="F1968" s="76" t="s">
        <v>150</v>
      </c>
      <c r="G1968" s="77" t="s">
        <v>166</v>
      </c>
      <c r="H1968" s="77" t="s">
        <v>153</v>
      </c>
      <c r="I1968" s="86">
        <v>41761</v>
      </c>
      <c r="J1968" s="78">
        <v>755</v>
      </c>
      <c r="P1968" s="6"/>
      <c r="Q1968" s="6"/>
      <c r="R1968" s="6"/>
      <c r="S1968" s="118"/>
      <c r="T1968" s="119"/>
      <c r="U1968" s="132" t="s">
        <v>154</v>
      </c>
      <c r="V1968" s="132" t="s">
        <v>281</v>
      </c>
      <c r="W1968" s="132" t="s">
        <v>267</v>
      </c>
      <c r="X1968" s="133">
        <v>41729</v>
      </c>
      <c r="Y1968" s="134">
        <v>829</v>
      </c>
    </row>
    <row r="1969" spans="6:25" x14ac:dyDescent="0.25">
      <c r="F1969" s="76" t="s">
        <v>150</v>
      </c>
      <c r="G1969" s="77" t="s">
        <v>166</v>
      </c>
      <c r="H1969" s="77" t="s">
        <v>153</v>
      </c>
      <c r="I1969" s="86">
        <v>41764</v>
      </c>
      <c r="J1969" s="78">
        <v>1034</v>
      </c>
      <c r="P1969" s="6"/>
      <c r="Q1969" s="6"/>
      <c r="R1969" s="6"/>
      <c r="S1969" s="118"/>
      <c r="T1969" s="119"/>
      <c r="U1969" s="132" t="s">
        <v>154</v>
      </c>
      <c r="V1969" s="132" t="s">
        <v>281</v>
      </c>
      <c r="W1969" s="132" t="s">
        <v>267</v>
      </c>
      <c r="X1969" s="133">
        <v>41729</v>
      </c>
      <c r="Y1969" s="134">
        <v>482</v>
      </c>
    </row>
    <row r="1970" spans="6:25" x14ac:dyDescent="0.25">
      <c r="F1970" s="76" t="s">
        <v>150</v>
      </c>
      <c r="G1970" s="77" t="s">
        <v>166</v>
      </c>
      <c r="H1970" s="77" t="s">
        <v>153</v>
      </c>
      <c r="I1970" s="86">
        <v>41766</v>
      </c>
      <c r="J1970" s="78">
        <v>1344</v>
      </c>
      <c r="P1970" s="6"/>
      <c r="Q1970" s="6"/>
      <c r="R1970" s="6"/>
      <c r="S1970" s="118"/>
      <c r="T1970" s="119"/>
      <c r="U1970" s="132" t="s">
        <v>154</v>
      </c>
      <c r="V1970" s="132" t="s">
        <v>281</v>
      </c>
      <c r="W1970" s="132" t="s">
        <v>267</v>
      </c>
      <c r="X1970" s="133">
        <v>41747</v>
      </c>
      <c r="Y1970" s="134">
        <v>890</v>
      </c>
    </row>
    <row r="1971" spans="6:25" x14ac:dyDescent="0.25">
      <c r="F1971" s="76" t="s">
        <v>150</v>
      </c>
      <c r="G1971" s="77" t="s">
        <v>166</v>
      </c>
      <c r="H1971" s="77" t="s">
        <v>153</v>
      </c>
      <c r="I1971" s="86">
        <v>41768</v>
      </c>
      <c r="J1971" s="78">
        <v>586</v>
      </c>
      <c r="P1971" s="6"/>
      <c r="Q1971" s="6"/>
      <c r="R1971" s="6"/>
      <c r="S1971" s="118"/>
      <c r="T1971" s="119"/>
      <c r="U1971" s="132" t="s">
        <v>154</v>
      </c>
      <c r="V1971" s="132" t="s">
        <v>281</v>
      </c>
      <c r="W1971" s="132" t="s">
        <v>267</v>
      </c>
      <c r="X1971" s="133">
        <v>41748</v>
      </c>
      <c r="Y1971" s="134">
        <v>568</v>
      </c>
    </row>
    <row r="1972" spans="6:25" x14ac:dyDescent="0.25">
      <c r="F1972" s="76" t="s">
        <v>150</v>
      </c>
      <c r="G1972" s="77" t="s">
        <v>166</v>
      </c>
      <c r="H1972" s="77" t="s">
        <v>153</v>
      </c>
      <c r="I1972" s="86">
        <v>41772</v>
      </c>
      <c r="J1972" s="78">
        <v>768</v>
      </c>
      <c r="P1972" s="6"/>
      <c r="Q1972" s="6"/>
      <c r="R1972" s="6"/>
      <c r="S1972" s="118"/>
      <c r="T1972" s="119"/>
      <c r="U1972" s="132" t="s">
        <v>154</v>
      </c>
      <c r="V1972" s="132" t="s">
        <v>281</v>
      </c>
      <c r="W1972" s="132" t="s">
        <v>267</v>
      </c>
      <c r="X1972" s="133">
        <v>41750</v>
      </c>
      <c r="Y1972" s="134">
        <v>861</v>
      </c>
    </row>
    <row r="1973" spans="6:25" x14ac:dyDescent="0.25">
      <c r="F1973" s="76" t="s">
        <v>150</v>
      </c>
      <c r="G1973" s="77" t="s">
        <v>166</v>
      </c>
      <c r="H1973" s="77" t="s">
        <v>153</v>
      </c>
      <c r="I1973" s="86">
        <v>41773</v>
      </c>
      <c r="J1973" s="78">
        <v>827</v>
      </c>
      <c r="P1973" s="6"/>
      <c r="Q1973" s="6"/>
      <c r="R1973" s="6"/>
      <c r="S1973" s="118"/>
      <c r="T1973" s="119"/>
      <c r="U1973" s="132" t="s">
        <v>154</v>
      </c>
      <c r="V1973" s="132" t="s">
        <v>281</v>
      </c>
      <c r="W1973" s="132" t="s">
        <v>267</v>
      </c>
      <c r="X1973" s="133">
        <v>41751</v>
      </c>
      <c r="Y1973" s="134">
        <v>894</v>
      </c>
    </row>
    <row r="1974" spans="6:25" x14ac:dyDescent="0.25">
      <c r="F1974" s="76" t="s">
        <v>150</v>
      </c>
      <c r="G1974" s="77" t="s">
        <v>166</v>
      </c>
      <c r="H1974" s="77" t="s">
        <v>153</v>
      </c>
      <c r="I1974" s="86">
        <v>41775</v>
      </c>
      <c r="J1974" s="78">
        <v>569</v>
      </c>
      <c r="P1974" s="6"/>
      <c r="Q1974" s="6"/>
      <c r="R1974" s="6"/>
      <c r="S1974" s="118"/>
      <c r="T1974" s="119"/>
      <c r="U1974" s="132" t="s">
        <v>154</v>
      </c>
      <c r="V1974" s="132" t="s">
        <v>281</v>
      </c>
      <c r="W1974" s="132" t="s">
        <v>267</v>
      </c>
      <c r="X1974" s="133">
        <v>41752</v>
      </c>
      <c r="Y1974" s="134">
        <v>938</v>
      </c>
    </row>
    <row r="1975" spans="6:25" x14ac:dyDescent="0.25">
      <c r="F1975" s="76" t="s">
        <v>150</v>
      </c>
      <c r="G1975" s="77" t="s">
        <v>166</v>
      </c>
      <c r="H1975" s="77" t="s">
        <v>153</v>
      </c>
      <c r="I1975" s="86">
        <v>41779</v>
      </c>
      <c r="J1975" s="78">
        <v>798</v>
      </c>
      <c r="P1975" s="6"/>
      <c r="Q1975" s="6"/>
      <c r="R1975" s="6"/>
      <c r="S1975" s="118"/>
      <c r="T1975" s="119"/>
      <c r="U1975" s="132" t="s">
        <v>154</v>
      </c>
      <c r="V1975" s="132" t="s">
        <v>281</v>
      </c>
      <c r="W1975" s="132" t="s">
        <v>267</v>
      </c>
      <c r="X1975" s="133">
        <v>41752</v>
      </c>
      <c r="Y1975" s="134">
        <v>660</v>
      </c>
    </row>
    <row r="1976" spans="6:25" x14ac:dyDescent="0.25">
      <c r="F1976" s="76" t="s">
        <v>150</v>
      </c>
      <c r="G1976" s="77" t="s">
        <v>166</v>
      </c>
      <c r="H1976" s="77" t="s">
        <v>153</v>
      </c>
      <c r="I1976" s="86">
        <v>41781</v>
      </c>
      <c r="J1976" s="78">
        <v>566</v>
      </c>
      <c r="P1976" s="6"/>
      <c r="Q1976" s="6"/>
      <c r="R1976" s="6"/>
      <c r="S1976" s="118"/>
      <c r="T1976" s="119"/>
      <c r="U1976" s="132" t="s">
        <v>154</v>
      </c>
      <c r="V1976" s="132" t="s">
        <v>281</v>
      </c>
      <c r="W1976" s="132" t="s">
        <v>267</v>
      </c>
      <c r="X1976" s="133">
        <v>41753</v>
      </c>
      <c r="Y1976" s="134">
        <v>1020</v>
      </c>
    </row>
    <row r="1977" spans="6:25" x14ac:dyDescent="0.25">
      <c r="F1977" s="76" t="s">
        <v>150</v>
      </c>
      <c r="G1977" s="77" t="s">
        <v>166</v>
      </c>
      <c r="H1977" s="77" t="s">
        <v>153</v>
      </c>
      <c r="I1977" s="86">
        <v>41789</v>
      </c>
      <c r="J1977" s="78">
        <v>563</v>
      </c>
      <c r="P1977" s="6"/>
      <c r="Q1977" s="6"/>
      <c r="R1977" s="6"/>
      <c r="S1977" s="118"/>
      <c r="T1977" s="119"/>
      <c r="U1977" s="132" t="s">
        <v>154</v>
      </c>
      <c r="V1977" s="132" t="s">
        <v>281</v>
      </c>
      <c r="W1977" s="132" t="s">
        <v>267</v>
      </c>
      <c r="X1977" s="133">
        <v>41766</v>
      </c>
      <c r="Y1977" s="134">
        <v>700</v>
      </c>
    </row>
    <row r="1978" spans="6:25" x14ac:dyDescent="0.25">
      <c r="F1978" s="76" t="s">
        <v>150</v>
      </c>
      <c r="G1978" s="77" t="s">
        <v>166</v>
      </c>
      <c r="H1978" s="77" t="s">
        <v>153</v>
      </c>
      <c r="I1978" s="86">
        <v>41792</v>
      </c>
      <c r="J1978" s="78">
        <v>785</v>
      </c>
      <c r="P1978" s="6"/>
      <c r="Q1978" s="6"/>
      <c r="R1978" s="6"/>
      <c r="S1978" s="118"/>
      <c r="T1978" s="119"/>
      <c r="U1978" s="132" t="s">
        <v>154</v>
      </c>
      <c r="V1978" s="132" t="s">
        <v>281</v>
      </c>
      <c r="W1978" s="132" t="s">
        <v>267</v>
      </c>
      <c r="X1978" s="133">
        <v>41767</v>
      </c>
      <c r="Y1978" s="134">
        <v>568</v>
      </c>
    </row>
    <row r="1979" spans="6:25" x14ac:dyDescent="0.25">
      <c r="F1979" s="76" t="s">
        <v>150</v>
      </c>
      <c r="G1979" s="77" t="s">
        <v>166</v>
      </c>
      <c r="H1979" s="77" t="s">
        <v>153</v>
      </c>
      <c r="I1979" s="86">
        <v>41793</v>
      </c>
      <c r="J1979" s="78">
        <v>671</v>
      </c>
      <c r="P1979" s="6"/>
      <c r="Q1979" s="6"/>
      <c r="R1979" s="6"/>
      <c r="S1979" s="118"/>
      <c r="T1979" s="119"/>
      <c r="U1979" s="132" t="s">
        <v>154</v>
      </c>
      <c r="V1979" s="132" t="s">
        <v>281</v>
      </c>
      <c r="W1979" s="132" t="s">
        <v>267</v>
      </c>
      <c r="X1979" s="133">
        <v>41767</v>
      </c>
      <c r="Y1979" s="134">
        <v>639</v>
      </c>
    </row>
    <row r="1980" spans="6:25" x14ac:dyDescent="0.25">
      <c r="F1980" s="76" t="s">
        <v>150</v>
      </c>
      <c r="G1980" s="77" t="s">
        <v>166</v>
      </c>
      <c r="H1980" s="77" t="s">
        <v>153</v>
      </c>
      <c r="I1980" s="86">
        <v>41795</v>
      </c>
      <c r="J1980" s="78">
        <v>698</v>
      </c>
      <c r="P1980" s="6"/>
      <c r="Q1980" s="6"/>
      <c r="R1980" s="6"/>
      <c r="S1980" s="118"/>
      <c r="T1980" s="119"/>
      <c r="U1980" s="132" t="s">
        <v>154</v>
      </c>
      <c r="V1980" s="132" t="s">
        <v>281</v>
      </c>
      <c r="W1980" s="132" t="s">
        <v>267</v>
      </c>
      <c r="X1980" s="133">
        <v>41768</v>
      </c>
      <c r="Y1980" s="134">
        <v>1070</v>
      </c>
    </row>
    <row r="1981" spans="6:25" x14ac:dyDescent="0.25">
      <c r="F1981" s="76" t="s">
        <v>150</v>
      </c>
      <c r="G1981" s="77" t="s">
        <v>166</v>
      </c>
      <c r="H1981" s="77" t="s">
        <v>153</v>
      </c>
      <c r="I1981" s="86">
        <v>41796</v>
      </c>
      <c r="J1981" s="78">
        <v>322</v>
      </c>
      <c r="P1981" s="6"/>
      <c r="Q1981" s="6"/>
      <c r="R1981" s="6"/>
      <c r="S1981" s="118"/>
      <c r="T1981" s="119"/>
      <c r="U1981" s="132" t="s">
        <v>154</v>
      </c>
      <c r="V1981" s="132" t="s">
        <v>281</v>
      </c>
      <c r="W1981" s="132" t="s">
        <v>267</v>
      </c>
      <c r="X1981" s="133">
        <v>41769</v>
      </c>
      <c r="Y1981" s="134">
        <v>804</v>
      </c>
    </row>
    <row r="1982" spans="6:25" x14ac:dyDescent="0.25">
      <c r="F1982" s="76" t="s">
        <v>150</v>
      </c>
      <c r="G1982" s="77" t="s">
        <v>166</v>
      </c>
      <c r="H1982" s="77" t="s">
        <v>153</v>
      </c>
      <c r="I1982" s="86">
        <v>41797</v>
      </c>
      <c r="J1982" s="78">
        <v>613</v>
      </c>
      <c r="P1982" s="6"/>
      <c r="Q1982" s="6"/>
      <c r="R1982" s="6"/>
      <c r="S1982" s="118"/>
      <c r="T1982" s="119"/>
      <c r="U1982" s="132" t="s">
        <v>154</v>
      </c>
      <c r="V1982" s="132" t="s">
        <v>281</v>
      </c>
      <c r="W1982" s="132" t="s">
        <v>267</v>
      </c>
      <c r="X1982" s="133">
        <v>41769</v>
      </c>
      <c r="Y1982" s="134">
        <v>505</v>
      </c>
    </row>
    <row r="1983" spans="6:25" x14ac:dyDescent="0.25">
      <c r="F1983" s="76" t="s">
        <v>150</v>
      </c>
      <c r="G1983" s="77" t="s">
        <v>166</v>
      </c>
      <c r="H1983" s="77" t="s">
        <v>153</v>
      </c>
      <c r="I1983" s="86">
        <v>41801</v>
      </c>
      <c r="J1983" s="78">
        <v>1180</v>
      </c>
      <c r="P1983" s="6"/>
      <c r="Q1983" s="6"/>
      <c r="R1983" s="6"/>
      <c r="S1983" s="118"/>
      <c r="T1983" s="119"/>
      <c r="U1983" s="132" t="s">
        <v>154</v>
      </c>
      <c r="V1983" s="132" t="s">
        <v>281</v>
      </c>
      <c r="W1983" s="132" t="s">
        <v>267</v>
      </c>
      <c r="X1983" s="133">
        <v>41770</v>
      </c>
      <c r="Y1983" s="134">
        <v>777</v>
      </c>
    </row>
    <row r="1984" spans="6:25" x14ac:dyDescent="0.25">
      <c r="F1984" s="76" t="s">
        <v>150</v>
      </c>
      <c r="G1984" s="77" t="s">
        <v>166</v>
      </c>
      <c r="H1984" s="77" t="s">
        <v>153</v>
      </c>
      <c r="I1984" s="86">
        <v>41801</v>
      </c>
      <c r="J1984" s="78">
        <v>858</v>
      </c>
      <c r="P1984" s="6"/>
      <c r="Q1984" s="6"/>
      <c r="R1984" s="6"/>
      <c r="S1984" s="118"/>
      <c r="T1984" s="119"/>
      <c r="U1984" s="132" t="s">
        <v>154</v>
      </c>
      <c r="V1984" s="132" t="s">
        <v>281</v>
      </c>
      <c r="W1984" s="132" t="s">
        <v>267</v>
      </c>
      <c r="X1984" s="133">
        <v>41770</v>
      </c>
      <c r="Y1984" s="134">
        <v>734</v>
      </c>
    </row>
    <row r="1985" spans="6:25" x14ac:dyDescent="0.25">
      <c r="F1985" s="76" t="s">
        <v>150</v>
      </c>
      <c r="G1985" s="77" t="s">
        <v>166</v>
      </c>
      <c r="H1985" s="77" t="s">
        <v>153</v>
      </c>
      <c r="I1985" s="86">
        <v>41802</v>
      </c>
      <c r="J1985" s="78">
        <v>927</v>
      </c>
      <c r="P1985" s="6"/>
      <c r="Q1985" s="6"/>
      <c r="R1985" s="6"/>
      <c r="S1985" s="118"/>
      <c r="T1985" s="119"/>
      <c r="U1985" s="132" t="s">
        <v>154</v>
      </c>
      <c r="V1985" s="132" t="s">
        <v>281</v>
      </c>
      <c r="W1985" s="132" t="s">
        <v>267</v>
      </c>
      <c r="X1985" s="133">
        <v>41771</v>
      </c>
      <c r="Y1985" s="134">
        <v>736</v>
      </c>
    </row>
    <row r="1986" spans="6:25" x14ac:dyDescent="0.25">
      <c r="F1986" s="76" t="s">
        <v>150</v>
      </c>
      <c r="G1986" s="77" t="s">
        <v>166</v>
      </c>
      <c r="H1986" s="77" t="s">
        <v>153</v>
      </c>
      <c r="I1986" s="86">
        <v>41803</v>
      </c>
      <c r="J1986" s="78">
        <v>1126</v>
      </c>
      <c r="P1986" s="6"/>
      <c r="Q1986" s="6"/>
      <c r="R1986" s="6"/>
      <c r="S1986" s="118"/>
      <c r="T1986" s="119"/>
      <c r="U1986" s="132" t="s">
        <v>154</v>
      </c>
      <c r="V1986" s="132" t="s">
        <v>281</v>
      </c>
      <c r="W1986" s="132" t="s">
        <v>267</v>
      </c>
      <c r="X1986" s="133">
        <v>41771</v>
      </c>
      <c r="Y1986" s="134">
        <v>621</v>
      </c>
    </row>
    <row r="1987" spans="6:25" x14ac:dyDescent="0.25">
      <c r="F1987" s="76" t="s">
        <v>150</v>
      </c>
      <c r="G1987" s="77" t="s">
        <v>166</v>
      </c>
      <c r="H1987" s="77" t="s">
        <v>153</v>
      </c>
      <c r="I1987" s="86">
        <v>41804</v>
      </c>
      <c r="J1987" s="78">
        <v>1180</v>
      </c>
      <c r="P1987" s="6"/>
      <c r="Q1987" s="6"/>
      <c r="R1987" s="6"/>
      <c r="S1987" s="118"/>
      <c r="T1987" s="119"/>
      <c r="U1987" s="132" t="s">
        <v>154</v>
      </c>
      <c r="V1987" s="132" t="s">
        <v>281</v>
      </c>
      <c r="W1987" s="132" t="s">
        <v>267</v>
      </c>
      <c r="X1987" s="133">
        <v>41772</v>
      </c>
      <c r="Y1987" s="134">
        <v>540</v>
      </c>
    </row>
    <row r="1988" spans="6:25" x14ac:dyDescent="0.25">
      <c r="F1988" s="76" t="s">
        <v>150</v>
      </c>
      <c r="G1988" s="77" t="s">
        <v>166</v>
      </c>
      <c r="H1988" s="77" t="s">
        <v>153</v>
      </c>
      <c r="I1988" s="86">
        <v>41805</v>
      </c>
      <c r="J1988" s="78">
        <v>1081</v>
      </c>
      <c r="P1988" s="6"/>
      <c r="Q1988" s="6"/>
      <c r="R1988" s="6"/>
      <c r="S1988" s="118"/>
      <c r="T1988" s="119"/>
      <c r="U1988" s="132" t="s">
        <v>154</v>
      </c>
      <c r="V1988" s="132" t="s">
        <v>281</v>
      </c>
      <c r="W1988" s="132" t="s">
        <v>267</v>
      </c>
      <c r="X1988" s="133">
        <v>41773</v>
      </c>
      <c r="Y1988" s="134">
        <v>916</v>
      </c>
    </row>
    <row r="1989" spans="6:25" x14ac:dyDescent="0.25">
      <c r="F1989" s="76" t="s">
        <v>150</v>
      </c>
      <c r="G1989" s="77" t="s">
        <v>166</v>
      </c>
      <c r="H1989" s="77" t="s">
        <v>153</v>
      </c>
      <c r="I1989" s="86">
        <v>41807</v>
      </c>
      <c r="J1989" s="78">
        <v>1190</v>
      </c>
      <c r="P1989" s="6"/>
      <c r="Q1989" s="6"/>
      <c r="R1989" s="6"/>
      <c r="S1989" s="118"/>
      <c r="T1989" s="119"/>
      <c r="U1989" s="132" t="s">
        <v>154</v>
      </c>
      <c r="V1989" s="132" t="s">
        <v>281</v>
      </c>
      <c r="W1989" s="132" t="s">
        <v>267</v>
      </c>
      <c r="X1989" s="133">
        <v>41773</v>
      </c>
      <c r="Y1989" s="134">
        <v>691</v>
      </c>
    </row>
    <row r="1990" spans="6:25" x14ac:dyDescent="0.25">
      <c r="F1990" s="76" t="s">
        <v>150</v>
      </c>
      <c r="G1990" s="77" t="s">
        <v>166</v>
      </c>
      <c r="H1990" s="77" t="s">
        <v>153</v>
      </c>
      <c r="I1990" s="86">
        <v>41808</v>
      </c>
      <c r="J1990" s="78">
        <v>886</v>
      </c>
      <c r="P1990" s="6"/>
      <c r="Q1990" s="6"/>
      <c r="R1990" s="6"/>
      <c r="S1990" s="118"/>
      <c r="T1990" s="119"/>
      <c r="U1990" s="132" t="s">
        <v>154</v>
      </c>
      <c r="V1990" s="132" t="s">
        <v>281</v>
      </c>
      <c r="W1990" s="132" t="s">
        <v>267</v>
      </c>
      <c r="X1990" s="133">
        <v>41774</v>
      </c>
      <c r="Y1990" s="134">
        <v>663</v>
      </c>
    </row>
    <row r="1991" spans="6:25" x14ac:dyDescent="0.25">
      <c r="F1991" s="76" t="s">
        <v>150</v>
      </c>
      <c r="G1991" s="77" t="s">
        <v>166</v>
      </c>
      <c r="H1991" s="77" t="s">
        <v>153</v>
      </c>
      <c r="I1991" s="86">
        <v>41810</v>
      </c>
      <c r="J1991" s="78">
        <v>1242</v>
      </c>
      <c r="P1991" s="6"/>
      <c r="Q1991" s="6"/>
      <c r="R1991" s="6"/>
      <c r="S1991" s="118"/>
      <c r="T1991" s="119"/>
      <c r="U1991" s="132" t="s">
        <v>154</v>
      </c>
      <c r="V1991" s="132" t="s">
        <v>281</v>
      </c>
      <c r="W1991" s="132" t="s">
        <v>267</v>
      </c>
      <c r="X1991" s="133">
        <v>41775</v>
      </c>
      <c r="Y1991" s="134">
        <v>1061</v>
      </c>
    </row>
    <row r="1992" spans="6:25" x14ac:dyDescent="0.25">
      <c r="F1992" s="76" t="s">
        <v>150</v>
      </c>
      <c r="G1992" s="77" t="s">
        <v>166</v>
      </c>
      <c r="H1992" s="77" t="s">
        <v>153</v>
      </c>
      <c r="I1992" s="86">
        <v>41814</v>
      </c>
      <c r="J1992" s="78">
        <v>1181</v>
      </c>
      <c r="P1992" s="6"/>
      <c r="Q1992" s="6"/>
      <c r="R1992" s="6"/>
      <c r="S1992" s="118"/>
      <c r="T1992" s="119"/>
      <c r="U1992" s="132" t="s">
        <v>154</v>
      </c>
      <c r="V1992" s="132" t="s">
        <v>281</v>
      </c>
      <c r="W1992" s="132" t="s">
        <v>267</v>
      </c>
      <c r="X1992" s="133">
        <v>41776</v>
      </c>
      <c r="Y1992" s="134">
        <v>808</v>
      </c>
    </row>
    <row r="1993" spans="6:25" x14ac:dyDescent="0.25">
      <c r="F1993" s="76" t="s">
        <v>150</v>
      </c>
      <c r="G1993" s="77" t="s">
        <v>166</v>
      </c>
      <c r="H1993" s="77" t="s">
        <v>153</v>
      </c>
      <c r="I1993" s="86">
        <v>41816</v>
      </c>
      <c r="J1993" s="78">
        <v>844</v>
      </c>
      <c r="P1993" s="6"/>
      <c r="Q1993" s="6"/>
      <c r="R1993" s="6"/>
      <c r="S1993" s="118"/>
      <c r="T1993" s="119"/>
      <c r="U1993" s="132" t="s">
        <v>154</v>
      </c>
      <c r="V1993" s="132" t="s">
        <v>281</v>
      </c>
      <c r="W1993" s="132" t="s">
        <v>267</v>
      </c>
      <c r="X1993" s="133">
        <v>41778</v>
      </c>
      <c r="Y1993" s="134">
        <v>715</v>
      </c>
    </row>
    <row r="1994" spans="6:25" x14ac:dyDescent="0.25">
      <c r="F1994" s="76" t="s">
        <v>150</v>
      </c>
      <c r="G1994" s="77" t="s">
        <v>166</v>
      </c>
      <c r="H1994" s="77" t="s">
        <v>153</v>
      </c>
      <c r="I1994" s="86">
        <v>41817</v>
      </c>
      <c r="J1994" s="78">
        <v>1130</v>
      </c>
      <c r="P1994" s="6"/>
      <c r="Q1994" s="6"/>
      <c r="R1994" s="6"/>
      <c r="S1994" s="118"/>
      <c r="T1994" s="119"/>
      <c r="U1994" s="132" t="s">
        <v>154</v>
      </c>
      <c r="V1994" s="132" t="s">
        <v>281</v>
      </c>
      <c r="W1994" s="132" t="s">
        <v>267</v>
      </c>
      <c r="X1994" s="133">
        <v>41779</v>
      </c>
      <c r="Y1994" s="134">
        <v>752</v>
      </c>
    </row>
    <row r="1995" spans="6:25" x14ac:dyDescent="0.25">
      <c r="F1995" s="76" t="s">
        <v>150</v>
      </c>
      <c r="G1995" s="77" t="s">
        <v>166</v>
      </c>
      <c r="H1995" s="77" t="s">
        <v>153</v>
      </c>
      <c r="I1995" s="86">
        <v>41820</v>
      </c>
      <c r="J1995" s="78">
        <v>308</v>
      </c>
      <c r="P1995" s="6"/>
      <c r="Q1995" s="6"/>
      <c r="R1995" s="6"/>
      <c r="S1995" s="118"/>
      <c r="T1995" s="119"/>
      <c r="U1995" s="132" t="s">
        <v>154</v>
      </c>
      <c r="V1995" s="132" t="s">
        <v>281</v>
      </c>
      <c r="W1995" s="132" t="s">
        <v>267</v>
      </c>
      <c r="X1995" s="133">
        <v>41780</v>
      </c>
      <c r="Y1995" s="134">
        <v>644</v>
      </c>
    </row>
    <row r="1996" spans="6:25" x14ac:dyDescent="0.25">
      <c r="F1996" s="76" t="s">
        <v>150</v>
      </c>
      <c r="G1996" s="77" t="s">
        <v>166</v>
      </c>
      <c r="H1996" s="77" t="s">
        <v>153</v>
      </c>
      <c r="I1996" s="86">
        <v>41822</v>
      </c>
      <c r="J1996" s="78">
        <v>1172</v>
      </c>
      <c r="P1996" s="6"/>
      <c r="Q1996" s="6"/>
      <c r="R1996" s="6"/>
      <c r="S1996" s="118"/>
      <c r="T1996" s="119"/>
      <c r="U1996" s="132" t="s">
        <v>154</v>
      </c>
      <c r="V1996" s="132" t="s">
        <v>281</v>
      </c>
      <c r="W1996" s="132" t="s">
        <v>267</v>
      </c>
      <c r="X1996" s="133">
        <v>41780</v>
      </c>
      <c r="Y1996" s="134">
        <v>753</v>
      </c>
    </row>
    <row r="1997" spans="6:25" x14ac:dyDescent="0.25">
      <c r="F1997" s="76" t="s">
        <v>150</v>
      </c>
      <c r="G1997" s="77" t="s">
        <v>166</v>
      </c>
      <c r="H1997" s="77" t="s">
        <v>153</v>
      </c>
      <c r="I1997" s="86">
        <v>41857</v>
      </c>
      <c r="J1997" s="78">
        <v>1209</v>
      </c>
      <c r="P1997" s="6"/>
      <c r="Q1997" s="6"/>
      <c r="R1997" s="6"/>
      <c r="S1997" s="118"/>
      <c r="T1997" s="119"/>
      <c r="U1997" s="132" t="s">
        <v>154</v>
      </c>
      <c r="V1997" s="132" t="s">
        <v>281</v>
      </c>
      <c r="W1997" s="132" t="s">
        <v>267</v>
      </c>
      <c r="X1997" s="133">
        <v>41781</v>
      </c>
      <c r="Y1997" s="134">
        <v>708</v>
      </c>
    </row>
    <row r="1998" spans="6:25" x14ac:dyDescent="0.25">
      <c r="F1998" s="76" t="s">
        <v>150</v>
      </c>
      <c r="G1998" s="77" t="s">
        <v>166</v>
      </c>
      <c r="H1998" s="77" t="s">
        <v>153</v>
      </c>
      <c r="I1998" s="86">
        <v>41858</v>
      </c>
      <c r="J1998" s="78">
        <v>749</v>
      </c>
      <c r="P1998" s="6"/>
      <c r="Q1998" s="6"/>
      <c r="R1998" s="6"/>
      <c r="S1998" s="118"/>
      <c r="T1998" s="119"/>
      <c r="U1998" s="132" t="s">
        <v>154</v>
      </c>
      <c r="V1998" s="132" t="s">
        <v>281</v>
      </c>
      <c r="W1998" s="132" t="s">
        <v>267</v>
      </c>
      <c r="X1998" s="133">
        <v>41782</v>
      </c>
      <c r="Y1998" s="134">
        <v>585</v>
      </c>
    </row>
    <row r="1999" spans="6:25" x14ac:dyDescent="0.25">
      <c r="F1999" s="76" t="s">
        <v>150</v>
      </c>
      <c r="G1999" s="77" t="s">
        <v>166</v>
      </c>
      <c r="H1999" s="77" t="s">
        <v>153</v>
      </c>
      <c r="I1999" s="86">
        <v>41859</v>
      </c>
      <c r="J1999" s="78">
        <v>871</v>
      </c>
      <c r="P1999" s="6"/>
      <c r="Q1999" s="6"/>
      <c r="R1999" s="6"/>
      <c r="S1999" s="118"/>
      <c r="T1999" s="119"/>
      <c r="U1999" s="132" t="s">
        <v>154</v>
      </c>
      <c r="V1999" s="132" t="s">
        <v>281</v>
      </c>
      <c r="W1999" s="132" t="s">
        <v>267</v>
      </c>
      <c r="X1999" s="133">
        <v>41783</v>
      </c>
      <c r="Y1999" s="134">
        <v>505</v>
      </c>
    </row>
    <row r="2000" spans="6:25" x14ac:dyDescent="0.25">
      <c r="F2000" s="76" t="s">
        <v>150</v>
      </c>
      <c r="G2000" s="77" t="s">
        <v>166</v>
      </c>
      <c r="H2000" s="77" t="s">
        <v>153</v>
      </c>
      <c r="I2000" s="86">
        <v>41863</v>
      </c>
      <c r="J2000" s="78">
        <v>1127</v>
      </c>
      <c r="P2000" s="6"/>
      <c r="Q2000" s="6"/>
      <c r="R2000" s="6"/>
      <c r="S2000" s="118"/>
      <c r="T2000" s="119"/>
      <c r="U2000" s="132" t="s">
        <v>154</v>
      </c>
      <c r="V2000" s="132" t="s">
        <v>281</v>
      </c>
      <c r="W2000" s="132" t="s">
        <v>267</v>
      </c>
      <c r="X2000" s="133">
        <v>41783</v>
      </c>
      <c r="Y2000" s="134">
        <v>543</v>
      </c>
    </row>
    <row r="2001" spans="6:25" x14ac:dyDescent="0.25">
      <c r="F2001" s="76" t="s">
        <v>150</v>
      </c>
      <c r="G2001" s="77" t="s">
        <v>166</v>
      </c>
      <c r="H2001" s="77" t="s">
        <v>153</v>
      </c>
      <c r="I2001" s="86">
        <v>41865</v>
      </c>
      <c r="J2001" s="78">
        <v>1110</v>
      </c>
      <c r="P2001" s="6"/>
      <c r="Q2001" s="6"/>
      <c r="R2001" s="6"/>
      <c r="S2001" s="118"/>
      <c r="T2001" s="119"/>
      <c r="U2001" s="132" t="s">
        <v>154</v>
      </c>
      <c r="V2001" s="132" t="s">
        <v>281</v>
      </c>
      <c r="W2001" s="132" t="s">
        <v>267</v>
      </c>
      <c r="X2001" s="133">
        <v>41785</v>
      </c>
      <c r="Y2001" s="134">
        <v>707</v>
      </c>
    </row>
    <row r="2002" spans="6:25" x14ac:dyDescent="0.25">
      <c r="F2002" s="76" t="s">
        <v>150</v>
      </c>
      <c r="G2002" s="77" t="s">
        <v>166</v>
      </c>
      <c r="H2002" s="77" t="s">
        <v>153</v>
      </c>
      <c r="I2002" s="86">
        <v>41869</v>
      </c>
      <c r="J2002" s="78">
        <v>1051</v>
      </c>
      <c r="P2002" s="6"/>
      <c r="Q2002" s="6"/>
      <c r="R2002" s="6"/>
      <c r="S2002" s="118"/>
      <c r="T2002" s="119"/>
      <c r="U2002" s="132" t="s">
        <v>154</v>
      </c>
      <c r="V2002" s="132" t="s">
        <v>281</v>
      </c>
      <c r="W2002" s="132" t="s">
        <v>267</v>
      </c>
      <c r="X2002" s="133">
        <v>41785</v>
      </c>
      <c r="Y2002" s="134">
        <v>776</v>
      </c>
    </row>
    <row r="2003" spans="6:25" x14ac:dyDescent="0.25">
      <c r="F2003" s="76" t="s">
        <v>150</v>
      </c>
      <c r="G2003" s="77" t="s">
        <v>166</v>
      </c>
      <c r="H2003" s="77" t="s">
        <v>153</v>
      </c>
      <c r="I2003" s="86">
        <v>41870</v>
      </c>
      <c r="J2003" s="78">
        <v>612</v>
      </c>
      <c r="P2003" s="6"/>
      <c r="Q2003" s="6"/>
      <c r="R2003" s="6"/>
      <c r="S2003" s="118"/>
      <c r="T2003" s="119"/>
      <c r="U2003" s="132" t="s">
        <v>154</v>
      </c>
      <c r="V2003" s="132" t="s">
        <v>281</v>
      </c>
      <c r="W2003" s="132" t="s">
        <v>267</v>
      </c>
      <c r="X2003" s="133">
        <v>41786</v>
      </c>
      <c r="Y2003" s="134">
        <v>871</v>
      </c>
    </row>
    <row r="2004" spans="6:25" x14ac:dyDescent="0.25">
      <c r="F2004" s="76" t="s">
        <v>150</v>
      </c>
      <c r="G2004" s="77" t="s">
        <v>166</v>
      </c>
      <c r="H2004" s="77" t="s">
        <v>153</v>
      </c>
      <c r="I2004" s="86">
        <v>41871</v>
      </c>
      <c r="J2004" s="78">
        <v>677</v>
      </c>
      <c r="P2004" s="6"/>
      <c r="Q2004" s="6"/>
      <c r="R2004" s="6"/>
      <c r="S2004" s="118"/>
      <c r="T2004" s="119"/>
      <c r="U2004" s="132" t="s">
        <v>154</v>
      </c>
      <c r="V2004" s="132" t="s">
        <v>281</v>
      </c>
      <c r="W2004" s="132" t="s">
        <v>267</v>
      </c>
      <c r="X2004" s="133">
        <v>41787</v>
      </c>
      <c r="Y2004" s="134">
        <v>610</v>
      </c>
    </row>
    <row r="2005" spans="6:25" x14ac:dyDescent="0.25">
      <c r="F2005" s="76" t="s">
        <v>150</v>
      </c>
      <c r="G2005" s="77" t="s">
        <v>166</v>
      </c>
      <c r="H2005" s="77" t="s">
        <v>153</v>
      </c>
      <c r="I2005" s="86">
        <v>41872</v>
      </c>
      <c r="J2005" s="78">
        <v>783</v>
      </c>
      <c r="P2005" s="6"/>
      <c r="Q2005" s="6"/>
      <c r="R2005" s="6"/>
      <c r="S2005" s="118"/>
      <c r="T2005" s="119"/>
      <c r="U2005" s="132" t="s">
        <v>154</v>
      </c>
      <c r="V2005" s="132" t="s">
        <v>281</v>
      </c>
      <c r="W2005" s="132" t="s">
        <v>267</v>
      </c>
      <c r="X2005" s="133">
        <v>41871</v>
      </c>
      <c r="Y2005" s="134">
        <v>450</v>
      </c>
    </row>
    <row r="2006" spans="6:25" x14ac:dyDescent="0.25">
      <c r="F2006" s="76" t="s">
        <v>150</v>
      </c>
      <c r="G2006" s="77" t="s">
        <v>166</v>
      </c>
      <c r="H2006" s="77" t="s">
        <v>153</v>
      </c>
      <c r="I2006" s="86">
        <v>41873</v>
      </c>
      <c r="J2006" s="78">
        <v>760</v>
      </c>
      <c r="P2006" s="6"/>
      <c r="Q2006" s="6"/>
      <c r="R2006" s="6"/>
      <c r="S2006" s="118"/>
      <c r="T2006" s="119"/>
      <c r="U2006" s="132" t="s">
        <v>154</v>
      </c>
      <c r="V2006" s="132" t="s">
        <v>281</v>
      </c>
      <c r="W2006" s="132" t="s">
        <v>267</v>
      </c>
      <c r="X2006" s="133">
        <v>41872</v>
      </c>
      <c r="Y2006" s="134">
        <v>940</v>
      </c>
    </row>
    <row r="2007" spans="6:25" x14ac:dyDescent="0.25">
      <c r="F2007" s="76" t="s">
        <v>150</v>
      </c>
      <c r="G2007" s="77" t="s">
        <v>166</v>
      </c>
      <c r="H2007" s="77" t="s">
        <v>153</v>
      </c>
      <c r="I2007" s="86">
        <v>41877</v>
      </c>
      <c r="J2007" s="78">
        <v>888</v>
      </c>
      <c r="P2007" s="6"/>
      <c r="Q2007" s="6"/>
      <c r="R2007" s="6"/>
      <c r="S2007" s="118"/>
      <c r="T2007" s="119"/>
      <c r="U2007" s="132" t="s">
        <v>154</v>
      </c>
      <c r="V2007" s="132" t="s">
        <v>281</v>
      </c>
      <c r="W2007" s="132" t="s">
        <v>267</v>
      </c>
      <c r="X2007" s="133">
        <v>41873</v>
      </c>
      <c r="Y2007" s="134">
        <v>301</v>
      </c>
    </row>
    <row r="2008" spans="6:25" x14ac:dyDescent="0.25">
      <c r="F2008" s="76" t="s">
        <v>150</v>
      </c>
      <c r="G2008" s="77" t="s">
        <v>166</v>
      </c>
      <c r="H2008" s="77" t="s">
        <v>153</v>
      </c>
      <c r="I2008" s="86">
        <v>41879</v>
      </c>
      <c r="J2008" s="78">
        <v>1150</v>
      </c>
      <c r="P2008" s="6"/>
      <c r="Q2008" s="6"/>
      <c r="R2008" s="6"/>
      <c r="S2008" s="118"/>
      <c r="T2008" s="119"/>
      <c r="U2008" s="132" t="s">
        <v>154</v>
      </c>
      <c r="V2008" s="132" t="s">
        <v>281</v>
      </c>
      <c r="W2008" s="132" t="s">
        <v>267</v>
      </c>
      <c r="X2008" s="133">
        <v>41873</v>
      </c>
      <c r="Y2008" s="134">
        <v>900</v>
      </c>
    </row>
    <row r="2009" spans="6:25" x14ac:dyDescent="0.25">
      <c r="F2009" s="76" t="s">
        <v>150</v>
      </c>
      <c r="G2009" s="77" t="s">
        <v>166</v>
      </c>
      <c r="H2009" s="77" t="s">
        <v>153</v>
      </c>
      <c r="I2009" s="86">
        <v>41879</v>
      </c>
      <c r="J2009" s="78">
        <v>1176</v>
      </c>
      <c r="P2009" s="6"/>
      <c r="Q2009" s="6"/>
      <c r="R2009" s="6"/>
      <c r="S2009" s="118"/>
      <c r="T2009" s="119"/>
      <c r="U2009" s="132" t="s">
        <v>154</v>
      </c>
      <c r="V2009" s="132" t="s">
        <v>281</v>
      </c>
      <c r="W2009" s="132" t="s">
        <v>267</v>
      </c>
      <c r="X2009" s="133">
        <v>41874</v>
      </c>
      <c r="Y2009" s="134">
        <v>461</v>
      </c>
    </row>
    <row r="2010" spans="6:25" x14ac:dyDescent="0.25">
      <c r="F2010" s="76" t="s">
        <v>150</v>
      </c>
      <c r="G2010" s="77" t="s">
        <v>166</v>
      </c>
      <c r="H2010" s="77" t="s">
        <v>153</v>
      </c>
      <c r="I2010" s="86">
        <v>41881</v>
      </c>
      <c r="J2010" s="78">
        <v>1143</v>
      </c>
      <c r="P2010" s="6"/>
      <c r="Q2010" s="6"/>
      <c r="R2010" s="6"/>
      <c r="S2010" s="118"/>
      <c r="T2010" s="119"/>
      <c r="U2010" s="132" t="s">
        <v>154</v>
      </c>
      <c r="V2010" s="132" t="s">
        <v>281</v>
      </c>
      <c r="W2010" s="132" t="s">
        <v>267</v>
      </c>
      <c r="X2010" s="133">
        <v>41874</v>
      </c>
      <c r="Y2010" s="134">
        <v>688</v>
      </c>
    </row>
    <row r="2011" spans="6:25" x14ac:dyDescent="0.25">
      <c r="F2011" s="76" t="s">
        <v>150</v>
      </c>
      <c r="G2011" s="77" t="s">
        <v>166</v>
      </c>
      <c r="H2011" s="77" t="s">
        <v>153</v>
      </c>
      <c r="I2011" s="86">
        <v>41881</v>
      </c>
      <c r="J2011" s="78">
        <v>1069</v>
      </c>
      <c r="P2011" s="6"/>
      <c r="Q2011" s="6"/>
      <c r="R2011" s="6"/>
      <c r="S2011" s="118"/>
      <c r="T2011" s="119"/>
      <c r="U2011" s="132" t="s">
        <v>154</v>
      </c>
      <c r="V2011" s="132" t="s">
        <v>281</v>
      </c>
      <c r="W2011" s="132" t="s">
        <v>267</v>
      </c>
      <c r="X2011" s="133">
        <v>41875</v>
      </c>
      <c r="Y2011" s="134">
        <v>771</v>
      </c>
    </row>
    <row r="2012" spans="6:25" x14ac:dyDescent="0.25">
      <c r="F2012" s="76" t="s">
        <v>150</v>
      </c>
      <c r="G2012" s="77" t="s">
        <v>166</v>
      </c>
      <c r="H2012" s="77" t="s">
        <v>153</v>
      </c>
      <c r="I2012" s="86">
        <v>41882</v>
      </c>
      <c r="J2012" s="78">
        <v>1247</v>
      </c>
      <c r="P2012" s="6"/>
      <c r="Q2012" s="6"/>
      <c r="R2012" s="6"/>
      <c r="S2012" s="118"/>
      <c r="T2012" s="119"/>
      <c r="U2012" s="132" t="s">
        <v>154</v>
      </c>
      <c r="V2012" s="132" t="s">
        <v>281</v>
      </c>
      <c r="W2012" s="132" t="s">
        <v>267</v>
      </c>
      <c r="X2012" s="133">
        <v>41875</v>
      </c>
      <c r="Y2012" s="134">
        <v>288</v>
      </c>
    </row>
    <row r="2013" spans="6:25" x14ac:dyDescent="0.25">
      <c r="F2013" s="76" t="s">
        <v>150</v>
      </c>
      <c r="G2013" s="77" t="s">
        <v>166</v>
      </c>
      <c r="H2013" s="77" t="s">
        <v>153</v>
      </c>
      <c r="I2013" s="86">
        <v>41883</v>
      </c>
      <c r="J2013" s="78">
        <v>1155</v>
      </c>
      <c r="P2013" s="6"/>
      <c r="Q2013" s="6"/>
      <c r="R2013" s="6"/>
      <c r="S2013" s="118"/>
      <c r="T2013" s="119"/>
      <c r="U2013" s="132" t="s">
        <v>154</v>
      </c>
      <c r="V2013" s="132" t="s">
        <v>281</v>
      </c>
      <c r="W2013" s="132" t="s">
        <v>267</v>
      </c>
      <c r="X2013" s="133">
        <v>41876</v>
      </c>
      <c r="Y2013" s="134">
        <v>844</v>
      </c>
    </row>
    <row r="2014" spans="6:25" x14ac:dyDescent="0.25">
      <c r="F2014" s="76" t="s">
        <v>150</v>
      </c>
      <c r="G2014" s="77" t="s">
        <v>166</v>
      </c>
      <c r="H2014" s="77" t="s">
        <v>153</v>
      </c>
      <c r="I2014" s="86">
        <v>41884</v>
      </c>
      <c r="J2014" s="78">
        <v>1238</v>
      </c>
      <c r="P2014" s="6"/>
      <c r="Q2014" s="6"/>
      <c r="R2014" s="6"/>
      <c r="S2014" s="118"/>
      <c r="T2014" s="119"/>
      <c r="U2014" s="132" t="s">
        <v>154</v>
      </c>
      <c r="V2014" s="132" t="s">
        <v>281</v>
      </c>
      <c r="W2014" s="132" t="s">
        <v>267</v>
      </c>
      <c r="X2014" s="133">
        <v>41877</v>
      </c>
      <c r="Y2014" s="134">
        <v>866</v>
      </c>
    </row>
    <row r="2015" spans="6:25" x14ac:dyDescent="0.25">
      <c r="F2015" s="76" t="s">
        <v>150</v>
      </c>
      <c r="G2015" s="77" t="s">
        <v>166</v>
      </c>
      <c r="H2015" s="77" t="s">
        <v>153</v>
      </c>
      <c r="I2015" s="86">
        <v>41885</v>
      </c>
      <c r="J2015" s="78">
        <v>989</v>
      </c>
      <c r="P2015" s="6"/>
      <c r="Q2015" s="6"/>
      <c r="R2015" s="6"/>
      <c r="S2015" s="118"/>
      <c r="T2015" s="119"/>
      <c r="U2015" s="132" t="s">
        <v>154</v>
      </c>
      <c r="V2015" s="132" t="s">
        <v>281</v>
      </c>
      <c r="W2015" s="132" t="s">
        <v>267</v>
      </c>
      <c r="X2015" s="133">
        <v>41878</v>
      </c>
      <c r="Y2015" s="134">
        <v>918</v>
      </c>
    </row>
    <row r="2016" spans="6:25" x14ac:dyDescent="0.25">
      <c r="F2016" s="76" t="s">
        <v>150</v>
      </c>
      <c r="G2016" s="77" t="s">
        <v>166</v>
      </c>
      <c r="H2016" s="77" t="s">
        <v>153</v>
      </c>
      <c r="I2016" s="86">
        <v>41887</v>
      </c>
      <c r="J2016" s="78">
        <v>1122</v>
      </c>
      <c r="P2016" s="6"/>
      <c r="Q2016" s="6"/>
      <c r="R2016" s="6"/>
      <c r="S2016" s="118"/>
      <c r="T2016" s="119"/>
      <c r="U2016" s="132" t="s">
        <v>154</v>
      </c>
      <c r="V2016" s="132" t="s">
        <v>281</v>
      </c>
      <c r="W2016" s="132" t="s">
        <v>267</v>
      </c>
      <c r="X2016" s="133">
        <v>41879</v>
      </c>
      <c r="Y2016" s="134">
        <v>655</v>
      </c>
    </row>
    <row r="2017" spans="6:25" x14ac:dyDescent="0.25">
      <c r="F2017" s="76" t="s">
        <v>150</v>
      </c>
      <c r="G2017" s="77" t="s">
        <v>166</v>
      </c>
      <c r="H2017" s="77" t="s">
        <v>153</v>
      </c>
      <c r="I2017" s="86">
        <v>41887</v>
      </c>
      <c r="J2017" s="78">
        <v>1048</v>
      </c>
      <c r="P2017" s="6"/>
      <c r="Q2017" s="6"/>
      <c r="R2017" s="6"/>
      <c r="S2017" s="118"/>
      <c r="T2017" s="119"/>
      <c r="U2017" s="132" t="s">
        <v>154</v>
      </c>
      <c r="V2017" s="132" t="s">
        <v>281</v>
      </c>
      <c r="W2017" s="132" t="s">
        <v>267</v>
      </c>
      <c r="X2017" s="133">
        <v>41879</v>
      </c>
      <c r="Y2017" s="134">
        <v>848</v>
      </c>
    </row>
    <row r="2018" spans="6:25" x14ac:dyDescent="0.25">
      <c r="F2018" s="76" t="s">
        <v>150</v>
      </c>
      <c r="G2018" s="77" t="s">
        <v>166</v>
      </c>
      <c r="H2018" s="77" t="s">
        <v>153</v>
      </c>
      <c r="I2018" s="86">
        <v>41888</v>
      </c>
      <c r="J2018" s="78">
        <v>1122</v>
      </c>
      <c r="P2018" s="6"/>
      <c r="Q2018" s="6"/>
      <c r="R2018" s="6"/>
      <c r="S2018" s="118"/>
      <c r="T2018" s="119"/>
      <c r="U2018" s="132" t="s">
        <v>154</v>
      </c>
      <c r="V2018" s="132" t="s">
        <v>281</v>
      </c>
      <c r="W2018" s="132" t="s">
        <v>267</v>
      </c>
      <c r="X2018" s="133">
        <v>41880</v>
      </c>
      <c r="Y2018" s="134">
        <v>636</v>
      </c>
    </row>
    <row r="2019" spans="6:25" x14ac:dyDescent="0.25">
      <c r="F2019" s="76" t="s">
        <v>150</v>
      </c>
      <c r="G2019" s="77" t="s">
        <v>166</v>
      </c>
      <c r="H2019" s="77" t="s">
        <v>153</v>
      </c>
      <c r="I2019" s="86">
        <v>41889</v>
      </c>
      <c r="J2019" s="78">
        <v>1264</v>
      </c>
      <c r="P2019" s="6"/>
      <c r="Q2019" s="6"/>
      <c r="R2019" s="6"/>
      <c r="S2019" s="118"/>
      <c r="T2019" s="119"/>
      <c r="U2019" s="132" t="s">
        <v>154</v>
      </c>
      <c r="V2019" s="132" t="s">
        <v>281</v>
      </c>
      <c r="W2019" s="132" t="s">
        <v>267</v>
      </c>
      <c r="X2019" s="133">
        <v>41884</v>
      </c>
      <c r="Y2019" s="134">
        <v>536</v>
      </c>
    </row>
    <row r="2020" spans="6:25" x14ac:dyDescent="0.25">
      <c r="F2020" s="76" t="s">
        <v>150</v>
      </c>
      <c r="G2020" s="77" t="s">
        <v>166</v>
      </c>
      <c r="H2020" s="77" t="s">
        <v>153</v>
      </c>
      <c r="I2020" s="86">
        <v>41890</v>
      </c>
      <c r="J2020" s="78">
        <v>1146</v>
      </c>
      <c r="P2020" s="6"/>
      <c r="Q2020" s="6"/>
      <c r="R2020" s="6"/>
      <c r="S2020" s="118"/>
      <c r="T2020" s="119"/>
      <c r="U2020" s="132" t="s">
        <v>154</v>
      </c>
      <c r="V2020" s="132" t="s">
        <v>281</v>
      </c>
      <c r="W2020" s="132" t="s">
        <v>267</v>
      </c>
      <c r="X2020" s="133">
        <v>41885</v>
      </c>
      <c r="Y2020" s="134">
        <v>925</v>
      </c>
    </row>
    <row r="2021" spans="6:25" x14ac:dyDescent="0.25">
      <c r="F2021" s="76" t="s">
        <v>150</v>
      </c>
      <c r="G2021" s="77" t="s">
        <v>166</v>
      </c>
      <c r="H2021" s="77" t="s">
        <v>153</v>
      </c>
      <c r="I2021" s="86">
        <v>41891</v>
      </c>
      <c r="J2021" s="78">
        <v>871</v>
      </c>
      <c r="P2021" s="6"/>
      <c r="Q2021" s="6"/>
      <c r="R2021" s="6"/>
      <c r="S2021" s="118"/>
      <c r="T2021" s="119"/>
      <c r="U2021" s="132" t="s">
        <v>154</v>
      </c>
      <c r="V2021" s="132" t="s">
        <v>281</v>
      </c>
      <c r="W2021" s="132" t="s">
        <v>267</v>
      </c>
      <c r="X2021" s="133">
        <v>41886</v>
      </c>
      <c r="Y2021" s="134">
        <v>980</v>
      </c>
    </row>
    <row r="2022" spans="6:25" x14ac:dyDescent="0.25">
      <c r="F2022" s="76" t="s">
        <v>150</v>
      </c>
      <c r="G2022" s="77" t="s">
        <v>166</v>
      </c>
      <c r="H2022" s="77" t="s">
        <v>153</v>
      </c>
      <c r="I2022" s="86">
        <v>41893</v>
      </c>
      <c r="J2022" s="78">
        <v>1124</v>
      </c>
      <c r="P2022" s="6"/>
      <c r="Q2022" s="6"/>
      <c r="R2022" s="6"/>
      <c r="S2022" s="118"/>
      <c r="T2022" s="119"/>
      <c r="U2022" s="132" t="s">
        <v>154</v>
      </c>
      <c r="V2022" s="132" t="s">
        <v>281</v>
      </c>
      <c r="W2022" s="132" t="s">
        <v>267</v>
      </c>
      <c r="X2022" s="133">
        <v>41886</v>
      </c>
      <c r="Y2022" s="134">
        <v>300</v>
      </c>
    </row>
    <row r="2023" spans="6:25" x14ac:dyDescent="0.25">
      <c r="F2023" s="76" t="s">
        <v>150</v>
      </c>
      <c r="G2023" s="77" t="s">
        <v>166</v>
      </c>
      <c r="H2023" s="77" t="s">
        <v>153</v>
      </c>
      <c r="I2023" s="86">
        <v>41893</v>
      </c>
      <c r="J2023" s="78">
        <v>1124</v>
      </c>
      <c r="P2023" s="6"/>
      <c r="Q2023" s="6"/>
      <c r="R2023" s="6"/>
      <c r="S2023" s="118"/>
      <c r="T2023" s="119"/>
      <c r="U2023" s="132" t="s">
        <v>154</v>
      </c>
      <c r="V2023" s="132" t="s">
        <v>281</v>
      </c>
      <c r="W2023" s="132" t="s">
        <v>267</v>
      </c>
      <c r="X2023" s="133">
        <v>41887</v>
      </c>
      <c r="Y2023" s="134">
        <v>716</v>
      </c>
    </row>
    <row r="2024" spans="6:25" x14ac:dyDescent="0.25">
      <c r="F2024" s="76" t="s">
        <v>150</v>
      </c>
      <c r="G2024" s="77" t="s">
        <v>166</v>
      </c>
      <c r="H2024" s="77" t="s">
        <v>153</v>
      </c>
      <c r="I2024" s="86">
        <v>41894</v>
      </c>
      <c r="J2024" s="78">
        <v>1159</v>
      </c>
      <c r="P2024" s="6"/>
      <c r="Q2024" s="6"/>
      <c r="R2024" s="6"/>
      <c r="S2024" s="118"/>
      <c r="T2024" s="119"/>
      <c r="U2024" s="132" t="s">
        <v>154</v>
      </c>
      <c r="V2024" s="132" t="s">
        <v>281</v>
      </c>
      <c r="W2024" s="132" t="s">
        <v>267</v>
      </c>
      <c r="X2024" s="133">
        <v>41890</v>
      </c>
      <c r="Y2024" s="134">
        <v>260</v>
      </c>
    </row>
    <row r="2025" spans="6:25" x14ac:dyDescent="0.25">
      <c r="F2025" s="76" t="s">
        <v>150</v>
      </c>
      <c r="G2025" s="77" t="s">
        <v>166</v>
      </c>
      <c r="H2025" s="77" t="s">
        <v>153</v>
      </c>
      <c r="I2025" s="86">
        <v>41895</v>
      </c>
      <c r="J2025" s="78">
        <v>1194</v>
      </c>
      <c r="P2025" s="6"/>
      <c r="Q2025" s="6"/>
      <c r="R2025" s="6"/>
      <c r="S2025" s="118"/>
      <c r="T2025" s="119"/>
      <c r="U2025" s="132" t="s">
        <v>154</v>
      </c>
      <c r="V2025" s="132" t="s">
        <v>281</v>
      </c>
      <c r="W2025" s="132" t="s">
        <v>267</v>
      </c>
      <c r="X2025" s="133">
        <v>41890</v>
      </c>
      <c r="Y2025" s="134">
        <v>505</v>
      </c>
    </row>
    <row r="2026" spans="6:25" x14ac:dyDescent="0.25">
      <c r="F2026" s="76" t="s">
        <v>150</v>
      </c>
      <c r="G2026" s="77" t="s">
        <v>166</v>
      </c>
      <c r="H2026" s="77" t="s">
        <v>153</v>
      </c>
      <c r="I2026" s="86">
        <v>41896</v>
      </c>
      <c r="J2026" s="78">
        <v>1183</v>
      </c>
      <c r="P2026" s="6"/>
      <c r="Q2026" s="6"/>
      <c r="R2026" s="6"/>
      <c r="S2026" s="118"/>
      <c r="T2026" s="119"/>
      <c r="U2026" s="132" t="s">
        <v>154</v>
      </c>
      <c r="V2026" s="132" t="s">
        <v>281</v>
      </c>
      <c r="W2026" s="132" t="s">
        <v>267</v>
      </c>
      <c r="X2026" s="133">
        <v>41891</v>
      </c>
      <c r="Y2026" s="134">
        <v>1010</v>
      </c>
    </row>
    <row r="2027" spans="6:25" x14ac:dyDescent="0.25">
      <c r="F2027" s="76" t="s">
        <v>150</v>
      </c>
      <c r="G2027" s="77" t="s">
        <v>166</v>
      </c>
      <c r="H2027" s="77" t="s">
        <v>153</v>
      </c>
      <c r="I2027" s="86">
        <v>41897</v>
      </c>
      <c r="J2027" s="78">
        <v>740</v>
      </c>
      <c r="P2027" s="6"/>
      <c r="Q2027" s="6"/>
      <c r="R2027" s="6"/>
      <c r="S2027" s="118"/>
      <c r="T2027" s="119"/>
      <c r="U2027" s="132" t="s">
        <v>154</v>
      </c>
      <c r="V2027" s="132" t="s">
        <v>281</v>
      </c>
      <c r="W2027" s="132" t="s">
        <v>267</v>
      </c>
      <c r="X2027" s="133">
        <v>41892</v>
      </c>
      <c r="Y2027" s="134">
        <v>588</v>
      </c>
    </row>
    <row r="2028" spans="6:25" x14ac:dyDescent="0.25">
      <c r="F2028" s="76" t="s">
        <v>150</v>
      </c>
      <c r="G2028" s="77" t="s">
        <v>166</v>
      </c>
      <c r="H2028" s="77" t="s">
        <v>153</v>
      </c>
      <c r="I2028" s="86">
        <v>41899</v>
      </c>
      <c r="J2028" s="78">
        <v>1171</v>
      </c>
      <c r="P2028" s="6"/>
      <c r="Q2028" s="6"/>
      <c r="R2028" s="6"/>
      <c r="S2028" s="118"/>
      <c r="T2028" s="119"/>
      <c r="U2028" s="132" t="s">
        <v>154</v>
      </c>
      <c r="V2028" s="132" t="s">
        <v>281</v>
      </c>
      <c r="W2028" s="132" t="s">
        <v>267</v>
      </c>
      <c r="X2028" s="133">
        <v>41892</v>
      </c>
      <c r="Y2028" s="134">
        <v>497</v>
      </c>
    </row>
    <row r="2029" spans="6:25" x14ac:dyDescent="0.25">
      <c r="F2029" s="76" t="s">
        <v>150</v>
      </c>
      <c r="G2029" s="77" t="s">
        <v>166</v>
      </c>
      <c r="H2029" s="77" t="s">
        <v>153</v>
      </c>
      <c r="I2029" s="86">
        <v>41899</v>
      </c>
      <c r="J2029" s="78">
        <v>1090</v>
      </c>
      <c r="P2029" s="6"/>
      <c r="Q2029" s="6"/>
      <c r="R2029" s="6"/>
      <c r="S2029" s="118"/>
      <c r="T2029" s="119"/>
      <c r="U2029" s="132" t="s">
        <v>154</v>
      </c>
      <c r="V2029" s="132" t="s">
        <v>281</v>
      </c>
      <c r="W2029" s="132" t="s">
        <v>267</v>
      </c>
      <c r="X2029" s="133">
        <v>41893</v>
      </c>
      <c r="Y2029" s="134">
        <v>499</v>
      </c>
    </row>
    <row r="2030" spans="6:25" x14ac:dyDescent="0.25">
      <c r="F2030" s="76" t="s">
        <v>150</v>
      </c>
      <c r="G2030" s="77" t="s">
        <v>166</v>
      </c>
      <c r="H2030" s="77" t="s">
        <v>153</v>
      </c>
      <c r="I2030" s="86">
        <v>41900</v>
      </c>
      <c r="J2030" s="78">
        <v>818</v>
      </c>
      <c r="P2030" s="6"/>
      <c r="Q2030" s="6"/>
      <c r="R2030" s="6"/>
      <c r="S2030" s="118"/>
      <c r="T2030" s="119"/>
      <c r="U2030" s="132" t="s">
        <v>154</v>
      </c>
      <c r="V2030" s="132" t="s">
        <v>281</v>
      </c>
      <c r="W2030" s="132" t="s">
        <v>267</v>
      </c>
      <c r="X2030" s="133">
        <v>41894</v>
      </c>
      <c r="Y2030" s="134">
        <v>770</v>
      </c>
    </row>
    <row r="2031" spans="6:25" x14ac:dyDescent="0.25">
      <c r="F2031" s="76" t="s">
        <v>150</v>
      </c>
      <c r="G2031" s="77" t="s">
        <v>166</v>
      </c>
      <c r="H2031" s="77" t="s">
        <v>153</v>
      </c>
      <c r="I2031" s="86">
        <v>41902</v>
      </c>
      <c r="J2031" s="78">
        <v>1144</v>
      </c>
      <c r="P2031" s="6"/>
      <c r="Q2031" s="6"/>
      <c r="R2031" s="6"/>
      <c r="S2031" s="118"/>
      <c r="T2031" s="119"/>
      <c r="U2031" s="132" t="s">
        <v>154</v>
      </c>
      <c r="V2031" s="132" t="s">
        <v>281</v>
      </c>
      <c r="W2031" s="132" t="s">
        <v>267</v>
      </c>
      <c r="X2031" s="133">
        <v>41895</v>
      </c>
      <c r="Y2031" s="134">
        <v>847</v>
      </c>
    </row>
    <row r="2032" spans="6:25" x14ac:dyDescent="0.25">
      <c r="F2032" s="76" t="s">
        <v>150</v>
      </c>
      <c r="G2032" s="77" t="s">
        <v>166</v>
      </c>
      <c r="H2032" s="77" t="s">
        <v>153</v>
      </c>
      <c r="I2032" s="86">
        <v>41902</v>
      </c>
      <c r="J2032" s="78">
        <v>1120</v>
      </c>
      <c r="P2032" s="6"/>
      <c r="Q2032" s="6"/>
      <c r="R2032" s="6"/>
      <c r="S2032" s="118"/>
      <c r="T2032" s="119"/>
      <c r="U2032" s="132" t="s">
        <v>154</v>
      </c>
      <c r="V2032" s="132" t="s">
        <v>281</v>
      </c>
      <c r="W2032" s="132" t="s">
        <v>267</v>
      </c>
      <c r="X2032" s="133">
        <v>41896</v>
      </c>
      <c r="Y2032" s="134">
        <v>768</v>
      </c>
    </row>
    <row r="2033" spans="6:25" x14ac:dyDescent="0.25">
      <c r="F2033" s="76" t="s">
        <v>150</v>
      </c>
      <c r="G2033" s="77" t="s">
        <v>166</v>
      </c>
      <c r="H2033" s="77" t="s">
        <v>153</v>
      </c>
      <c r="I2033" s="86">
        <v>41903</v>
      </c>
      <c r="J2033" s="78">
        <v>1132</v>
      </c>
      <c r="P2033" s="6"/>
      <c r="Q2033" s="6"/>
      <c r="R2033" s="6"/>
      <c r="S2033" s="118"/>
      <c r="T2033" s="119"/>
      <c r="U2033" s="132" t="s">
        <v>154</v>
      </c>
      <c r="V2033" s="132" t="s">
        <v>281</v>
      </c>
      <c r="W2033" s="132" t="s">
        <v>267</v>
      </c>
      <c r="X2033" s="133">
        <v>41897</v>
      </c>
      <c r="Y2033" s="134">
        <v>791</v>
      </c>
    </row>
    <row r="2034" spans="6:25" x14ac:dyDescent="0.25">
      <c r="F2034" s="76" t="s">
        <v>150</v>
      </c>
      <c r="G2034" s="77" t="s">
        <v>166</v>
      </c>
      <c r="H2034" s="77" t="s">
        <v>153</v>
      </c>
      <c r="I2034" s="86">
        <v>41904</v>
      </c>
      <c r="J2034" s="78">
        <v>1279</v>
      </c>
      <c r="P2034" s="6"/>
      <c r="Q2034" s="6"/>
      <c r="R2034" s="6"/>
      <c r="S2034" s="118"/>
      <c r="T2034" s="119"/>
      <c r="U2034" s="132" t="s">
        <v>154</v>
      </c>
      <c r="V2034" s="132" t="s">
        <v>281</v>
      </c>
      <c r="W2034" s="132" t="s">
        <v>267</v>
      </c>
      <c r="X2034" s="133">
        <v>41898</v>
      </c>
      <c r="Y2034" s="134">
        <v>641</v>
      </c>
    </row>
    <row r="2035" spans="6:25" x14ac:dyDescent="0.25">
      <c r="F2035" s="76" t="s">
        <v>150</v>
      </c>
      <c r="G2035" s="77" t="s">
        <v>166</v>
      </c>
      <c r="H2035" s="77" t="s">
        <v>153</v>
      </c>
      <c r="I2035" s="86">
        <v>41905</v>
      </c>
      <c r="J2035" s="78">
        <v>1118</v>
      </c>
      <c r="P2035" s="6"/>
      <c r="Q2035" s="6"/>
      <c r="R2035" s="6"/>
      <c r="S2035" s="118"/>
      <c r="T2035" s="119"/>
      <c r="U2035" s="132" t="s">
        <v>154</v>
      </c>
      <c r="V2035" s="132" t="s">
        <v>281</v>
      </c>
      <c r="W2035" s="132" t="s">
        <v>267</v>
      </c>
      <c r="X2035" s="133">
        <v>41898</v>
      </c>
      <c r="Y2035" s="134">
        <v>613</v>
      </c>
    </row>
    <row r="2036" spans="6:25" x14ac:dyDescent="0.25">
      <c r="F2036" s="76" t="s">
        <v>150</v>
      </c>
      <c r="G2036" s="77" t="s">
        <v>166</v>
      </c>
      <c r="H2036" s="77" t="s">
        <v>153</v>
      </c>
      <c r="I2036" s="86">
        <v>41906</v>
      </c>
      <c r="J2036" s="78">
        <v>812</v>
      </c>
      <c r="P2036" s="6"/>
      <c r="Q2036" s="6"/>
      <c r="R2036" s="6"/>
      <c r="S2036" s="118"/>
      <c r="T2036" s="119"/>
      <c r="U2036" s="132" t="s">
        <v>154</v>
      </c>
      <c r="V2036" s="132" t="s">
        <v>281</v>
      </c>
      <c r="W2036" s="132" t="s">
        <v>267</v>
      </c>
      <c r="X2036" s="133">
        <v>41899</v>
      </c>
      <c r="Y2036" s="134">
        <v>976</v>
      </c>
    </row>
    <row r="2037" spans="6:25" x14ac:dyDescent="0.25">
      <c r="F2037" s="76" t="s">
        <v>150</v>
      </c>
      <c r="G2037" s="77" t="s">
        <v>166</v>
      </c>
      <c r="H2037" s="77" t="s">
        <v>153</v>
      </c>
      <c r="I2037" s="86">
        <v>41908</v>
      </c>
      <c r="J2037" s="78">
        <v>1023</v>
      </c>
      <c r="P2037" s="6"/>
      <c r="Q2037" s="6"/>
      <c r="R2037" s="6"/>
      <c r="S2037" s="118"/>
      <c r="T2037" s="119"/>
      <c r="U2037" s="132" t="s">
        <v>154</v>
      </c>
      <c r="V2037" s="132" t="s">
        <v>281</v>
      </c>
      <c r="W2037" s="132" t="s">
        <v>267</v>
      </c>
      <c r="X2037" s="133">
        <v>41900</v>
      </c>
      <c r="Y2037" s="134">
        <v>795</v>
      </c>
    </row>
    <row r="2038" spans="6:25" x14ac:dyDescent="0.25">
      <c r="F2038" s="76" t="s">
        <v>150</v>
      </c>
      <c r="G2038" s="77" t="s">
        <v>166</v>
      </c>
      <c r="H2038" s="77" t="s">
        <v>153</v>
      </c>
      <c r="I2038" s="86">
        <v>41908</v>
      </c>
      <c r="J2038" s="78">
        <v>909</v>
      </c>
      <c r="P2038" s="6"/>
      <c r="Q2038" s="6"/>
      <c r="R2038" s="6"/>
      <c r="S2038" s="118"/>
      <c r="T2038" s="119"/>
      <c r="U2038" s="132" t="s">
        <v>154</v>
      </c>
      <c r="V2038" s="132" t="s">
        <v>281</v>
      </c>
      <c r="W2038" s="132" t="s">
        <v>267</v>
      </c>
      <c r="X2038" s="133">
        <v>41901</v>
      </c>
      <c r="Y2038" s="134">
        <v>935</v>
      </c>
    </row>
    <row r="2039" spans="6:25" x14ac:dyDescent="0.25">
      <c r="F2039" s="76" t="s">
        <v>150</v>
      </c>
      <c r="G2039" s="77" t="s">
        <v>166</v>
      </c>
      <c r="H2039" s="77" t="s">
        <v>153</v>
      </c>
      <c r="I2039" s="86">
        <v>41911</v>
      </c>
      <c r="J2039" s="78">
        <v>1107</v>
      </c>
      <c r="P2039" s="6"/>
      <c r="Q2039" s="6"/>
      <c r="R2039" s="6"/>
      <c r="S2039" s="118"/>
      <c r="T2039" s="119"/>
      <c r="U2039" s="132" t="s">
        <v>154</v>
      </c>
      <c r="V2039" s="132" t="s">
        <v>281</v>
      </c>
      <c r="W2039" s="132" t="s">
        <v>267</v>
      </c>
      <c r="X2039" s="133">
        <v>41901</v>
      </c>
      <c r="Y2039" s="134">
        <v>636</v>
      </c>
    </row>
    <row r="2040" spans="6:25" x14ac:dyDescent="0.25">
      <c r="F2040" s="76" t="s">
        <v>150</v>
      </c>
      <c r="G2040" s="77" t="s">
        <v>166</v>
      </c>
      <c r="H2040" s="77" t="s">
        <v>153</v>
      </c>
      <c r="I2040" s="86">
        <v>41912</v>
      </c>
      <c r="J2040" s="78">
        <v>825</v>
      </c>
      <c r="P2040" s="6"/>
      <c r="Q2040" s="6"/>
      <c r="R2040" s="6"/>
      <c r="S2040" s="118"/>
      <c r="T2040" s="119"/>
      <c r="U2040" s="132" t="s">
        <v>154</v>
      </c>
      <c r="V2040" s="132" t="s">
        <v>281</v>
      </c>
      <c r="W2040" s="132" t="s">
        <v>267</v>
      </c>
      <c r="X2040" s="133">
        <v>41903</v>
      </c>
      <c r="Y2040" s="134">
        <v>704</v>
      </c>
    </row>
    <row r="2041" spans="6:25" x14ac:dyDescent="0.25">
      <c r="F2041" s="76" t="s">
        <v>150</v>
      </c>
      <c r="G2041" s="77" t="s">
        <v>166</v>
      </c>
      <c r="H2041" s="77" t="s">
        <v>153</v>
      </c>
      <c r="I2041" s="86">
        <v>41914</v>
      </c>
      <c r="J2041" s="78">
        <v>1119</v>
      </c>
      <c r="P2041" s="120"/>
      <c r="Q2041" s="120"/>
      <c r="R2041" s="120"/>
      <c r="S2041" s="121"/>
      <c r="T2041" s="122"/>
      <c r="U2041" s="132" t="s">
        <v>154</v>
      </c>
      <c r="V2041" s="132" t="s">
        <v>281</v>
      </c>
      <c r="W2041" s="132" t="s">
        <v>267</v>
      </c>
      <c r="X2041" s="133">
        <v>41904</v>
      </c>
      <c r="Y2041" s="134">
        <v>790</v>
      </c>
    </row>
    <row r="2042" spans="6:25" x14ac:dyDescent="0.25">
      <c r="F2042" s="76" t="s">
        <v>150</v>
      </c>
      <c r="G2042" s="77" t="s">
        <v>166</v>
      </c>
      <c r="H2042" s="77" t="s">
        <v>153</v>
      </c>
      <c r="I2042" s="86">
        <v>41914</v>
      </c>
      <c r="J2042" s="78">
        <v>876</v>
      </c>
      <c r="P2042" s="120"/>
      <c r="Q2042" s="120"/>
      <c r="R2042" s="120"/>
      <c r="S2042" s="121"/>
      <c r="T2042" s="122"/>
      <c r="U2042" s="132" t="s">
        <v>154</v>
      </c>
      <c r="V2042" s="132" t="s">
        <v>281</v>
      </c>
      <c r="W2042" s="132" t="s">
        <v>267</v>
      </c>
      <c r="X2042" s="133">
        <v>41905</v>
      </c>
      <c r="Y2042" s="134">
        <v>645</v>
      </c>
    </row>
    <row r="2043" spans="6:25" x14ac:dyDescent="0.25">
      <c r="F2043" s="76" t="s">
        <v>150</v>
      </c>
      <c r="G2043" s="77" t="s">
        <v>166</v>
      </c>
      <c r="H2043" s="77" t="s">
        <v>153</v>
      </c>
      <c r="I2043" s="86">
        <v>41959</v>
      </c>
      <c r="J2043" s="78">
        <v>339</v>
      </c>
      <c r="P2043" s="120"/>
      <c r="Q2043" s="120"/>
      <c r="R2043" s="120"/>
      <c r="S2043" s="121"/>
      <c r="T2043" s="122"/>
      <c r="U2043" s="132" t="s">
        <v>154</v>
      </c>
      <c r="V2043" s="132" t="s">
        <v>281</v>
      </c>
      <c r="W2043" s="132" t="s">
        <v>267</v>
      </c>
      <c r="X2043" s="133">
        <v>41905</v>
      </c>
      <c r="Y2043" s="134">
        <v>727</v>
      </c>
    </row>
    <row r="2044" spans="6:25" x14ac:dyDescent="0.25">
      <c r="F2044" s="76" t="s">
        <v>150</v>
      </c>
      <c r="G2044" s="77" t="s">
        <v>166</v>
      </c>
      <c r="H2044" s="77" t="s">
        <v>153</v>
      </c>
      <c r="I2044" s="86">
        <v>41959</v>
      </c>
      <c r="J2044" s="78">
        <v>1173</v>
      </c>
      <c r="P2044" s="120"/>
      <c r="Q2044" s="120"/>
      <c r="R2044" s="120"/>
      <c r="S2044" s="121"/>
      <c r="T2044" s="122"/>
      <c r="U2044" s="132" t="s">
        <v>154</v>
      </c>
      <c r="V2044" s="132" t="s">
        <v>281</v>
      </c>
      <c r="W2044" s="132" t="s">
        <v>267</v>
      </c>
      <c r="X2044" s="133">
        <v>41906</v>
      </c>
      <c r="Y2044" s="134">
        <v>587</v>
      </c>
    </row>
    <row r="2045" spans="6:25" x14ac:dyDescent="0.25">
      <c r="F2045" s="76" t="s">
        <v>150</v>
      </c>
      <c r="G2045" s="77" t="s">
        <v>166</v>
      </c>
      <c r="H2045" s="77" t="s">
        <v>153</v>
      </c>
      <c r="I2045" s="86">
        <v>41968</v>
      </c>
      <c r="J2045" s="78">
        <v>1207</v>
      </c>
      <c r="P2045" s="120"/>
      <c r="Q2045" s="120"/>
      <c r="R2045" s="120"/>
      <c r="S2045" s="121"/>
      <c r="T2045" s="122"/>
      <c r="U2045" s="132" t="s">
        <v>154</v>
      </c>
      <c r="V2045" s="132" t="s">
        <v>281</v>
      </c>
      <c r="W2045" s="132" t="s">
        <v>267</v>
      </c>
      <c r="X2045" s="133">
        <v>41906</v>
      </c>
      <c r="Y2045" s="134">
        <v>592</v>
      </c>
    </row>
    <row r="2046" spans="6:25" x14ac:dyDescent="0.25">
      <c r="F2046" s="76" t="s">
        <v>150</v>
      </c>
      <c r="G2046" s="77" t="s">
        <v>166</v>
      </c>
      <c r="H2046" s="77" t="s">
        <v>153</v>
      </c>
      <c r="I2046" s="86">
        <v>41974</v>
      </c>
      <c r="J2046" s="78">
        <v>656</v>
      </c>
      <c r="P2046" s="120"/>
      <c r="Q2046" s="120"/>
      <c r="R2046" s="120"/>
      <c r="S2046" s="121"/>
      <c r="T2046" s="122"/>
      <c r="U2046" s="132" t="s">
        <v>154</v>
      </c>
      <c r="V2046" s="132" t="s">
        <v>281</v>
      </c>
      <c r="W2046" s="132" t="s">
        <v>267</v>
      </c>
      <c r="X2046" s="133">
        <v>41907</v>
      </c>
      <c r="Y2046" s="134">
        <v>566</v>
      </c>
    </row>
    <row r="2047" spans="6:25" x14ac:dyDescent="0.25">
      <c r="F2047" s="76" t="s">
        <v>150</v>
      </c>
      <c r="G2047" s="77" t="s">
        <v>166</v>
      </c>
      <c r="H2047" s="77" t="s">
        <v>153</v>
      </c>
      <c r="I2047" s="86">
        <v>41975</v>
      </c>
      <c r="J2047" s="78">
        <v>571</v>
      </c>
      <c r="P2047" s="120"/>
      <c r="Q2047" s="120"/>
      <c r="R2047" s="120"/>
      <c r="S2047" s="121"/>
      <c r="T2047" s="122"/>
      <c r="U2047" s="132" t="s">
        <v>154</v>
      </c>
      <c r="V2047" s="132" t="s">
        <v>281</v>
      </c>
      <c r="W2047" s="132" t="s">
        <v>267</v>
      </c>
      <c r="X2047" s="133">
        <v>41908</v>
      </c>
      <c r="Y2047" s="134">
        <v>743</v>
      </c>
    </row>
    <row r="2048" spans="6:25" x14ac:dyDescent="0.25">
      <c r="F2048" s="76" t="s">
        <v>150</v>
      </c>
      <c r="G2048" s="77" t="s">
        <v>166</v>
      </c>
      <c r="H2048" s="77" t="s">
        <v>153</v>
      </c>
      <c r="I2048" s="86">
        <v>41981</v>
      </c>
      <c r="J2048" s="78">
        <v>1069</v>
      </c>
      <c r="P2048" s="120"/>
      <c r="Q2048" s="120"/>
      <c r="R2048" s="120"/>
      <c r="S2048" s="121"/>
      <c r="T2048" s="122"/>
      <c r="U2048" s="132" t="s">
        <v>154</v>
      </c>
      <c r="V2048" s="132" t="s">
        <v>281</v>
      </c>
      <c r="W2048" s="132" t="s">
        <v>267</v>
      </c>
      <c r="X2048" s="133">
        <v>41910</v>
      </c>
      <c r="Y2048" s="134">
        <v>744</v>
      </c>
    </row>
    <row r="2049" spans="6:25" x14ac:dyDescent="0.25">
      <c r="F2049" s="76" t="s">
        <v>150</v>
      </c>
      <c r="G2049" s="77" t="s">
        <v>166</v>
      </c>
      <c r="H2049" s="77" t="s">
        <v>153</v>
      </c>
      <c r="I2049" s="86">
        <v>41984</v>
      </c>
      <c r="J2049" s="78">
        <v>1131</v>
      </c>
      <c r="P2049" s="120"/>
      <c r="Q2049" s="120"/>
      <c r="R2049" s="120"/>
      <c r="S2049" s="121"/>
      <c r="T2049" s="122"/>
      <c r="U2049" s="132" t="s">
        <v>154</v>
      </c>
      <c r="V2049" s="132" t="s">
        <v>281</v>
      </c>
      <c r="W2049" s="132" t="s">
        <v>267</v>
      </c>
      <c r="X2049" s="133">
        <v>41911</v>
      </c>
      <c r="Y2049" s="134">
        <v>807</v>
      </c>
    </row>
    <row r="2050" spans="6:25" x14ac:dyDescent="0.25">
      <c r="F2050" s="76" t="s">
        <v>150</v>
      </c>
      <c r="G2050" s="77" t="s">
        <v>166</v>
      </c>
      <c r="H2050" s="77" t="s">
        <v>153</v>
      </c>
      <c r="I2050" s="86">
        <v>41991</v>
      </c>
      <c r="J2050" s="78">
        <v>1113</v>
      </c>
      <c r="P2050" s="120"/>
      <c r="Q2050" s="120"/>
      <c r="R2050" s="120"/>
      <c r="S2050" s="121"/>
      <c r="T2050" s="122"/>
      <c r="U2050" s="132" t="s">
        <v>154</v>
      </c>
      <c r="V2050" s="132" t="s">
        <v>281</v>
      </c>
      <c r="W2050" s="132" t="s">
        <v>267</v>
      </c>
      <c r="X2050" s="133">
        <v>41912</v>
      </c>
      <c r="Y2050" s="134">
        <v>1261</v>
      </c>
    </row>
    <row r="2051" spans="6:25" x14ac:dyDescent="0.25">
      <c r="F2051" s="76" t="s">
        <v>150</v>
      </c>
      <c r="G2051" s="77" t="s">
        <v>166</v>
      </c>
      <c r="H2051" s="77" t="s">
        <v>153</v>
      </c>
      <c r="I2051" s="86">
        <v>41996</v>
      </c>
      <c r="J2051" s="78">
        <v>1037</v>
      </c>
      <c r="P2051" s="120"/>
      <c r="Q2051" s="120"/>
      <c r="R2051" s="120"/>
      <c r="S2051" s="121"/>
      <c r="T2051" s="122"/>
      <c r="U2051" s="132" t="s">
        <v>154</v>
      </c>
      <c r="V2051" s="132" t="s">
        <v>281</v>
      </c>
      <c r="W2051" s="132" t="s">
        <v>267</v>
      </c>
      <c r="X2051" s="133">
        <v>41913</v>
      </c>
      <c r="Y2051" s="134">
        <v>827</v>
      </c>
    </row>
    <row r="2052" spans="6:25" x14ac:dyDescent="0.25">
      <c r="F2052" s="76" t="s">
        <v>150</v>
      </c>
      <c r="G2052" s="77" t="s">
        <v>166</v>
      </c>
      <c r="H2052" s="77" t="s">
        <v>153</v>
      </c>
      <c r="I2052" s="86">
        <v>41997</v>
      </c>
      <c r="J2052" s="78">
        <v>1117</v>
      </c>
      <c r="P2052" s="120"/>
      <c r="Q2052" s="120"/>
      <c r="R2052" s="120"/>
      <c r="S2052" s="121"/>
      <c r="T2052" s="122"/>
      <c r="U2052" s="132" t="s">
        <v>154</v>
      </c>
      <c r="V2052" s="132" t="s">
        <v>281</v>
      </c>
      <c r="W2052" s="132" t="s">
        <v>267</v>
      </c>
      <c r="X2052" s="133">
        <v>41914</v>
      </c>
      <c r="Y2052" s="134">
        <v>592</v>
      </c>
    </row>
    <row r="2053" spans="6:25" x14ac:dyDescent="0.25">
      <c r="F2053" s="76" t="s">
        <v>150</v>
      </c>
      <c r="G2053" s="77" t="s">
        <v>166</v>
      </c>
      <c r="H2053" s="77" t="s">
        <v>153</v>
      </c>
      <c r="I2053" s="86">
        <v>41997</v>
      </c>
      <c r="J2053" s="78">
        <v>544</v>
      </c>
      <c r="P2053" s="120"/>
      <c r="Q2053" s="120"/>
      <c r="R2053" s="120"/>
      <c r="S2053" s="121"/>
      <c r="T2053" s="122"/>
      <c r="U2053" s="132" t="s">
        <v>154</v>
      </c>
      <c r="V2053" s="132" t="s">
        <v>281</v>
      </c>
      <c r="W2053" s="132" t="s">
        <v>267</v>
      </c>
      <c r="X2053" s="133">
        <v>41914</v>
      </c>
      <c r="Y2053" s="134">
        <v>889</v>
      </c>
    </row>
    <row r="2054" spans="6:25" x14ac:dyDescent="0.25">
      <c r="F2054" s="76" t="s">
        <v>150</v>
      </c>
      <c r="G2054" s="77" t="s">
        <v>166</v>
      </c>
      <c r="H2054" s="77" t="s">
        <v>153</v>
      </c>
      <c r="I2054" s="86">
        <v>41998</v>
      </c>
      <c r="J2054" s="78">
        <v>974</v>
      </c>
      <c r="P2054" s="120"/>
      <c r="Q2054" s="120"/>
      <c r="R2054" s="120"/>
      <c r="S2054" s="121"/>
      <c r="T2054" s="122"/>
      <c r="U2054" s="132" t="s">
        <v>154</v>
      </c>
      <c r="V2054" s="132" t="s">
        <v>281</v>
      </c>
      <c r="W2054" s="132" t="s">
        <v>267</v>
      </c>
      <c r="X2054" s="133">
        <v>41915</v>
      </c>
      <c r="Y2054" s="134">
        <v>862</v>
      </c>
    </row>
    <row r="2055" spans="6:25" x14ac:dyDescent="0.25">
      <c r="F2055" s="76" t="s">
        <v>150</v>
      </c>
      <c r="G2055" s="77" t="s">
        <v>166</v>
      </c>
      <c r="H2055" s="77" t="s">
        <v>153</v>
      </c>
      <c r="I2055" s="86">
        <v>41999</v>
      </c>
      <c r="J2055" s="78">
        <v>818</v>
      </c>
      <c r="P2055" s="120"/>
      <c r="Q2055" s="120"/>
      <c r="R2055" s="120"/>
      <c r="S2055" s="121"/>
      <c r="T2055" s="122"/>
      <c r="U2055" s="132" t="s">
        <v>154</v>
      </c>
      <c r="V2055" s="132" t="s">
        <v>281</v>
      </c>
      <c r="W2055" s="132" t="s">
        <v>267</v>
      </c>
      <c r="X2055" s="133">
        <v>41917</v>
      </c>
      <c r="Y2055" s="134">
        <v>583</v>
      </c>
    </row>
    <row r="2056" spans="6:25" x14ac:dyDescent="0.25">
      <c r="F2056" s="76" t="s">
        <v>150</v>
      </c>
      <c r="G2056" s="77" t="s">
        <v>166</v>
      </c>
      <c r="H2056" s="77" t="s">
        <v>153</v>
      </c>
      <c r="I2056" s="86">
        <v>42002</v>
      </c>
      <c r="J2056" s="78">
        <v>589</v>
      </c>
      <c r="P2056" s="120"/>
      <c r="Q2056" s="120"/>
      <c r="R2056" s="120"/>
      <c r="S2056" s="121"/>
      <c r="T2056" s="122"/>
      <c r="U2056" s="132" t="s">
        <v>154</v>
      </c>
      <c r="V2056" s="132" t="s">
        <v>281</v>
      </c>
      <c r="W2056" s="132" t="s">
        <v>267</v>
      </c>
      <c r="X2056" s="133">
        <v>41918</v>
      </c>
      <c r="Y2056" s="134">
        <v>465</v>
      </c>
    </row>
    <row r="2057" spans="6:25" x14ac:dyDescent="0.25">
      <c r="F2057" s="76" t="s">
        <v>150</v>
      </c>
      <c r="G2057" s="77" t="s">
        <v>189</v>
      </c>
      <c r="H2057" s="77" t="s">
        <v>153</v>
      </c>
      <c r="I2057" s="86">
        <v>41652</v>
      </c>
      <c r="J2057" s="78">
        <v>645</v>
      </c>
      <c r="P2057" s="120"/>
      <c r="Q2057" s="120"/>
      <c r="R2057" s="120"/>
      <c r="S2057" s="121"/>
      <c r="T2057" s="122"/>
      <c r="U2057" s="132" t="s">
        <v>154</v>
      </c>
      <c r="V2057" s="132" t="s">
        <v>281</v>
      </c>
      <c r="W2057" s="132" t="s">
        <v>267</v>
      </c>
      <c r="X2057" s="133">
        <v>41919</v>
      </c>
      <c r="Y2057" s="134">
        <v>465</v>
      </c>
    </row>
    <row r="2058" spans="6:25" x14ac:dyDescent="0.25">
      <c r="F2058" s="76" t="s">
        <v>150</v>
      </c>
      <c r="G2058" s="77" t="s">
        <v>189</v>
      </c>
      <c r="H2058" s="77" t="s">
        <v>153</v>
      </c>
      <c r="I2058" s="86">
        <v>41654</v>
      </c>
      <c r="J2058" s="78">
        <v>1188</v>
      </c>
      <c r="P2058" s="120"/>
      <c r="Q2058" s="120"/>
      <c r="R2058" s="120"/>
      <c r="S2058" s="121"/>
      <c r="T2058" s="122"/>
      <c r="U2058" s="132" t="s">
        <v>154</v>
      </c>
      <c r="V2058" s="132" t="s">
        <v>281</v>
      </c>
      <c r="W2058" s="132" t="s">
        <v>267</v>
      </c>
      <c r="X2058" s="133">
        <v>41919</v>
      </c>
      <c r="Y2058" s="134">
        <v>817</v>
      </c>
    </row>
    <row r="2059" spans="6:25" x14ac:dyDescent="0.25">
      <c r="F2059" s="76" t="s">
        <v>150</v>
      </c>
      <c r="G2059" s="77" t="s">
        <v>189</v>
      </c>
      <c r="H2059" s="77" t="s">
        <v>153</v>
      </c>
      <c r="I2059" s="86">
        <v>41656</v>
      </c>
      <c r="J2059" s="78">
        <v>988</v>
      </c>
      <c r="P2059" s="120"/>
      <c r="Q2059" s="120"/>
      <c r="R2059" s="120"/>
      <c r="S2059" s="121"/>
      <c r="T2059" s="122"/>
      <c r="U2059" s="132" t="s">
        <v>154</v>
      </c>
      <c r="V2059" s="132" t="s">
        <v>281</v>
      </c>
      <c r="W2059" s="132" t="s">
        <v>267</v>
      </c>
      <c r="X2059" s="133">
        <v>41920</v>
      </c>
      <c r="Y2059" s="134">
        <v>608</v>
      </c>
    </row>
    <row r="2060" spans="6:25" x14ac:dyDescent="0.25">
      <c r="F2060" s="76" t="s">
        <v>150</v>
      </c>
      <c r="G2060" s="77" t="s">
        <v>189</v>
      </c>
      <c r="H2060" s="77" t="s">
        <v>153</v>
      </c>
      <c r="I2060" s="86">
        <v>41675</v>
      </c>
      <c r="J2060" s="78">
        <v>1317</v>
      </c>
      <c r="P2060" s="120"/>
      <c r="Q2060" s="120"/>
      <c r="R2060" s="120"/>
      <c r="S2060" s="121"/>
      <c r="T2060" s="122"/>
      <c r="U2060" s="132" t="s">
        <v>154</v>
      </c>
      <c r="V2060" s="132" t="s">
        <v>281</v>
      </c>
      <c r="W2060" s="132" t="s">
        <v>267</v>
      </c>
      <c r="X2060" s="133">
        <v>41920</v>
      </c>
      <c r="Y2060" s="134">
        <v>582</v>
      </c>
    </row>
    <row r="2061" spans="6:25" x14ac:dyDescent="0.25">
      <c r="F2061" s="76" t="s">
        <v>150</v>
      </c>
      <c r="G2061" s="77" t="s">
        <v>189</v>
      </c>
      <c r="H2061" s="77" t="s">
        <v>153</v>
      </c>
      <c r="I2061" s="86">
        <v>41677</v>
      </c>
      <c r="J2061" s="78">
        <v>902</v>
      </c>
      <c r="P2061" s="120"/>
      <c r="Q2061" s="120"/>
      <c r="R2061" s="120"/>
      <c r="S2061" s="121"/>
      <c r="T2061" s="122"/>
      <c r="U2061" s="132" t="s">
        <v>154</v>
      </c>
      <c r="V2061" s="132" t="s">
        <v>281</v>
      </c>
      <c r="W2061" s="132" t="s">
        <v>267</v>
      </c>
      <c r="X2061" s="133">
        <v>41921</v>
      </c>
      <c r="Y2061" s="134">
        <v>498</v>
      </c>
    </row>
    <row r="2062" spans="6:25" x14ac:dyDescent="0.25">
      <c r="F2062" s="76" t="s">
        <v>150</v>
      </c>
      <c r="G2062" s="77" t="s">
        <v>189</v>
      </c>
      <c r="H2062" s="77" t="s">
        <v>153</v>
      </c>
      <c r="I2062" s="86">
        <v>41702</v>
      </c>
      <c r="J2062" s="78">
        <v>885</v>
      </c>
      <c r="P2062" s="120"/>
      <c r="Q2062" s="120"/>
      <c r="R2062" s="120"/>
      <c r="S2062" s="121"/>
      <c r="T2062" s="122"/>
      <c r="U2062" s="132" t="s">
        <v>154</v>
      </c>
      <c r="V2062" s="132" t="s">
        <v>281</v>
      </c>
      <c r="W2062" s="132" t="s">
        <v>267</v>
      </c>
      <c r="X2062" s="133">
        <v>41922</v>
      </c>
      <c r="Y2062" s="134">
        <v>798</v>
      </c>
    </row>
    <row r="2063" spans="6:25" x14ac:dyDescent="0.25">
      <c r="F2063" s="76" t="s">
        <v>150</v>
      </c>
      <c r="G2063" s="77" t="s">
        <v>189</v>
      </c>
      <c r="H2063" s="77" t="s">
        <v>153</v>
      </c>
      <c r="I2063" s="86">
        <v>41704</v>
      </c>
      <c r="J2063" s="78">
        <v>1393</v>
      </c>
      <c r="P2063" s="120"/>
      <c r="Q2063" s="120"/>
      <c r="R2063" s="120"/>
      <c r="S2063" s="121"/>
      <c r="T2063" s="122"/>
      <c r="U2063" s="132" t="s">
        <v>154</v>
      </c>
      <c r="V2063" s="132" t="s">
        <v>281</v>
      </c>
      <c r="W2063" s="132" t="s">
        <v>267</v>
      </c>
      <c r="X2063" s="133">
        <v>41924</v>
      </c>
      <c r="Y2063" s="134">
        <v>220</v>
      </c>
    </row>
    <row r="2064" spans="6:25" x14ac:dyDescent="0.25">
      <c r="F2064" s="76" t="s">
        <v>150</v>
      </c>
      <c r="G2064" s="77" t="s">
        <v>189</v>
      </c>
      <c r="H2064" s="77" t="s">
        <v>153</v>
      </c>
      <c r="I2064" s="86">
        <v>41705</v>
      </c>
      <c r="J2064" s="78">
        <v>1313</v>
      </c>
      <c r="P2064" s="120"/>
      <c r="Q2064" s="120"/>
      <c r="R2064" s="120"/>
      <c r="S2064" s="121"/>
      <c r="T2064" s="122"/>
      <c r="U2064" s="132" t="s">
        <v>154</v>
      </c>
      <c r="V2064" s="132" t="s">
        <v>281</v>
      </c>
      <c r="W2064" s="132" t="s">
        <v>267</v>
      </c>
      <c r="X2064" s="133">
        <v>41924</v>
      </c>
      <c r="Y2064" s="134">
        <v>478</v>
      </c>
    </row>
    <row r="2065" spans="6:25" x14ac:dyDescent="0.25">
      <c r="F2065" s="76" t="s">
        <v>150</v>
      </c>
      <c r="G2065" s="77" t="s">
        <v>189</v>
      </c>
      <c r="H2065" s="77" t="s">
        <v>153</v>
      </c>
      <c r="I2065" s="86">
        <v>41713</v>
      </c>
      <c r="J2065" s="78">
        <v>931</v>
      </c>
      <c r="P2065" s="120"/>
      <c r="Q2065" s="120"/>
      <c r="R2065" s="120"/>
      <c r="S2065" s="121"/>
      <c r="T2065" s="122"/>
      <c r="U2065" s="132" t="s">
        <v>154</v>
      </c>
      <c r="V2065" s="132" t="s">
        <v>281</v>
      </c>
      <c r="W2065" s="132" t="s">
        <v>267</v>
      </c>
      <c r="X2065" s="133">
        <v>41924</v>
      </c>
      <c r="Y2065" s="134">
        <v>746</v>
      </c>
    </row>
    <row r="2066" spans="6:25" x14ac:dyDescent="0.25">
      <c r="F2066" s="76" t="s">
        <v>150</v>
      </c>
      <c r="G2066" s="77" t="s">
        <v>189</v>
      </c>
      <c r="H2066" s="77" t="s">
        <v>153</v>
      </c>
      <c r="I2066" s="86">
        <v>41726</v>
      </c>
      <c r="J2066" s="78">
        <v>805</v>
      </c>
      <c r="P2066" s="120"/>
      <c r="Q2066" s="120"/>
      <c r="R2066" s="120"/>
      <c r="S2066" s="121"/>
      <c r="T2066" s="122"/>
      <c r="U2066" s="132" t="s">
        <v>154</v>
      </c>
      <c r="V2066" s="132" t="s">
        <v>281</v>
      </c>
      <c r="W2066" s="132" t="s">
        <v>267</v>
      </c>
      <c r="X2066" s="133">
        <v>41925</v>
      </c>
      <c r="Y2066" s="134">
        <v>844</v>
      </c>
    </row>
    <row r="2067" spans="6:25" x14ac:dyDescent="0.25">
      <c r="F2067" s="76" t="s">
        <v>150</v>
      </c>
      <c r="G2067" s="77" t="s">
        <v>189</v>
      </c>
      <c r="H2067" s="77" t="s">
        <v>153</v>
      </c>
      <c r="I2067" s="86">
        <v>41727</v>
      </c>
      <c r="J2067" s="78">
        <v>598</v>
      </c>
      <c r="P2067" s="120"/>
      <c r="Q2067" s="120"/>
      <c r="R2067" s="120"/>
      <c r="S2067" s="121"/>
      <c r="T2067" s="122"/>
      <c r="U2067" s="132" t="s">
        <v>154</v>
      </c>
      <c r="V2067" s="132" t="s">
        <v>281</v>
      </c>
      <c r="W2067" s="132" t="s">
        <v>267</v>
      </c>
      <c r="X2067" s="133">
        <v>41925</v>
      </c>
      <c r="Y2067" s="134">
        <v>346</v>
      </c>
    </row>
    <row r="2068" spans="6:25" x14ac:dyDescent="0.25">
      <c r="F2068" s="76" t="s">
        <v>150</v>
      </c>
      <c r="G2068" s="77" t="s">
        <v>189</v>
      </c>
      <c r="H2068" s="77" t="s">
        <v>153</v>
      </c>
      <c r="I2068" s="86">
        <v>41728</v>
      </c>
      <c r="J2068" s="78">
        <v>662</v>
      </c>
      <c r="P2068" s="120"/>
      <c r="Q2068" s="120"/>
      <c r="R2068" s="120"/>
      <c r="S2068" s="121"/>
      <c r="T2068" s="122"/>
      <c r="U2068" s="132" t="s">
        <v>154</v>
      </c>
      <c r="V2068" s="132" t="s">
        <v>281</v>
      </c>
      <c r="W2068" s="132" t="s">
        <v>267</v>
      </c>
      <c r="X2068" s="133">
        <v>41926</v>
      </c>
      <c r="Y2068" s="134">
        <v>784</v>
      </c>
    </row>
    <row r="2069" spans="6:25" x14ac:dyDescent="0.25">
      <c r="F2069" s="76" t="s">
        <v>150</v>
      </c>
      <c r="G2069" s="77" t="s">
        <v>189</v>
      </c>
      <c r="H2069" s="77" t="s">
        <v>153</v>
      </c>
      <c r="I2069" s="86">
        <v>41729</v>
      </c>
      <c r="J2069" s="78">
        <v>553</v>
      </c>
      <c r="P2069" s="120"/>
      <c r="Q2069" s="120"/>
      <c r="R2069" s="120"/>
      <c r="S2069" s="121"/>
      <c r="T2069" s="122"/>
      <c r="U2069" s="132" t="s">
        <v>154</v>
      </c>
      <c r="V2069" s="132" t="s">
        <v>281</v>
      </c>
      <c r="W2069" s="132" t="s">
        <v>267</v>
      </c>
      <c r="X2069" s="133">
        <v>41927</v>
      </c>
      <c r="Y2069" s="134">
        <v>872</v>
      </c>
    </row>
    <row r="2070" spans="6:25" x14ac:dyDescent="0.25">
      <c r="F2070" s="76" t="s">
        <v>150</v>
      </c>
      <c r="G2070" s="77" t="s">
        <v>189</v>
      </c>
      <c r="H2070" s="77" t="s">
        <v>153</v>
      </c>
      <c r="I2070" s="86">
        <v>41731</v>
      </c>
      <c r="J2070" s="78">
        <v>974</v>
      </c>
      <c r="P2070" s="120"/>
      <c r="Q2070" s="120"/>
      <c r="R2070" s="120"/>
      <c r="S2070" s="121"/>
      <c r="T2070" s="122"/>
      <c r="U2070" s="132" t="s">
        <v>154</v>
      </c>
      <c r="V2070" s="132" t="s">
        <v>281</v>
      </c>
      <c r="W2070" s="132" t="s">
        <v>267</v>
      </c>
      <c r="X2070" s="133">
        <v>41928</v>
      </c>
      <c r="Y2070" s="134">
        <v>775</v>
      </c>
    </row>
    <row r="2071" spans="6:25" x14ac:dyDescent="0.25">
      <c r="F2071" s="76" t="s">
        <v>150</v>
      </c>
      <c r="G2071" s="77" t="s">
        <v>189</v>
      </c>
      <c r="H2071" s="77" t="s">
        <v>153</v>
      </c>
      <c r="I2071" s="86">
        <v>41732</v>
      </c>
      <c r="J2071" s="78">
        <v>799</v>
      </c>
      <c r="P2071" s="120"/>
      <c r="Q2071" s="120"/>
      <c r="R2071" s="120"/>
      <c r="S2071" s="121"/>
      <c r="T2071" s="122"/>
      <c r="U2071" s="132" t="s">
        <v>154</v>
      </c>
      <c r="V2071" s="132" t="s">
        <v>281</v>
      </c>
      <c r="W2071" s="132" t="s">
        <v>267</v>
      </c>
      <c r="X2071" s="133">
        <v>41929</v>
      </c>
      <c r="Y2071" s="134">
        <v>1390</v>
      </c>
    </row>
    <row r="2072" spans="6:25" x14ac:dyDescent="0.25">
      <c r="F2072" s="76" t="s">
        <v>150</v>
      </c>
      <c r="G2072" s="77" t="s">
        <v>189</v>
      </c>
      <c r="H2072" s="77" t="s">
        <v>153</v>
      </c>
      <c r="I2072" s="86">
        <v>41737</v>
      </c>
      <c r="J2072" s="78">
        <v>656</v>
      </c>
      <c r="P2072" s="120"/>
      <c r="Q2072" s="120"/>
      <c r="R2072" s="120"/>
      <c r="S2072" s="121"/>
      <c r="T2072" s="122"/>
      <c r="U2072" s="132" t="s">
        <v>154</v>
      </c>
      <c r="V2072" s="132" t="s">
        <v>281</v>
      </c>
      <c r="W2072" s="132" t="s">
        <v>267</v>
      </c>
      <c r="X2072" s="133">
        <v>41930</v>
      </c>
      <c r="Y2072" s="134">
        <v>430</v>
      </c>
    </row>
    <row r="2073" spans="6:25" x14ac:dyDescent="0.25">
      <c r="F2073" s="76" t="s">
        <v>150</v>
      </c>
      <c r="G2073" s="77" t="s">
        <v>189</v>
      </c>
      <c r="H2073" s="77" t="s">
        <v>153</v>
      </c>
      <c r="I2073" s="86">
        <v>41739</v>
      </c>
      <c r="J2073" s="78">
        <v>593</v>
      </c>
      <c r="P2073" s="120"/>
      <c r="Q2073" s="120"/>
      <c r="R2073" s="120"/>
      <c r="S2073" s="121"/>
      <c r="T2073" s="122"/>
      <c r="U2073" s="132" t="s">
        <v>154</v>
      </c>
      <c r="V2073" s="132" t="s">
        <v>281</v>
      </c>
      <c r="W2073" s="132" t="s">
        <v>267</v>
      </c>
      <c r="X2073" s="133">
        <v>41930</v>
      </c>
      <c r="Y2073" s="134">
        <v>826</v>
      </c>
    </row>
    <row r="2074" spans="6:25" x14ac:dyDescent="0.25">
      <c r="F2074" s="76" t="s">
        <v>150</v>
      </c>
      <c r="G2074" s="77" t="s">
        <v>189</v>
      </c>
      <c r="H2074" s="77" t="s">
        <v>153</v>
      </c>
      <c r="I2074" s="86">
        <v>41741</v>
      </c>
      <c r="J2074" s="78">
        <v>710</v>
      </c>
      <c r="P2074" s="120"/>
      <c r="Q2074" s="120"/>
      <c r="R2074" s="120"/>
      <c r="S2074" s="121"/>
      <c r="T2074" s="122"/>
      <c r="U2074" s="132" t="s">
        <v>154</v>
      </c>
      <c r="V2074" s="132" t="s">
        <v>281</v>
      </c>
      <c r="W2074" s="132" t="s">
        <v>267</v>
      </c>
      <c r="X2074" s="133">
        <v>41931</v>
      </c>
      <c r="Y2074" s="134">
        <v>804</v>
      </c>
    </row>
    <row r="2075" spans="6:25" x14ac:dyDescent="0.25">
      <c r="F2075" s="76" t="s">
        <v>150</v>
      </c>
      <c r="G2075" s="77" t="s">
        <v>189</v>
      </c>
      <c r="H2075" s="77" t="s">
        <v>153</v>
      </c>
      <c r="I2075" s="86">
        <v>41743</v>
      </c>
      <c r="J2075" s="78">
        <v>1056</v>
      </c>
      <c r="P2075" s="120"/>
      <c r="Q2075" s="120"/>
      <c r="R2075" s="120"/>
      <c r="S2075" s="121"/>
      <c r="T2075" s="122"/>
      <c r="U2075" s="132" t="s">
        <v>154</v>
      </c>
      <c r="V2075" s="132" t="s">
        <v>281</v>
      </c>
      <c r="W2075" s="132" t="s">
        <v>267</v>
      </c>
      <c r="X2075" s="133">
        <v>41931</v>
      </c>
      <c r="Y2075" s="134">
        <v>678</v>
      </c>
    </row>
    <row r="2076" spans="6:25" x14ac:dyDescent="0.25">
      <c r="F2076" s="76" t="s">
        <v>150</v>
      </c>
      <c r="G2076" s="77" t="s">
        <v>189</v>
      </c>
      <c r="H2076" s="77" t="s">
        <v>153</v>
      </c>
      <c r="I2076" s="86">
        <v>41750</v>
      </c>
      <c r="J2076" s="78">
        <v>892</v>
      </c>
      <c r="P2076" s="120"/>
      <c r="Q2076" s="120"/>
      <c r="R2076" s="120"/>
      <c r="S2076" s="121"/>
      <c r="T2076" s="122"/>
      <c r="U2076" s="132" t="s">
        <v>154</v>
      </c>
      <c r="V2076" s="132" t="s">
        <v>281</v>
      </c>
      <c r="W2076" s="132" t="s">
        <v>267</v>
      </c>
      <c r="X2076" s="133">
        <v>41932</v>
      </c>
      <c r="Y2076" s="134">
        <v>771</v>
      </c>
    </row>
    <row r="2077" spans="6:25" x14ac:dyDescent="0.25">
      <c r="F2077" s="76" t="s">
        <v>150</v>
      </c>
      <c r="G2077" s="77" t="s">
        <v>189</v>
      </c>
      <c r="H2077" s="77" t="s">
        <v>153</v>
      </c>
      <c r="I2077" s="86">
        <v>41751</v>
      </c>
      <c r="J2077" s="78">
        <v>896</v>
      </c>
      <c r="P2077" s="120"/>
      <c r="Q2077" s="120"/>
      <c r="R2077" s="120"/>
      <c r="S2077" s="121"/>
      <c r="T2077" s="122"/>
      <c r="U2077" s="132" t="s">
        <v>154</v>
      </c>
      <c r="V2077" s="132" t="s">
        <v>281</v>
      </c>
      <c r="W2077" s="132" t="s">
        <v>267</v>
      </c>
      <c r="X2077" s="133">
        <v>41933</v>
      </c>
      <c r="Y2077" s="134">
        <v>845</v>
      </c>
    </row>
    <row r="2078" spans="6:25" x14ac:dyDescent="0.25">
      <c r="F2078" s="76" t="s">
        <v>150</v>
      </c>
      <c r="G2078" s="77" t="s">
        <v>189</v>
      </c>
      <c r="H2078" s="77" t="s">
        <v>153</v>
      </c>
      <c r="I2078" s="86">
        <v>41752</v>
      </c>
      <c r="J2078" s="78">
        <v>682</v>
      </c>
      <c r="P2078" s="120"/>
      <c r="Q2078" s="120"/>
      <c r="R2078" s="120"/>
      <c r="S2078" s="121"/>
      <c r="T2078" s="122"/>
      <c r="U2078" s="132" t="s">
        <v>154</v>
      </c>
      <c r="V2078" s="132" t="s">
        <v>282</v>
      </c>
      <c r="W2078" s="132" t="s">
        <v>267</v>
      </c>
      <c r="X2078" s="133">
        <v>41841</v>
      </c>
      <c r="Y2078" s="134">
        <v>545</v>
      </c>
    </row>
    <row r="2079" spans="6:25" x14ac:dyDescent="0.25">
      <c r="F2079" s="76" t="s">
        <v>150</v>
      </c>
      <c r="G2079" s="77" t="s">
        <v>189</v>
      </c>
      <c r="H2079" s="77" t="s">
        <v>153</v>
      </c>
      <c r="I2079" s="86">
        <v>41753</v>
      </c>
      <c r="J2079" s="78">
        <v>779</v>
      </c>
      <c r="P2079" s="120"/>
      <c r="Q2079" s="120"/>
      <c r="R2079" s="120"/>
      <c r="S2079" s="121"/>
      <c r="T2079" s="122"/>
      <c r="U2079" s="132" t="s">
        <v>154</v>
      </c>
      <c r="V2079" s="132" t="s">
        <v>282</v>
      </c>
      <c r="W2079" s="132" t="s">
        <v>267</v>
      </c>
      <c r="X2079" s="133">
        <v>41842</v>
      </c>
      <c r="Y2079" s="134">
        <v>785</v>
      </c>
    </row>
    <row r="2080" spans="6:25" x14ac:dyDescent="0.25">
      <c r="F2080" s="76" t="s">
        <v>150</v>
      </c>
      <c r="G2080" s="77" t="s">
        <v>189</v>
      </c>
      <c r="H2080" s="77" t="s">
        <v>153</v>
      </c>
      <c r="I2080" s="86">
        <v>41757</v>
      </c>
      <c r="J2080" s="78">
        <v>998</v>
      </c>
      <c r="P2080" s="120"/>
      <c r="Q2080" s="120"/>
      <c r="R2080" s="120"/>
      <c r="S2080" s="121"/>
      <c r="T2080" s="122"/>
      <c r="U2080" s="132" t="s">
        <v>154</v>
      </c>
      <c r="V2080" s="132" t="s">
        <v>282</v>
      </c>
      <c r="W2080" s="132" t="s">
        <v>267</v>
      </c>
      <c r="X2080" s="133">
        <v>41843</v>
      </c>
      <c r="Y2080" s="134">
        <v>880</v>
      </c>
    </row>
    <row r="2081" spans="6:25" x14ac:dyDescent="0.25">
      <c r="F2081" s="76" t="s">
        <v>150</v>
      </c>
      <c r="G2081" s="77" t="s">
        <v>189</v>
      </c>
      <c r="H2081" s="77" t="s">
        <v>153</v>
      </c>
      <c r="I2081" s="86">
        <v>41759</v>
      </c>
      <c r="J2081" s="78">
        <v>1119</v>
      </c>
      <c r="P2081" s="120"/>
      <c r="Q2081" s="120"/>
      <c r="R2081" s="120"/>
      <c r="S2081" s="121"/>
      <c r="T2081" s="122"/>
      <c r="U2081" s="132" t="s">
        <v>154</v>
      </c>
      <c r="V2081" s="132" t="s">
        <v>282</v>
      </c>
      <c r="W2081" s="132" t="s">
        <v>267</v>
      </c>
      <c r="X2081" s="133">
        <v>41844</v>
      </c>
      <c r="Y2081" s="134">
        <v>846</v>
      </c>
    </row>
    <row r="2082" spans="6:25" x14ac:dyDescent="0.25">
      <c r="F2082" s="76" t="s">
        <v>150</v>
      </c>
      <c r="G2082" s="77" t="s">
        <v>189</v>
      </c>
      <c r="H2082" s="77" t="s">
        <v>153</v>
      </c>
      <c r="I2082" s="86">
        <v>41761</v>
      </c>
      <c r="J2082" s="78">
        <v>1221</v>
      </c>
      <c r="P2082" s="120"/>
      <c r="Q2082" s="120"/>
      <c r="R2082" s="120"/>
      <c r="S2082" s="121"/>
      <c r="T2082" s="122"/>
      <c r="U2082" s="132" t="s">
        <v>154</v>
      </c>
      <c r="V2082" s="132" t="s">
        <v>283</v>
      </c>
      <c r="W2082" s="132" t="s">
        <v>267</v>
      </c>
      <c r="X2082" s="133">
        <v>41760</v>
      </c>
      <c r="Y2082" s="134">
        <v>717</v>
      </c>
    </row>
    <row r="2083" spans="6:25" x14ac:dyDescent="0.25">
      <c r="F2083" s="76" t="s">
        <v>150</v>
      </c>
      <c r="G2083" s="77" t="s">
        <v>189</v>
      </c>
      <c r="H2083" s="77" t="s">
        <v>153</v>
      </c>
      <c r="I2083" s="86">
        <v>41762</v>
      </c>
      <c r="J2083" s="78">
        <v>724</v>
      </c>
      <c r="P2083" s="120"/>
      <c r="Q2083" s="120"/>
      <c r="R2083" s="120"/>
      <c r="S2083" s="121"/>
      <c r="T2083" s="122"/>
      <c r="U2083" s="132" t="s">
        <v>154</v>
      </c>
      <c r="V2083" s="132" t="s">
        <v>283</v>
      </c>
      <c r="W2083" s="132" t="s">
        <v>267</v>
      </c>
      <c r="X2083" s="133">
        <v>41761</v>
      </c>
      <c r="Y2083" s="134">
        <v>329</v>
      </c>
    </row>
    <row r="2084" spans="6:25" x14ac:dyDescent="0.25">
      <c r="F2084" s="76" t="s">
        <v>150</v>
      </c>
      <c r="G2084" s="77" t="s">
        <v>189</v>
      </c>
      <c r="H2084" s="77" t="s">
        <v>153</v>
      </c>
      <c r="I2084" s="86">
        <v>41763</v>
      </c>
      <c r="J2084" s="78">
        <v>510</v>
      </c>
      <c r="P2084" s="120"/>
      <c r="Q2084" s="120"/>
      <c r="R2084" s="120"/>
      <c r="S2084" s="121"/>
      <c r="T2084" s="122"/>
      <c r="U2084" s="132" t="s">
        <v>154</v>
      </c>
      <c r="V2084" s="132" t="s">
        <v>283</v>
      </c>
      <c r="W2084" s="132" t="s">
        <v>267</v>
      </c>
      <c r="X2084" s="133">
        <v>41761</v>
      </c>
      <c r="Y2084" s="134">
        <v>748</v>
      </c>
    </row>
    <row r="2085" spans="6:25" x14ac:dyDescent="0.25">
      <c r="F2085" s="76" t="s">
        <v>150</v>
      </c>
      <c r="G2085" s="77" t="s">
        <v>189</v>
      </c>
      <c r="H2085" s="77" t="s">
        <v>153</v>
      </c>
      <c r="I2085" s="86">
        <v>41765</v>
      </c>
      <c r="J2085" s="78">
        <v>718</v>
      </c>
      <c r="P2085" s="120"/>
      <c r="Q2085" s="120"/>
      <c r="R2085" s="120"/>
      <c r="S2085" s="121"/>
      <c r="T2085" s="122"/>
      <c r="U2085" s="132" t="s">
        <v>154</v>
      </c>
      <c r="V2085" s="132" t="s">
        <v>283</v>
      </c>
      <c r="W2085" s="132" t="s">
        <v>267</v>
      </c>
      <c r="X2085" s="133">
        <v>41763</v>
      </c>
      <c r="Y2085" s="134">
        <v>595</v>
      </c>
    </row>
    <row r="2086" spans="6:25" x14ac:dyDescent="0.25">
      <c r="F2086" s="76" t="s">
        <v>150</v>
      </c>
      <c r="G2086" s="77" t="s">
        <v>189</v>
      </c>
      <c r="H2086" s="77" t="s">
        <v>153</v>
      </c>
      <c r="I2086" s="86">
        <v>41767</v>
      </c>
      <c r="J2086" s="78">
        <v>706</v>
      </c>
      <c r="P2086" s="120"/>
      <c r="Q2086" s="120"/>
      <c r="R2086" s="120"/>
      <c r="S2086" s="121"/>
      <c r="T2086" s="122"/>
      <c r="U2086" s="132" t="s">
        <v>154</v>
      </c>
      <c r="V2086" s="132" t="s">
        <v>283</v>
      </c>
      <c r="W2086" s="132" t="s">
        <v>267</v>
      </c>
      <c r="X2086" s="133">
        <v>41763</v>
      </c>
      <c r="Y2086" s="134">
        <v>804</v>
      </c>
    </row>
    <row r="2087" spans="6:25" x14ac:dyDescent="0.25">
      <c r="F2087" s="76" t="s">
        <v>150</v>
      </c>
      <c r="G2087" s="77" t="s">
        <v>189</v>
      </c>
      <c r="H2087" s="77" t="s">
        <v>153</v>
      </c>
      <c r="I2087" s="86">
        <v>41769</v>
      </c>
      <c r="J2087" s="78">
        <v>1047</v>
      </c>
      <c r="P2087" s="120"/>
      <c r="Q2087" s="120"/>
      <c r="R2087" s="120"/>
      <c r="S2087" s="121"/>
      <c r="T2087" s="122"/>
      <c r="U2087" s="132" t="s">
        <v>154</v>
      </c>
      <c r="V2087" s="132" t="s">
        <v>283</v>
      </c>
      <c r="W2087" s="132" t="s">
        <v>267</v>
      </c>
      <c r="X2087" s="133">
        <v>41764</v>
      </c>
      <c r="Y2087" s="134">
        <v>910</v>
      </c>
    </row>
    <row r="2088" spans="6:25" x14ac:dyDescent="0.25">
      <c r="F2088" s="76" t="s">
        <v>150</v>
      </c>
      <c r="G2088" s="77" t="s">
        <v>189</v>
      </c>
      <c r="H2088" s="77" t="s">
        <v>153</v>
      </c>
      <c r="I2088" s="86">
        <v>41772</v>
      </c>
      <c r="J2088" s="78">
        <v>749</v>
      </c>
      <c r="P2088" s="6"/>
      <c r="Q2088" s="6"/>
      <c r="R2088" s="6"/>
      <c r="S2088" s="118"/>
      <c r="T2088" s="119"/>
      <c r="U2088" s="132" t="s">
        <v>154</v>
      </c>
      <c r="V2088" s="132" t="s">
        <v>283</v>
      </c>
      <c r="W2088" s="132" t="s">
        <v>267</v>
      </c>
      <c r="X2088" s="133">
        <v>41765</v>
      </c>
      <c r="Y2088" s="134">
        <v>967</v>
      </c>
    </row>
    <row r="2089" spans="6:25" x14ac:dyDescent="0.25">
      <c r="F2089" s="76" t="s">
        <v>150</v>
      </c>
      <c r="G2089" s="77" t="s">
        <v>189</v>
      </c>
      <c r="H2089" s="77" t="s">
        <v>153</v>
      </c>
      <c r="I2089" s="86">
        <v>41811</v>
      </c>
      <c r="J2089" s="78">
        <v>543</v>
      </c>
      <c r="P2089" s="6"/>
      <c r="Q2089" s="6"/>
      <c r="R2089" s="6"/>
      <c r="S2089" s="118"/>
      <c r="T2089" s="119"/>
      <c r="U2089" s="132" t="s">
        <v>154</v>
      </c>
      <c r="V2089" s="132" t="s">
        <v>283</v>
      </c>
      <c r="W2089" s="132" t="s">
        <v>267</v>
      </c>
      <c r="X2089" s="133">
        <v>41766</v>
      </c>
      <c r="Y2089" s="134">
        <v>1035</v>
      </c>
    </row>
    <row r="2090" spans="6:25" x14ac:dyDescent="0.25">
      <c r="F2090" s="76" t="s">
        <v>150</v>
      </c>
      <c r="G2090" s="77" t="s">
        <v>189</v>
      </c>
      <c r="H2090" s="77" t="s">
        <v>153</v>
      </c>
      <c r="I2090" s="86">
        <v>41855</v>
      </c>
      <c r="J2090" s="78">
        <v>165</v>
      </c>
      <c r="P2090" s="6"/>
      <c r="Q2090" s="6"/>
      <c r="R2090" s="6"/>
      <c r="S2090" s="118"/>
      <c r="T2090" s="119"/>
      <c r="U2090" s="132" t="s">
        <v>154</v>
      </c>
      <c r="V2090" s="132" t="s">
        <v>283</v>
      </c>
      <c r="W2090" s="132" t="s">
        <v>267</v>
      </c>
      <c r="X2090" s="133">
        <v>41766</v>
      </c>
      <c r="Y2090" s="134">
        <v>558</v>
      </c>
    </row>
    <row r="2091" spans="6:25" x14ac:dyDescent="0.25">
      <c r="F2091" s="76" t="s">
        <v>150</v>
      </c>
      <c r="G2091" s="77" t="s">
        <v>189</v>
      </c>
      <c r="H2091" s="77" t="s">
        <v>153</v>
      </c>
      <c r="I2091" s="86">
        <v>41855</v>
      </c>
      <c r="J2091" s="78">
        <v>918</v>
      </c>
      <c r="P2091" s="6"/>
      <c r="Q2091" s="6"/>
      <c r="R2091" s="6"/>
      <c r="S2091" s="118"/>
      <c r="T2091" s="119"/>
      <c r="U2091" s="132" t="s">
        <v>154</v>
      </c>
      <c r="V2091" s="132" t="s">
        <v>283</v>
      </c>
      <c r="W2091" s="132" t="s">
        <v>267</v>
      </c>
      <c r="X2091" s="133">
        <v>41819</v>
      </c>
      <c r="Y2091" s="134">
        <v>840</v>
      </c>
    </row>
    <row r="2092" spans="6:25" x14ac:dyDescent="0.25">
      <c r="F2092" s="76" t="s">
        <v>150</v>
      </c>
      <c r="G2092" s="77" t="s">
        <v>189</v>
      </c>
      <c r="H2092" s="77" t="s">
        <v>153</v>
      </c>
      <c r="I2092" s="86">
        <v>41856</v>
      </c>
      <c r="J2092" s="78">
        <v>490</v>
      </c>
      <c r="P2092" s="120"/>
      <c r="Q2092" s="120"/>
      <c r="R2092" s="120"/>
      <c r="S2092" s="121"/>
      <c r="T2092" s="122"/>
      <c r="U2092" s="132" t="s">
        <v>154</v>
      </c>
      <c r="V2092" s="132" t="s">
        <v>283</v>
      </c>
      <c r="W2092" s="132" t="s">
        <v>267</v>
      </c>
      <c r="X2092" s="133">
        <v>41820</v>
      </c>
      <c r="Y2092" s="134">
        <v>999</v>
      </c>
    </row>
    <row r="2093" spans="6:25" x14ac:dyDescent="0.25">
      <c r="F2093" s="76" t="s">
        <v>150</v>
      </c>
      <c r="G2093" s="77" t="s">
        <v>189</v>
      </c>
      <c r="H2093" s="77" t="s">
        <v>153</v>
      </c>
      <c r="I2093" s="86">
        <v>41857</v>
      </c>
      <c r="J2093" s="78">
        <v>746</v>
      </c>
      <c r="P2093" s="120"/>
      <c r="Q2093" s="120"/>
      <c r="R2093" s="120"/>
      <c r="S2093" s="121"/>
      <c r="T2093" s="122"/>
      <c r="U2093" s="132" t="s">
        <v>154</v>
      </c>
      <c r="V2093" s="132" t="s">
        <v>283</v>
      </c>
      <c r="W2093" s="132" t="s">
        <v>267</v>
      </c>
      <c r="X2093" s="133">
        <v>41821</v>
      </c>
      <c r="Y2093" s="134">
        <v>591</v>
      </c>
    </row>
    <row r="2094" spans="6:25" x14ac:dyDescent="0.25">
      <c r="F2094" s="76" t="s">
        <v>150</v>
      </c>
      <c r="G2094" s="77" t="s">
        <v>189</v>
      </c>
      <c r="H2094" s="77" t="s">
        <v>153</v>
      </c>
      <c r="I2094" s="86">
        <v>41863</v>
      </c>
      <c r="J2094" s="78">
        <v>1392</v>
      </c>
      <c r="P2094" s="129"/>
      <c r="Q2094" s="120"/>
      <c r="R2094" s="120"/>
      <c r="S2094" s="120"/>
      <c r="T2094" s="137"/>
      <c r="U2094" s="132" t="s">
        <v>154</v>
      </c>
      <c r="V2094" s="132" t="s">
        <v>283</v>
      </c>
      <c r="W2094" s="132" t="s">
        <v>267</v>
      </c>
      <c r="X2094" s="133">
        <v>41920</v>
      </c>
      <c r="Y2094" s="134">
        <v>603</v>
      </c>
    </row>
    <row r="2095" spans="6:25" x14ac:dyDescent="0.25">
      <c r="F2095" s="76" t="s">
        <v>150</v>
      </c>
      <c r="G2095" s="77" t="s">
        <v>189</v>
      </c>
      <c r="H2095" s="77" t="s">
        <v>153</v>
      </c>
      <c r="I2095" s="86">
        <v>41864</v>
      </c>
      <c r="J2095" s="78">
        <v>597</v>
      </c>
      <c r="P2095" s="129"/>
      <c r="Q2095" s="120"/>
      <c r="R2095" s="120"/>
      <c r="S2095" s="120"/>
      <c r="T2095" s="137"/>
      <c r="U2095" s="132" t="s">
        <v>154</v>
      </c>
      <c r="V2095" s="132" t="s">
        <v>283</v>
      </c>
      <c r="W2095" s="132" t="s">
        <v>267</v>
      </c>
      <c r="X2095" s="133">
        <v>41921</v>
      </c>
      <c r="Y2095" s="134">
        <v>290</v>
      </c>
    </row>
    <row r="2096" spans="6:25" x14ac:dyDescent="0.25">
      <c r="F2096" s="76" t="s">
        <v>150</v>
      </c>
      <c r="G2096" s="77" t="s">
        <v>189</v>
      </c>
      <c r="H2096" s="77" t="s">
        <v>153</v>
      </c>
      <c r="I2096" s="86">
        <v>41865</v>
      </c>
      <c r="J2096" s="78">
        <v>1306</v>
      </c>
      <c r="P2096" s="6"/>
      <c r="Q2096" s="6"/>
      <c r="R2096" s="6"/>
      <c r="S2096" s="6"/>
      <c r="T2096" s="6"/>
      <c r="U2096" s="132" t="s">
        <v>154</v>
      </c>
      <c r="V2096" s="132" t="s">
        <v>283</v>
      </c>
      <c r="W2096" s="132" t="s">
        <v>267</v>
      </c>
      <c r="X2096" s="133">
        <v>41921</v>
      </c>
      <c r="Y2096" s="134">
        <v>668</v>
      </c>
    </row>
    <row r="2097" spans="6:25" x14ac:dyDescent="0.25">
      <c r="F2097" s="76" t="s">
        <v>150</v>
      </c>
      <c r="G2097" s="77" t="s">
        <v>189</v>
      </c>
      <c r="H2097" s="77" t="s">
        <v>153</v>
      </c>
      <c r="I2097" s="86">
        <v>41878</v>
      </c>
      <c r="J2097" s="78">
        <v>560</v>
      </c>
      <c r="P2097" s="6"/>
      <c r="Q2097" s="6"/>
      <c r="R2097" s="6"/>
      <c r="S2097" s="6"/>
      <c r="T2097" s="6"/>
      <c r="U2097" s="132" t="s">
        <v>154</v>
      </c>
      <c r="V2097" s="132" t="s">
        <v>283</v>
      </c>
      <c r="W2097" s="132" t="s">
        <v>267</v>
      </c>
      <c r="X2097" s="133">
        <v>41922</v>
      </c>
      <c r="Y2097" s="134">
        <v>313</v>
      </c>
    </row>
    <row r="2098" spans="6:25" x14ac:dyDescent="0.25">
      <c r="F2098" s="76" t="s">
        <v>150</v>
      </c>
      <c r="G2098" s="77" t="s">
        <v>189</v>
      </c>
      <c r="H2098" s="77" t="s">
        <v>153</v>
      </c>
      <c r="I2098" s="86">
        <v>41880</v>
      </c>
      <c r="J2098" s="78">
        <v>1199</v>
      </c>
      <c r="P2098" s="6"/>
      <c r="Q2098" s="6"/>
      <c r="R2098" s="6"/>
      <c r="S2098" s="6"/>
      <c r="T2098" s="6"/>
      <c r="U2098" s="132" t="s">
        <v>154</v>
      </c>
      <c r="V2098" s="132" t="s">
        <v>283</v>
      </c>
      <c r="W2098" s="132" t="s">
        <v>267</v>
      </c>
      <c r="X2098" s="133">
        <v>41922</v>
      </c>
      <c r="Y2098" s="134">
        <v>679</v>
      </c>
    </row>
    <row r="2099" spans="6:25" x14ac:dyDescent="0.25">
      <c r="F2099" s="76" t="s">
        <v>150</v>
      </c>
      <c r="G2099" s="77" t="s">
        <v>189</v>
      </c>
      <c r="H2099" s="77" t="s">
        <v>153</v>
      </c>
      <c r="I2099" s="86">
        <v>41892</v>
      </c>
      <c r="J2099" s="78">
        <v>1091</v>
      </c>
      <c r="P2099" s="6"/>
      <c r="Q2099" s="6"/>
      <c r="R2099" s="6"/>
      <c r="S2099" s="6"/>
      <c r="T2099" s="6"/>
      <c r="U2099" s="132" t="s">
        <v>154</v>
      </c>
      <c r="V2099" s="132" t="s">
        <v>283</v>
      </c>
      <c r="W2099" s="132" t="s">
        <v>267</v>
      </c>
      <c r="X2099" s="133">
        <v>41925</v>
      </c>
      <c r="Y2099" s="134">
        <v>331</v>
      </c>
    </row>
    <row r="2100" spans="6:25" x14ac:dyDescent="0.25">
      <c r="F2100" s="76" t="s">
        <v>150</v>
      </c>
      <c r="G2100" s="77" t="s">
        <v>189</v>
      </c>
      <c r="H2100" s="77" t="s">
        <v>153</v>
      </c>
      <c r="I2100" s="86">
        <v>41896</v>
      </c>
      <c r="J2100" s="78">
        <v>633</v>
      </c>
      <c r="P2100" s="6"/>
      <c r="Q2100" s="6"/>
      <c r="R2100" s="6"/>
      <c r="S2100" s="6"/>
      <c r="T2100" s="6"/>
      <c r="U2100" s="132" t="s">
        <v>154</v>
      </c>
      <c r="V2100" s="132" t="s">
        <v>283</v>
      </c>
      <c r="W2100" s="132" t="s">
        <v>267</v>
      </c>
      <c r="X2100" s="133">
        <v>41925</v>
      </c>
      <c r="Y2100" s="134">
        <v>659</v>
      </c>
    </row>
    <row r="2101" spans="6:25" x14ac:dyDescent="0.25">
      <c r="F2101" s="76" t="s">
        <v>150</v>
      </c>
      <c r="G2101" s="77" t="s">
        <v>189</v>
      </c>
      <c r="H2101" s="77" t="s">
        <v>153</v>
      </c>
      <c r="I2101" s="86">
        <v>41896</v>
      </c>
      <c r="J2101" s="78">
        <v>270</v>
      </c>
      <c r="P2101" s="6"/>
      <c r="Q2101" s="6"/>
      <c r="R2101" s="6"/>
      <c r="S2101" s="6"/>
      <c r="T2101" s="6"/>
      <c r="U2101" s="132" t="s">
        <v>154</v>
      </c>
      <c r="V2101" s="132" t="s">
        <v>283</v>
      </c>
      <c r="W2101" s="132" t="s">
        <v>267</v>
      </c>
      <c r="X2101" s="133">
        <v>41926</v>
      </c>
      <c r="Y2101" s="134">
        <v>500</v>
      </c>
    </row>
    <row r="2102" spans="6:25" x14ac:dyDescent="0.25">
      <c r="F2102" s="76" t="s">
        <v>150</v>
      </c>
      <c r="G2102" s="77" t="s">
        <v>189</v>
      </c>
      <c r="H2102" s="77" t="s">
        <v>153</v>
      </c>
      <c r="I2102" s="86">
        <v>41903</v>
      </c>
      <c r="J2102" s="78">
        <v>548</v>
      </c>
      <c r="P2102" s="6"/>
      <c r="Q2102" s="6"/>
      <c r="R2102" s="6"/>
      <c r="S2102" s="6"/>
      <c r="T2102" s="6"/>
      <c r="U2102" s="132" t="s">
        <v>154</v>
      </c>
      <c r="V2102" s="132" t="s">
        <v>283</v>
      </c>
      <c r="W2102" s="132" t="s">
        <v>267</v>
      </c>
      <c r="X2102" s="133">
        <v>41927</v>
      </c>
      <c r="Y2102" s="134">
        <v>633</v>
      </c>
    </row>
    <row r="2103" spans="6:25" x14ac:dyDescent="0.25">
      <c r="F2103" s="76" t="s">
        <v>150</v>
      </c>
      <c r="G2103" s="77" t="s">
        <v>189</v>
      </c>
      <c r="H2103" s="77" t="s">
        <v>153</v>
      </c>
      <c r="I2103" s="86">
        <v>41955</v>
      </c>
      <c r="J2103" s="78">
        <v>1054</v>
      </c>
      <c r="P2103" s="6"/>
      <c r="Q2103" s="6"/>
      <c r="R2103" s="6"/>
      <c r="S2103" s="6"/>
      <c r="T2103" s="6"/>
      <c r="U2103" s="132" t="s">
        <v>154</v>
      </c>
      <c r="V2103" s="132" t="s">
        <v>283</v>
      </c>
      <c r="W2103" s="132" t="s">
        <v>267</v>
      </c>
      <c r="X2103" s="133">
        <v>41927</v>
      </c>
      <c r="Y2103" s="134">
        <v>317</v>
      </c>
    </row>
    <row r="2104" spans="6:25" x14ac:dyDescent="0.25">
      <c r="F2104" s="76" t="s">
        <v>150</v>
      </c>
      <c r="G2104" s="77" t="s">
        <v>189</v>
      </c>
      <c r="H2104" s="77" t="s">
        <v>153</v>
      </c>
      <c r="I2104" s="86">
        <v>41957</v>
      </c>
      <c r="J2104" s="78">
        <v>913</v>
      </c>
      <c r="P2104" s="6"/>
      <c r="Q2104" s="6"/>
      <c r="R2104" s="6"/>
      <c r="S2104" s="6"/>
      <c r="T2104" s="6"/>
      <c r="U2104" s="132" t="s">
        <v>154</v>
      </c>
      <c r="V2104" s="132" t="s">
        <v>283</v>
      </c>
      <c r="W2104" s="132" t="s">
        <v>267</v>
      </c>
      <c r="X2104" s="133">
        <v>41928</v>
      </c>
      <c r="Y2104" s="134">
        <v>667</v>
      </c>
    </row>
    <row r="2105" spans="6:25" x14ac:dyDescent="0.25">
      <c r="F2105" s="76" t="s">
        <v>150</v>
      </c>
      <c r="G2105" s="77" t="s">
        <v>189</v>
      </c>
      <c r="H2105" s="77" t="s">
        <v>153</v>
      </c>
      <c r="I2105" s="86">
        <v>41960</v>
      </c>
      <c r="J2105" s="78">
        <v>963</v>
      </c>
      <c r="P2105" s="6"/>
      <c r="Q2105" s="6"/>
      <c r="R2105" s="6"/>
      <c r="S2105" s="6"/>
      <c r="T2105" s="6"/>
      <c r="U2105" s="132" t="s">
        <v>154</v>
      </c>
      <c r="V2105" s="132" t="s">
        <v>283</v>
      </c>
      <c r="W2105" s="132" t="s">
        <v>267</v>
      </c>
      <c r="X2105" s="133">
        <v>41928</v>
      </c>
      <c r="Y2105" s="134">
        <v>363</v>
      </c>
    </row>
    <row r="2106" spans="6:25" x14ac:dyDescent="0.25">
      <c r="F2106" s="76" t="s">
        <v>150</v>
      </c>
      <c r="G2106" s="77" t="s">
        <v>189</v>
      </c>
      <c r="H2106" s="77" t="s">
        <v>153</v>
      </c>
      <c r="I2106" s="86">
        <v>41962</v>
      </c>
      <c r="J2106" s="78">
        <v>585</v>
      </c>
      <c r="P2106" s="6"/>
      <c r="Q2106" s="6"/>
      <c r="R2106" s="6"/>
      <c r="S2106" s="6"/>
      <c r="T2106" s="6"/>
      <c r="U2106" s="132" t="s">
        <v>154</v>
      </c>
      <c r="V2106" s="132" t="s">
        <v>283</v>
      </c>
      <c r="W2106" s="132" t="s">
        <v>267</v>
      </c>
      <c r="X2106" s="133">
        <v>41929</v>
      </c>
      <c r="Y2106" s="134">
        <v>643</v>
      </c>
    </row>
    <row r="2107" spans="6:25" x14ac:dyDescent="0.25">
      <c r="F2107" s="76" t="s">
        <v>150</v>
      </c>
      <c r="G2107" s="77" t="s">
        <v>189</v>
      </c>
      <c r="H2107" s="77" t="s">
        <v>153</v>
      </c>
      <c r="I2107" s="86">
        <v>41963</v>
      </c>
      <c r="J2107" s="78">
        <v>1040</v>
      </c>
      <c r="P2107" s="6"/>
      <c r="Q2107" s="6"/>
      <c r="R2107" s="6"/>
      <c r="S2107" s="6"/>
      <c r="T2107" s="6"/>
      <c r="U2107" s="132" t="s">
        <v>154</v>
      </c>
      <c r="V2107" s="132" t="s">
        <v>283</v>
      </c>
      <c r="W2107" s="132" t="s">
        <v>267</v>
      </c>
      <c r="X2107" s="133">
        <v>41929</v>
      </c>
      <c r="Y2107" s="134">
        <v>332</v>
      </c>
    </row>
    <row r="2108" spans="6:25" x14ac:dyDescent="0.25">
      <c r="F2108" s="76" t="s">
        <v>150</v>
      </c>
      <c r="G2108" s="77" t="s">
        <v>189</v>
      </c>
      <c r="H2108" s="77" t="s">
        <v>153</v>
      </c>
      <c r="I2108" s="86">
        <v>41965</v>
      </c>
      <c r="J2108" s="78">
        <v>1024</v>
      </c>
      <c r="P2108" s="6"/>
      <c r="Q2108" s="6"/>
      <c r="R2108" s="6"/>
      <c r="S2108" s="6"/>
      <c r="T2108" s="6"/>
      <c r="U2108" s="132" t="s">
        <v>154</v>
      </c>
      <c r="V2108" s="132" t="s">
        <v>283</v>
      </c>
      <c r="W2108" s="132" t="s">
        <v>267</v>
      </c>
      <c r="X2108" s="133">
        <v>41931</v>
      </c>
      <c r="Y2108" s="134">
        <v>524</v>
      </c>
    </row>
    <row r="2109" spans="6:25" x14ac:dyDescent="0.25">
      <c r="F2109" s="76" t="s">
        <v>150</v>
      </c>
      <c r="G2109" s="77" t="s">
        <v>189</v>
      </c>
      <c r="H2109" s="77" t="s">
        <v>153</v>
      </c>
      <c r="I2109" s="86">
        <v>41968</v>
      </c>
      <c r="J2109" s="78">
        <v>534</v>
      </c>
      <c r="P2109" s="6"/>
      <c r="Q2109" s="6"/>
      <c r="R2109" s="6"/>
      <c r="S2109" s="6"/>
      <c r="T2109" s="6"/>
      <c r="U2109" s="132" t="s">
        <v>154</v>
      </c>
      <c r="V2109" s="132" t="s">
        <v>283</v>
      </c>
      <c r="W2109" s="132" t="s">
        <v>267</v>
      </c>
      <c r="X2109" s="133">
        <v>41932</v>
      </c>
      <c r="Y2109" s="134">
        <v>307</v>
      </c>
    </row>
    <row r="2110" spans="6:25" x14ac:dyDescent="0.25">
      <c r="F2110" s="76" t="s">
        <v>150</v>
      </c>
      <c r="G2110" s="77" t="s">
        <v>189</v>
      </c>
      <c r="H2110" s="77" t="s">
        <v>153</v>
      </c>
      <c r="I2110" s="86">
        <v>41968</v>
      </c>
      <c r="J2110" s="78">
        <v>1009</v>
      </c>
      <c r="P2110" s="6"/>
      <c r="Q2110" s="6"/>
      <c r="R2110" s="6"/>
      <c r="S2110" s="6"/>
      <c r="T2110" s="6"/>
      <c r="U2110" s="132" t="s">
        <v>154</v>
      </c>
      <c r="V2110" s="132" t="s">
        <v>283</v>
      </c>
      <c r="W2110" s="132" t="s">
        <v>267</v>
      </c>
      <c r="X2110" s="133">
        <v>41932</v>
      </c>
      <c r="Y2110" s="134">
        <v>655</v>
      </c>
    </row>
    <row r="2111" spans="6:25" x14ac:dyDescent="0.25">
      <c r="F2111" s="76" t="s">
        <v>150</v>
      </c>
      <c r="G2111" s="77" t="s">
        <v>189</v>
      </c>
      <c r="H2111" s="77" t="s">
        <v>153</v>
      </c>
      <c r="I2111" s="86">
        <v>41971</v>
      </c>
      <c r="J2111" s="78">
        <v>1142</v>
      </c>
      <c r="P2111" s="6"/>
      <c r="Q2111" s="6"/>
      <c r="R2111" s="6"/>
      <c r="S2111" s="6"/>
      <c r="T2111" s="6"/>
      <c r="U2111" s="132" t="s">
        <v>154</v>
      </c>
      <c r="V2111" s="132" t="s">
        <v>283</v>
      </c>
      <c r="W2111" s="132" t="s">
        <v>267</v>
      </c>
      <c r="X2111" s="133">
        <v>41933</v>
      </c>
      <c r="Y2111" s="134">
        <v>346</v>
      </c>
    </row>
    <row r="2112" spans="6:25" x14ac:dyDescent="0.25">
      <c r="F2112" s="76" t="s">
        <v>150</v>
      </c>
      <c r="G2112" s="77" t="s">
        <v>189</v>
      </c>
      <c r="H2112" s="77" t="s">
        <v>153</v>
      </c>
      <c r="I2112" s="86">
        <v>41975</v>
      </c>
      <c r="J2112" s="78">
        <v>963</v>
      </c>
      <c r="P2112" s="6"/>
      <c r="Q2112" s="6"/>
      <c r="R2112" s="6"/>
      <c r="S2112" s="6"/>
      <c r="T2112" s="6"/>
      <c r="U2112" s="132" t="s">
        <v>154</v>
      </c>
      <c r="V2112" s="132" t="s">
        <v>283</v>
      </c>
      <c r="W2112" s="132" t="s">
        <v>267</v>
      </c>
      <c r="X2112" s="133">
        <v>41933</v>
      </c>
      <c r="Y2112" s="134">
        <v>658</v>
      </c>
    </row>
    <row r="2113" spans="6:25" x14ac:dyDescent="0.25">
      <c r="F2113" s="76" t="s">
        <v>150</v>
      </c>
      <c r="G2113" s="77" t="s">
        <v>189</v>
      </c>
      <c r="H2113" s="77" t="s">
        <v>153</v>
      </c>
      <c r="I2113" s="86">
        <v>41976</v>
      </c>
      <c r="J2113" s="78">
        <v>1015</v>
      </c>
      <c r="P2113" s="6"/>
      <c r="Q2113" s="6"/>
      <c r="R2113" s="6"/>
      <c r="S2113" s="6"/>
      <c r="T2113" s="6"/>
      <c r="U2113" s="132" t="s">
        <v>154</v>
      </c>
      <c r="V2113" s="132" t="s">
        <v>283</v>
      </c>
      <c r="W2113" s="132" t="s">
        <v>267</v>
      </c>
      <c r="X2113" s="133">
        <v>41934</v>
      </c>
      <c r="Y2113" s="134">
        <v>326</v>
      </c>
    </row>
    <row r="2114" spans="6:25" x14ac:dyDescent="0.25">
      <c r="F2114" s="76" t="s">
        <v>150</v>
      </c>
      <c r="G2114" s="77" t="s">
        <v>189</v>
      </c>
      <c r="H2114" s="77" t="s">
        <v>153</v>
      </c>
      <c r="I2114" s="86">
        <v>41977</v>
      </c>
      <c r="J2114" s="78">
        <v>489</v>
      </c>
      <c r="P2114" s="6"/>
      <c r="Q2114" s="6"/>
      <c r="R2114" s="6"/>
      <c r="S2114" s="6"/>
      <c r="T2114" s="6"/>
      <c r="U2114" s="132" t="s">
        <v>154</v>
      </c>
      <c r="V2114" s="132" t="s">
        <v>283</v>
      </c>
      <c r="W2114" s="132" t="s">
        <v>267</v>
      </c>
      <c r="X2114" s="133">
        <v>41934</v>
      </c>
      <c r="Y2114" s="134">
        <v>617</v>
      </c>
    </row>
    <row r="2115" spans="6:25" x14ac:dyDescent="0.25">
      <c r="F2115" s="76" t="s">
        <v>150</v>
      </c>
      <c r="G2115" s="77" t="s">
        <v>189</v>
      </c>
      <c r="H2115" s="77" t="s">
        <v>153</v>
      </c>
      <c r="I2115" s="86">
        <v>41983</v>
      </c>
      <c r="J2115" s="78">
        <v>1337</v>
      </c>
      <c r="P2115" s="6"/>
      <c r="Q2115" s="6"/>
      <c r="R2115" s="6"/>
      <c r="S2115" s="6"/>
      <c r="T2115" s="6"/>
      <c r="U2115" s="132" t="s">
        <v>154</v>
      </c>
      <c r="V2115" s="132" t="s">
        <v>283</v>
      </c>
      <c r="W2115" s="132" t="s">
        <v>267</v>
      </c>
      <c r="X2115" s="133">
        <v>41935</v>
      </c>
      <c r="Y2115" s="134">
        <v>660</v>
      </c>
    </row>
    <row r="2116" spans="6:25" x14ac:dyDescent="0.25">
      <c r="F2116" s="76" t="s">
        <v>150</v>
      </c>
      <c r="G2116" s="77" t="s">
        <v>189</v>
      </c>
      <c r="H2116" s="77" t="s">
        <v>153</v>
      </c>
      <c r="I2116" s="86">
        <v>41985</v>
      </c>
      <c r="J2116" s="78">
        <v>865</v>
      </c>
      <c r="U2116" s="132" t="s">
        <v>154</v>
      </c>
      <c r="V2116" s="132" t="s">
        <v>283</v>
      </c>
      <c r="W2116" s="132" t="s">
        <v>267</v>
      </c>
      <c r="X2116" s="133">
        <v>41935</v>
      </c>
      <c r="Y2116" s="134">
        <v>318</v>
      </c>
    </row>
    <row r="2117" spans="6:25" x14ac:dyDescent="0.25">
      <c r="F2117" s="76" t="s">
        <v>150</v>
      </c>
      <c r="G2117" s="77" t="s">
        <v>189</v>
      </c>
      <c r="H2117" s="77" t="s">
        <v>153</v>
      </c>
      <c r="I2117" s="86">
        <v>41988</v>
      </c>
      <c r="J2117" s="78">
        <v>716</v>
      </c>
      <c r="U2117" s="132" t="s">
        <v>154</v>
      </c>
      <c r="V2117" s="132" t="s">
        <v>283</v>
      </c>
      <c r="W2117" s="132" t="s">
        <v>267</v>
      </c>
      <c r="X2117" s="133">
        <v>41936</v>
      </c>
      <c r="Y2117" s="134">
        <v>665</v>
      </c>
    </row>
    <row r="2118" spans="6:25" x14ac:dyDescent="0.25">
      <c r="F2118" s="76" t="s">
        <v>150</v>
      </c>
      <c r="G2118" s="77" t="s">
        <v>189</v>
      </c>
      <c r="H2118" s="77" t="s">
        <v>153</v>
      </c>
      <c r="I2118" s="86">
        <v>41990</v>
      </c>
      <c r="J2118" s="78">
        <v>1134</v>
      </c>
      <c r="U2118" s="132" t="s">
        <v>154</v>
      </c>
      <c r="V2118" s="132" t="s">
        <v>283</v>
      </c>
      <c r="W2118" s="132" t="s">
        <v>267</v>
      </c>
      <c r="X2118" s="133">
        <v>41936</v>
      </c>
      <c r="Y2118" s="134">
        <v>333</v>
      </c>
    </row>
    <row r="2119" spans="6:25" x14ac:dyDescent="0.25">
      <c r="F2119" s="76" t="s">
        <v>150</v>
      </c>
      <c r="G2119" s="77" t="s">
        <v>189</v>
      </c>
      <c r="H2119" s="77" t="s">
        <v>153</v>
      </c>
      <c r="I2119" s="86">
        <v>41991</v>
      </c>
      <c r="J2119" s="78">
        <v>654</v>
      </c>
      <c r="U2119" s="132" t="s">
        <v>154</v>
      </c>
      <c r="V2119" s="132" t="s">
        <v>283</v>
      </c>
      <c r="W2119" s="132" t="s">
        <v>267</v>
      </c>
      <c r="X2119" s="133">
        <v>41938</v>
      </c>
      <c r="Y2119" s="134">
        <v>405</v>
      </c>
    </row>
    <row r="2120" spans="6:25" x14ac:dyDescent="0.25">
      <c r="F2120" s="76" t="s">
        <v>150</v>
      </c>
      <c r="G2120" s="77" t="s">
        <v>189</v>
      </c>
      <c r="H2120" s="77" t="s">
        <v>153</v>
      </c>
      <c r="I2120" s="86">
        <v>41991</v>
      </c>
      <c r="J2120" s="78">
        <v>494</v>
      </c>
      <c r="U2120" s="132" t="s">
        <v>154</v>
      </c>
      <c r="V2120" s="132" t="s">
        <v>283</v>
      </c>
      <c r="W2120" s="132" t="s">
        <v>267</v>
      </c>
      <c r="X2120" s="133">
        <v>41939</v>
      </c>
      <c r="Y2120" s="134">
        <v>700</v>
      </c>
    </row>
    <row r="2121" spans="6:25" x14ac:dyDescent="0.25">
      <c r="F2121" s="76" t="s">
        <v>150</v>
      </c>
      <c r="G2121" s="77" t="s">
        <v>189</v>
      </c>
      <c r="H2121" s="77" t="s">
        <v>153</v>
      </c>
      <c r="I2121" s="86">
        <v>41992</v>
      </c>
      <c r="J2121" s="78">
        <v>731</v>
      </c>
      <c r="U2121" s="132" t="s">
        <v>154</v>
      </c>
      <c r="V2121" s="132" t="s">
        <v>283</v>
      </c>
      <c r="W2121" s="132" t="s">
        <v>267</v>
      </c>
      <c r="X2121" s="133">
        <v>41939</v>
      </c>
      <c r="Y2121" s="134">
        <v>408</v>
      </c>
    </row>
    <row r="2122" spans="6:25" x14ac:dyDescent="0.25">
      <c r="F2122" s="76" t="s">
        <v>150</v>
      </c>
      <c r="G2122" s="77" t="s">
        <v>189</v>
      </c>
      <c r="H2122" s="77" t="s">
        <v>153</v>
      </c>
      <c r="I2122" s="86">
        <v>41993</v>
      </c>
      <c r="J2122" s="78">
        <v>579</v>
      </c>
      <c r="U2122" s="132" t="s">
        <v>154</v>
      </c>
      <c r="V2122" s="132" t="s">
        <v>283</v>
      </c>
      <c r="W2122" s="132" t="s">
        <v>267</v>
      </c>
      <c r="X2122" s="133">
        <v>41940</v>
      </c>
      <c r="Y2122" s="134">
        <v>325</v>
      </c>
    </row>
    <row r="2123" spans="6:25" x14ac:dyDescent="0.25">
      <c r="F2123" s="76" t="s">
        <v>150</v>
      </c>
      <c r="G2123" s="77" t="s">
        <v>189</v>
      </c>
      <c r="H2123" s="77" t="s">
        <v>153</v>
      </c>
      <c r="I2123" s="86">
        <v>41993</v>
      </c>
      <c r="J2123" s="78">
        <v>589</v>
      </c>
      <c r="U2123" s="132" t="s">
        <v>154</v>
      </c>
      <c r="V2123" s="132" t="s">
        <v>283</v>
      </c>
      <c r="W2123" s="132" t="s">
        <v>267</v>
      </c>
      <c r="X2123" s="133">
        <v>41940</v>
      </c>
      <c r="Y2123" s="134">
        <v>659</v>
      </c>
    </row>
    <row r="2124" spans="6:25" x14ac:dyDescent="0.25">
      <c r="F2124" s="76" t="s">
        <v>150</v>
      </c>
      <c r="G2124" s="77" t="s">
        <v>189</v>
      </c>
      <c r="H2124" s="77" t="s">
        <v>153</v>
      </c>
      <c r="I2124" s="86">
        <v>41994</v>
      </c>
      <c r="J2124" s="78">
        <v>1106</v>
      </c>
      <c r="U2124" s="132" t="s">
        <v>154</v>
      </c>
      <c r="V2124" s="132" t="s">
        <v>283</v>
      </c>
      <c r="W2124" s="132" t="s">
        <v>267</v>
      </c>
      <c r="X2124" s="133">
        <v>41941</v>
      </c>
      <c r="Y2124" s="134">
        <v>347</v>
      </c>
    </row>
    <row r="2125" spans="6:25" x14ac:dyDescent="0.25">
      <c r="F2125" s="76" t="s">
        <v>150</v>
      </c>
      <c r="G2125" s="77" t="s">
        <v>189</v>
      </c>
      <c r="H2125" s="77" t="s">
        <v>153</v>
      </c>
      <c r="I2125" s="86">
        <v>41995</v>
      </c>
      <c r="J2125" s="78">
        <v>790</v>
      </c>
      <c r="U2125" s="132" t="s">
        <v>154</v>
      </c>
      <c r="V2125" s="132" t="s">
        <v>283</v>
      </c>
      <c r="W2125" s="132" t="s">
        <v>267</v>
      </c>
      <c r="X2125" s="133">
        <v>41941</v>
      </c>
      <c r="Y2125" s="134">
        <v>663</v>
      </c>
    </row>
    <row r="2126" spans="6:25" x14ac:dyDescent="0.25">
      <c r="F2126" s="76" t="s">
        <v>150</v>
      </c>
      <c r="G2126" s="77" t="s">
        <v>190</v>
      </c>
      <c r="H2126" s="77" t="s">
        <v>153</v>
      </c>
      <c r="I2126" s="86">
        <v>41645</v>
      </c>
      <c r="J2126" s="78">
        <v>623</v>
      </c>
      <c r="U2126" s="132" t="s">
        <v>154</v>
      </c>
      <c r="V2126" s="132" t="s">
        <v>283</v>
      </c>
      <c r="W2126" s="132" t="s">
        <v>267</v>
      </c>
      <c r="X2126" s="133">
        <v>41942</v>
      </c>
      <c r="Y2126" s="134">
        <v>300</v>
      </c>
    </row>
    <row r="2127" spans="6:25" x14ac:dyDescent="0.25">
      <c r="F2127" s="76" t="s">
        <v>150</v>
      </c>
      <c r="G2127" s="77" t="s">
        <v>190</v>
      </c>
      <c r="H2127" s="77" t="s">
        <v>153</v>
      </c>
      <c r="I2127" s="86">
        <v>41646</v>
      </c>
      <c r="J2127" s="78">
        <v>750</v>
      </c>
      <c r="U2127" s="132" t="s">
        <v>154</v>
      </c>
      <c r="V2127" s="132" t="s">
        <v>283</v>
      </c>
      <c r="W2127" s="132" t="s">
        <v>267</v>
      </c>
      <c r="X2127" s="133">
        <v>41942</v>
      </c>
      <c r="Y2127" s="134">
        <v>688</v>
      </c>
    </row>
    <row r="2128" spans="6:25" x14ac:dyDescent="0.25">
      <c r="F2128" s="76" t="s">
        <v>150</v>
      </c>
      <c r="G2128" s="77" t="s">
        <v>190</v>
      </c>
      <c r="H2128" s="77" t="s">
        <v>153</v>
      </c>
      <c r="I2128" s="86">
        <v>41648</v>
      </c>
      <c r="J2128" s="78">
        <v>785</v>
      </c>
      <c r="U2128" s="132" t="s">
        <v>154</v>
      </c>
      <c r="V2128" s="132" t="s">
        <v>283</v>
      </c>
      <c r="W2128" s="132" t="s">
        <v>267</v>
      </c>
      <c r="X2128" s="133">
        <v>41943</v>
      </c>
      <c r="Y2128" s="134">
        <v>473</v>
      </c>
    </row>
    <row r="2129" spans="6:25" x14ac:dyDescent="0.25">
      <c r="F2129" s="76" t="s">
        <v>150</v>
      </c>
      <c r="G2129" s="77" t="s">
        <v>190</v>
      </c>
      <c r="H2129" s="77" t="s">
        <v>153</v>
      </c>
      <c r="I2129" s="86">
        <v>41648</v>
      </c>
      <c r="J2129" s="78">
        <v>1357</v>
      </c>
      <c r="U2129" s="132" t="s">
        <v>154</v>
      </c>
      <c r="V2129" s="132" t="s">
        <v>283</v>
      </c>
      <c r="W2129" s="132" t="s">
        <v>267</v>
      </c>
      <c r="X2129" s="133">
        <v>41944</v>
      </c>
      <c r="Y2129" s="134">
        <v>438</v>
      </c>
    </row>
    <row r="2130" spans="6:25" x14ac:dyDescent="0.25">
      <c r="F2130" s="76" t="s">
        <v>150</v>
      </c>
      <c r="G2130" s="77" t="s">
        <v>190</v>
      </c>
      <c r="H2130" s="77" t="s">
        <v>153</v>
      </c>
      <c r="I2130" s="86">
        <v>41649</v>
      </c>
      <c r="J2130" s="78">
        <v>688</v>
      </c>
      <c r="U2130" s="132" t="s">
        <v>154</v>
      </c>
      <c r="V2130" s="132" t="s">
        <v>283</v>
      </c>
      <c r="W2130" s="132" t="s">
        <v>267</v>
      </c>
      <c r="X2130" s="133">
        <v>41945</v>
      </c>
      <c r="Y2130" s="134">
        <v>1022</v>
      </c>
    </row>
    <row r="2131" spans="6:25" x14ac:dyDescent="0.25">
      <c r="F2131" s="76" t="s">
        <v>150</v>
      </c>
      <c r="G2131" s="77" t="s">
        <v>190</v>
      </c>
      <c r="H2131" s="77" t="s">
        <v>153</v>
      </c>
      <c r="I2131" s="86">
        <v>41650</v>
      </c>
      <c r="J2131" s="78">
        <v>785</v>
      </c>
      <c r="U2131" s="132" t="s">
        <v>154</v>
      </c>
      <c r="V2131" s="132" t="s">
        <v>283</v>
      </c>
      <c r="W2131" s="132" t="s">
        <v>267</v>
      </c>
      <c r="X2131" s="133">
        <v>41946</v>
      </c>
      <c r="Y2131" s="134">
        <v>575</v>
      </c>
    </row>
    <row r="2132" spans="6:25" x14ac:dyDescent="0.25">
      <c r="F2132" s="76" t="s">
        <v>150</v>
      </c>
      <c r="G2132" s="77" t="s">
        <v>190</v>
      </c>
      <c r="H2132" s="77" t="s">
        <v>153</v>
      </c>
      <c r="I2132" s="86">
        <v>41650</v>
      </c>
      <c r="J2132" s="78">
        <v>520</v>
      </c>
      <c r="U2132" s="132" t="s">
        <v>154</v>
      </c>
      <c r="V2132" s="132" t="s">
        <v>283</v>
      </c>
      <c r="W2132" s="132" t="s">
        <v>267</v>
      </c>
      <c r="X2132" s="133">
        <v>41947</v>
      </c>
      <c r="Y2132" s="134">
        <v>282</v>
      </c>
    </row>
    <row r="2133" spans="6:25" x14ac:dyDescent="0.25">
      <c r="F2133" s="76" t="s">
        <v>150</v>
      </c>
      <c r="G2133" s="77" t="s">
        <v>190</v>
      </c>
      <c r="H2133" s="77" t="s">
        <v>153</v>
      </c>
      <c r="I2133" s="86">
        <v>41651</v>
      </c>
      <c r="J2133" s="78">
        <v>913</v>
      </c>
      <c r="U2133" s="132" t="s">
        <v>154</v>
      </c>
      <c r="V2133" s="132" t="s">
        <v>283</v>
      </c>
      <c r="W2133" s="132" t="s">
        <v>267</v>
      </c>
      <c r="X2133" s="133">
        <v>41947</v>
      </c>
      <c r="Y2133" s="134">
        <v>595</v>
      </c>
    </row>
    <row r="2134" spans="6:25" x14ac:dyDescent="0.25">
      <c r="F2134" s="76" t="s">
        <v>150</v>
      </c>
      <c r="G2134" s="77" t="s">
        <v>190</v>
      </c>
      <c r="H2134" s="77" t="s">
        <v>153</v>
      </c>
      <c r="I2134" s="86">
        <v>41655</v>
      </c>
      <c r="J2134" s="78">
        <v>873</v>
      </c>
      <c r="U2134" s="132" t="s">
        <v>154</v>
      </c>
      <c r="V2134" s="132" t="s">
        <v>283</v>
      </c>
      <c r="W2134" s="132" t="s">
        <v>267</v>
      </c>
      <c r="X2134" s="133">
        <v>41948</v>
      </c>
      <c r="Y2134" s="134">
        <v>324</v>
      </c>
    </row>
    <row r="2135" spans="6:25" x14ac:dyDescent="0.25">
      <c r="F2135" s="76" t="s">
        <v>150</v>
      </c>
      <c r="G2135" s="77" t="s">
        <v>190</v>
      </c>
      <c r="H2135" s="77" t="s">
        <v>153</v>
      </c>
      <c r="I2135" s="86">
        <v>41656</v>
      </c>
      <c r="J2135" s="78">
        <v>1214</v>
      </c>
      <c r="U2135" s="132" t="s">
        <v>154</v>
      </c>
      <c r="V2135" s="132" t="s">
        <v>283</v>
      </c>
      <c r="W2135" s="132" t="s">
        <v>267</v>
      </c>
      <c r="X2135" s="133">
        <v>41948</v>
      </c>
      <c r="Y2135" s="134">
        <v>625</v>
      </c>
    </row>
    <row r="2136" spans="6:25" x14ac:dyDescent="0.25">
      <c r="F2136" s="76" t="s">
        <v>150</v>
      </c>
      <c r="G2136" s="77" t="s">
        <v>190</v>
      </c>
      <c r="H2136" s="77" t="s">
        <v>153</v>
      </c>
      <c r="I2136" s="86">
        <v>41657</v>
      </c>
      <c r="J2136" s="78">
        <v>597</v>
      </c>
      <c r="U2136" s="132" t="s">
        <v>154</v>
      </c>
      <c r="V2136" s="132" t="s">
        <v>283</v>
      </c>
      <c r="W2136" s="132" t="s">
        <v>267</v>
      </c>
      <c r="X2136" s="133">
        <v>41949</v>
      </c>
      <c r="Y2136" s="134">
        <v>303</v>
      </c>
    </row>
    <row r="2137" spans="6:25" x14ac:dyDescent="0.25">
      <c r="F2137" s="76" t="s">
        <v>150</v>
      </c>
      <c r="G2137" s="77" t="s">
        <v>190</v>
      </c>
      <c r="H2137" s="77" t="s">
        <v>153</v>
      </c>
      <c r="I2137" s="86">
        <v>41659</v>
      </c>
      <c r="J2137" s="78">
        <v>761</v>
      </c>
      <c r="U2137" s="132" t="s">
        <v>154</v>
      </c>
      <c r="V2137" s="132" t="s">
        <v>283</v>
      </c>
      <c r="W2137" s="132" t="s">
        <v>267</v>
      </c>
      <c r="X2137" s="133">
        <v>41949</v>
      </c>
      <c r="Y2137" s="134">
        <v>566</v>
      </c>
    </row>
    <row r="2138" spans="6:25" x14ac:dyDescent="0.25">
      <c r="F2138" s="76" t="s">
        <v>150</v>
      </c>
      <c r="G2138" s="77" t="s">
        <v>190</v>
      </c>
      <c r="H2138" s="77" t="s">
        <v>153</v>
      </c>
      <c r="I2138" s="86">
        <v>41659</v>
      </c>
      <c r="J2138" s="78">
        <v>1193</v>
      </c>
      <c r="U2138" s="132" t="s">
        <v>154</v>
      </c>
      <c r="V2138" s="132" t="s">
        <v>283</v>
      </c>
      <c r="W2138" s="132" t="s">
        <v>267</v>
      </c>
      <c r="X2138" s="133">
        <v>41950</v>
      </c>
      <c r="Y2138" s="134">
        <v>333</v>
      </c>
    </row>
    <row r="2139" spans="6:25" x14ac:dyDescent="0.25">
      <c r="F2139" s="76" t="s">
        <v>150</v>
      </c>
      <c r="G2139" s="77" t="s">
        <v>190</v>
      </c>
      <c r="H2139" s="77" t="s">
        <v>153</v>
      </c>
      <c r="I2139" s="86">
        <v>41661</v>
      </c>
      <c r="J2139" s="78">
        <v>1468</v>
      </c>
      <c r="U2139" s="132" t="s">
        <v>154</v>
      </c>
      <c r="V2139" s="132" t="s">
        <v>283</v>
      </c>
      <c r="W2139" s="132" t="s">
        <v>267</v>
      </c>
      <c r="X2139" s="133">
        <v>41950</v>
      </c>
      <c r="Y2139" s="134">
        <v>624</v>
      </c>
    </row>
    <row r="2140" spans="6:25" x14ac:dyDescent="0.25">
      <c r="F2140" s="76" t="s">
        <v>150</v>
      </c>
      <c r="G2140" s="77" t="s">
        <v>190</v>
      </c>
      <c r="H2140" s="77" t="s">
        <v>153</v>
      </c>
      <c r="I2140" s="86">
        <v>41662</v>
      </c>
      <c r="J2140" s="78">
        <v>1154</v>
      </c>
      <c r="U2140" s="132" t="s">
        <v>154</v>
      </c>
      <c r="V2140" s="132" t="s">
        <v>283</v>
      </c>
      <c r="W2140" s="132" t="s">
        <v>267</v>
      </c>
      <c r="X2140" s="133">
        <v>41952</v>
      </c>
      <c r="Y2140" s="134">
        <v>571</v>
      </c>
    </row>
    <row r="2141" spans="6:25" x14ac:dyDescent="0.25">
      <c r="F2141" s="76" t="s">
        <v>150</v>
      </c>
      <c r="G2141" s="77" t="s">
        <v>190</v>
      </c>
      <c r="H2141" s="77" t="s">
        <v>153</v>
      </c>
      <c r="I2141" s="86">
        <v>41666</v>
      </c>
      <c r="J2141" s="78">
        <v>1069</v>
      </c>
      <c r="U2141" s="132" t="s">
        <v>154</v>
      </c>
      <c r="V2141" s="132" t="s">
        <v>283</v>
      </c>
      <c r="W2141" s="132" t="s">
        <v>267</v>
      </c>
      <c r="X2141" s="133">
        <v>41953</v>
      </c>
      <c r="Y2141" s="134">
        <v>531</v>
      </c>
    </row>
    <row r="2142" spans="6:25" x14ac:dyDescent="0.25">
      <c r="F2142" s="76" t="s">
        <v>150</v>
      </c>
      <c r="G2142" s="77" t="s">
        <v>190</v>
      </c>
      <c r="H2142" s="77" t="s">
        <v>153</v>
      </c>
      <c r="I2142" s="86">
        <v>41752</v>
      </c>
      <c r="J2142" s="78">
        <v>501</v>
      </c>
      <c r="U2142" s="132" t="s">
        <v>154</v>
      </c>
      <c r="V2142" s="132" t="s">
        <v>283</v>
      </c>
      <c r="W2142" s="132" t="s">
        <v>267</v>
      </c>
      <c r="X2142" s="133">
        <v>41953</v>
      </c>
      <c r="Y2142" s="134">
        <v>610</v>
      </c>
    </row>
    <row r="2143" spans="6:25" x14ac:dyDescent="0.25">
      <c r="F2143" s="76" t="s">
        <v>150</v>
      </c>
      <c r="G2143" s="77" t="s">
        <v>190</v>
      </c>
      <c r="H2143" s="77" t="s">
        <v>153</v>
      </c>
      <c r="I2143" s="86">
        <v>41754</v>
      </c>
      <c r="J2143" s="78">
        <v>973</v>
      </c>
      <c r="U2143" s="132" t="s">
        <v>154</v>
      </c>
      <c r="V2143" s="132" t="s">
        <v>283</v>
      </c>
      <c r="W2143" s="132" t="s">
        <v>267</v>
      </c>
      <c r="X2143" s="133">
        <v>41954</v>
      </c>
      <c r="Y2143" s="134">
        <v>294</v>
      </c>
    </row>
    <row r="2144" spans="6:25" x14ac:dyDescent="0.25">
      <c r="F2144" s="76" t="s">
        <v>150</v>
      </c>
      <c r="G2144" s="77" t="s">
        <v>190</v>
      </c>
      <c r="H2144" s="77" t="s">
        <v>153</v>
      </c>
      <c r="I2144" s="86">
        <v>41758</v>
      </c>
      <c r="J2144" s="78">
        <v>818</v>
      </c>
      <c r="U2144" s="132" t="s">
        <v>154</v>
      </c>
      <c r="V2144" s="132" t="s">
        <v>283</v>
      </c>
      <c r="W2144" s="132" t="s">
        <v>267</v>
      </c>
      <c r="X2144" s="133">
        <v>41954</v>
      </c>
      <c r="Y2144" s="134">
        <v>614</v>
      </c>
    </row>
    <row r="2145" spans="6:25" x14ac:dyDescent="0.25">
      <c r="F2145" s="76" t="s">
        <v>150</v>
      </c>
      <c r="G2145" s="77" t="s">
        <v>190</v>
      </c>
      <c r="H2145" s="77" t="s">
        <v>153</v>
      </c>
      <c r="I2145" s="86">
        <v>41760</v>
      </c>
      <c r="J2145" s="78">
        <v>1001</v>
      </c>
      <c r="U2145" s="132" t="s">
        <v>154</v>
      </c>
      <c r="V2145" s="132" t="s">
        <v>283</v>
      </c>
      <c r="W2145" s="132" t="s">
        <v>267</v>
      </c>
      <c r="X2145" s="133">
        <v>41955</v>
      </c>
      <c r="Y2145" s="134">
        <v>310</v>
      </c>
    </row>
    <row r="2146" spans="6:25" x14ac:dyDescent="0.25">
      <c r="F2146" s="76" t="s">
        <v>150</v>
      </c>
      <c r="G2146" s="77" t="s">
        <v>190</v>
      </c>
      <c r="H2146" s="77" t="s">
        <v>153</v>
      </c>
      <c r="I2146" s="86">
        <v>41761</v>
      </c>
      <c r="J2146" s="78">
        <v>1338</v>
      </c>
      <c r="U2146" s="132" t="s">
        <v>154</v>
      </c>
      <c r="V2146" s="132" t="s">
        <v>283</v>
      </c>
      <c r="W2146" s="132" t="s">
        <v>267</v>
      </c>
      <c r="X2146" s="133">
        <v>41955</v>
      </c>
      <c r="Y2146" s="134">
        <v>636</v>
      </c>
    </row>
    <row r="2147" spans="6:25" x14ac:dyDescent="0.25">
      <c r="F2147" s="76" t="s">
        <v>150</v>
      </c>
      <c r="G2147" s="77" t="s">
        <v>190</v>
      </c>
      <c r="H2147" s="77" t="s">
        <v>153</v>
      </c>
      <c r="I2147" s="86">
        <v>41764</v>
      </c>
      <c r="J2147" s="78">
        <v>749</v>
      </c>
      <c r="U2147" s="132" t="s">
        <v>154</v>
      </c>
      <c r="V2147" s="132" t="s">
        <v>283</v>
      </c>
      <c r="W2147" s="132" t="s">
        <v>267</v>
      </c>
      <c r="X2147" s="133">
        <v>41956</v>
      </c>
      <c r="Y2147" s="134">
        <v>685</v>
      </c>
    </row>
    <row r="2148" spans="6:25" x14ac:dyDescent="0.25">
      <c r="F2148" s="76" t="s">
        <v>150</v>
      </c>
      <c r="G2148" s="77" t="s">
        <v>190</v>
      </c>
      <c r="H2148" s="77" t="s">
        <v>153</v>
      </c>
      <c r="I2148" s="86">
        <v>41766</v>
      </c>
      <c r="J2148" s="78">
        <v>617</v>
      </c>
      <c r="U2148" s="132" t="s">
        <v>154</v>
      </c>
      <c r="V2148" s="132" t="s">
        <v>283</v>
      </c>
      <c r="W2148" s="132" t="s">
        <v>267</v>
      </c>
      <c r="X2148" s="133">
        <v>41957</v>
      </c>
      <c r="Y2148" s="134">
        <v>947</v>
      </c>
    </row>
    <row r="2149" spans="6:25" x14ac:dyDescent="0.25">
      <c r="F2149" s="76" t="s">
        <v>150</v>
      </c>
      <c r="G2149" s="77" t="s">
        <v>190</v>
      </c>
      <c r="H2149" s="77" t="s">
        <v>153</v>
      </c>
      <c r="I2149" s="86">
        <v>41767</v>
      </c>
      <c r="J2149" s="78">
        <v>760</v>
      </c>
      <c r="U2149" s="132" t="s">
        <v>154</v>
      </c>
      <c r="V2149" s="132" t="s">
        <v>283</v>
      </c>
      <c r="W2149" s="132" t="s">
        <v>267</v>
      </c>
      <c r="X2149" s="133">
        <v>41959</v>
      </c>
      <c r="Y2149" s="134">
        <v>772</v>
      </c>
    </row>
    <row r="2150" spans="6:25" x14ac:dyDescent="0.25">
      <c r="F2150" s="76" t="s">
        <v>150</v>
      </c>
      <c r="G2150" s="77" t="s">
        <v>190</v>
      </c>
      <c r="H2150" s="77" t="s">
        <v>153</v>
      </c>
      <c r="I2150" s="86">
        <v>41772</v>
      </c>
      <c r="J2150" s="78">
        <v>1001</v>
      </c>
      <c r="U2150" s="132" t="s">
        <v>154</v>
      </c>
      <c r="V2150" s="132" t="s">
        <v>283</v>
      </c>
      <c r="W2150" s="132" t="s">
        <v>267</v>
      </c>
      <c r="X2150" s="133">
        <v>41960</v>
      </c>
      <c r="Y2150" s="134">
        <v>855</v>
      </c>
    </row>
    <row r="2151" spans="6:25" x14ac:dyDescent="0.25">
      <c r="F2151" s="76" t="s">
        <v>150</v>
      </c>
      <c r="G2151" s="77" t="s">
        <v>190</v>
      </c>
      <c r="H2151" s="77" t="s">
        <v>153</v>
      </c>
      <c r="I2151" s="86">
        <v>41774</v>
      </c>
      <c r="J2151" s="78">
        <v>327</v>
      </c>
      <c r="U2151" s="132" t="s">
        <v>154</v>
      </c>
      <c r="V2151" s="132" t="s">
        <v>283</v>
      </c>
      <c r="W2151" s="132" t="s">
        <v>267</v>
      </c>
      <c r="X2151" s="133">
        <v>41961</v>
      </c>
      <c r="Y2151" s="134">
        <v>827</v>
      </c>
    </row>
    <row r="2152" spans="6:25" x14ac:dyDescent="0.25">
      <c r="F2152" s="76" t="s">
        <v>150</v>
      </c>
      <c r="G2152" s="77" t="s">
        <v>190</v>
      </c>
      <c r="H2152" s="77" t="s">
        <v>153</v>
      </c>
      <c r="I2152" s="86">
        <v>41776</v>
      </c>
      <c r="J2152" s="78">
        <v>313</v>
      </c>
      <c r="U2152" s="132" t="s">
        <v>154</v>
      </c>
      <c r="V2152" s="132" t="s">
        <v>283</v>
      </c>
      <c r="W2152" s="132" t="s">
        <v>267</v>
      </c>
      <c r="X2152" s="133">
        <v>41962</v>
      </c>
      <c r="Y2152" s="134">
        <v>705</v>
      </c>
    </row>
    <row r="2153" spans="6:25" x14ac:dyDescent="0.25">
      <c r="F2153" s="76" t="s">
        <v>150</v>
      </c>
      <c r="G2153" s="77" t="s">
        <v>190</v>
      </c>
      <c r="H2153" s="77" t="s">
        <v>153</v>
      </c>
      <c r="I2153" s="86">
        <v>41776</v>
      </c>
      <c r="J2153" s="78">
        <v>561</v>
      </c>
      <c r="U2153" s="132" t="s">
        <v>154</v>
      </c>
      <c r="V2153" s="132" t="s">
        <v>283</v>
      </c>
      <c r="W2153" s="132" t="s">
        <v>267</v>
      </c>
      <c r="X2153" s="133">
        <v>41963</v>
      </c>
      <c r="Y2153" s="134">
        <v>950</v>
      </c>
    </row>
    <row r="2154" spans="6:25" x14ac:dyDescent="0.25">
      <c r="F2154" s="76" t="s">
        <v>150</v>
      </c>
      <c r="G2154" s="77" t="s">
        <v>190</v>
      </c>
      <c r="H2154" s="77" t="s">
        <v>153</v>
      </c>
      <c r="I2154" s="86">
        <v>41778</v>
      </c>
      <c r="J2154" s="78">
        <v>1206</v>
      </c>
      <c r="U2154" s="132" t="s">
        <v>154</v>
      </c>
      <c r="V2154" s="132" t="s">
        <v>283</v>
      </c>
      <c r="W2154" s="132" t="s">
        <v>267</v>
      </c>
      <c r="X2154" s="133">
        <v>41964</v>
      </c>
      <c r="Y2154" s="134">
        <v>465</v>
      </c>
    </row>
    <row r="2155" spans="6:25" x14ac:dyDescent="0.25">
      <c r="F2155" s="76" t="s">
        <v>150</v>
      </c>
      <c r="G2155" s="77" t="s">
        <v>190</v>
      </c>
      <c r="H2155" s="77" t="s">
        <v>153</v>
      </c>
      <c r="I2155" s="86">
        <v>41779</v>
      </c>
      <c r="J2155" s="78">
        <v>309</v>
      </c>
      <c r="U2155" s="132" t="s">
        <v>154</v>
      </c>
      <c r="V2155" s="132" t="s">
        <v>283</v>
      </c>
      <c r="W2155" s="132" t="s">
        <v>267</v>
      </c>
      <c r="X2155" s="133">
        <v>41967</v>
      </c>
      <c r="Y2155" s="134">
        <v>362</v>
      </c>
    </row>
    <row r="2156" spans="6:25" x14ac:dyDescent="0.25">
      <c r="F2156" s="76" t="s">
        <v>150</v>
      </c>
      <c r="G2156" s="77" t="s">
        <v>190</v>
      </c>
      <c r="H2156" s="77" t="s">
        <v>153</v>
      </c>
      <c r="I2156" s="86">
        <v>41780</v>
      </c>
      <c r="J2156" s="78">
        <v>521</v>
      </c>
      <c r="U2156" s="132" t="s">
        <v>154</v>
      </c>
      <c r="V2156" s="132" t="s">
        <v>283</v>
      </c>
      <c r="W2156" s="132" t="s">
        <v>267</v>
      </c>
      <c r="X2156" s="133">
        <v>41967</v>
      </c>
      <c r="Y2156" s="134">
        <v>578</v>
      </c>
    </row>
    <row r="2157" spans="6:25" x14ac:dyDescent="0.25">
      <c r="F2157" s="76" t="s">
        <v>150</v>
      </c>
      <c r="G2157" s="77" t="s">
        <v>190</v>
      </c>
      <c r="H2157" s="77" t="s">
        <v>153</v>
      </c>
      <c r="I2157" s="86">
        <v>41786</v>
      </c>
      <c r="J2157" s="78">
        <v>803</v>
      </c>
      <c r="U2157" s="132" t="s">
        <v>154</v>
      </c>
      <c r="V2157" s="132" t="s">
        <v>283</v>
      </c>
      <c r="W2157" s="132" t="s">
        <v>267</v>
      </c>
      <c r="X2157" s="133">
        <v>41968</v>
      </c>
      <c r="Y2157" s="134">
        <v>465</v>
      </c>
    </row>
    <row r="2158" spans="6:25" x14ac:dyDescent="0.25">
      <c r="F2158" s="76" t="s">
        <v>150</v>
      </c>
      <c r="G2158" s="77" t="s">
        <v>190</v>
      </c>
      <c r="H2158" s="77" t="s">
        <v>153</v>
      </c>
      <c r="I2158" s="86">
        <v>41789</v>
      </c>
      <c r="J2158" s="78">
        <v>960</v>
      </c>
      <c r="U2158" s="132" t="s">
        <v>154</v>
      </c>
      <c r="V2158" s="132" t="s">
        <v>283</v>
      </c>
      <c r="W2158" s="132" t="s">
        <v>267</v>
      </c>
      <c r="X2158" s="133">
        <v>41968</v>
      </c>
      <c r="Y2158" s="134">
        <v>625</v>
      </c>
    </row>
    <row r="2159" spans="6:25" x14ac:dyDescent="0.25">
      <c r="F2159" s="76" t="s">
        <v>150</v>
      </c>
      <c r="G2159" s="77" t="s">
        <v>190</v>
      </c>
      <c r="H2159" s="77" t="s">
        <v>153</v>
      </c>
      <c r="I2159" s="86">
        <v>41790</v>
      </c>
      <c r="J2159" s="78">
        <v>767</v>
      </c>
      <c r="U2159" s="132" t="s">
        <v>154</v>
      </c>
      <c r="V2159" s="132" t="s">
        <v>283</v>
      </c>
      <c r="W2159" s="132" t="s">
        <v>267</v>
      </c>
      <c r="X2159" s="133">
        <v>41969</v>
      </c>
      <c r="Y2159" s="134">
        <v>277</v>
      </c>
    </row>
    <row r="2160" spans="6:25" x14ac:dyDescent="0.25">
      <c r="F2160" s="76" t="s">
        <v>150</v>
      </c>
      <c r="G2160" s="77" t="s">
        <v>190</v>
      </c>
      <c r="H2160" s="77" t="s">
        <v>153</v>
      </c>
      <c r="I2160" s="86">
        <v>41791</v>
      </c>
      <c r="J2160" s="78">
        <v>748</v>
      </c>
      <c r="U2160" s="132" t="s">
        <v>154</v>
      </c>
      <c r="V2160" s="132" t="s">
        <v>283</v>
      </c>
      <c r="W2160" s="132" t="s">
        <v>267</v>
      </c>
      <c r="X2160" s="133">
        <v>41969</v>
      </c>
      <c r="Y2160" s="134">
        <v>650</v>
      </c>
    </row>
    <row r="2161" spans="6:25" x14ac:dyDescent="0.25">
      <c r="F2161" s="76" t="s">
        <v>150</v>
      </c>
      <c r="G2161" s="77" t="s">
        <v>190</v>
      </c>
      <c r="H2161" s="77" t="s">
        <v>153</v>
      </c>
      <c r="I2161" s="86">
        <v>41793</v>
      </c>
      <c r="J2161" s="78">
        <v>1453</v>
      </c>
      <c r="U2161" s="132" t="s">
        <v>154</v>
      </c>
      <c r="V2161" s="132" t="s">
        <v>283</v>
      </c>
      <c r="W2161" s="132" t="s">
        <v>267</v>
      </c>
      <c r="X2161" s="133">
        <v>41971</v>
      </c>
      <c r="Y2161" s="134">
        <v>317</v>
      </c>
    </row>
    <row r="2162" spans="6:25" x14ac:dyDescent="0.25">
      <c r="F2162" s="76" t="s">
        <v>150</v>
      </c>
      <c r="G2162" s="77" t="s">
        <v>190</v>
      </c>
      <c r="H2162" s="77" t="s">
        <v>153</v>
      </c>
      <c r="I2162" s="86">
        <v>41794</v>
      </c>
      <c r="J2162" s="78">
        <v>349</v>
      </c>
      <c r="U2162" s="132" t="s">
        <v>154</v>
      </c>
      <c r="V2162" s="132" t="s">
        <v>283</v>
      </c>
      <c r="W2162" s="132" t="s">
        <v>267</v>
      </c>
      <c r="X2162" s="133">
        <v>41971</v>
      </c>
      <c r="Y2162" s="134">
        <v>541</v>
      </c>
    </row>
    <row r="2163" spans="6:25" x14ac:dyDescent="0.25">
      <c r="F2163" s="76" t="s">
        <v>150</v>
      </c>
      <c r="G2163" s="77" t="s">
        <v>190</v>
      </c>
      <c r="H2163" s="77" t="s">
        <v>153</v>
      </c>
      <c r="I2163" s="86">
        <v>41795</v>
      </c>
      <c r="J2163" s="78">
        <v>763</v>
      </c>
      <c r="U2163" s="132" t="s">
        <v>154</v>
      </c>
      <c r="V2163" s="132" t="s">
        <v>283</v>
      </c>
      <c r="W2163" s="132" t="s">
        <v>267</v>
      </c>
      <c r="X2163" s="133">
        <v>41972</v>
      </c>
      <c r="Y2163" s="134">
        <v>564</v>
      </c>
    </row>
    <row r="2164" spans="6:25" x14ac:dyDescent="0.25">
      <c r="F2164" s="76" t="s">
        <v>150</v>
      </c>
      <c r="G2164" s="77" t="s">
        <v>190</v>
      </c>
      <c r="H2164" s="77" t="s">
        <v>153</v>
      </c>
      <c r="I2164" s="86">
        <v>41799</v>
      </c>
      <c r="J2164" s="78">
        <v>611</v>
      </c>
      <c r="U2164" s="132" t="s">
        <v>154</v>
      </c>
      <c r="V2164" s="132" t="s">
        <v>283</v>
      </c>
      <c r="W2164" s="132" t="s">
        <v>267</v>
      </c>
      <c r="X2164" s="133">
        <v>41973</v>
      </c>
      <c r="Y2164" s="134">
        <v>545</v>
      </c>
    </row>
    <row r="2165" spans="6:25" x14ac:dyDescent="0.25">
      <c r="F2165" s="76" t="s">
        <v>150</v>
      </c>
      <c r="G2165" s="77" t="s">
        <v>190</v>
      </c>
      <c r="H2165" s="77" t="s">
        <v>153</v>
      </c>
      <c r="I2165" s="86">
        <v>41800</v>
      </c>
      <c r="J2165" s="78">
        <v>547</v>
      </c>
      <c r="U2165" s="132" t="s">
        <v>154</v>
      </c>
      <c r="V2165" s="132" t="s">
        <v>283</v>
      </c>
      <c r="W2165" s="132" t="s">
        <v>267</v>
      </c>
      <c r="X2165" s="133">
        <v>41974</v>
      </c>
      <c r="Y2165" s="134">
        <v>607</v>
      </c>
    </row>
    <row r="2166" spans="6:25" x14ac:dyDescent="0.25">
      <c r="F2166" s="76" t="s">
        <v>150</v>
      </c>
      <c r="G2166" s="77" t="s">
        <v>190</v>
      </c>
      <c r="H2166" s="77" t="s">
        <v>153</v>
      </c>
      <c r="I2166" s="86">
        <v>41802</v>
      </c>
      <c r="J2166" s="78">
        <v>1014</v>
      </c>
      <c r="U2166" s="132" t="s">
        <v>154</v>
      </c>
      <c r="V2166" s="132" t="s">
        <v>283</v>
      </c>
      <c r="W2166" s="132" t="s">
        <v>267</v>
      </c>
      <c r="X2166" s="133">
        <v>41974</v>
      </c>
      <c r="Y2166" s="134">
        <v>302</v>
      </c>
    </row>
    <row r="2167" spans="6:25" x14ac:dyDescent="0.25">
      <c r="F2167" s="76" t="s">
        <v>150</v>
      </c>
      <c r="G2167" s="77" t="s">
        <v>190</v>
      </c>
      <c r="H2167" s="77" t="s">
        <v>153</v>
      </c>
      <c r="I2167" s="86">
        <v>41803</v>
      </c>
      <c r="J2167" s="78">
        <v>723</v>
      </c>
      <c r="U2167" s="132" t="s">
        <v>154</v>
      </c>
      <c r="V2167" s="132" t="s">
        <v>283</v>
      </c>
      <c r="W2167" s="132" t="s">
        <v>267</v>
      </c>
      <c r="X2167" s="133">
        <v>41975</v>
      </c>
      <c r="Y2167" s="134">
        <v>352</v>
      </c>
    </row>
    <row r="2168" spans="6:25" x14ac:dyDescent="0.25">
      <c r="F2168" s="76" t="s">
        <v>150</v>
      </c>
      <c r="G2168" s="77" t="s">
        <v>190</v>
      </c>
      <c r="H2168" s="77" t="s">
        <v>153</v>
      </c>
      <c r="I2168" s="86">
        <v>41807</v>
      </c>
      <c r="J2168" s="78">
        <v>1056</v>
      </c>
      <c r="U2168" s="132" t="s">
        <v>154</v>
      </c>
      <c r="V2168" s="132" t="s">
        <v>283</v>
      </c>
      <c r="W2168" s="132" t="s">
        <v>267</v>
      </c>
      <c r="X2168" s="133">
        <v>41975</v>
      </c>
      <c r="Y2168" s="134">
        <v>461</v>
      </c>
    </row>
    <row r="2169" spans="6:25" x14ac:dyDescent="0.25">
      <c r="F2169" s="76" t="s">
        <v>150</v>
      </c>
      <c r="G2169" s="77" t="s">
        <v>190</v>
      </c>
      <c r="H2169" s="77" t="s">
        <v>153</v>
      </c>
      <c r="I2169" s="86">
        <v>41810</v>
      </c>
      <c r="J2169" s="78">
        <v>797</v>
      </c>
      <c r="U2169" s="132" t="s">
        <v>154</v>
      </c>
      <c r="V2169" s="132" t="s">
        <v>283</v>
      </c>
      <c r="W2169" s="132" t="s">
        <v>267</v>
      </c>
      <c r="X2169" s="133">
        <v>41976</v>
      </c>
      <c r="Y2169" s="134">
        <v>640</v>
      </c>
    </row>
    <row r="2170" spans="6:25" x14ac:dyDescent="0.25">
      <c r="F2170" s="76" t="s">
        <v>150</v>
      </c>
      <c r="G2170" s="77" t="s">
        <v>190</v>
      </c>
      <c r="H2170" s="77" t="s">
        <v>153</v>
      </c>
      <c r="I2170" s="86">
        <v>41813</v>
      </c>
      <c r="J2170" s="78">
        <v>802</v>
      </c>
      <c r="U2170" s="132" t="s">
        <v>154</v>
      </c>
      <c r="V2170" s="132" t="s">
        <v>283</v>
      </c>
      <c r="W2170" s="132" t="s">
        <v>267</v>
      </c>
      <c r="X2170" s="133">
        <v>41976</v>
      </c>
      <c r="Y2170" s="134">
        <v>409</v>
      </c>
    </row>
    <row r="2171" spans="6:25" x14ac:dyDescent="0.25">
      <c r="F2171" s="76" t="s">
        <v>150</v>
      </c>
      <c r="G2171" s="77" t="s">
        <v>190</v>
      </c>
      <c r="H2171" s="77" t="s">
        <v>153</v>
      </c>
      <c r="I2171" s="86">
        <v>41814</v>
      </c>
      <c r="J2171" s="78">
        <v>745</v>
      </c>
      <c r="U2171" s="132" t="s">
        <v>154</v>
      </c>
      <c r="V2171" s="132" t="s">
        <v>283</v>
      </c>
      <c r="W2171" s="132" t="s">
        <v>267</v>
      </c>
      <c r="X2171" s="133">
        <v>41977</v>
      </c>
      <c r="Y2171" s="134">
        <v>659</v>
      </c>
    </row>
    <row r="2172" spans="6:25" x14ac:dyDescent="0.25">
      <c r="F2172" s="76" t="s">
        <v>150</v>
      </c>
      <c r="G2172" s="77" t="s">
        <v>190</v>
      </c>
      <c r="H2172" s="77" t="s">
        <v>153</v>
      </c>
      <c r="I2172" s="86">
        <v>41815</v>
      </c>
      <c r="J2172" s="78">
        <v>802</v>
      </c>
      <c r="U2172" s="132" t="s">
        <v>154</v>
      </c>
      <c r="V2172" s="132" t="s">
        <v>283</v>
      </c>
      <c r="W2172" s="132" t="s">
        <v>267</v>
      </c>
      <c r="X2172" s="133">
        <v>41978</v>
      </c>
      <c r="Y2172" s="134">
        <v>685</v>
      </c>
    </row>
    <row r="2173" spans="6:25" x14ac:dyDescent="0.25">
      <c r="F2173" s="76" t="s">
        <v>150</v>
      </c>
      <c r="G2173" s="77" t="s">
        <v>190</v>
      </c>
      <c r="H2173" s="77" t="s">
        <v>153</v>
      </c>
      <c r="I2173" s="86">
        <v>41822</v>
      </c>
      <c r="J2173" s="78">
        <v>1007</v>
      </c>
      <c r="U2173" s="132" t="s">
        <v>154</v>
      </c>
      <c r="V2173" s="132" t="s">
        <v>283</v>
      </c>
      <c r="W2173" s="132" t="s">
        <v>267</v>
      </c>
      <c r="X2173" s="133">
        <v>41981</v>
      </c>
      <c r="Y2173" s="134">
        <v>836</v>
      </c>
    </row>
    <row r="2174" spans="6:25" x14ac:dyDescent="0.25">
      <c r="F2174" s="76" t="s">
        <v>150</v>
      </c>
      <c r="G2174" s="77" t="s">
        <v>190</v>
      </c>
      <c r="H2174" s="77" t="s">
        <v>153</v>
      </c>
      <c r="I2174" s="86">
        <v>41823</v>
      </c>
      <c r="J2174" s="78">
        <v>900</v>
      </c>
      <c r="U2174" s="132" t="s">
        <v>154</v>
      </c>
      <c r="V2174" s="132" t="s">
        <v>283</v>
      </c>
      <c r="W2174" s="132" t="s">
        <v>267</v>
      </c>
      <c r="X2174" s="133">
        <v>41982</v>
      </c>
      <c r="Y2174" s="134">
        <v>732</v>
      </c>
    </row>
    <row r="2175" spans="6:25" x14ac:dyDescent="0.25">
      <c r="F2175" s="76" t="s">
        <v>150</v>
      </c>
      <c r="G2175" s="77" t="s">
        <v>190</v>
      </c>
      <c r="H2175" s="77" t="s">
        <v>153</v>
      </c>
      <c r="I2175" s="86">
        <v>41824</v>
      </c>
      <c r="J2175" s="78">
        <v>1001</v>
      </c>
      <c r="U2175" s="132" t="s">
        <v>154</v>
      </c>
      <c r="V2175" s="132" t="s">
        <v>283</v>
      </c>
      <c r="W2175" s="132" t="s">
        <v>267</v>
      </c>
      <c r="X2175" s="133">
        <v>41987</v>
      </c>
      <c r="Y2175" s="134">
        <v>490</v>
      </c>
    </row>
    <row r="2176" spans="6:25" x14ac:dyDescent="0.25">
      <c r="F2176" s="76" t="s">
        <v>150</v>
      </c>
      <c r="G2176" s="77" t="s">
        <v>190</v>
      </c>
      <c r="H2176" s="77" t="s">
        <v>153</v>
      </c>
      <c r="I2176" s="86">
        <v>41829</v>
      </c>
      <c r="J2176" s="78">
        <v>1293</v>
      </c>
      <c r="U2176" s="132" t="s">
        <v>154</v>
      </c>
      <c r="V2176" s="132" t="s">
        <v>283</v>
      </c>
      <c r="W2176" s="132" t="s">
        <v>267</v>
      </c>
      <c r="X2176" s="133">
        <v>41988</v>
      </c>
      <c r="Y2176" s="134">
        <v>281</v>
      </c>
    </row>
    <row r="2177" spans="6:25" x14ac:dyDescent="0.25">
      <c r="F2177" s="76" t="s">
        <v>150</v>
      </c>
      <c r="G2177" s="77" t="s">
        <v>190</v>
      </c>
      <c r="H2177" s="77" t="s">
        <v>153</v>
      </c>
      <c r="I2177" s="86">
        <v>41857</v>
      </c>
      <c r="J2177" s="78">
        <v>386</v>
      </c>
      <c r="U2177" s="132" t="s">
        <v>154</v>
      </c>
      <c r="V2177" s="132" t="s">
        <v>283</v>
      </c>
      <c r="W2177" s="132" t="s">
        <v>267</v>
      </c>
      <c r="X2177" s="133">
        <v>41988</v>
      </c>
      <c r="Y2177" s="134">
        <v>556</v>
      </c>
    </row>
    <row r="2178" spans="6:25" x14ac:dyDescent="0.25">
      <c r="F2178" s="76" t="s">
        <v>150</v>
      </c>
      <c r="G2178" s="77" t="s">
        <v>190</v>
      </c>
      <c r="H2178" s="77" t="s">
        <v>153</v>
      </c>
      <c r="I2178" s="86">
        <v>41858</v>
      </c>
      <c r="J2178" s="78">
        <v>831</v>
      </c>
      <c r="U2178" s="132" t="s">
        <v>154</v>
      </c>
      <c r="V2178" s="132" t="s">
        <v>283</v>
      </c>
      <c r="W2178" s="132" t="s">
        <v>267</v>
      </c>
      <c r="X2178" s="133">
        <v>41989</v>
      </c>
      <c r="Y2178" s="134">
        <v>578</v>
      </c>
    </row>
    <row r="2179" spans="6:25" x14ac:dyDescent="0.25">
      <c r="F2179" s="76" t="s">
        <v>150</v>
      </c>
      <c r="G2179" s="77" t="s">
        <v>190</v>
      </c>
      <c r="H2179" s="77" t="s">
        <v>153</v>
      </c>
      <c r="I2179" s="86">
        <v>41862</v>
      </c>
      <c r="J2179" s="78">
        <v>855</v>
      </c>
      <c r="U2179" s="132" t="s">
        <v>154</v>
      </c>
      <c r="V2179" s="132" t="s">
        <v>283</v>
      </c>
      <c r="W2179" s="132" t="s">
        <v>267</v>
      </c>
      <c r="X2179" s="133">
        <v>41989</v>
      </c>
      <c r="Y2179" s="134">
        <v>301</v>
      </c>
    </row>
    <row r="2180" spans="6:25" x14ac:dyDescent="0.25">
      <c r="F2180" s="76" t="s">
        <v>150</v>
      </c>
      <c r="G2180" s="77" t="s">
        <v>190</v>
      </c>
      <c r="H2180" s="77" t="s">
        <v>153</v>
      </c>
      <c r="I2180" s="86">
        <v>41864</v>
      </c>
      <c r="J2180" s="78">
        <v>900</v>
      </c>
      <c r="U2180" s="132" t="s">
        <v>154</v>
      </c>
      <c r="V2180" s="132" t="s">
        <v>283</v>
      </c>
      <c r="W2180" s="132" t="s">
        <v>267</v>
      </c>
      <c r="X2180" s="133">
        <v>41990</v>
      </c>
      <c r="Y2180" s="134">
        <v>324</v>
      </c>
    </row>
    <row r="2181" spans="6:25" x14ac:dyDescent="0.25">
      <c r="F2181" s="76" t="s">
        <v>150</v>
      </c>
      <c r="G2181" s="77" t="s">
        <v>190</v>
      </c>
      <c r="H2181" s="77" t="s">
        <v>153</v>
      </c>
      <c r="I2181" s="86">
        <v>41865</v>
      </c>
      <c r="J2181" s="78">
        <v>790</v>
      </c>
      <c r="U2181" s="132" t="s">
        <v>154</v>
      </c>
      <c r="V2181" s="132" t="s">
        <v>283</v>
      </c>
      <c r="W2181" s="132" t="s">
        <v>267</v>
      </c>
      <c r="X2181" s="133">
        <v>41990</v>
      </c>
      <c r="Y2181" s="134">
        <v>594</v>
      </c>
    </row>
    <row r="2182" spans="6:25" x14ac:dyDescent="0.25">
      <c r="F2182" s="76" t="s">
        <v>150</v>
      </c>
      <c r="G2182" s="77" t="s">
        <v>190</v>
      </c>
      <c r="H2182" s="77" t="s">
        <v>153</v>
      </c>
      <c r="I2182" s="86">
        <v>41870</v>
      </c>
      <c r="J2182" s="78">
        <v>709</v>
      </c>
      <c r="U2182" s="132" t="s">
        <v>154</v>
      </c>
      <c r="V2182" s="132" t="s">
        <v>283</v>
      </c>
      <c r="W2182" s="132" t="s">
        <v>267</v>
      </c>
      <c r="X2182" s="133">
        <v>41991</v>
      </c>
      <c r="Y2182" s="134">
        <v>776</v>
      </c>
    </row>
    <row r="2183" spans="6:25" x14ac:dyDescent="0.25">
      <c r="F2183" s="76" t="s">
        <v>150</v>
      </c>
      <c r="G2183" s="77" t="s">
        <v>190</v>
      </c>
      <c r="H2183" s="77" t="s">
        <v>153</v>
      </c>
      <c r="I2183" s="86">
        <v>41871</v>
      </c>
      <c r="J2183" s="78">
        <v>1152</v>
      </c>
      <c r="U2183" s="132" t="s">
        <v>154</v>
      </c>
      <c r="V2183" s="132" t="s">
        <v>283</v>
      </c>
      <c r="W2183" s="132" t="s">
        <v>267</v>
      </c>
      <c r="X2183" s="133">
        <v>41992</v>
      </c>
      <c r="Y2183" s="134">
        <v>1072</v>
      </c>
    </row>
    <row r="2184" spans="6:25" x14ac:dyDescent="0.25">
      <c r="F2184" s="76" t="s">
        <v>150</v>
      </c>
      <c r="G2184" s="77" t="s">
        <v>190</v>
      </c>
      <c r="H2184" s="77" t="s">
        <v>153</v>
      </c>
      <c r="I2184" s="86">
        <v>41872</v>
      </c>
      <c r="J2184" s="78">
        <v>361</v>
      </c>
      <c r="U2184" s="132" t="s">
        <v>154</v>
      </c>
      <c r="V2184" s="132" t="s">
        <v>283</v>
      </c>
      <c r="W2184" s="132" t="s">
        <v>267</v>
      </c>
      <c r="X2184" s="133">
        <v>41994</v>
      </c>
      <c r="Y2184" s="134">
        <v>305</v>
      </c>
    </row>
    <row r="2185" spans="6:25" x14ac:dyDescent="0.25">
      <c r="F2185" s="76" t="s">
        <v>150</v>
      </c>
      <c r="G2185" s="77" t="s">
        <v>190</v>
      </c>
      <c r="H2185" s="77" t="s">
        <v>153</v>
      </c>
      <c r="I2185" s="86">
        <v>41873</v>
      </c>
      <c r="J2185" s="78">
        <v>973</v>
      </c>
      <c r="U2185" s="132" t="s">
        <v>154</v>
      </c>
      <c r="V2185" s="132" t="s">
        <v>283</v>
      </c>
      <c r="W2185" s="132" t="s">
        <v>267</v>
      </c>
      <c r="X2185" s="133">
        <v>41995</v>
      </c>
      <c r="Y2185" s="134">
        <v>607</v>
      </c>
    </row>
    <row r="2186" spans="6:25" x14ac:dyDescent="0.25">
      <c r="F2186" s="76" t="s">
        <v>150</v>
      </c>
      <c r="G2186" s="77" t="s">
        <v>190</v>
      </c>
      <c r="H2186" s="77" t="s">
        <v>153</v>
      </c>
      <c r="I2186" s="86">
        <v>41880</v>
      </c>
      <c r="J2186" s="78">
        <v>1002</v>
      </c>
      <c r="U2186" s="132" t="s">
        <v>154</v>
      </c>
      <c r="V2186" s="132" t="s">
        <v>283</v>
      </c>
      <c r="W2186" s="132" t="s">
        <v>267</v>
      </c>
      <c r="X2186" s="133">
        <v>41995</v>
      </c>
      <c r="Y2186" s="134">
        <v>259</v>
      </c>
    </row>
    <row r="2187" spans="6:25" x14ac:dyDescent="0.25">
      <c r="F2187" s="76" t="s">
        <v>150</v>
      </c>
      <c r="G2187" s="77" t="s">
        <v>190</v>
      </c>
      <c r="H2187" s="77" t="s">
        <v>153</v>
      </c>
      <c r="I2187" s="86">
        <v>41885</v>
      </c>
      <c r="J2187" s="78">
        <v>832</v>
      </c>
      <c r="U2187" s="132" t="s">
        <v>154</v>
      </c>
      <c r="V2187" s="132" t="s">
        <v>283</v>
      </c>
      <c r="W2187" s="132" t="s">
        <v>267</v>
      </c>
      <c r="X2187" s="133">
        <v>41996</v>
      </c>
      <c r="Y2187" s="134">
        <v>680</v>
      </c>
    </row>
    <row r="2188" spans="6:25" x14ac:dyDescent="0.25">
      <c r="F2188" s="76" t="s">
        <v>150</v>
      </c>
      <c r="G2188" s="77" t="s">
        <v>190</v>
      </c>
      <c r="H2188" s="77" t="s">
        <v>153</v>
      </c>
      <c r="I2188" s="86">
        <v>41886</v>
      </c>
      <c r="J2188" s="78">
        <v>415</v>
      </c>
      <c r="U2188" s="132" t="s">
        <v>154</v>
      </c>
      <c r="V2188" s="132" t="s">
        <v>283</v>
      </c>
      <c r="W2188" s="132" t="s">
        <v>267</v>
      </c>
      <c r="X2188" s="133">
        <v>41997</v>
      </c>
      <c r="Y2188" s="134">
        <v>657</v>
      </c>
    </row>
    <row r="2189" spans="6:25" x14ac:dyDescent="0.25">
      <c r="F2189" s="76" t="s">
        <v>150</v>
      </c>
      <c r="G2189" s="77" t="s">
        <v>190</v>
      </c>
      <c r="H2189" s="77" t="s">
        <v>153</v>
      </c>
      <c r="I2189" s="86">
        <v>41891</v>
      </c>
      <c r="J2189" s="78">
        <v>942</v>
      </c>
      <c r="U2189" s="132" t="s">
        <v>154</v>
      </c>
      <c r="V2189" s="132" t="s">
        <v>283</v>
      </c>
      <c r="W2189" s="132" t="s">
        <v>267</v>
      </c>
      <c r="X2189" s="133">
        <v>41997</v>
      </c>
      <c r="Y2189" s="134">
        <v>541</v>
      </c>
    </row>
    <row r="2190" spans="6:25" x14ac:dyDescent="0.25">
      <c r="F2190" s="76" t="s">
        <v>150</v>
      </c>
      <c r="G2190" s="77" t="s">
        <v>190</v>
      </c>
      <c r="H2190" s="77" t="s">
        <v>153</v>
      </c>
      <c r="I2190" s="86">
        <v>41898</v>
      </c>
      <c r="J2190" s="78">
        <v>1405</v>
      </c>
      <c r="U2190" s="132" t="s">
        <v>154</v>
      </c>
      <c r="V2190" s="132" t="s">
        <v>283</v>
      </c>
      <c r="W2190" s="132" t="s">
        <v>267</v>
      </c>
      <c r="X2190" s="133">
        <v>41998</v>
      </c>
      <c r="Y2190" s="134">
        <v>510</v>
      </c>
    </row>
    <row r="2191" spans="6:25" x14ac:dyDescent="0.25">
      <c r="F2191" s="76" t="s">
        <v>150</v>
      </c>
      <c r="G2191" s="77" t="s">
        <v>190</v>
      </c>
      <c r="H2191" s="77" t="s">
        <v>153</v>
      </c>
      <c r="I2191" s="86">
        <v>41899</v>
      </c>
      <c r="J2191" s="78">
        <v>908</v>
      </c>
      <c r="U2191" s="132" t="s">
        <v>154</v>
      </c>
      <c r="V2191" s="132" t="s">
        <v>283</v>
      </c>
      <c r="W2191" s="132" t="s">
        <v>267</v>
      </c>
      <c r="X2191" s="133">
        <v>41999</v>
      </c>
      <c r="Y2191" s="134">
        <v>512</v>
      </c>
    </row>
    <row r="2192" spans="6:25" x14ac:dyDescent="0.25">
      <c r="F2192" s="76" t="s">
        <v>150</v>
      </c>
      <c r="G2192" s="77" t="s">
        <v>190</v>
      </c>
      <c r="H2192" s="77" t="s">
        <v>153</v>
      </c>
      <c r="I2192" s="86">
        <v>41901</v>
      </c>
      <c r="J2192" s="78">
        <v>1281</v>
      </c>
      <c r="U2192" s="132" t="s">
        <v>154</v>
      </c>
      <c r="V2192" s="132" t="s">
        <v>283</v>
      </c>
      <c r="W2192" s="132" t="s">
        <v>267</v>
      </c>
      <c r="X2192" s="133">
        <v>41999</v>
      </c>
      <c r="Y2192" s="134">
        <v>559</v>
      </c>
    </row>
    <row r="2193" spans="6:25" x14ac:dyDescent="0.25">
      <c r="F2193" s="76" t="s">
        <v>150</v>
      </c>
      <c r="G2193" s="77" t="s">
        <v>190</v>
      </c>
      <c r="H2193" s="77" t="s">
        <v>153</v>
      </c>
      <c r="I2193" s="86">
        <v>41904</v>
      </c>
      <c r="J2193" s="78">
        <v>944</v>
      </c>
      <c r="U2193" s="132" t="s">
        <v>154</v>
      </c>
      <c r="V2193" s="132" t="s">
        <v>283</v>
      </c>
      <c r="W2193" s="132" t="s">
        <v>267</v>
      </c>
      <c r="X2193" s="133">
        <v>42002</v>
      </c>
      <c r="Y2193" s="134">
        <v>765</v>
      </c>
    </row>
    <row r="2194" spans="6:25" x14ac:dyDescent="0.25">
      <c r="F2194" s="76" t="s">
        <v>150</v>
      </c>
      <c r="G2194" s="77" t="s">
        <v>190</v>
      </c>
      <c r="H2194" s="77" t="s">
        <v>153</v>
      </c>
      <c r="I2194" s="86">
        <v>41906</v>
      </c>
      <c r="J2194" s="78">
        <v>1096</v>
      </c>
      <c r="U2194" s="132" t="s">
        <v>154</v>
      </c>
      <c r="V2194" s="132" t="s">
        <v>284</v>
      </c>
      <c r="W2194" s="132" t="s">
        <v>267</v>
      </c>
      <c r="X2194" s="133">
        <v>41700</v>
      </c>
      <c r="Y2194" s="134">
        <v>660</v>
      </c>
    </row>
    <row r="2195" spans="6:25" x14ac:dyDescent="0.25">
      <c r="F2195" s="76" t="s">
        <v>150</v>
      </c>
      <c r="G2195" s="77" t="s">
        <v>190</v>
      </c>
      <c r="H2195" s="77" t="s">
        <v>153</v>
      </c>
      <c r="I2195" s="86">
        <v>41908</v>
      </c>
      <c r="J2195" s="78">
        <v>941</v>
      </c>
      <c r="U2195" s="132" t="s">
        <v>154</v>
      </c>
      <c r="V2195" s="132" t="s">
        <v>284</v>
      </c>
      <c r="W2195" s="132" t="s">
        <v>267</v>
      </c>
      <c r="X2195" s="133">
        <v>41701</v>
      </c>
      <c r="Y2195" s="134">
        <v>726</v>
      </c>
    </row>
    <row r="2196" spans="6:25" x14ac:dyDescent="0.25">
      <c r="F2196" s="76" t="s">
        <v>150</v>
      </c>
      <c r="G2196" s="77" t="s">
        <v>190</v>
      </c>
      <c r="H2196" s="77" t="s">
        <v>153</v>
      </c>
      <c r="I2196" s="86">
        <v>41911</v>
      </c>
      <c r="J2196" s="78">
        <v>878</v>
      </c>
      <c r="U2196" s="132" t="s">
        <v>154</v>
      </c>
      <c r="V2196" s="132" t="s">
        <v>284</v>
      </c>
      <c r="W2196" s="132" t="s">
        <v>267</v>
      </c>
      <c r="X2196" s="133">
        <v>41701</v>
      </c>
      <c r="Y2196" s="134">
        <v>461</v>
      </c>
    </row>
    <row r="2197" spans="6:25" x14ac:dyDescent="0.25">
      <c r="F2197" s="76" t="s">
        <v>150</v>
      </c>
      <c r="G2197" s="77" t="s">
        <v>190</v>
      </c>
      <c r="H2197" s="77" t="s">
        <v>153</v>
      </c>
      <c r="I2197" s="86">
        <v>41912</v>
      </c>
      <c r="J2197" s="78">
        <v>1032</v>
      </c>
      <c r="U2197" s="132" t="s">
        <v>154</v>
      </c>
      <c r="V2197" s="132" t="s">
        <v>284</v>
      </c>
      <c r="W2197" s="132" t="s">
        <v>267</v>
      </c>
      <c r="X2197" s="133">
        <v>41702</v>
      </c>
      <c r="Y2197" s="134">
        <v>1125</v>
      </c>
    </row>
    <row r="2198" spans="6:25" x14ac:dyDescent="0.25">
      <c r="F2198" s="76" t="s">
        <v>150</v>
      </c>
      <c r="G2198" s="77" t="s">
        <v>190</v>
      </c>
      <c r="H2198" s="77" t="s">
        <v>153</v>
      </c>
      <c r="I2198" s="86">
        <v>41914</v>
      </c>
      <c r="J2198" s="78">
        <v>829</v>
      </c>
      <c r="U2198" s="132" t="s">
        <v>154</v>
      </c>
      <c r="V2198" s="132" t="s">
        <v>284</v>
      </c>
      <c r="W2198" s="132" t="s">
        <v>267</v>
      </c>
      <c r="X2198" s="133">
        <v>41703</v>
      </c>
      <c r="Y2198" s="134">
        <v>415</v>
      </c>
    </row>
    <row r="2199" spans="6:25" x14ac:dyDescent="0.25">
      <c r="F2199" s="76" t="s">
        <v>150</v>
      </c>
      <c r="G2199" s="77" t="s">
        <v>190</v>
      </c>
      <c r="H2199" s="77" t="s">
        <v>153</v>
      </c>
      <c r="I2199" s="86">
        <v>41915</v>
      </c>
      <c r="J2199" s="78">
        <v>540</v>
      </c>
      <c r="U2199" s="132" t="s">
        <v>154</v>
      </c>
      <c r="V2199" s="132" t="s">
        <v>284</v>
      </c>
      <c r="W2199" s="132" t="s">
        <v>267</v>
      </c>
      <c r="X2199" s="133">
        <v>41704</v>
      </c>
      <c r="Y2199" s="134">
        <v>689</v>
      </c>
    </row>
    <row r="2200" spans="6:25" x14ac:dyDescent="0.25">
      <c r="F2200" s="76" t="s">
        <v>150</v>
      </c>
      <c r="G2200" s="77" t="s">
        <v>190</v>
      </c>
      <c r="H2200" s="77" t="s">
        <v>153</v>
      </c>
      <c r="I2200" s="86">
        <v>41918</v>
      </c>
      <c r="J2200" s="78">
        <v>648</v>
      </c>
      <c r="U2200" s="132" t="s">
        <v>154</v>
      </c>
      <c r="V2200" s="132" t="s">
        <v>284</v>
      </c>
      <c r="W2200" s="132" t="s">
        <v>267</v>
      </c>
      <c r="X2200" s="133">
        <v>41704</v>
      </c>
      <c r="Y2200" s="134">
        <v>645</v>
      </c>
    </row>
    <row r="2201" spans="6:25" x14ac:dyDescent="0.25">
      <c r="F2201" s="76" t="s">
        <v>150</v>
      </c>
      <c r="G2201" s="77" t="s">
        <v>190</v>
      </c>
      <c r="H2201" s="77" t="s">
        <v>153</v>
      </c>
      <c r="I2201" s="86">
        <v>41920</v>
      </c>
      <c r="J2201" s="78">
        <v>1265</v>
      </c>
      <c r="U2201" s="132" t="s">
        <v>154</v>
      </c>
      <c r="V2201" s="132" t="s">
        <v>284</v>
      </c>
      <c r="W2201" s="132" t="s">
        <v>267</v>
      </c>
      <c r="X2201" s="133">
        <v>41705</v>
      </c>
      <c r="Y2201" s="134">
        <v>509</v>
      </c>
    </row>
    <row r="2202" spans="6:25" x14ac:dyDescent="0.25">
      <c r="F2202" s="76" t="s">
        <v>150</v>
      </c>
      <c r="G2202" s="77" t="s">
        <v>190</v>
      </c>
      <c r="H2202" s="77" t="s">
        <v>153</v>
      </c>
      <c r="I2202" s="86">
        <v>41921</v>
      </c>
      <c r="J2202" s="78">
        <v>776</v>
      </c>
      <c r="U2202" s="132" t="s">
        <v>154</v>
      </c>
      <c r="V2202" s="132" t="s">
        <v>284</v>
      </c>
      <c r="W2202" s="132" t="s">
        <v>267</v>
      </c>
      <c r="X2202" s="133">
        <v>41708</v>
      </c>
      <c r="Y2202" s="134">
        <v>560</v>
      </c>
    </row>
    <row r="2203" spans="6:25" x14ac:dyDescent="0.25">
      <c r="F2203" s="76" t="s">
        <v>150</v>
      </c>
      <c r="G2203" s="77" t="s">
        <v>190</v>
      </c>
      <c r="H2203" s="77" t="s">
        <v>153</v>
      </c>
      <c r="I2203" s="86">
        <v>41927</v>
      </c>
      <c r="J2203" s="78">
        <v>634</v>
      </c>
      <c r="U2203" s="132" t="s">
        <v>154</v>
      </c>
      <c r="V2203" s="132" t="s">
        <v>284</v>
      </c>
      <c r="W2203" s="132" t="s">
        <v>267</v>
      </c>
      <c r="X2203" s="133">
        <v>41709</v>
      </c>
      <c r="Y2203" s="134">
        <v>981</v>
      </c>
    </row>
    <row r="2204" spans="6:25" x14ac:dyDescent="0.25">
      <c r="F2204" s="76" t="s">
        <v>150</v>
      </c>
      <c r="G2204" s="77" t="s">
        <v>190</v>
      </c>
      <c r="H2204" s="77" t="s">
        <v>153</v>
      </c>
      <c r="I2204" s="86">
        <v>41928</v>
      </c>
      <c r="J2204" s="78">
        <v>609</v>
      </c>
      <c r="U2204" s="132" t="s">
        <v>154</v>
      </c>
      <c r="V2204" s="132" t="s">
        <v>284</v>
      </c>
      <c r="W2204" s="132" t="s">
        <v>267</v>
      </c>
      <c r="X2204" s="133">
        <v>41710</v>
      </c>
      <c r="Y2204" s="134">
        <v>1024</v>
      </c>
    </row>
    <row r="2205" spans="6:25" x14ac:dyDescent="0.25">
      <c r="F2205" s="76" t="s">
        <v>150</v>
      </c>
      <c r="G2205" s="77" t="s">
        <v>190</v>
      </c>
      <c r="H2205" s="77" t="s">
        <v>153</v>
      </c>
      <c r="I2205" s="86">
        <v>41929</v>
      </c>
      <c r="J2205" s="78">
        <v>525</v>
      </c>
      <c r="U2205" s="132" t="s">
        <v>154</v>
      </c>
      <c r="V2205" s="132" t="s">
        <v>284</v>
      </c>
      <c r="W2205" s="132" t="s">
        <v>267</v>
      </c>
      <c r="X2205" s="133">
        <v>41714</v>
      </c>
      <c r="Y2205" s="134">
        <v>1043</v>
      </c>
    </row>
    <row r="2206" spans="6:25" x14ac:dyDescent="0.25">
      <c r="F2206" s="76" t="s">
        <v>150</v>
      </c>
      <c r="G2206" s="77" t="s">
        <v>190</v>
      </c>
      <c r="H2206" s="77" t="s">
        <v>153</v>
      </c>
      <c r="I2206" s="86">
        <v>41940</v>
      </c>
      <c r="J2206" s="78">
        <v>976</v>
      </c>
      <c r="U2206" s="132" t="s">
        <v>154</v>
      </c>
      <c r="V2206" s="132" t="s">
        <v>284</v>
      </c>
      <c r="W2206" s="132" t="s">
        <v>267</v>
      </c>
      <c r="X2206" s="133">
        <v>41715</v>
      </c>
      <c r="Y2206" s="134">
        <v>734</v>
      </c>
    </row>
    <row r="2207" spans="6:25" x14ac:dyDescent="0.25">
      <c r="F2207" s="76" t="s">
        <v>150</v>
      </c>
      <c r="G2207" s="77" t="s">
        <v>190</v>
      </c>
      <c r="H2207" s="77" t="s">
        <v>153</v>
      </c>
      <c r="I2207" s="86">
        <v>41941</v>
      </c>
      <c r="J2207" s="78">
        <v>1168</v>
      </c>
      <c r="U2207" s="132" t="s">
        <v>154</v>
      </c>
      <c r="V2207" s="132" t="s">
        <v>284</v>
      </c>
      <c r="W2207" s="132" t="s">
        <v>267</v>
      </c>
      <c r="X2207" s="133">
        <v>41716</v>
      </c>
      <c r="Y2207" s="134">
        <v>626</v>
      </c>
    </row>
    <row r="2208" spans="6:25" x14ac:dyDescent="0.25">
      <c r="F2208" s="76" t="s">
        <v>150</v>
      </c>
      <c r="G2208" s="77" t="s">
        <v>190</v>
      </c>
      <c r="H2208" s="77" t="s">
        <v>153</v>
      </c>
      <c r="I2208" s="86">
        <v>41946</v>
      </c>
      <c r="J2208" s="78">
        <v>865</v>
      </c>
      <c r="U2208" s="132" t="s">
        <v>154</v>
      </c>
      <c r="V2208" s="132" t="s">
        <v>284</v>
      </c>
      <c r="W2208" s="132" t="s">
        <v>267</v>
      </c>
      <c r="X2208" s="133">
        <v>41716</v>
      </c>
      <c r="Y2208" s="134">
        <v>512</v>
      </c>
    </row>
    <row r="2209" spans="6:25" x14ac:dyDescent="0.25">
      <c r="F2209" s="76" t="s">
        <v>150</v>
      </c>
      <c r="G2209" s="77" t="s">
        <v>190</v>
      </c>
      <c r="H2209" s="77" t="s">
        <v>153</v>
      </c>
      <c r="I2209" s="86">
        <v>41947</v>
      </c>
      <c r="J2209" s="78">
        <v>441</v>
      </c>
      <c r="U2209" s="132" t="s">
        <v>154</v>
      </c>
      <c r="V2209" s="132" t="s">
        <v>284</v>
      </c>
      <c r="W2209" s="132" t="s">
        <v>267</v>
      </c>
      <c r="X2209" s="133">
        <v>41717</v>
      </c>
      <c r="Y2209" s="134">
        <v>877</v>
      </c>
    </row>
    <row r="2210" spans="6:25" x14ac:dyDescent="0.25">
      <c r="F2210" s="76" t="s">
        <v>150</v>
      </c>
      <c r="G2210" s="77" t="s">
        <v>190</v>
      </c>
      <c r="H2210" s="77" t="s">
        <v>153</v>
      </c>
      <c r="I2210" s="86">
        <v>41949</v>
      </c>
      <c r="J2210" s="78">
        <v>871</v>
      </c>
      <c r="U2210" s="132" t="s">
        <v>154</v>
      </c>
      <c r="V2210" s="132" t="s">
        <v>284</v>
      </c>
      <c r="W2210" s="132" t="s">
        <v>267</v>
      </c>
      <c r="X2210" s="133">
        <v>41739</v>
      </c>
      <c r="Y2210" s="134">
        <v>1058</v>
      </c>
    </row>
    <row r="2211" spans="6:25" x14ac:dyDescent="0.25">
      <c r="F2211" s="76" t="s">
        <v>150</v>
      </c>
      <c r="G2211" s="77" t="s">
        <v>190</v>
      </c>
      <c r="H2211" s="77" t="s">
        <v>153</v>
      </c>
      <c r="I2211" s="86">
        <v>41950</v>
      </c>
      <c r="J2211" s="78">
        <v>603</v>
      </c>
      <c r="U2211" s="132" t="s">
        <v>154</v>
      </c>
      <c r="V2211" s="132" t="s">
        <v>284</v>
      </c>
      <c r="W2211" s="132" t="s">
        <v>267</v>
      </c>
      <c r="X2211" s="133">
        <v>41739</v>
      </c>
      <c r="Y2211" s="134">
        <v>535</v>
      </c>
    </row>
    <row r="2212" spans="6:25" x14ac:dyDescent="0.25">
      <c r="F2212" s="76" t="s">
        <v>150</v>
      </c>
      <c r="G2212" s="77" t="s">
        <v>190</v>
      </c>
      <c r="H2212" s="77" t="s">
        <v>153</v>
      </c>
      <c r="I2212" s="86">
        <v>41954</v>
      </c>
      <c r="J2212" s="78">
        <v>949</v>
      </c>
      <c r="U2212" s="132" t="s">
        <v>154</v>
      </c>
      <c r="V2212" s="132" t="s">
        <v>284</v>
      </c>
      <c r="W2212" s="132" t="s">
        <v>267</v>
      </c>
      <c r="X2212" s="133">
        <v>41799</v>
      </c>
      <c r="Y2212" s="134">
        <v>405</v>
      </c>
    </row>
    <row r="2213" spans="6:25" x14ac:dyDescent="0.25">
      <c r="F2213" s="76" t="s">
        <v>150</v>
      </c>
      <c r="G2213" s="77" t="s">
        <v>190</v>
      </c>
      <c r="H2213" s="77" t="s">
        <v>153</v>
      </c>
      <c r="I2213" s="86">
        <v>41957</v>
      </c>
      <c r="J2213" s="78">
        <v>1074</v>
      </c>
      <c r="U2213" s="132" t="s">
        <v>154</v>
      </c>
      <c r="V2213" s="132" t="s">
        <v>284</v>
      </c>
      <c r="W2213" s="132" t="s">
        <v>267</v>
      </c>
      <c r="X2213" s="133">
        <v>41800</v>
      </c>
      <c r="Y2213" s="134">
        <v>651</v>
      </c>
    </row>
    <row r="2214" spans="6:25" x14ac:dyDescent="0.25">
      <c r="F2214" s="76" t="s">
        <v>150</v>
      </c>
      <c r="G2214" s="77" t="s">
        <v>190</v>
      </c>
      <c r="H2214" s="77" t="s">
        <v>153</v>
      </c>
      <c r="I2214" s="86">
        <v>41960</v>
      </c>
      <c r="J2214" s="78">
        <v>913</v>
      </c>
      <c r="U2214" s="132" t="s">
        <v>154</v>
      </c>
      <c r="V2214" s="132" t="s">
        <v>284</v>
      </c>
      <c r="W2214" s="132" t="s">
        <v>267</v>
      </c>
      <c r="X2214" s="133">
        <v>41801</v>
      </c>
      <c r="Y2214" s="134">
        <v>486</v>
      </c>
    </row>
    <row r="2215" spans="6:25" x14ac:dyDescent="0.25">
      <c r="F2215" s="76" t="s">
        <v>150</v>
      </c>
      <c r="G2215" s="77" t="s">
        <v>190</v>
      </c>
      <c r="H2215" s="77" t="s">
        <v>153</v>
      </c>
      <c r="I2215" s="86">
        <v>41961</v>
      </c>
      <c r="J2215" s="78">
        <v>764</v>
      </c>
      <c r="U2215" s="132" t="s">
        <v>154</v>
      </c>
      <c r="V2215" s="132" t="s">
        <v>284</v>
      </c>
      <c r="W2215" s="132" t="s">
        <v>267</v>
      </c>
      <c r="X2215" s="133">
        <v>41801</v>
      </c>
      <c r="Y2215" s="134">
        <v>724</v>
      </c>
    </row>
    <row r="2216" spans="6:25" x14ac:dyDescent="0.25">
      <c r="F2216" s="76" t="s">
        <v>150</v>
      </c>
      <c r="G2216" s="77" t="s">
        <v>190</v>
      </c>
      <c r="H2216" s="77" t="s">
        <v>153</v>
      </c>
      <c r="I2216" s="86">
        <v>41962</v>
      </c>
      <c r="J2216" s="78">
        <v>682</v>
      </c>
      <c r="U2216" s="132" t="s">
        <v>154</v>
      </c>
      <c r="V2216" s="132" t="s">
        <v>284</v>
      </c>
      <c r="W2216" s="132" t="s">
        <v>267</v>
      </c>
      <c r="X2216" s="133">
        <v>41802</v>
      </c>
      <c r="Y2216" s="134">
        <v>539</v>
      </c>
    </row>
    <row r="2217" spans="6:25" x14ac:dyDescent="0.25">
      <c r="F2217" s="76" t="s">
        <v>150</v>
      </c>
      <c r="G2217" s="77" t="s">
        <v>190</v>
      </c>
      <c r="H2217" s="77" t="s">
        <v>153</v>
      </c>
      <c r="I2217" s="86">
        <v>41967</v>
      </c>
      <c r="J2217" s="78">
        <v>734</v>
      </c>
      <c r="U2217" s="132" t="s">
        <v>154</v>
      </c>
      <c r="V2217" s="132" t="s">
        <v>284</v>
      </c>
      <c r="W2217" s="132" t="s">
        <v>267</v>
      </c>
      <c r="X2217" s="133">
        <v>41802</v>
      </c>
      <c r="Y2217" s="134">
        <v>843</v>
      </c>
    </row>
    <row r="2218" spans="6:25" x14ac:dyDescent="0.25">
      <c r="F2218" s="76" t="s">
        <v>150</v>
      </c>
      <c r="G2218" s="77" t="s">
        <v>190</v>
      </c>
      <c r="H2218" s="77" t="s">
        <v>153</v>
      </c>
      <c r="I2218" s="86">
        <v>41969</v>
      </c>
      <c r="J2218" s="78">
        <v>916</v>
      </c>
      <c r="U2218" s="132" t="s">
        <v>154</v>
      </c>
      <c r="V2218" s="132" t="s">
        <v>284</v>
      </c>
      <c r="W2218" s="132" t="s">
        <v>267</v>
      </c>
      <c r="X2218" s="133">
        <v>41803</v>
      </c>
      <c r="Y2218" s="134">
        <v>855</v>
      </c>
    </row>
    <row r="2219" spans="6:25" x14ac:dyDescent="0.25">
      <c r="F2219" s="76" t="s">
        <v>150</v>
      </c>
      <c r="G2219" s="77" t="s">
        <v>190</v>
      </c>
      <c r="H2219" s="77" t="s">
        <v>153</v>
      </c>
      <c r="I2219" s="86">
        <v>41971</v>
      </c>
      <c r="J2219" s="78">
        <v>1019</v>
      </c>
      <c r="U2219" s="132" t="s">
        <v>154</v>
      </c>
      <c r="V2219" s="132" t="s">
        <v>284</v>
      </c>
      <c r="W2219" s="132" t="s">
        <v>267</v>
      </c>
      <c r="X2219" s="133">
        <v>41806</v>
      </c>
      <c r="Y2219" s="134">
        <v>790</v>
      </c>
    </row>
    <row r="2220" spans="6:25" x14ac:dyDescent="0.25">
      <c r="F2220" s="76" t="s">
        <v>150</v>
      </c>
      <c r="G2220" s="77" t="s">
        <v>190</v>
      </c>
      <c r="H2220" s="77" t="s">
        <v>153</v>
      </c>
      <c r="I2220" s="86">
        <v>41974</v>
      </c>
      <c r="J2220" s="78">
        <v>884</v>
      </c>
      <c r="U2220" s="132" t="s">
        <v>154</v>
      </c>
      <c r="V2220" s="132" t="s">
        <v>284</v>
      </c>
      <c r="W2220" s="132" t="s">
        <v>267</v>
      </c>
      <c r="X2220" s="133">
        <v>41807</v>
      </c>
      <c r="Y2220" s="134">
        <v>846</v>
      </c>
    </row>
    <row r="2221" spans="6:25" x14ac:dyDescent="0.25">
      <c r="F2221" s="76" t="s">
        <v>150</v>
      </c>
      <c r="G2221" s="77" t="s">
        <v>190</v>
      </c>
      <c r="H2221" s="77" t="s">
        <v>153</v>
      </c>
      <c r="I2221" s="86">
        <v>41976</v>
      </c>
      <c r="J2221" s="78">
        <v>898</v>
      </c>
      <c r="U2221" s="132" t="s">
        <v>154</v>
      </c>
      <c r="V2221" s="132" t="s">
        <v>284</v>
      </c>
      <c r="W2221" s="132" t="s">
        <v>267</v>
      </c>
      <c r="X2221" s="133">
        <v>41808</v>
      </c>
      <c r="Y2221" s="134">
        <v>849</v>
      </c>
    </row>
    <row r="2222" spans="6:25" x14ac:dyDescent="0.25">
      <c r="F2222" s="76" t="s">
        <v>150</v>
      </c>
      <c r="G2222" s="77" t="s">
        <v>190</v>
      </c>
      <c r="H2222" s="77" t="s">
        <v>153</v>
      </c>
      <c r="I2222" s="86">
        <v>41977</v>
      </c>
      <c r="J2222" s="78">
        <v>420</v>
      </c>
      <c r="U2222" s="132" t="s">
        <v>154</v>
      </c>
      <c r="V2222" s="132" t="s">
        <v>284</v>
      </c>
      <c r="W2222" s="132" t="s">
        <v>267</v>
      </c>
      <c r="X2222" s="133">
        <v>41809</v>
      </c>
      <c r="Y2222" s="134">
        <v>789</v>
      </c>
    </row>
    <row r="2223" spans="6:25" x14ac:dyDescent="0.25">
      <c r="F2223" s="76" t="s">
        <v>150</v>
      </c>
      <c r="G2223" s="77" t="s">
        <v>190</v>
      </c>
      <c r="H2223" s="77" t="s">
        <v>153</v>
      </c>
      <c r="I2223" s="86">
        <v>41978</v>
      </c>
      <c r="J2223" s="78">
        <v>816</v>
      </c>
      <c r="U2223" s="132" t="s">
        <v>154</v>
      </c>
      <c r="V2223" s="132" t="s">
        <v>284</v>
      </c>
      <c r="W2223" s="132" t="s">
        <v>267</v>
      </c>
      <c r="X2223" s="133">
        <v>41810</v>
      </c>
      <c r="Y2223" s="134">
        <v>832</v>
      </c>
    </row>
    <row r="2224" spans="6:25" x14ac:dyDescent="0.25">
      <c r="F2224" s="76" t="s">
        <v>150</v>
      </c>
      <c r="G2224" s="77" t="s">
        <v>190</v>
      </c>
      <c r="H2224" s="77" t="s">
        <v>153</v>
      </c>
      <c r="I2224" s="86">
        <v>41981</v>
      </c>
      <c r="J2224" s="78">
        <v>903</v>
      </c>
      <c r="U2224" s="132" t="s">
        <v>154</v>
      </c>
      <c r="V2224" s="132" t="s">
        <v>284</v>
      </c>
      <c r="W2224" s="132" t="s">
        <v>267</v>
      </c>
      <c r="X2224" s="133">
        <v>41811</v>
      </c>
      <c r="Y2224" s="134">
        <v>688</v>
      </c>
    </row>
    <row r="2225" spans="6:25" x14ac:dyDescent="0.25">
      <c r="F2225" s="76" t="s">
        <v>150</v>
      </c>
      <c r="G2225" s="77" t="s">
        <v>190</v>
      </c>
      <c r="H2225" s="77" t="s">
        <v>153</v>
      </c>
      <c r="I2225" s="86">
        <v>41983</v>
      </c>
      <c r="J2225" s="78">
        <v>1242</v>
      </c>
      <c r="U2225" s="132" t="s">
        <v>154</v>
      </c>
      <c r="V2225" s="132" t="s">
        <v>284</v>
      </c>
      <c r="W2225" s="132" t="s">
        <v>267</v>
      </c>
      <c r="X2225" s="133">
        <v>41812</v>
      </c>
      <c r="Y2225" s="134">
        <v>709</v>
      </c>
    </row>
    <row r="2226" spans="6:25" x14ac:dyDescent="0.25">
      <c r="F2226" s="76" t="s">
        <v>150</v>
      </c>
      <c r="G2226" s="77" t="s">
        <v>190</v>
      </c>
      <c r="H2226" s="77" t="s">
        <v>153</v>
      </c>
      <c r="I2226" s="86">
        <v>41985</v>
      </c>
      <c r="J2226" s="78">
        <v>864</v>
      </c>
      <c r="U2226" s="132" t="s">
        <v>154</v>
      </c>
      <c r="V2226" s="132" t="s">
        <v>284</v>
      </c>
      <c r="W2226" s="132" t="s">
        <v>267</v>
      </c>
      <c r="X2226" s="133">
        <v>41812</v>
      </c>
      <c r="Y2226" s="134">
        <v>255</v>
      </c>
    </row>
    <row r="2227" spans="6:25" x14ac:dyDescent="0.25">
      <c r="F2227" s="76" t="s">
        <v>150</v>
      </c>
      <c r="G2227" s="77" t="s">
        <v>190</v>
      </c>
      <c r="H2227" s="77" t="s">
        <v>153</v>
      </c>
      <c r="I2227" s="86">
        <v>41989</v>
      </c>
      <c r="J2227" s="78">
        <v>741</v>
      </c>
      <c r="U2227" s="132" t="s">
        <v>154</v>
      </c>
      <c r="V2227" s="132" t="s">
        <v>284</v>
      </c>
      <c r="W2227" s="132" t="s">
        <v>267</v>
      </c>
      <c r="X2227" s="133">
        <v>41813</v>
      </c>
      <c r="Y2227" s="134">
        <v>787</v>
      </c>
    </row>
    <row r="2228" spans="6:25" x14ac:dyDescent="0.25">
      <c r="F2228" s="76" t="s">
        <v>150</v>
      </c>
      <c r="G2228" s="77" t="s">
        <v>190</v>
      </c>
      <c r="H2228" s="77" t="s">
        <v>153</v>
      </c>
      <c r="I2228" s="86">
        <v>41990</v>
      </c>
      <c r="J2228" s="78">
        <v>599</v>
      </c>
      <c r="U2228" s="132" t="s">
        <v>154</v>
      </c>
      <c r="V2228" s="132" t="s">
        <v>284</v>
      </c>
      <c r="W2228" s="132" t="s">
        <v>267</v>
      </c>
      <c r="X2228" s="133">
        <v>41813</v>
      </c>
      <c r="Y2228" s="134">
        <v>645</v>
      </c>
    </row>
    <row r="2229" spans="6:25" x14ac:dyDescent="0.25">
      <c r="F2229" s="76" t="s">
        <v>150</v>
      </c>
      <c r="G2229" s="77" t="s">
        <v>190</v>
      </c>
      <c r="H2229" s="77" t="s">
        <v>153</v>
      </c>
      <c r="I2229" s="86">
        <v>41990</v>
      </c>
      <c r="J2229" s="78">
        <v>1008</v>
      </c>
      <c r="U2229" s="132" t="s">
        <v>154</v>
      </c>
      <c r="V2229" s="132" t="s">
        <v>284</v>
      </c>
      <c r="W2229" s="132" t="s">
        <v>267</v>
      </c>
      <c r="X2229" s="133">
        <v>41814</v>
      </c>
      <c r="Y2229" s="134">
        <v>695</v>
      </c>
    </row>
    <row r="2230" spans="6:25" x14ac:dyDescent="0.25">
      <c r="F2230" s="76" t="s">
        <v>150</v>
      </c>
      <c r="G2230" s="77" t="s">
        <v>190</v>
      </c>
      <c r="H2230" s="77" t="s">
        <v>153</v>
      </c>
      <c r="I2230" s="86">
        <v>41991</v>
      </c>
      <c r="J2230" s="78">
        <v>751</v>
      </c>
      <c r="U2230" s="132" t="s">
        <v>154</v>
      </c>
      <c r="V2230" s="132" t="s">
        <v>284</v>
      </c>
      <c r="W2230" s="132" t="s">
        <v>267</v>
      </c>
      <c r="X2230" s="133">
        <v>41815</v>
      </c>
      <c r="Y2230" s="134">
        <v>562</v>
      </c>
    </row>
    <row r="2231" spans="6:25" x14ac:dyDescent="0.25">
      <c r="F2231" s="76" t="s">
        <v>150</v>
      </c>
      <c r="G2231" s="77" t="s">
        <v>190</v>
      </c>
      <c r="H2231" s="77" t="s">
        <v>153</v>
      </c>
      <c r="I2231" s="86">
        <v>41993</v>
      </c>
      <c r="J2231" s="78">
        <v>856</v>
      </c>
      <c r="U2231" s="132" t="s">
        <v>154</v>
      </c>
      <c r="V2231" s="132" t="s">
        <v>284</v>
      </c>
      <c r="W2231" s="132" t="s">
        <v>267</v>
      </c>
      <c r="X2231" s="133">
        <v>41816</v>
      </c>
      <c r="Y2231" s="134">
        <v>628</v>
      </c>
    </row>
    <row r="2232" spans="6:25" x14ac:dyDescent="0.25">
      <c r="F2232" s="76" t="s">
        <v>150</v>
      </c>
      <c r="G2232" s="77" t="s">
        <v>190</v>
      </c>
      <c r="H2232" s="77" t="s">
        <v>153</v>
      </c>
      <c r="I2232" s="86">
        <v>41993</v>
      </c>
      <c r="J2232" s="78">
        <v>1140</v>
      </c>
      <c r="U2232" s="132" t="s">
        <v>154</v>
      </c>
      <c r="V2232" s="132" t="s">
        <v>284</v>
      </c>
      <c r="W2232" s="132" t="s">
        <v>267</v>
      </c>
      <c r="X2232" s="133">
        <v>41816</v>
      </c>
      <c r="Y2232" s="134">
        <v>712</v>
      </c>
    </row>
    <row r="2233" spans="6:25" x14ac:dyDescent="0.25">
      <c r="F2233" s="76" t="s">
        <v>150</v>
      </c>
      <c r="G2233" s="77" t="s">
        <v>190</v>
      </c>
      <c r="H2233" s="77" t="s">
        <v>153</v>
      </c>
      <c r="I2233" s="86">
        <v>41994</v>
      </c>
      <c r="J2233" s="78">
        <v>1040</v>
      </c>
      <c r="U2233" s="132" t="s">
        <v>154</v>
      </c>
      <c r="V2233" s="132" t="s">
        <v>284</v>
      </c>
      <c r="W2233" s="132" t="s">
        <v>267</v>
      </c>
      <c r="X2233" s="133">
        <v>41817</v>
      </c>
      <c r="Y2233" s="134">
        <v>854</v>
      </c>
    </row>
    <row r="2234" spans="6:25" x14ac:dyDescent="0.25">
      <c r="F2234" s="76" t="s">
        <v>150</v>
      </c>
      <c r="G2234" s="77" t="s">
        <v>190</v>
      </c>
      <c r="H2234" s="77" t="s">
        <v>153</v>
      </c>
      <c r="I2234" s="86">
        <v>41995</v>
      </c>
      <c r="J2234" s="78">
        <v>1114</v>
      </c>
      <c r="U2234" s="132" t="s">
        <v>154</v>
      </c>
      <c r="V2234" s="132" t="s">
        <v>284</v>
      </c>
      <c r="W2234" s="132" t="s">
        <v>267</v>
      </c>
      <c r="X2234" s="133">
        <v>41819</v>
      </c>
      <c r="Y2234" s="134">
        <v>828</v>
      </c>
    </row>
    <row r="2235" spans="6:25" x14ac:dyDescent="0.25">
      <c r="F2235" s="76" t="s">
        <v>150</v>
      </c>
      <c r="G2235" s="77" t="s">
        <v>190</v>
      </c>
      <c r="H2235" s="77" t="s">
        <v>153</v>
      </c>
      <c r="I2235" s="86">
        <v>41996</v>
      </c>
      <c r="J2235" s="78">
        <v>732</v>
      </c>
      <c r="U2235" s="132" t="s">
        <v>154</v>
      </c>
      <c r="V2235" s="132" t="s">
        <v>284</v>
      </c>
      <c r="W2235" s="132" t="s">
        <v>267</v>
      </c>
      <c r="X2235" s="133">
        <v>41820</v>
      </c>
      <c r="Y2235" s="134">
        <v>900</v>
      </c>
    </row>
    <row r="2236" spans="6:25" x14ac:dyDescent="0.25">
      <c r="F2236" s="76" t="s">
        <v>150</v>
      </c>
      <c r="G2236" s="77" t="s">
        <v>190</v>
      </c>
      <c r="H2236" s="77" t="s">
        <v>153</v>
      </c>
      <c r="I2236" s="86">
        <v>41998</v>
      </c>
      <c r="J2236" s="78">
        <v>1380</v>
      </c>
      <c r="U2236" s="132" t="s">
        <v>154</v>
      </c>
      <c r="V2236" s="132" t="s">
        <v>284</v>
      </c>
      <c r="W2236" s="132" t="s">
        <v>267</v>
      </c>
      <c r="X2236" s="133">
        <v>41821</v>
      </c>
      <c r="Y2236" s="134">
        <v>1108</v>
      </c>
    </row>
    <row r="2237" spans="6:25" x14ac:dyDescent="0.25">
      <c r="F2237" s="76" t="s">
        <v>150</v>
      </c>
      <c r="G2237" s="77" t="s">
        <v>190</v>
      </c>
      <c r="H2237" s="77" t="s">
        <v>153</v>
      </c>
      <c r="I2237" s="86">
        <v>41998</v>
      </c>
      <c r="J2237" s="78">
        <v>766</v>
      </c>
      <c r="U2237" s="132" t="s">
        <v>154</v>
      </c>
      <c r="V2237" s="132" t="s">
        <v>284</v>
      </c>
      <c r="W2237" s="132" t="s">
        <v>267</v>
      </c>
      <c r="X2237" s="133">
        <v>41822</v>
      </c>
      <c r="Y2237" s="134">
        <v>932</v>
      </c>
    </row>
    <row r="2238" spans="6:25" x14ac:dyDescent="0.25">
      <c r="F2238" s="76" t="s">
        <v>150</v>
      </c>
      <c r="G2238" s="77" t="s">
        <v>190</v>
      </c>
      <c r="H2238" s="77" t="s">
        <v>153</v>
      </c>
      <c r="I2238" s="86">
        <v>41999</v>
      </c>
      <c r="J2238" s="78">
        <v>1051</v>
      </c>
      <c r="U2238" s="132" t="s">
        <v>154</v>
      </c>
      <c r="V2238" s="132" t="s">
        <v>284</v>
      </c>
      <c r="W2238" s="132" t="s">
        <v>267</v>
      </c>
      <c r="X2238" s="133">
        <v>41823</v>
      </c>
      <c r="Y2238" s="134">
        <v>833</v>
      </c>
    </row>
    <row r="2239" spans="6:25" x14ac:dyDescent="0.25">
      <c r="F2239" s="76" t="s">
        <v>150</v>
      </c>
      <c r="G2239" s="77" t="s">
        <v>190</v>
      </c>
      <c r="H2239" s="77" t="s">
        <v>153</v>
      </c>
      <c r="I2239" s="86">
        <v>42000</v>
      </c>
      <c r="J2239" s="78">
        <v>1029</v>
      </c>
      <c r="U2239" s="132" t="s">
        <v>154</v>
      </c>
      <c r="V2239" s="132" t="s">
        <v>284</v>
      </c>
      <c r="W2239" s="132" t="s">
        <v>267</v>
      </c>
      <c r="X2239" s="133">
        <v>41852</v>
      </c>
      <c r="Y2239" s="134">
        <v>1315</v>
      </c>
    </row>
    <row r="2240" spans="6:25" x14ac:dyDescent="0.25">
      <c r="F2240" s="76" t="s">
        <v>150</v>
      </c>
      <c r="G2240" s="77" t="s">
        <v>190</v>
      </c>
      <c r="H2240" s="77" t="s">
        <v>153</v>
      </c>
      <c r="I2240" s="86">
        <v>42001</v>
      </c>
      <c r="J2240" s="78">
        <v>597</v>
      </c>
      <c r="U2240" s="132" t="s">
        <v>154</v>
      </c>
      <c r="V2240" s="132" t="s">
        <v>284</v>
      </c>
      <c r="W2240" s="132" t="s">
        <v>267</v>
      </c>
      <c r="X2240" s="133">
        <v>41854</v>
      </c>
      <c r="Y2240" s="134">
        <v>795</v>
      </c>
    </row>
    <row r="2241" spans="6:25" x14ac:dyDescent="0.25">
      <c r="F2241" s="76" t="s">
        <v>150</v>
      </c>
      <c r="G2241" s="77" t="s">
        <v>190</v>
      </c>
      <c r="H2241" s="77" t="s">
        <v>153</v>
      </c>
      <c r="I2241" s="86">
        <v>42002</v>
      </c>
      <c r="J2241" s="78">
        <v>1150</v>
      </c>
      <c r="U2241" s="132" t="s">
        <v>154</v>
      </c>
      <c r="V2241" s="132" t="s">
        <v>284</v>
      </c>
      <c r="W2241" s="132" t="s">
        <v>267</v>
      </c>
      <c r="X2241" s="133">
        <v>41854</v>
      </c>
      <c r="Y2241" s="134">
        <v>466</v>
      </c>
    </row>
    <row r="2242" spans="6:25" x14ac:dyDescent="0.25">
      <c r="F2242" s="76" t="s">
        <v>150</v>
      </c>
      <c r="G2242" s="77" t="s">
        <v>240</v>
      </c>
      <c r="H2242" s="77" t="s">
        <v>153</v>
      </c>
      <c r="I2242" s="86">
        <v>41831</v>
      </c>
      <c r="J2242" s="78">
        <v>1090</v>
      </c>
      <c r="U2242" s="132" t="s">
        <v>154</v>
      </c>
      <c r="V2242" s="132" t="s">
        <v>284</v>
      </c>
      <c r="W2242" s="132" t="s">
        <v>267</v>
      </c>
      <c r="X2242" s="133">
        <v>41855</v>
      </c>
      <c r="Y2242" s="134">
        <v>700</v>
      </c>
    </row>
    <row r="2243" spans="6:25" x14ac:dyDescent="0.25">
      <c r="F2243" s="76" t="s">
        <v>150</v>
      </c>
      <c r="G2243" s="77" t="s">
        <v>191</v>
      </c>
      <c r="H2243" s="77" t="s">
        <v>153</v>
      </c>
      <c r="I2243" s="86">
        <v>41636</v>
      </c>
      <c r="J2243" s="78">
        <v>1180</v>
      </c>
      <c r="U2243" s="132" t="s">
        <v>154</v>
      </c>
      <c r="V2243" s="132" t="s">
        <v>284</v>
      </c>
      <c r="W2243" s="132" t="s">
        <v>267</v>
      </c>
      <c r="X2243" s="133">
        <v>41855</v>
      </c>
      <c r="Y2243" s="134">
        <v>564</v>
      </c>
    </row>
    <row r="2244" spans="6:25" x14ac:dyDescent="0.25">
      <c r="F2244" s="76" t="s">
        <v>150</v>
      </c>
      <c r="G2244" s="77" t="s">
        <v>191</v>
      </c>
      <c r="H2244" s="77" t="s">
        <v>153</v>
      </c>
      <c r="I2244" s="86">
        <v>41638</v>
      </c>
      <c r="J2244" s="78">
        <v>1196</v>
      </c>
      <c r="U2244" s="132" t="s">
        <v>154</v>
      </c>
      <c r="V2244" s="132" t="s">
        <v>284</v>
      </c>
      <c r="W2244" s="132" t="s">
        <v>267</v>
      </c>
      <c r="X2244" s="133">
        <v>41856</v>
      </c>
      <c r="Y2244" s="134">
        <v>699</v>
      </c>
    </row>
    <row r="2245" spans="6:25" x14ac:dyDescent="0.25">
      <c r="F2245" s="76" t="s">
        <v>150</v>
      </c>
      <c r="G2245" s="77" t="s">
        <v>191</v>
      </c>
      <c r="H2245" s="77" t="s">
        <v>153</v>
      </c>
      <c r="I2245" s="86">
        <v>41640</v>
      </c>
      <c r="J2245" s="78">
        <v>895</v>
      </c>
      <c r="U2245" s="132" t="s">
        <v>154</v>
      </c>
      <c r="V2245" s="132" t="s">
        <v>284</v>
      </c>
      <c r="W2245" s="132" t="s">
        <v>267</v>
      </c>
      <c r="X2245" s="133">
        <v>41856</v>
      </c>
      <c r="Y2245" s="134">
        <v>366</v>
      </c>
    </row>
    <row r="2246" spans="6:25" x14ac:dyDescent="0.25">
      <c r="F2246" s="76" t="s">
        <v>150</v>
      </c>
      <c r="G2246" s="77" t="s">
        <v>191</v>
      </c>
      <c r="H2246" s="77" t="s">
        <v>153</v>
      </c>
      <c r="I2246" s="86">
        <v>41641</v>
      </c>
      <c r="J2246" s="78">
        <v>779</v>
      </c>
      <c r="U2246" s="132" t="s">
        <v>154</v>
      </c>
      <c r="V2246" s="132" t="s">
        <v>284</v>
      </c>
      <c r="W2246" s="132" t="s">
        <v>267</v>
      </c>
      <c r="X2246" s="133">
        <v>41857</v>
      </c>
      <c r="Y2246" s="134">
        <v>705</v>
      </c>
    </row>
    <row r="2247" spans="6:25" x14ac:dyDescent="0.25">
      <c r="F2247" s="76" t="s">
        <v>150</v>
      </c>
      <c r="G2247" s="77" t="s">
        <v>191</v>
      </c>
      <c r="H2247" s="77" t="s">
        <v>153</v>
      </c>
      <c r="I2247" s="86">
        <v>41642</v>
      </c>
      <c r="J2247" s="78">
        <v>715</v>
      </c>
      <c r="U2247" s="132" t="s">
        <v>154</v>
      </c>
      <c r="V2247" s="132" t="s">
        <v>284</v>
      </c>
      <c r="W2247" s="132" t="s">
        <v>267</v>
      </c>
      <c r="X2247" s="133">
        <v>41857</v>
      </c>
      <c r="Y2247" s="134">
        <v>335</v>
      </c>
    </row>
    <row r="2248" spans="6:25" x14ac:dyDescent="0.25">
      <c r="F2248" s="76" t="s">
        <v>150</v>
      </c>
      <c r="G2248" s="77" t="s">
        <v>191</v>
      </c>
      <c r="H2248" s="77" t="s">
        <v>153</v>
      </c>
      <c r="I2248" s="86">
        <v>41643</v>
      </c>
      <c r="J2248" s="78">
        <v>987</v>
      </c>
      <c r="U2248" s="132" t="s">
        <v>154</v>
      </c>
      <c r="V2248" s="132" t="s">
        <v>284</v>
      </c>
      <c r="W2248" s="132" t="s">
        <v>267</v>
      </c>
      <c r="X2248" s="133">
        <v>41858</v>
      </c>
      <c r="Y2248" s="134">
        <v>312</v>
      </c>
    </row>
    <row r="2249" spans="6:25" x14ac:dyDescent="0.25">
      <c r="F2249" s="76" t="s">
        <v>150</v>
      </c>
      <c r="G2249" s="77" t="s">
        <v>191</v>
      </c>
      <c r="H2249" s="77" t="s">
        <v>153</v>
      </c>
      <c r="I2249" s="86">
        <v>41644</v>
      </c>
      <c r="J2249" s="78">
        <v>811</v>
      </c>
      <c r="U2249" s="132" t="s">
        <v>154</v>
      </c>
      <c r="V2249" s="132" t="s">
        <v>284</v>
      </c>
      <c r="W2249" s="132" t="s">
        <v>267</v>
      </c>
      <c r="X2249" s="133">
        <v>41858</v>
      </c>
      <c r="Y2249" s="134">
        <v>795</v>
      </c>
    </row>
    <row r="2250" spans="6:25" x14ac:dyDescent="0.25">
      <c r="F2250" s="76" t="s">
        <v>150</v>
      </c>
      <c r="G2250" s="77" t="s">
        <v>191</v>
      </c>
      <c r="H2250" s="77" t="s">
        <v>153</v>
      </c>
      <c r="I2250" s="86">
        <v>41654</v>
      </c>
      <c r="J2250" s="78">
        <v>1141</v>
      </c>
      <c r="U2250" s="132" t="s">
        <v>154</v>
      </c>
      <c r="V2250" s="132" t="s">
        <v>284</v>
      </c>
      <c r="W2250" s="132" t="s">
        <v>267</v>
      </c>
      <c r="X2250" s="133">
        <v>41859</v>
      </c>
      <c r="Y2250" s="134">
        <v>309</v>
      </c>
    </row>
    <row r="2251" spans="6:25" x14ac:dyDescent="0.25">
      <c r="F2251" s="76" t="s">
        <v>150</v>
      </c>
      <c r="G2251" s="77" t="s">
        <v>191</v>
      </c>
      <c r="H2251" s="77" t="s">
        <v>153</v>
      </c>
      <c r="I2251" s="86">
        <v>41656</v>
      </c>
      <c r="J2251" s="78">
        <v>728</v>
      </c>
      <c r="U2251" s="132" t="s">
        <v>154</v>
      </c>
      <c r="V2251" s="132" t="s">
        <v>284</v>
      </c>
      <c r="W2251" s="132" t="s">
        <v>267</v>
      </c>
      <c r="X2251" s="133">
        <v>41859</v>
      </c>
      <c r="Y2251" s="134">
        <v>710</v>
      </c>
    </row>
    <row r="2252" spans="6:25" x14ac:dyDescent="0.25">
      <c r="F2252" s="76" t="s">
        <v>150</v>
      </c>
      <c r="G2252" s="77" t="s">
        <v>191</v>
      </c>
      <c r="H2252" s="77" t="s">
        <v>153</v>
      </c>
      <c r="I2252" s="86">
        <v>41660</v>
      </c>
      <c r="J2252" s="78">
        <v>619</v>
      </c>
      <c r="U2252" s="132" t="s">
        <v>154</v>
      </c>
      <c r="V2252" s="132" t="s">
        <v>284</v>
      </c>
      <c r="W2252" s="132" t="s">
        <v>267</v>
      </c>
      <c r="X2252" s="133">
        <v>41862</v>
      </c>
      <c r="Y2252" s="134">
        <v>862</v>
      </c>
    </row>
    <row r="2253" spans="6:25" x14ac:dyDescent="0.25">
      <c r="F2253" s="76" t="s">
        <v>150</v>
      </c>
      <c r="G2253" s="77" t="s">
        <v>191</v>
      </c>
      <c r="H2253" s="77" t="s">
        <v>153</v>
      </c>
      <c r="I2253" s="86">
        <v>41693</v>
      </c>
      <c r="J2253" s="78">
        <v>160</v>
      </c>
      <c r="U2253" s="132" t="s">
        <v>154</v>
      </c>
      <c r="V2253" s="132" t="s">
        <v>284</v>
      </c>
      <c r="W2253" s="132" t="s">
        <v>267</v>
      </c>
      <c r="X2253" s="133">
        <v>41862</v>
      </c>
      <c r="Y2253" s="134">
        <v>730</v>
      </c>
    </row>
    <row r="2254" spans="6:25" x14ac:dyDescent="0.25">
      <c r="F2254" s="76" t="s">
        <v>150</v>
      </c>
      <c r="G2254" s="77" t="s">
        <v>191</v>
      </c>
      <c r="H2254" s="77" t="s">
        <v>153</v>
      </c>
      <c r="I2254" s="86">
        <v>41702</v>
      </c>
      <c r="J2254" s="78">
        <v>1253</v>
      </c>
      <c r="U2254" s="132" t="s">
        <v>154</v>
      </c>
      <c r="V2254" s="132" t="s">
        <v>284</v>
      </c>
      <c r="W2254" s="132" t="s">
        <v>267</v>
      </c>
      <c r="X2254" s="133">
        <v>41863</v>
      </c>
      <c r="Y2254" s="134">
        <v>673</v>
      </c>
    </row>
    <row r="2255" spans="6:25" x14ac:dyDescent="0.25">
      <c r="F2255" s="76" t="s">
        <v>150</v>
      </c>
      <c r="G2255" s="77" t="s">
        <v>191</v>
      </c>
      <c r="H2255" s="77" t="s">
        <v>153</v>
      </c>
      <c r="I2255" s="86">
        <v>41703</v>
      </c>
      <c r="J2255" s="78">
        <v>1100</v>
      </c>
      <c r="U2255" s="132" t="s">
        <v>154</v>
      </c>
      <c r="V2255" s="132" t="s">
        <v>284</v>
      </c>
      <c r="W2255" s="132" t="s">
        <v>267</v>
      </c>
      <c r="X2255" s="133">
        <v>41863</v>
      </c>
      <c r="Y2255" s="134">
        <v>693</v>
      </c>
    </row>
    <row r="2256" spans="6:25" x14ac:dyDescent="0.25">
      <c r="F2256" s="76" t="s">
        <v>150</v>
      </c>
      <c r="G2256" s="77" t="s">
        <v>191</v>
      </c>
      <c r="H2256" s="77" t="s">
        <v>153</v>
      </c>
      <c r="I2256" s="86">
        <v>41704</v>
      </c>
      <c r="J2256" s="78">
        <v>1219</v>
      </c>
      <c r="U2256" s="132" t="s">
        <v>154</v>
      </c>
      <c r="V2256" s="132" t="s">
        <v>284</v>
      </c>
      <c r="W2256" s="132" t="s">
        <v>267</v>
      </c>
      <c r="X2256" s="133">
        <v>41864</v>
      </c>
      <c r="Y2256" s="134">
        <v>406</v>
      </c>
    </row>
    <row r="2257" spans="6:25" x14ac:dyDescent="0.25">
      <c r="F2257" s="76" t="s">
        <v>150</v>
      </c>
      <c r="G2257" s="77" t="s">
        <v>191</v>
      </c>
      <c r="H2257" s="77" t="s">
        <v>153</v>
      </c>
      <c r="I2257" s="86">
        <v>41708</v>
      </c>
      <c r="J2257" s="78">
        <v>859</v>
      </c>
      <c r="U2257" s="132" t="s">
        <v>154</v>
      </c>
      <c r="V2257" s="132" t="s">
        <v>284</v>
      </c>
      <c r="W2257" s="132" t="s">
        <v>267</v>
      </c>
      <c r="X2257" s="133">
        <v>41865</v>
      </c>
      <c r="Y2257" s="134">
        <v>681</v>
      </c>
    </row>
    <row r="2258" spans="6:25" x14ac:dyDescent="0.25">
      <c r="F2258" s="76" t="s">
        <v>150</v>
      </c>
      <c r="G2258" s="77" t="s">
        <v>191</v>
      </c>
      <c r="H2258" s="77" t="s">
        <v>153</v>
      </c>
      <c r="I2258" s="86">
        <v>41711</v>
      </c>
      <c r="J2258" s="78">
        <v>1125</v>
      </c>
      <c r="U2258" s="132" t="s">
        <v>154</v>
      </c>
      <c r="V2258" s="132" t="s">
        <v>284</v>
      </c>
      <c r="W2258" s="132" t="s">
        <v>267</v>
      </c>
      <c r="X2258" s="133">
        <v>41865</v>
      </c>
      <c r="Y2258" s="134">
        <v>310</v>
      </c>
    </row>
    <row r="2259" spans="6:25" x14ac:dyDescent="0.25">
      <c r="F2259" s="76" t="s">
        <v>150</v>
      </c>
      <c r="G2259" s="77" t="s">
        <v>191</v>
      </c>
      <c r="H2259" s="77" t="s">
        <v>153</v>
      </c>
      <c r="I2259" s="86">
        <v>41712</v>
      </c>
      <c r="J2259" s="78">
        <v>1146</v>
      </c>
      <c r="U2259" s="132" t="s">
        <v>154</v>
      </c>
      <c r="V2259" s="132" t="s">
        <v>284</v>
      </c>
      <c r="W2259" s="132" t="s">
        <v>267</v>
      </c>
      <c r="X2259" s="133">
        <v>41866</v>
      </c>
      <c r="Y2259" s="134">
        <v>1168</v>
      </c>
    </row>
    <row r="2260" spans="6:25" x14ac:dyDescent="0.25">
      <c r="F2260" s="76" t="s">
        <v>150</v>
      </c>
      <c r="G2260" s="77" t="s">
        <v>191</v>
      </c>
      <c r="H2260" s="77" t="s">
        <v>153</v>
      </c>
      <c r="I2260" s="86">
        <v>41712</v>
      </c>
      <c r="J2260" s="78">
        <v>588</v>
      </c>
      <c r="U2260" s="132" t="s">
        <v>154</v>
      </c>
      <c r="V2260" s="132" t="s">
        <v>284</v>
      </c>
      <c r="W2260" s="132" t="s">
        <v>267</v>
      </c>
      <c r="X2260" s="133">
        <v>41868</v>
      </c>
      <c r="Y2260" s="134">
        <v>752</v>
      </c>
    </row>
    <row r="2261" spans="6:25" x14ac:dyDescent="0.25">
      <c r="F2261" s="76" t="s">
        <v>150</v>
      </c>
      <c r="G2261" s="77" t="s">
        <v>191</v>
      </c>
      <c r="H2261" s="77" t="s">
        <v>153</v>
      </c>
      <c r="I2261" s="86">
        <v>41713</v>
      </c>
      <c r="J2261" s="78">
        <v>1124</v>
      </c>
      <c r="U2261" s="132" t="s">
        <v>154</v>
      </c>
      <c r="V2261" s="132" t="s">
        <v>284</v>
      </c>
      <c r="W2261" s="132" t="s">
        <v>267</v>
      </c>
      <c r="X2261" s="133">
        <v>41869</v>
      </c>
      <c r="Y2261" s="134">
        <v>1088</v>
      </c>
    </row>
    <row r="2262" spans="6:25" x14ac:dyDescent="0.25">
      <c r="F2262" s="76" t="s">
        <v>150</v>
      </c>
      <c r="G2262" s="77" t="s">
        <v>191</v>
      </c>
      <c r="H2262" s="77" t="s">
        <v>153</v>
      </c>
      <c r="I2262" s="86">
        <v>41714</v>
      </c>
      <c r="J2262" s="78">
        <v>1042</v>
      </c>
      <c r="U2262" s="132" t="s">
        <v>154</v>
      </c>
      <c r="V2262" s="132" t="s">
        <v>284</v>
      </c>
      <c r="W2262" s="132" t="s">
        <v>267</v>
      </c>
      <c r="X2262" s="133">
        <v>41870</v>
      </c>
      <c r="Y2262" s="134">
        <v>558</v>
      </c>
    </row>
    <row r="2263" spans="6:25" x14ac:dyDescent="0.25">
      <c r="F2263" s="76" t="s">
        <v>150</v>
      </c>
      <c r="G2263" s="77" t="s">
        <v>191</v>
      </c>
      <c r="H2263" s="77" t="s">
        <v>153</v>
      </c>
      <c r="I2263" s="86">
        <v>41715</v>
      </c>
      <c r="J2263" s="78">
        <v>1195</v>
      </c>
      <c r="U2263" s="132" t="s">
        <v>154</v>
      </c>
      <c r="V2263" s="132" t="s">
        <v>284</v>
      </c>
      <c r="W2263" s="132" t="s">
        <v>267</v>
      </c>
      <c r="X2263" s="133">
        <v>41871</v>
      </c>
      <c r="Y2263" s="134">
        <v>305</v>
      </c>
    </row>
    <row r="2264" spans="6:25" x14ac:dyDescent="0.25">
      <c r="F2264" s="76" t="s">
        <v>150</v>
      </c>
      <c r="G2264" s="77" t="s">
        <v>191</v>
      </c>
      <c r="H2264" s="77" t="s">
        <v>153</v>
      </c>
      <c r="I2264" s="86">
        <v>41717</v>
      </c>
      <c r="J2264" s="78">
        <v>323</v>
      </c>
      <c r="U2264" s="132" t="s">
        <v>154</v>
      </c>
      <c r="V2264" s="132" t="s">
        <v>284</v>
      </c>
      <c r="W2264" s="132" t="s">
        <v>267</v>
      </c>
      <c r="X2264" s="133">
        <v>41871</v>
      </c>
      <c r="Y2264" s="134">
        <v>707</v>
      </c>
    </row>
    <row r="2265" spans="6:25" x14ac:dyDescent="0.25">
      <c r="F2265" s="76" t="s">
        <v>150</v>
      </c>
      <c r="G2265" s="77" t="s">
        <v>191</v>
      </c>
      <c r="H2265" s="77" t="s">
        <v>153</v>
      </c>
      <c r="I2265" s="86">
        <v>41717</v>
      </c>
      <c r="J2265" s="78">
        <v>1180</v>
      </c>
      <c r="U2265" s="132" t="s">
        <v>154</v>
      </c>
      <c r="V2265" s="132" t="s">
        <v>284</v>
      </c>
      <c r="W2265" s="132" t="s">
        <v>267</v>
      </c>
      <c r="X2265" s="133">
        <v>41872</v>
      </c>
      <c r="Y2265" s="134">
        <v>325</v>
      </c>
    </row>
    <row r="2266" spans="6:25" x14ac:dyDescent="0.25">
      <c r="F2266" s="76" t="s">
        <v>150</v>
      </c>
      <c r="G2266" s="77" t="s">
        <v>191</v>
      </c>
      <c r="H2266" s="77" t="s">
        <v>153</v>
      </c>
      <c r="I2266" s="86">
        <v>41719</v>
      </c>
      <c r="J2266" s="78">
        <v>1031</v>
      </c>
      <c r="U2266" s="132" t="s">
        <v>154</v>
      </c>
      <c r="V2266" s="132" t="s">
        <v>284</v>
      </c>
      <c r="W2266" s="132" t="s">
        <v>267</v>
      </c>
      <c r="X2266" s="133">
        <v>41872</v>
      </c>
      <c r="Y2266" s="134">
        <v>650</v>
      </c>
    </row>
    <row r="2267" spans="6:25" x14ac:dyDescent="0.25">
      <c r="F2267" s="76" t="s">
        <v>150</v>
      </c>
      <c r="G2267" s="77" t="s">
        <v>191</v>
      </c>
      <c r="H2267" s="77" t="s">
        <v>153</v>
      </c>
      <c r="I2267" s="86">
        <v>41721</v>
      </c>
      <c r="J2267" s="78">
        <v>1357</v>
      </c>
      <c r="U2267" s="132" t="s">
        <v>154</v>
      </c>
      <c r="V2267" s="132" t="s">
        <v>284</v>
      </c>
      <c r="W2267" s="132" t="s">
        <v>267</v>
      </c>
      <c r="X2267" s="133">
        <v>41873</v>
      </c>
      <c r="Y2267" s="134">
        <v>674</v>
      </c>
    </row>
    <row r="2268" spans="6:25" x14ac:dyDescent="0.25">
      <c r="F2268" s="76" t="s">
        <v>150</v>
      </c>
      <c r="G2268" s="77" t="s">
        <v>191</v>
      </c>
      <c r="H2268" s="77" t="s">
        <v>153</v>
      </c>
      <c r="I2268" s="86">
        <v>41722</v>
      </c>
      <c r="J2268" s="78">
        <v>485</v>
      </c>
      <c r="U2268" s="132" t="s">
        <v>154</v>
      </c>
      <c r="V2268" s="132" t="s">
        <v>284</v>
      </c>
      <c r="W2268" s="132" t="s">
        <v>267</v>
      </c>
      <c r="X2268" s="133">
        <v>41873</v>
      </c>
      <c r="Y2268" s="134">
        <v>336</v>
      </c>
    </row>
    <row r="2269" spans="6:25" x14ac:dyDescent="0.25">
      <c r="F2269" s="76" t="s">
        <v>150</v>
      </c>
      <c r="G2269" s="77" t="s">
        <v>191</v>
      </c>
      <c r="H2269" s="77" t="s">
        <v>153</v>
      </c>
      <c r="I2269" s="86">
        <v>41723</v>
      </c>
      <c r="J2269" s="78">
        <v>455</v>
      </c>
      <c r="U2269" s="132" t="s">
        <v>154</v>
      </c>
      <c r="V2269" s="132" t="s">
        <v>284</v>
      </c>
      <c r="W2269" s="132" t="s">
        <v>267</v>
      </c>
      <c r="X2269" s="133">
        <v>41874</v>
      </c>
      <c r="Y2269" s="134">
        <v>531</v>
      </c>
    </row>
    <row r="2270" spans="6:25" x14ac:dyDescent="0.25">
      <c r="F2270" s="76" t="s">
        <v>150</v>
      </c>
      <c r="G2270" s="77" t="s">
        <v>191</v>
      </c>
      <c r="H2270" s="77" t="s">
        <v>153</v>
      </c>
      <c r="I2270" s="86">
        <v>41726</v>
      </c>
      <c r="J2270" s="78">
        <v>633</v>
      </c>
      <c r="U2270" s="132" t="s">
        <v>154</v>
      </c>
      <c r="V2270" s="132" t="s">
        <v>284</v>
      </c>
      <c r="W2270" s="132" t="s">
        <v>267</v>
      </c>
      <c r="X2270" s="133">
        <v>41875</v>
      </c>
      <c r="Y2270" s="134">
        <v>504</v>
      </c>
    </row>
    <row r="2271" spans="6:25" x14ac:dyDescent="0.25">
      <c r="F2271" s="76" t="s">
        <v>150</v>
      </c>
      <c r="G2271" s="77" t="s">
        <v>191</v>
      </c>
      <c r="H2271" s="77" t="s">
        <v>153</v>
      </c>
      <c r="I2271" s="86">
        <v>41731</v>
      </c>
      <c r="J2271" s="78">
        <v>1046</v>
      </c>
      <c r="U2271" s="132" t="s">
        <v>154</v>
      </c>
      <c r="V2271" s="132" t="s">
        <v>284</v>
      </c>
      <c r="W2271" s="132" t="s">
        <v>267</v>
      </c>
      <c r="X2271" s="133">
        <v>41875</v>
      </c>
      <c r="Y2271" s="134">
        <v>235</v>
      </c>
    </row>
    <row r="2272" spans="6:25" x14ac:dyDescent="0.25">
      <c r="F2272" s="76" t="s">
        <v>150</v>
      </c>
      <c r="G2272" s="77" t="s">
        <v>191</v>
      </c>
      <c r="H2272" s="77" t="s">
        <v>153</v>
      </c>
      <c r="I2272" s="86">
        <v>41731</v>
      </c>
      <c r="J2272" s="78">
        <v>1200</v>
      </c>
      <c r="U2272" s="132" t="s">
        <v>154</v>
      </c>
      <c r="V2272" s="132" t="s">
        <v>284</v>
      </c>
      <c r="W2272" s="132" t="s">
        <v>267</v>
      </c>
      <c r="X2272" s="133">
        <v>41875</v>
      </c>
      <c r="Y2272" s="134">
        <v>767</v>
      </c>
    </row>
    <row r="2273" spans="6:25" x14ac:dyDescent="0.25">
      <c r="F2273" s="76" t="s">
        <v>150</v>
      </c>
      <c r="G2273" s="77" t="s">
        <v>191</v>
      </c>
      <c r="H2273" s="77" t="s">
        <v>153</v>
      </c>
      <c r="I2273" s="86">
        <v>41733</v>
      </c>
      <c r="J2273" s="78">
        <v>1334</v>
      </c>
      <c r="U2273" s="132" t="s">
        <v>154</v>
      </c>
      <c r="V2273" s="132" t="s">
        <v>284</v>
      </c>
      <c r="W2273" s="132" t="s">
        <v>267</v>
      </c>
      <c r="X2273" s="133">
        <v>41876</v>
      </c>
      <c r="Y2273" s="134">
        <v>750</v>
      </c>
    </row>
    <row r="2274" spans="6:25" x14ac:dyDescent="0.25">
      <c r="F2274" s="76" t="s">
        <v>150</v>
      </c>
      <c r="G2274" s="77" t="s">
        <v>191</v>
      </c>
      <c r="H2274" s="77" t="s">
        <v>153</v>
      </c>
      <c r="I2274" s="86">
        <v>41736</v>
      </c>
      <c r="J2274" s="78">
        <v>284</v>
      </c>
      <c r="U2274" s="132" t="s">
        <v>154</v>
      </c>
      <c r="V2274" s="132" t="s">
        <v>284</v>
      </c>
      <c r="W2274" s="132" t="s">
        <v>267</v>
      </c>
      <c r="X2274" s="133">
        <v>41876</v>
      </c>
      <c r="Y2274" s="134">
        <v>579</v>
      </c>
    </row>
    <row r="2275" spans="6:25" x14ac:dyDescent="0.25">
      <c r="F2275" s="76" t="s">
        <v>150</v>
      </c>
      <c r="G2275" s="77" t="s">
        <v>191</v>
      </c>
      <c r="H2275" s="77" t="s">
        <v>153</v>
      </c>
      <c r="I2275" s="86">
        <v>41738</v>
      </c>
      <c r="J2275" s="78">
        <v>747</v>
      </c>
      <c r="U2275" s="132" t="s">
        <v>154</v>
      </c>
      <c r="V2275" s="132" t="s">
        <v>284</v>
      </c>
      <c r="W2275" s="132" t="s">
        <v>267</v>
      </c>
      <c r="X2275" s="133">
        <v>41877</v>
      </c>
      <c r="Y2275" s="134">
        <v>312</v>
      </c>
    </row>
    <row r="2276" spans="6:25" x14ac:dyDescent="0.25">
      <c r="F2276" s="76" t="s">
        <v>150</v>
      </c>
      <c r="G2276" s="77" t="s">
        <v>191</v>
      </c>
      <c r="H2276" s="77" t="s">
        <v>153</v>
      </c>
      <c r="I2276" s="86">
        <v>41740</v>
      </c>
      <c r="J2276" s="78">
        <v>768</v>
      </c>
      <c r="U2276" s="132" t="s">
        <v>154</v>
      </c>
      <c r="V2276" s="132" t="s">
        <v>284</v>
      </c>
      <c r="W2276" s="132" t="s">
        <v>267</v>
      </c>
      <c r="X2276" s="133">
        <v>41877</v>
      </c>
      <c r="Y2276" s="134">
        <v>726</v>
      </c>
    </row>
    <row r="2277" spans="6:25" x14ac:dyDescent="0.25">
      <c r="F2277" s="76" t="s">
        <v>150</v>
      </c>
      <c r="G2277" s="77" t="s">
        <v>191</v>
      </c>
      <c r="H2277" s="77" t="s">
        <v>153</v>
      </c>
      <c r="I2277" s="86">
        <v>41745</v>
      </c>
      <c r="J2277" s="78">
        <v>1190</v>
      </c>
      <c r="U2277" s="132" t="s">
        <v>154</v>
      </c>
      <c r="V2277" s="132" t="s">
        <v>284</v>
      </c>
      <c r="W2277" s="132" t="s">
        <v>267</v>
      </c>
      <c r="X2277" s="133">
        <v>41878</v>
      </c>
      <c r="Y2277" s="134">
        <v>338</v>
      </c>
    </row>
    <row r="2278" spans="6:25" x14ac:dyDescent="0.25">
      <c r="F2278" s="76" t="s">
        <v>150</v>
      </c>
      <c r="G2278" s="77" t="s">
        <v>191</v>
      </c>
      <c r="H2278" s="77" t="s">
        <v>153</v>
      </c>
      <c r="I2278" s="86">
        <v>41747</v>
      </c>
      <c r="J2278" s="78">
        <v>773</v>
      </c>
      <c r="U2278" s="132" t="s">
        <v>154</v>
      </c>
      <c r="V2278" s="132" t="s">
        <v>284</v>
      </c>
      <c r="W2278" s="132" t="s">
        <v>267</v>
      </c>
      <c r="X2278" s="133">
        <v>41878</v>
      </c>
      <c r="Y2278" s="134">
        <v>705</v>
      </c>
    </row>
    <row r="2279" spans="6:25" x14ac:dyDescent="0.25">
      <c r="F2279" s="76" t="s">
        <v>150</v>
      </c>
      <c r="G2279" s="77" t="s">
        <v>191</v>
      </c>
      <c r="H2279" s="77" t="s">
        <v>153</v>
      </c>
      <c r="I2279" s="86">
        <v>41751</v>
      </c>
      <c r="J2279" s="78">
        <v>782</v>
      </c>
      <c r="U2279" s="132" t="s">
        <v>154</v>
      </c>
      <c r="V2279" s="132" t="s">
        <v>284</v>
      </c>
      <c r="W2279" s="132" t="s">
        <v>267</v>
      </c>
      <c r="X2279" s="133">
        <v>41879</v>
      </c>
      <c r="Y2279" s="134">
        <v>402</v>
      </c>
    </row>
    <row r="2280" spans="6:25" x14ac:dyDescent="0.25">
      <c r="F2280" s="76" t="s">
        <v>150</v>
      </c>
      <c r="G2280" s="77" t="s">
        <v>191</v>
      </c>
      <c r="H2280" s="77" t="s">
        <v>153</v>
      </c>
      <c r="I2280" s="86">
        <v>41753</v>
      </c>
      <c r="J2280" s="78">
        <v>790</v>
      </c>
      <c r="U2280" s="132" t="s">
        <v>154</v>
      </c>
      <c r="V2280" s="132" t="s">
        <v>284</v>
      </c>
      <c r="W2280" s="132" t="s">
        <v>267</v>
      </c>
      <c r="X2280" s="133">
        <v>41880</v>
      </c>
      <c r="Y2280" s="134">
        <v>298</v>
      </c>
    </row>
    <row r="2281" spans="6:25" x14ac:dyDescent="0.25">
      <c r="F2281" s="76" t="s">
        <v>150</v>
      </c>
      <c r="G2281" s="77" t="s">
        <v>191</v>
      </c>
      <c r="H2281" s="77" t="s">
        <v>153</v>
      </c>
      <c r="I2281" s="86">
        <v>41757</v>
      </c>
      <c r="J2281" s="78">
        <v>800</v>
      </c>
      <c r="U2281" s="132" t="s">
        <v>154</v>
      </c>
      <c r="V2281" s="132" t="s">
        <v>284</v>
      </c>
      <c r="W2281" s="132" t="s">
        <v>267</v>
      </c>
      <c r="X2281" s="133">
        <v>41880</v>
      </c>
      <c r="Y2281" s="134">
        <v>720</v>
      </c>
    </row>
    <row r="2282" spans="6:25" x14ac:dyDescent="0.25">
      <c r="F2282" s="76" t="s">
        <v>150</v>
      </c>
      <c r="G2282" s="77" t="s">
        <v>191</v>
      </c>
      <c r="H2282" s="77" t="s">
        <v>153</v>
      </c>
      <c r="I2282" s="86">
        <v>41759</v>
      </c>
      <c r="J2282" s="78">
        <v>1036</v>
      </c>
      <c r="U2282" s="132" t="s">
        <v>154</v>
      </c>
      <c r="V2282" s="132" t="s">
        <v>284</v>
      </c>
      <c r="W2282" s="132" t="s">
        <v>267</v>
      </c>
      <c r="X2282" s="133">
        <v>41884</v>
      </c>
      <c r="Y2282" s="134">
        <v>719</v>
      </c>
    </row>
    <row r="2283" spans="6:25" x14ac:dyDescent="0.25">
      <c r="F2283" s="76" t="s">
        <v>150</v>
      </c>
      <c r="G2283" s="77" t="s">
        <v>191</v>
      </c>
      <c r="H2283" s="77" t="s">
        <v>153</v>
      </c>
      <c r="I2283" s="86">
        <v>41761</v>
      </c>
      <c r="J2283" s="78">
        <v>550</v>
      </c>
      <c r="U2283" s="132" t="s">
        <v>154</v>
      </c>
      <c r="V2283" s="132" t="s">
        <v>284</v>
      </c>
      <c r="W2283" s="132" t="s">
        <v>267</v>
      </c>
      <c r="X2283" s="133">
        <v>41884</v>
      </c>
      <c r="Y2283" s="134">
        <v>330</v>
      </c>
    </row>
    <row r="2284" spans="6:25" x14ac:dyDescent="0.25">
      <c r="F2284" s="76" t="s">
        <v>150</v>
      </c>
      <c r="G2284" s="77" t="s">
        <v>191</v>
      </c>
      <c r="H2284" s="77" t="s">
        <v>153</v>
      </c>
      <c r="I2284" s="86">
        <v>41773</v>
      </c>
      <c r="J2284" s="78">
        <v>1311</v>
      </c>
      <c r="U2284" s="132" t="s">
        <v>154</v>
      </c>
      <c r="V2284" s="132" t="s">
        <v>284</v>
      </c>
      <c r="W2284" s="132" t="s">
        <v>267</v>
      </c>
      <c r="X2284" s="133">
        <v>41885</v>
      </c>
      <c r="Y2284" s="134">
        <v>350</v>
      </c>
    </row>
    <row r="2285" spans="6:25" x14ac:dyDescent="0.25">
      <c r="F2285" s="76" t="s">
        <v>150</v>
      </c>
      <c r="G2285" s="77" t="s">
        <v>191</v>
      </c>
      <c r="H2285" s="77" t="s">
        <v>153</v>
      </c>
      <c r="I2285" s="86">
        <v>41774</v>
      </c>
      <c r="J2285" s="78">
        <v>1323</v>
      </c>
      <c r="U2285" s="132" t="s">
        <v>154</v>
      </c>
      <c r="V2285" s="132" t="s">
        <v>284</v>
      </c>
      <c r="W2285" s="132" t="s">
        <v>267</v>
      </c>
      <c r="X2285" s="133">
        <v>41886</v>
      </c>
      <c r="Y2285" s="134">
        <v>618</v>
      </c>
    </row>
    <row r="2286" spans="6:25" x14ac:dyDescent="0.25">
      <c r="F2286" s="76" t="s">
        <v>150</v>
      </c>
      <c r="G2286" s="77" t="s">
        <v>191</v>
      </c>
      <c r="H2286" s="77" t="s">
        <v>153</v>
      </c>
      <c r="I2286" s="86">
        <v>41775</v>
      </c>
      <c r="J2286" s="78">
        <v>720</v>
      </c>
      <c r="U2286" s="132" t="s">
        <v>154</v>
      </c>
      <c r="V2286" s="132" t="s">
        <v>284</v>
      </c>
      <c r="W2286" s="132" t="s">
        <v>267</v>
      </c>
      <c r="X2286" s="133">
        <v>41887</v>
      </c>
      <c r="Y2286" s="134">
        <v>850</v>
      </c>
    </row>
    <row r="2287" spans="6:25" x14ac:dyDescent="0.25">
      <c r="F2287" s="76" t="s">
        <v>150</v>
      </c>
      <c r="G2287" s="77" t="s">
        <v>191</v>
      </c>
      <c r="H2287" s="77" t="s">
        <v>153</v>
      </c>
      <c r="I2287" s="86">
        <v>41775</v>
      </c>
      <c r="J2287" s="78">
        <v>480</v>
      </c>
      <c r="U2287" s="132" t="s">
        <v>154</v>
      </c>
      <c r="V2287" s="132" t="s">
        <v>284</v>
      </c>
      <c r="W2287" s="132" t="s">
        <v>267</v>
      </c>
      <c r="X2287" s="133">
        <v>41888</v>
      </c>
      <c r="Y2287" s="134">
        <v>694</v>
      </c>
    </row>
    <row r="2288" spans="6:25" x14ac:dyDescent="0.25">
      <c r="F2288" s="76" t="s">
        <v>150</v>
      </c>
      <c r="G2288" s="77" t="s">
        <v>191</v>
      </c>
      <c r="H2288" s="77" t="s">
        <v>153</v>
      </c>
      <c r="I2288" s="86">
        <v>41776</v>
      </c>
      <c r="J2288" s="78">
        <v>961</v>
      </c>
      <c r="U2288" s="132" t="s">
        <v>154</v>
      </c>
      <c r="V2288" s="132" t="s">
        <v>284</v>
      </c>
      <c r="W2288" s="132" t="s">
        <v>267</v>
      </c>
      <c r="X2288" s="133">
        <v>41888</v>
      </c>
      <c r="Y2288" s="134">
        <v>861</v>
      </c>
    </row>
    <row r="2289" spans="6:25" x14ac:dyDescent="0.25">
      <c r="F2289" s="76" t="s">
        <v>150</v>
      </c>
      <c r="G2289" s="77" t="s">
        <v>191</v>
      </c>
      <c r="H2289" s="77" t="s">
        <v>153</v>
      </c>
      <c r="I2289" s="86">
        <v>41777</v>
      </c>
      <c r="J2289" s="78">
        <v>887</v>
      </c>
      <c r="U2289" s="132" t="s">
        <v>154</v>
      </c>
      <c r="V2289" s="132" t="s">
        <v>284</v>
      </c>
      <c r="W2289" s="132" t="s">
        <v>267</v>
      </c>
      <c r="X2289" s="133">
        <v>41889</v>
      </c>
      <c r="Y2289" s="134">
        <v>729</v>
      </c>
    </row>
    <row r="2290" spans="6:25" x14ac:dyDescent="0.25">
      <c r="F2290" s="76" t="s">
        <v>150</v>
      </c>
      <c r="G2290" s="77" t="s">
        <v>191</v>
      </c>
      <c r="H2290" s="77" t="s">
        <v>153</v>
      </c>
      <c r="I2290" s="86">
        <v>41779</v>
      </c>
      <c r="J2290" s="78">
        <v>732</v>
      </c>
      <c r="U2290" s="132" t="s">
        <v>154</v>
      </c>
      <c r="V2290" s="132" t="s">
        <v>284</v>
      </c>
      <c r="W2290" s="132" t="s">
        <v>267</v>
      </c>
      <c r="X2290" s="133">
        <v>41890</v>
      </c>
      <c r="Y2290" s="134">
        <v>777</v>
      </c>
    </row>
    <row r="2291" spans="6:25" x14ac:dyDescent="0.25">
      <c r="F2291" s="76" t="s">
        <v>150</v>
      </c>
      <c r="G2291" s="77" t="s">
        <v>191</v>
      </c>
      <c r="H2291" s="77" t="s">
        <v>153</v>
      </c>
      <c r="I2291" s="86">
        <v>41779</v>
      </c>
      <c r="J2291" s="78">
        <v>1202</v>
      </c>
      <c r="U2291" s="132" t="s">
        <v>154</v>
      </c>
      <c r="V2291" s="132" t="s">
        <v>284</v>
      </c>
      <c r="W2291" s="132" t="s">
        <v>267</v>
      </c>
      <c r="X2291" s="133">
        <v>41890</v>
      </c>
      <c r="Y2291" s="134">
        <v>616</v>
      </c>
    </row>
    <row r="2292" spans="6:25" x14ac:dyDescent="0.25">
      <c r="F2292" s="76" t="s">
        <v>150</v>
      </c>
      <c r="G2292" s="77" t="s">
        <v>191</v>
      </c>
      <c r="H2292" s="77" t="s">
        <v>153</v>
      </c>
      <c r="I2292" s="86">
        <v>41795</v>
      </c>
      <c r="J2292" s="78">
        <v>392</v>
      </c>
      <c r="U2292" s="132" t="s">
        <v>154</v>
      </c>
      <c r="V2292" s="132" t="s">
        <v>284</v>
      </c>
      <c r="W2292" s="132" t="s">
        <v>267</v>
      </c>
      <c r="X2292" s="133">
        <v>41891</v>
      </c>
      <c r="Y2292" s="134">
        <v>540</v>
      </c>
    </row>
    <row r="2293" spans="6:25" x14ac:dyDescent="0.25">
      <c r="F2293" s="76" t="s">
        <v>150</v>
      </c>
      <c r="G2293" s="77" t="s">
        <v>191</v>
      </c>
      <c r="H2293" s="77" t="s">
        <v>153</v>
      </c>
      <c r="I2293" s="86">
        <v>41800</v>
      </c>
      <c r="J2293" s="78">
        <v>1133</v>
      </c>
      <c r="U2293" s="132" t="s">
        <v>154</v>
      </c>
      <c r="V2293" s="132" t="s">
        <v>284</v>
      </c>
      <c r="W2293" s="132" t="s">
        <v>267</v>
      </c>
      <c r="X2293" s="133">
        <v>41892</v>
      </c>
      <c r="Y2293" s="134">
        <v>789</v>
      </c>
    </row>
    <row r="2294" spans="6:25" x14ac:dyDescent="0.25">
      <c r="F2294" s="76" t="s">
        <v>150</v>
      </c>
      <c r="G2294" s="77" t="s">
        <v>191</v>
      </c>
      <c r="H2294" s="77" t="s">
        <v>153</v>
      </c>
      <c r="I2294" s="86">
        <v>41802</v>
      </c>
      <c r="J2294" s="78">
        <v>1176</v>
      </c>
      <c r="U2294" s="132" t="s">
        <v>154</v>
      </c>
      <c r="V2294" s="132" t="s">
        <v>284</v>
      </c>
      <c r="W2294" s="132" t="s">
        <v>267</v>
      </c>
      <c r="X2294" s="133">
        <v>41893</v>
      </c>
      <c r="Y2294" s="134">
        <v>857</v>
      </c>
    </row>
    <row r="2295" spans="6:25" x14ac:dyDescent="0.25">
      <c r="F2295" s="76" t="s">
        <v>150</v>
      </c>
      <c r="G2295" s="77" t="s">
        <v>191</v>
      </c>
      <c r="H2295" s="77" t="s">
        <v>153</v>
      </c>
      <c r="I2295" s="86">
        <v>41808</v>
      </c>
      <c r="J2295" s="78">
        <v>1007</v>
      </c>
      <c r="U2295" s="132" t="s">
        <v>154</v>
      </c>
      <c r="V2295" s="132" t="s">
        <v>284</v>
      </c>
      <c r="W2295" s="132" t="s">
        <v>267</v>
      </c>
      <c r="X2295" s="133">
        <v>41899</v>
      </c>
      <c r="Y2295" s="134">
        <v>590</v>
      </c>
    </row>
    <row r="2296" spans="6:25" x14ac:dyDescent="0.25">
      <c r="F2296" s="76" t="s">
        <v>150</v>
      </c>
      <c r="G2296" s="77" t="s">
        <v>191</v>
      </c>
      <c r="H2296" s="77" t="s">
        <v>153</v>
      </c>
      <c r="I2296" s="86">
        <v>41810</v>
      </c>
      <c r="J2296" s="78">
        <v>1054</v>
      </c>
      <c r="U2296" s="132" t="s">
        <v>154</v>
      </c>
      <c r="V2296" s="132" t="s">
        <v>284</v>
      </c>
      <c r="W2296" s="132" t="s">
        <v>267</v>
      </c>
      <c r="X2296" s="133">
        <v>41900</v>
      </c>
      <c r="Y2296" s="134">
        <v>921</v>
      </c>
    </row>
    <row r="2297" spans="6:25" x14ac:dyDescent="0.25">
      <c r="F2297" s="76" t="s">
        <v>150</v>
      </c>
      <c r="G2297" s="77" t="s">
        <v>191</v>
      </c>
      <c r="H2297" s="77" t="s">
        <v>153</v>
      </c>
      <c r="I2297" s="86">
        <v>41813</v>
      </c>
      <c r="J2297" s="78">
        <v>1025</v>
      </c>
      <c r="U2297" s="132" t="s">
        <v>154</v>
      </c>
      <c r="V2297" s="132" t="s">
        <v>284</v>
      </c>
      <c r="W2297" s="132" t="s">
        <v>267</v>
      </c>
      <c r="X2297" s="133">
        <v>41901</v>
      </c>
      <c r="Y2297" s="134">
        <v>495</v>
      </c>
    </row>
    <row r="2298" spans="6:25" x14ac:dyDescent="0.25">
      <c r="F2298" s="76" t="s">
        <v>150</v>
      </c>
      <c r="G2298" s="77" t="s">
        <v>191</v>
      </c>
      <c r="H2298" s="77" t="s">
        <v>153</v>
      </c>
      <c r="I2298" s="86">
        <v>41815</v>
      </c>
      <c r="J2298" s="78">
        <v>603</v>
      </c>
      <c r="U2298" s="132" t="s">
        <v>154</v>
      </c>
      <c r="V2298" s="132" t="s">
        <v>284</v>
      </c>
      <c r="W2298" s="132" t="s">
        <v>267</v>
      </c>
      <c r="X2298" s="133">
        <v>41901</v>
      </c>
      <c r="Y2298" s="134">
        <v>699</v>
      </c>
    </row>
    <row r="2299" spans="6:25" x14ac:dyDescent="0.25">
      <c r="F2299" s="76" t="s">
        <v>150</v>
      </c>
      <c r="G2299" s="77" t="s">
        <v>191</v>
      </c>
      <c r="H2299" s="77" t="s">
        <v>153</v>
      </c>
      <c r="I2299" s="86">
        <v>41816</v>
      </c>
      <c r="J2299" s="78">
        <v>730</v>
      </c>
      <c r="U2299" s="132" t="s">
        <v>154</v>
      </c>
      <c r="V2299" s="132" t="s">
        <v>284</v>
      </c>
      <c r="W2299" s="132" t="s">
        <v>267</v>
      </c>
      <c r="X2299" s="133">
        <v>41904</v>
      </c>
      <c r="Y2299" s="134">
        <v>977</v>
      </c>
    </row>
    <row r="2300" spans="6:25" x14ac:dyDescent="0.25">
      <c r="F2300" s="76" t="s">
        <v>150</v>
      </c>
      <c r="G2300" s="77" t="s">
        <v>191</v>
      </c>
      <c r="H2300" s="77" t="s">
        <v>153</v>
      </c>
      <c r="I2300" s="86">
        <v>41818</v>
      </c>
      <c r="J2300" s="78">
        <v>1404</v>
      </c>
      <c r="U2300" s="132" t="s">
        <v>154</v>
      </c>
      <c r="V2300" s="132" t="s">
        <v>284</v>
      </c>
      <c r="W2300" s="132" t="s">
        <v>267</v>
      </c>
      <c r="X2300" s="133">
        <v>41905</v>
      </c>
      <c r="Y2300" s="134">
        <v>881</v>
      </c>
    </row>
    <row r="2301" spans="6:25" x14ac:dyDescent="0.25">
      <c r="F2301" s="76" t="s">
        <v>150</v>
      </c>
      <c r="G2301" s="77" t="s">
        <v>191</v>
      </c>
      <c r="H2301" s="77" t="s">
        <v>153</v>
      </c>
      <c r="I2301" s="86">
        <v>41819</v>
      </c>
      <c r="J2301" s="78">
        <v>752</v>
      </c>
      <c r="U2301" s="132" t="s">
        <v>154</v>
      </c>
      <c r="V2301" s="132" t="s">
        <v>284</v>
      </c>
      <c r="W2301" s="132" t="s">
        <v>267</v>
      </c>
      <c r="X2301" s="133">
        <v>41906</v>
      </c>
      <c r="Y2301" s="134">
        <v>857</v>
      </c>
    </row>
    <row r="2302" spans="6:25" x14ac:dyDescent="0.25">
      <c r="F2302" s="76" t="s">
        <v>150</v>
      </c>
      <c r="G2302" s="77" t="s">
        <v>191</v>
      </c>
      <c r="H2302" s="77" t="s">
        <v>153</v>
      </c>
      <c r="I2302" s="86">
        <v>41821</v>
      </c>
      <c r="J2302" s="78">
        <v>1158</v>
      </c>
      <c r="U2302" s="132" t="s">
        <v>154</v>
      </c>
      <c r="V2302" s="132" t="s">
        <v>284</v>
      </c>
      <c r="W2302" s="132" t="s">
        <v>267</v>
      </c>
      <c r="X2302" s="133">
        <v>41907</v>
      </c>
      <c r="Y2302" s="134">
        <v>680</v>
      </c>
    </row>
    <row r="2303" spans="6:25" x14ac:dyDescent="0.25">
      <c r="F2303" s="76" t="s">
        <v>150</v>
      </c>
      <c r="G2303" s="77" t="s">
        <v>191</v>
      </c>
      <c r="H2303" s="77" t="s">
        <v>153</v>
      </c>
      <c r="I2303" s="86">
        <v>41823</v>
      </c>
      <c r="J2303" s="78">
        <v>625</v>
      </c>
      <c r="U2303" s="132" t="s">
        <v>154</v>
      </c>
      <c r="V2303" s="132" t="s">
        <v>284</v>
      </c>
      <c r="W2303" s="132" t="s">
        <v>267</v>
      </c>
      <c r="X2303" s="133">
        <v>41908</v>
      </c>
      <c r="Y2303" s="134">
        <v>592</v>
      </c>
    </row>
    <row r="2304" spans="6:25" x14ac:dyDescent="0.25">
      <c r="F2304" s="76" t="s">
        <v>150</v>
      </c>
      <c r="G2304" s="77" t="s">
        <v>191</v>
      </c>
      <c r="H2304" s="77" t="s">
        <v>153</v>
      </c>
      <c r="I2304" s="86">
        <v>41827</v>
      </c>
      <c r="J2304" s="78">
        <v>863</v>
      </c>
      <c r="U2304" s="132" t="s">
        <v>154</v>
      </c>
      <c r="V2304" s="132" t="s">
        <v>284</v>
      </c>
      <c r="W2304" s="132" t="s">
        <v>267</v>
      </c>
      <c r="X2304" s="133">
        <v>41911</v>
      </c>
      <c r="Y2304" s="134">
        <v>676</v>
      </c>
    </row>
    <row r="2305" spans="6:25" x14ac:dyDescent="0.25">
      <c r="F2305" s="76" t="s">
        <v>150</v>
      </c>
      <c r="G2305" s="77" t="s">
        <v>191</v>
      </c>
      <c r="H2305" s="77" t="s">
        <v>153</v>
      </c>
      <c r="I2305" s="86">
        <v>41829</v>
      </c>
      <c r="J2305" s="78">
        <v>1075</v>
      </c>
      <c r="U2305" s="132" t="s">
        <v>154</v>
      </c>
      <c r="V2305" s="132" t="s">
        <v>284</v>
      </c>
      <c r="W2305" s="132" t="s">
        <v>267</v>
      </c>
      <c r="X2305" s="133">
        <v>41912</v>
      </c>
      <c r="Y2305" s="134">
        <v>782</v>
      </c>
    </row>
    <row r="2306" spans="6:25" x14ac:dyDescent="0.25">
      <c r="F2306" s="76" t="s">
        <v>150</v>
      </c>
      <c r="G2306" s="77" t="s">
        <v>191</v>
      </c>
      <c r="H2306" s="77" t="s">
        <v>153</v>
      </c>
      <c r="I2306" s="86">
        <v>41831</v>
      </c>
      <c r="J2306" s="78">
        <v>990</v>
      </c>
      <c r="U2306" s="132" t="s">
        <v>154</v>
      </c>
      <c r="V2306" s="132" t="s">
        <v>284</v>
      </c>
      <c r="W2306" s="132" t="s">
        <v>267</v>
      </c>
      <c r="X2306" s="133">
        <v>41913</v>
      </c>
      <c r="Y2306" s="134">
        <v>651</v>
      </c>
    </row>
    <row r="2307" spans="6:25" x14ac:dyDescent="0.25">
      <c r="F2307" s="76" t="s">
        <v>150</v>
      </c>
      <c r="G2307" s="77" t="s">
        <v>191</v>
      </c>
      <c r="H2307" s="77" t="s">
        <v>153</v>
      </c>
      <c r="I2307" s="86">
        <v>41833</v>
      </c>
      <c r="J2307" s="78">
        <v>717</v>
      </c>
      <c r="U2307" s="132" t="s">
        <v>154</v>
      </c>
      <c r="V2307" s="132" t="s">
        <v>284</v>
      </c>
      <c r="W2307" s="132" t="s">
        <v>267</v>
      </c>
      <c r="X2307" s="133">
        <v>41914</v>
      </c>
      <c r="Y2307" s="134">
        <v>845</v>
      </c>
    </row>
    <row r="2308" spans="6:25" x14ac:dyDescent="0.25">
      <c r="F2308" s="76" t="s">
        <v>150</v>
      </c>
      <c r="G2308" s="77" t="s">
        <v>191</v>
      </c>
      <c r="H2308" s="77" t="s">
        <v>153</v>
      </c>
      <c r="I2308" s="86">
        <v>41834</v>
      </c>
      <c r="J2308" s="78">
        <v>930</v>
      </c>
      <c r="U2308" s="132" t="s">
        <v>154</v>
      </c>
      <c r="V2308" s="132" t="s">
        <v>284</v>
      </c>
      <c r="W2308" s="132" t="s">
        <v>267</v>
      </c>
      <c r="X2308" s="133">
        <v>41915</v>
      </c>
      <c r="Y2308" s="134">
        <v>690</v>
      </c>
    </row>
    <row r="2309" spans="6:25" x14ac:dyDescent="0.25">
      <c r="F2309" s="76" t="s">
        <v>150</v>
      </c>
      <c r="G2309" s="77" t="s">
        <v>191</v>
      </c>
      <c r="H2309" s="77" t="s">
        <v>153</v>
      </c>
      <c r="I2309" s="86">
        <v>41835</v>
      </c>
      <c r="J2309" s="78">
        <v>586</v>
      </c>
      <c r="U2309" s="132" t="s">
        <v>154</v>
      </c>
      <c r="V2309" s="132" t="s">
        <v>284</v>
      </c>
      <c r="W2309" s="132" t="s">
        <v>267</v>
      </c>
      <c r="X2309" s="133">
        <v>41915</v>
      </c>
      <c r="Y2309" s="134">
        <v>303</v>
      </c>
    </row>
    <row r="2310" spans="6:25" x14ac:dyDescent="0.25">
      <c r="F2310" s="76" t="s">
        <v>150</v>
      </c>
      <c r="G2310" s="77" t="s">
        <v>191</v>
      </c>
      <c r="H2310" s="77" t="s">
        <v>153</v>
      </c>
      <c r="I2310" s="86">
        <v>41836</v>
      </c>
      <c r="J2310" s="78">
        <v>885</v>
      </c>
      <c r="U2310" s="132" t="s">
        <v>154</v>
      </c>
      <c r="V2310" s="132" t="s">
        <v>284</v>
      </c>
      <c r="W2310" s="132" t="s">
        <v>267</v>
      </c>
      <c r="X2310" s="133">
        <v>41918</v>
      </c>
      <c r="Y2310" s="134">
        <v>728</v>
      </c>
    </row>
    <row r="2311" spans="6:25" x14ac:dyDescent="0.25">
      <c r="F2311" s="76" t="s">
        <v>150</v>
      </c>
      <c r="G2311" s="77" t="s">
        <v>191</v>
      </c>
      <c r="H2311" s="77" t="s">
        <v>153</v>
      </c>
      <c r="I2311" s="86">
        <v>41842</v>
      </c>
      <c r="J2311" s="78">
        <v>834</v>
      </c>
      <c r="U2311" s="132" t="s">
        <v>154</v>
      </c>
      <c r="V2311" s="132" t="s">
        <v>284</v>
      </c>
      <c r="W2311" s="132" t="s">
        <v>267</v>
      </c>
      <c r="X2311" s="133">
        <v>41919</v>
      </c>
      <c r="Y2311" s="134">
        <v>648</v>
      </c>
    </row>
    <row r="2312" spans="6:25" x14ac:dyDescent="0.25">
      <c r="F2312" s="76" t="s">
        <v>150</v>
      </c>
      <c r="G2312" s="77" t="s">
        <v>191</v>
      </c>
      <c r="H2312" s="77" t="s">
        <v>153</v>
      </c>
      <c r="I2312" s="86">
        <v>41843</v>
      </c>
      <c r="J2312" s="78">
        <v>549</v>
      </c>
      <c r="U2312" s="132" t="s">
        <v>154</v>
      </c>
      <c r="V2312" s="132" t="s">
        <v>284</v>
      </c>
      <c r="W2312" s="132" t="s">
        <v>267</v>
      </c>
      <c r="X2312" s="133">
        <v>41919</v>
      </c>
      <c r="Y2312" s="134">
        <v>300</v>
      </c>
    </row>
    <row r="2313" spans="6:25" x14ac:dyDescent="0.25">
      <c r="F2313" s="76" t="s">
        <v>150</v>
      </c>
      <c r="G2313" s="77" t="s">
        <v>191</v>
      </c>
      <c r="H2313" s="77" t="s">
        <v>153</v>
      </c>
      <c r="I2313" s="86">
        <v>41845</v>
      </c>
      <c r="J2313" s="78">
        <v>1237</v>
      </c>
      <c r="U2313" s="132" t="s">
        <v>154</v>
      </c>
      <c r="V2313" s="132" t="s">
        <v>284</v>
      </c>
      <c r="W2313" s="132" t="s">
        <v>267</v>
      </c>
      <c r="X2313" s="133">
        <v>41928</v>
      </c>
      <c r="Y2313" s="134">
        <v>597</v>
      </c>
    </row>
    <row r="2314" spans="6:25" x14ac:dyDescent="0.25">
      <c r="F2314" s="76" t="s">
        <v>150</v>
      </c>
      <c r="G2314" s="77" t="s">
        <v>191</v>
      </c>
      <c r="H2314" s="77" t="s">
        <v>153</v>
      </c>
      <c r="I2314" s="86">
        <v>41848</v>
      </c>
      <c r="J2314" s="78">
        <v>1331</v>
      </c>
      <c r="U2314" s="132" t="s">
        <v>154</v>
      </c>
      <c r="V2314" s="132" t="s">
        <v>284</v>
      </c>
      <c r="W2314" s="132" t="s">
        <v>267</v>
      </c>
      <c r="X2314" s="133">
        <v>41929</v>
      </c>
      <c r="Y2314" s="134">
        <v>630</v>
      </c>
    </row>
    <row r="2315" spans="6:25" x14ac:dyDescent="0.25">
      <c r="F2315" s="76" t="s">
        <v>150</v>
      </c>
      <c r="G2315" s="77" t="s">
        <v>191</v>
      </c>
      <c r="H2315" s="77" t="s">
        <v>153</v>
      </c>
      <c r="I2315" s="86">
        <v>41849</v>
      </c>
      <c r="J2315" s="78">
        <v>730</v>
      </c>
      <c r="U2315" s="132" t="s">
        <v>154</v>
      </c>
      <c r="V2315" s="132" t="s">
        <v>284</v>
      </c>
      <c r="W2315" s="132" t="s">
        <v>267</v>
      </c>
      <c r="X2315" s="133">
        <v>41932</v>
      </c>
      <c r="Y2315" s="134">
        <v>935</v>
      </c>
    </row>
    <row r="2316" spans="6:25" x14ac:dyDescent="0.25">
      <c r="F2316" s="76" t="s">
        <v>150</v>
      </c>
      <c r="G2316" s="77" t="s">
        <v>191</v>
      </c>
      <c r="H2316" s="77" t="s">
        <v>153</v>
      </c>
      <c r="I2316" s="86">
        <v>41853</v>
      </c>
      <c r="J2316" s="78">
        <v>546</v>
      </c>
      <c r="U2316" s="132" t="s">
        <v>154</v>
      </c>
      <c r="V2316" s="132" t="s">
        <v>284</v>
      </c>
      <c r="W2316" s="132" t="s">
        <v>267</v>
      </c>
      <c r="X2316" s="133">
        <v>41933</v>
      </c>
      <c r="Y2316" s="134">
        <v>930</v>
      </c>
    </row>
    <row r="2317" spans="6:25" x14ac:dyDescent="0.25">
      <c r="F2317" s="76" t="s">
        <v>150</v>
      </c>
      <c r="G2317" s="77" t="s">
        <v>191</v>
      </c>
      <c r="H2317" s="77" t="s">
        <v>153</v>
      </c>
      <c r="I2317" s="86">
        <v>41855</v>
      </c>
      <c r="J2317" s="78">
        <v>783</v>
      </c>
      <c r="U2317" s="132" t="s">
        <v>154</v>
      </c>
      <c r="V2317" s="132" t="s">
        <v>284</v>
      </c>
      <c r="W2317" s="132" t="s">
        <v>267</v>
      </c>
      <c r="X2317" s="133">
        <v>41934</v>
      </c>
      <c r="Y2317" s="134">
        <v>770</v>
      </c>
    </row>
    <row r="2318" spans="6:25" x14ac:dyDescent="0.25">
      <c r="F2318" s="76" t="s">
        <v>150</v>
      </c>
      <c r="G2318" s="77" t="s">
        <v>191</v>
      </c>
      <c r="H2318" s="77" t="s">
        <v>153</v>
      </c>
      <c r="I2318" s="86">
        <v>41857</v>
      </c>
      <c r="J2318" s="78">
        <v>879</v>
      </c>
      <c r="U2318" s="132" t="s">
        <v>154</v>
      </c>
      <c r="V2318" s="132" t="s">
        <v>284</v>
      </c>
      <c r="W2318" s="132" t="s">
        <v>267</v>
      </c>
      <c r="X2318" s="133">
        <v>41935</v>
      </c>
      <c r="Y2318" s="134">
        <v>996</v>
      </c>
    </row>
    <row r="2319" spans="6:25" x14ac:dyDescent="0.25">
      <c r="F2319" s="76" t="s">
        <v>150</v>
      </c>
      <c r="G2319" s="77" t="s">
        <v>191</v>
      </c>
      <c r="H2319" s="77" t="s">
        <v>153</v>
      </c>
      <c r="I2319" s="86">
        <v>41858</v>
      </c>
      <c r="J2319" s="78">
        <v>845</v>
      </c>
      <c r="U2319" s="132" t="s">
        <v>154</v>
      </c>
      <c r="V2319" s="132" t="s">
        <v>284</v>
      </c>
      <c r="W2319" s="132" t="s">
        <v>267</v>
      </c>
      <c r="X2319" s="133">
        <v>41936</v>
      </c>
      <c r="Y2319" s="134">
        <v>879</v>
      </c>
    </row>
    <row r="2320" spans="6:25" x14ac:dyDescent="0.25">
      <c r="F2320" s="76" t="s">
        <v>150</v>
      </c>
      <c r="G2320" s="77" t="s">
        <v>191</v>
      </c>
      <c r="H2320" s="77" t="s">
        <v>153</v>
      </c>
      <c r="I2320" s="86">
        <v>41860</v>
      </c>
      <c r="J2320" s="78">
        <v>1191</v>
      </c>
      <c r="U2320" s="132" t="s">
        <v>154</v>
      </c>
      <c r="V2320" s="132" t="s">
        <v>284</v>
      </c>
      <c r="W2320" s="132" t="s">
        <v>267</v>
      </c>
      <c r="X2320" s="133">
        <v>41937</v>
      </c>
      <c r="Y2320" s="134">
        <v>720</v>
      </c>
    </row>
    <row r="2321" spans="6:25" x14ac:dyDescent="0.25">
      <c r="F2321" s="76" t="s">
        <v>150</v>
      </c>
      <c r="G2321" s="77" t="s">
        <v>191</v>
      </c>
      <c r="H2321" s="77" t="s">
        <v>153</v>
      </c>
      <c r="I2321" s="86">
        <v>41861</v>
      </c>
      <c r="J2321" s="78">
        <v>842</v>
      </c>
      <c r="U2321" s="132" t="s">
        <v>154</v>
      </c>
      <c r="V2321" s="132" t="s">
        <v>284</v>
      </c>
      <c r="W2321" s="132" t="s">
        <v>267</v>
      </c>
      <c r="X2321" s="133">
        <v>41937</v>
      </c>
      <c r="Y2321" s="134">
        <v>666</v>
      </c>
    </row>
    <row r="2322" spans="6:25" x14ac:dyDescent="0.25">
      <c r="F2322" s="76" t="s">
        <v>150</v>
      </c>
      <c r="G2322" s="77" t="s">
        <v>191</v>
      </c>
      <c r="H2322" s="77" t="s">
        <v>153</v>
      </c>
      <c r="I2322" s="86">
        <v>41863</v>
      </c>
      <c r="J2322" s="78">
        <v>843</v>
      </c>
      <c r="U2322" s="132" t="s">
        <v>154</v>
      </c>
      <c r="V2322" s="132" t="s">
        <v>284</v>
      </c>
      <c r="W2322" s="132" t="s">
        <v>267</v>
      </c>
      <c r="X2322" s="133">
        <v>41938</v>
      </c>
      <c r="Y2322" s="134">
        <v>494</v>
      </c>
    </row>
    <row r="2323" spans="6:25" x14ac:dyDescent="0.25">
      <c r="F2323" s="76" t="s">
        <v>150</v>
      </c>
      <c r="G2323" s="77" t="s">
        <v>191</v>
      </c>
      <c r="H2323" s="77" t="s">
        <v>153</v>
      </c>
      <c r="I2323" s="86">
        <v>41864</v>
      </c>
      <c r="J2323" s="78">
        <v>1022</v>
      </c>
      <c r="U2323" s="132" t="s">
        <v>154</v>
      </c>
      <c r="V2323" s="132" t="s">
        <v>284</v>
      </c>
      <c r="W2323" s="132" t="s">
        <v>267</v>
      </c>
      <c r="X2323" s="133">
        <v>41939</v>
      </c>
      <c r="Y2323" s="134">
        <v>714</v>
      </c>
    </row>
    <row r="2324" spans="6:25" x14ac:dyDescent="0.25">
      <c r="F2324" s="76" t="s">
        <v>150</v>
      </c>
      <c r="G2324" s="77" t="s">
        <v>191</v>
      </c>
      <c r="H2324" s="77" t="s">
        <v>153</v>
      </c>
      <c r="I2324" s="86">
        <v>41865</v>
      </c>
      <c r="J2324" s="78">
        <v>880</v>
      </c>
      <c r="U2324" s="132" t="s">
        <v>154</v>
      </c>
      <c r="V2324" s="132" t="s">
        <v>284</v>
      </c>
      <c r="W2324" s="132" t="s">
        <v>267</v>
      </c>
      <c r="X2324" s="133">
        <v>41940</v>
      </c>
      <c r="Y2324" s="134">
        <v>341</v>
      </c>
    </row>
    <row r="2325" spans="6:25" x14ac:dyDescent="0.25">
      <c r="F2325" s="76" t="s">
        <v>150</v>
      </c>
      <c r="G2325" s="77" t="s">
        <v>191</v>
      </c>
      <c r="H2325" s="77" t="s">
        <v>153</v>
      </c>
      <c r="I2325" s="86">
        <v>41867</v>
      </c>
      <c r="J2325" s="78">
        <v>641</v>
      </c>
      <c r="U2325" s="132" t="s">
        <v>154</v>
      </c>
      <c r="V2325" s="132" t="s">
        <v>284</v>
      </c>
      <c r="W2325" s="132" t="s">
        <v>267</v>
      </c>
      <c r="X2325" s="133">
        <v>41940</v>
      </c>
      <c r="Y2325" s="134">
        <v>803</v>
      </c>
    </row>
    <row r="2326" spans="6:25" x14ac:dyDescent="0.25">
      <c r="F2326" s="76" t="s">
        <v>150</v>
      </c>
      <c r="G2326" s="77" t="s">
        <v>191</v>
      </c>
      <c r="H2326" s="77" t="s">
        <v>153</v>
      </c>
      <c r="I2326" s="86">
        <v>41868</v>
      </c>
      <c r="J2326" s="78">
        <v>861</v>
      </c>
      <c r="U2326" s="132" t="s">
        <v>154</v>
      </c>
      <c r="V2326" s="132" t="s">
        <v>284</v>
      </c>
      <c r="W2326" s="132" t="s">
        <v>267</v>
      </c>
      <c r="X2326" s="133">
        <v>41941</v>
      </c>
      <c r="Y2326" s="134">
        <v>560</v>
      </c>
    </row>
    <row r="2327" spans="6:25" x14ac:dyDescent="0.25">
      <c r="F2327" s="76" t="s">
        <v>150</v>
      </c>
      <c r="G2327" s="77" t="s">
        <v>191</v>
      </c>
      <c r="H2327" s="77" t="s">
        <v>153</v>
      </c>
      <c r="I2327" s="86">
        <v>41869</v>
      </c>
      <c r="J2327" s="78">
        <v>650</v>
      </c>
      <c r="U2327" s="132" t="s">
        <v>154</v>
      </c>
      <c r="V2327" s="132" t="s">
        <v>284</v>
      </c>
      <c r="W2327" s="132" t="s">
        <v>267</v>
      </c>
      <c r="X2327" s="133">
        <v>41942</v>
      </c>
      <c r="Y2327" s="134">
        <v>801</v>
      </c>
    </row>
    <row r="2328" spans="6:25" x14ac:dyDescent="0.25">
      <c r="F2328" s="76" t="s">
        <v>150</v>
      </c>
      <c r="G2328" s="77" t="s">
        <v>191</v>
      </c>
      <c r="H2328" s="77" t="s">
        <v>153</v>
      </c>
      <c r="I2328" s="86">
        <v>41871</v>
      </c>
      <c r="J2328" s="78">
        <v>1386</v>
      </c>
      <c r="U2328" s="132" t="s">
        <v>154</v>
      </c>
      <c r="V2328" s="132" t="s">
        <v>284</v>
      </c>
      <c r="W2328" s="132" t="s">
        <v>267</v>
      </c>
      <c r="X2328" s="133">
        <v>41942</v>
      </c>
      <c r="Y2328" s="134">
        <v>365</v>
      </c>
    </row>
    <row r="2329" spans="6:25" x14ac:dyDescent="0.25">
      <c r="F2329" s="76" t="s">
        <v>150</v>
      </c>
      <c r="G2329" s="77" t="s">
        <v>191</v>
      </c>
      <c r="H2329" s="77" t="s">
        <v>153</v>
      </c>
      <c r="I2329" s="86">
        <v>41873</v>
      </c>
      <c r="J2329" s="78">
        <v>707</v>
      </c>
      <c r="U2329" s="132" t="s">
        <v>154</v>
      </c>
      <c r="V2329" s="132" t="s">
        <v>284</v>
      </c>
      <c r="W2329" s="132" t="s">
        <v>267</v>
      </c>
      <c r="X2329" s="133">
        <v>41943</v>
      </c>
      <c r="Y2329" s="134">
        <v>550</v>
      </c>
    </row>
    <row r="2330" spans="6:25" x14ac:dyDescent="0.25">
      <c r="F2330" s="76" t="s">
        <v>150</v>
      </c>
      <c r="G2330" s="77" t="s">
        <v>191</v>
      </c>
      <c r="H2330" s="77" t="s">
        <v>153</v>
      </c>
      <c r="I2330" s="86">
        <v>41877</v>
      </c>
      <c r="J2330" s="78">
        <v>901</v>
      </c>
      <c r="U2330" s="132" t="s">
        <v>154</v>
      </c>
      <c r="V2330" s="132" t="s">
        <v>284</v>
      </c>
      <c r="W2330" s="132" t="s">
        <v>267</v>
      </c>
      <c r="X2330" s="133">
        <v>41990</v>
      </c>
      <c r="Y2330" s="134">
        <v>854</v>
      </c>
    </row>
    <row r="2331" spans="6:25" x14ac:dyDescent="0.25">
      <c r="F2331" s="76" t="s">
        <v>150</v>
      </c>
      <c r="G2331" s="77" t="s">
        <v>191</v>
      </c>
      <c r="H2331" s="77" t="s">
        <v>153</v>
      </c>
      <c r="I2331" s="86">
        <v>41878</v>
      </c>
      <c r="J2331" s="78">
        <v>614</v>
      </c>
      <c r="U2331" s="132" t="s">
        <v>154</v>
      </c>
      <c r="V2331" s="132" t="s">
        <v>284</v>
      </c>
      <c r="W2331" s="132" t="s">
        <v>267</v>
      </c>
      <c r="X2331" s="133">
        <v>41991</v>
      </c>
      <c r="Y2331" s="134">
        <v>703</v>
      </c>
    </row>
    <row r="2332" spans="6:25" x14ac:dyDescent="0.25">
      <c r="F2332" s="76" t="s">
        <v>150</v>
      </c>
      <c r="G2332" s="77" t="s">
        <v>191</v>
      </c>
      <c r="H2332" s="77" t="s">
        <v>153</v>
      </c>
      <c r="I2332" s="86">
        <v>41887</v>
      </c>
      <c r="J2332" s="78">
        <v>835</v>
      </c>
      <c r="U2332" s="132" t="s">
        <v>154</v>
      </c>
      <c r="V2332" s="132" t="s">
        <v>285</v>
      </c>
      <c r="W2332" s="132" t="s">
        <v>267</v>
      </c>
      <c r="X2332" s="133">
        <v>41795</v>
      </c>
      <c r="Y2332" s="134">
        <v>729</v>
      </c>
    </row>
    <row r="2333" spans="6:25" x14ac:dyDescent="0.25">
      <c r="F2333" s="76" t="s">
        <v>150</v>
      </c>
      <c r="G2333" s="77" t="s">
        <v>191</v>
      </c>
      <c r="H2333" s="77" t="s">
        <v>153</v>
      </c>
      <c r="I2333" s="86">
        <v>41890</v>
      </c>
      <c r="J2333" s="78">
        <v>543</v>
      </c>
      <c r="U2333" s="132" t="s">
        <v>154</v>
      </c>
      <c r="V2333" s="132" t="s">
        <v>285</v>
      </c>
      <c r="W2333" s="132" t="s">
        <v>267</v>
      </c>
      <c r="X2333" s="133">
        <v>41796</v>
      </c>
      <c r="Y2333" s="134">
        <v>1030</v>
      </c>
    </row>
    <row r="2334" spans="6:25" x14ac:dyDescent="0.25">
      <c r="F2334" s="76" t="s">
        <v>150</v>
      </c>
      <c r="G2334" s="77" t="s">
        <v>191</v>
      </c>
      <c r="H2334" s="77" t="s">
        <v>153</v>
      </c>
      <c r="I2334" s="86">
        <v>41891</v>
      </c>
      <c r="J2334" s="78">
        <v>617</v>
      </c>
      <c r="U2334" s="132" t="s">
        <v>154</v>
      </c>
      <c r="V2334" s="132" t="s">
        <v>285</v>
      </c>
      <c r="W2334" s="132" t="s">
        <v>267</v>
      </c>
      <c r="X2334" s="133">
        <v>41821</v>
      </c>
      <c r="Y2334" s="134">
        <v>1178</v>
      </c>
    </row>
    <row r="2335" spans="6:25" x14ac:dyDescent="0.25">
      <c r="F2335" s="76" t="s">
        <v>150</v>
      </c>
      <c r="G2335" s="77" t="s">
        <v>191</v>
      </c>
      <c r="H2335" s="77" t="s">
        <v>153</v>
      </c>
      <c r="I2335" s="86">
        <v>41893</v>
      </c>
      <c r="J2335" s="78">
        <v>874</v>
      </c>
      <c r="U2335" s="132" t="s">
        <v>154</v>
      </c>
      <c r="V2335" s="132" t="s">
        <v>285</v>
      </c>
      <c r="W2335" s="132" t="s">
        <v>267</v>
      </c>
      <c r="X2335" s="133">
        <v>41822</v>
      </c>
      <c r="Y2335" s="134">
        <v>480</v>
      </c>
    </row>
    <row r="2336" spans="6:25" x14ac:dyDescent="0.25">
      <c r="F2336" s="76" t="s">
        <v>150</v>
      </c>
      <c r="G2336" s="77" t="s">
        <v>191</v>
      </c>
      <c r="H2336" s="77" t="s">
        <v>153</v>
      </c>
      <c r="I2336" s="86">
        <v>41894</v>
      </c>
      <c r="J2336" s="78">
        <v>822</v>
      </c>
      <c r="U2336" s="132" t="s">
        <v>154</v>
      </c>
      <c r="V2336" s="132" t="s">
        <v>285</v>
      </c>
      <c r="W2336" s="132" t="s">
        <v>267</v>
      </c>
      <c r="X2336" s="133">
        <v>41823</v>
      </c>
      <c r="Y2336" s="134">
        <v>901</v>
      </c>
    </row>
    <row r="2337" spans="6:25" x14ac:dyDescent="0.25">
      <c r="F2337" s="76" t="s">
        <v>150</v>
      </c>
      <c r="G2337" s="77" t="s">
        <v>191</v>
      </c>
      <c r="H2337" s="77" t="s">
        <v>153</v>
      </c>
      <c r="I2337" s="86">
        <v>41897</v>
      </c>
      <c r="J2337" s="78">
        <v>985</v>
      </c>
      <c r="U2337" s="132" t="s">
        <v>154</v>
      </c>
      <c r="V2337" s="132" t="s">
        <v>285</v>
      </c>
      <c r="W2337" s="132" t="s">
        <v>267</v>
      </c>
      <c r="X2337" s="133">
        <v>41824</v>
      </c>
      <c r="Y2337" s="134">
        <v>888</v>
      </c>
    </row>
    <row r="2338" spans="6:25" x14ac:dyDescent="0.25">
      <c r="F2338" s="76" t="s">
        <v>150</v>
      </c>
      <c r="G2338" s="77" t="s">
        <v>191</v>
      </c>
      <c r="H2338" s="77" t="s">
        <v>153</v>
      </c>
      <c r="I2338" s="86">
        <v>41898</v>
      </c>
      <c r="J2338" s="78">
        <v>806</v>
      </c>
      <c r="U2338" s="132" t="s">
        <v>154</v>
      </c>
      <c r="V2338" s="132" t="s">
        <v>285</v>
      </c>
      <c r="W2338" s="132" t="s">
        <v>267</v>
      </c>
      <c r="X2338" s="133">
        <v>41826</v>
      </c>
      <c r="Y2338" s="134">
        <v>493</v>
      </c>
    </row>
    <row r="2339" spans="6:25" x14ac:dyDescent="0.25">
      <c r="F2339" s="76" t="s">
        <v>150</v>
      </c>
      <c r="G2339" s="77" t="s">
        <v>191</v>
      </c>
      <c r="H2339" s="77" t="s">
        <v>153</v>
      </c>
      <c r="I2339" s="86">
        <v>41900</v>
      </c>
      <c r="J2339" s="78">
        <v>1284</v>
      </c>
      <c r="U2339" s="132" t="s">
        <v>154</v>
      </c>
      <c r="V2339" s="132" t="s">
        <v>285</v>
      </c>
      <c r="W2339" s="132" t="s">
        <v>267</v>
      </c>
      <c r="X2339" s="133">
        <v>41826</v>
      </c>
      <c r="Y2339" s="134">
        <v>717</v>
      </c>
    </row>
    <row r="2340" spans="6:25" x14ac:dyDescent="0.25">
      <c r="F2340" s="76" t="s">
        <v>150</v>
      </c>
      <c r="G2340" s="77" t="s">
        <v>191</v>
      </c>
      <c r="H2340" s="77" t="s">
        <v>153</v>
      </c>
      <c r="I2340" s="86">
        <v>41905</v>
      </c>
      <c r="J2340" s="78">
        <v>988</v>
      </c>
      <c r="U2340" s="132" t="s">
        <v>154</v>
      </c>
      <c r="V2340" s="132" t="s">
        <v>285</v>
      </c>
      <c r="W2340" s="132" t="s">
        <v>267</v>
      </c>
      <c r="X2340" s="133">
        <v>41827</v>
      </c>
      <c r="Y2340" s="134">
        <v>1025</v>
      </c>
    </row>
    <row r="2341" spans="6:25" x14ac:dyDescent="0.25">
      <c r="F2341" s="76" t="s">
        <v>150</v>
      </c>
      <c r="G2341" s="77" t="s">
        <v>191</v>
      </c>
      <c r="H2341" s="77" t="s">
        <v>153</v>
      </c>
      <c r="I2341" s="86">
        <v>41907</v>
      </c>
      <c r="J2341" s="78">
        <v>804</v>
      </c>
      <c r="U2341" s="132" t="s">
        <v>154</v>
      </c>
      <c r="V2341" s="132" t="s">
        <v>285</v>
      </c>
      <c r="W2341" s="132" t="s">
        <v>267</v>
      </c>
      <c r="X2341" s="133">
        <v>41827</v>
      </c>
      <c r="Y2341" s="134">
        <v>466</v>
      </c>
    </row>
    <row r="2342" spans="6:25" x14ac:dyDescent="0.25">
      <c r="F2342" s="76" t="s">
        <v>150</v>
      </c>
      <c r="G2342" s="77" t="s">
        <v>191</v>
      </c>
      <c r="H2342" s="77" t="s">
        <v>153</v>
      </c>
      <c r="I2342" s="86">
        <v>41908</v>
      </c>
      <c r="J2342" s="78">
        <v>597</v>
      </c>
      <c r="U2342" s="132" t="s">
        <v>154</v>
      </c>
      <c r="V2342" s="132" t="s">
        <v>285</v>
      </c>
      <c r="W2342" s="132" t="s">
        <v>267</v>
      </c>
      <c r="X2342" s="133">
        <v>41828</v>
      </c>
      <c r="Y2342" s="134">
        <v>673</v>
      </c>
    </row>
    <row r="2343" spans="6:25" x14ac:dyDescent="0.25">
      <c r="F2343" s="76" t="s">
        <v>150</v>
      </c>
      <c r="G2343" s="77" t="s">
        <v>191</v>
      </c>
      <c r="H2343" s="77" t="s">
        <v>153</v>
      </c>
      <c r="I2343" s="86">
        <v>41912</v>
      </c>
      <c r="J2343" s="78">
        <v>1282</v>
      </c>
      <c r="U2343" s="132" t="s">
        <v>154</v>
      </c>
      <c r="V2343" s="132" t="s">
        <v>285</v>
      </c>
      <c r="W2343" s="132" t="s">
        <v>267</v>
      </c>
      <c r="X2343" s="133">
        <v>41829</v>
      </c>
      <c r="Y2343" s="134">
        <v>527</v>
      </c>
    </row>
    <row r="2344" spans="6:25" x14ac:dyDescent="0.25">
      <c r="F2344" s="76" t="s">
        <v>150</v>
      </c>
      <c r="G2344" s="77" t="s">
        <v>191</v>
      </c>
      <c r="H2344" s="77" t="s">
        <v>153</v>
      </c>
      <c r="I2344" s="86">
        <v>41913</v>
      </c>
      <c r="J2344" s="78">
        <v>875</v>
      </c>
      <c r="U2344" s="132" t="s">
        <v>154</v>
      </c>
      <c r="V2344" s="132" t="s">
        <v>285</v>
      </c>
      <c r="W2344" s="132" t="s">
        <v>267</v>
      </c>
      <c r="X2344" s="133">
        <v>41829</v>
      </c>
      <c r="Y2344" s="134">
        <v>587</v>
      </c>
    </row>
    <row r="2345" spans="6:25" x14ac:dyDescent="0.25">
      <c r="F2345" s="76" t="s">
        <v>150</v>
      </c>
      <c r="G2345" s="77" t="s">
        <v>191</v>
      </c>
      <c r="H2345" s="77" t="s">
        <v>153</v>
      </c>
      <c r="I2345" s="86">
        <v>41914</v>
      </c>
      <c r="J2345" s="78">
        <v>790</v>
      </c>
      <c r="U2345" s="132" t="s">
        <v>154</v>
      </c>
      <c r="V2345" s="132" t="s">
        <v>285</v>
      </c>
      <c r="W2345" s="132" t="s">
        <v>267</v>
      </c>
      <c r="X2345" s="133">
        <v>41830</v>
      </c>
      <c r="Y2345" s="134">
        <v>821</v>
      </c>
    </row>
    <row r="2346" spans="6:25" x14ac:dyDescent="0.25">
      <c r="F2346" s="76" t="s">
        <v>150</v>
      </c>
      <c r="G2346" s="77" t="s">
        <v>191</v>
      </c>
      <c r="H2346" s="77" t="s">
        <v>153</v>
      </c>
      <c r="I2346" s="86">
        <v>41918</v>
      </c>
      <c r="J2346" s="78">
        <v>597</v>
      </c>
      <c r="U2346" s="132" t="s">
        <v>154</v>
      </c>
      <c r="V2346" s="132" t="s">
        <v>285</v>
      </c>
      <c r="W2346" s="132" t="s">
        <v>267</v>
      </c>
      <c r="X2346" s="133">
        <v>41831</v>
      </c>
      <c r="Y2346" s="134">
        <v>1085</v>
      </c>
    </row>
    <row r="2347" spans="6:25" x14ac:dyDescent="0.25">
      <c r="F2347" s="76" t="s">
        <v>150</v>
      </c>
      <c r="G2347" s="77" t="s">
        <v>191</v>
      </c>
      <c r="H2347" s="77" t="s">
        <v>153</v>
      </c>
      <c r="I2347" s="86">
        <v>41919</v>
      </c>
      <c r="J2347" s="78">
        <v>719</v>
      </c>
      <c r="U2347" s="132" t="s">
        <v>154</v>
      </c>
      <c r="V2347" s="132" t="s">
        <v>285</v>
      </c>
      <c r="W2347" s="132" t="s">
        <v>267</v>
      </c>
      <c r="X2347" s="133">
        <v>41833</v>
      </c>
      <c r="Y2347" s="134">
        <v>542</v>
      </c>
    </row>
    <row r="2348" spans="6:25" x14ac:dyDescent="0.25">
      <c r="F2348" s="76" t="s">
        <v>150</v>
      </c>
      <c r="G2348" s="77" t="s">
        <v>191</v>
      </c>
      <c r="H2348" s="77" t="s">
        <v>153</v>
      </c>
      <c r="I2348" s="86">
        <v>41920</v>
      </c>
      <c r="J2348" s="78">
        <v>830</v>
      </c>
      <c r="U2348" s="132" t="s">
        <v>154</v>
      </c>
      <c r="V2348" s="132" t="s">
        <v>285</v>
      </c>
      <c r="W2348" s="132" t="s">
        <v>267</v>
      </c>
      <c r="X2348" s="133">
        <v>41834</v>
      </c>
      <c r="Y2348" s="134">
        <v>840</v>
      </c>
    </row>
    <row r="2349" spans="6:25" x14ac:dyDescent="0.25">
      <c r="F2349" s="76" t="s">
        <v>150</v>
      </c>
      <c r="G2349" s="77" t="s">
        <v>191</v>
      </c>
      <c r="H2349" s="77" t="s">
        <v>153</v>
      </c>
      <c r="I2349" s="86">
        <v>41922</v>
      </c>
      <c r="J2349" s="78">
        <v>1179</v>
      </c>
      <c r="U2349" s="132" t="s">
        <v>154</v>
      </c>
      <c r="V2349" s="132" t="s">
        <v>285</v>
      </c>
      <c r="W2349" s="132" t="s">
        <v>267</v>
      </c>
      <c r="X2349" s="133">
        <v>41835</v>
      </c>
      <c r="Y2349" s="134">
        <v>790</v>
      </c>
    </row>
    <row r="2350" spans="6:25" x14ac:dyDescent="0.25">
      <c r="F2350" s="76" t="s">
        <v>150</v>
      </c>
      <c r="G2350" s="77" t="s">
        <v>191</v>
      </c>
      <c r="H2350" s="77" t="s">
        <v>153</v>
      </c>
      <c r="I2350" s="86">
        <v>41925</v>
      </c>
      <c r="J2350" s="78">
        <v>470</v>
      </c>
      <c r="U2350" s="132" t="s">
        <v>154</v>
      </c>
      <c r="V2350" s="132" t="s">
        <v>285</v>
      </c>
      <c r="W2350" s="132" t="s">
        <v>267</v>
      </c>
      <c r="X2350" s="133">
        <v>41836</v>
      </c>
      <c r="Y2350" s="134">
        <v>875</v>
      </c>
    </row>
    <row r="2351" spans="6:25" x14ac:dyDescent="0.25">
      <c r="F2351" s="76" t="s">
        <v>150</v>
      </c>
      <c r="G2351" s="77" t="s">
        <v>191</v>
      </c>
      <c r="H2351" s="77" t="s">
        <v>153</v>
      </c>
      <c r="I2351" s="86">
        <v>41926</v>
      </c>
      <c r="J2351" s="78">
        <v>834</v>
      </c>
      <c r="U2351" s="132" t="s">
        <v>154</v>
      </c>
      <c r="V2351" s="132" t="s">
        <v>285</v>
      </c>
      <c r="W2351" s="132" t="s">
        <v>267</v>
      </c>
      <c r="X2351" s="133">
        <v>41836</v>
      </c>
      <c r="Y2351" s="134">
        <v>656</v>
      </c>
    </row>
    <row r="2352" spans="6:25" x14ac:dyDescent="0.25">
      <c r="F2352" s="76" t="s">
        <v>150</v>
      </c>
      <c r="G2352" s="77" t="s">
        <v>191</v>
      </c>
      <c r="H2352" s="77" t="s">
        <v>153</v>
      </c>
      <c r="I2352" s="86">
        <v>41927</v>
      </c>
      <c r="J2352" s="78">
        <v>917</v>
      </c>
      <c r="U2352" s="132" t="s">
        <v>154</v>
      </c>
      <c r="V2352" s="132" t="s">
        <v>285</v>
      </c>
      <c r="W2352" s="132" t="s">
        <v>267</v>
      </c>
      <c r="X2352" s="133">
        <v>41837</v>
      </c>
      <c r="Y2352" s="134">
        <v>905</v>
      </c>
    </row>
    <row r="2353" spans="6:25" x14ac:dyDescent="0.25">
      <c r="F2353" s="76" t="s">
        <v>150</v>
      </c>
      <c r="G2353" s="77" t="s">
        <v>191</v>
      </c>
      <c r="H2353" s="77" t="s">
        <v>153</v>
      </c>
      <c r="I2353" s="86">
        <v>41928</v>
      </c>
      <c r="J2353" s="78">
        <v>535</v>
      </c>
      <c r="U2353" s="132" t="s">
        <v>154</v>
      </c>
      <c r="V2353" s="132" t="s">
        <v>285</v>
      </c>
      <c r="W2353" s="132" t="s">
        <v>267</v>
      </c>
      <c r="X2353" s="133">
        <v>41838</v>
      </c>
      <c r="Y2353" s="134">
        <v>820</v>
      </c>
    </row>
    <row r="2354" spans="6:25" x14ac:dyDescent="0.25">
      <c r="F2354" s="76" t="s">
        <v>150</v>
      </c>
      <c r="G2354" s="77" t="s">
        <v>191</v>
      </c>
      <c r="H2354" s="77" t="s">
        <v>153</v>
      </c>
      <c r="I2354" s="86">
        <v>41929</v>
      </c>
      <c r="J2354" s="78">
        <v>1242</v>
      </c>
      <c r="U2354" s="132" t="s">
        <v>154</v>
      </c>
      <c r="V2354" s="132" t="s">
        <v>285</v>
      </c>
      <c r="W2354" s="132" t="s">
        <v>267</v>
      </c>
      <c r="X2354" s="133">
        <v>41839</v>
      </c>
      <c r="Y2354" s="134">
        <v>903</v>
      </c>
    </row>
    <row r="2355" spans="6:25" x14ac:dyDescent="0.25">
      <c r="F2355" s="76" t="s">
        <v>150</v>
      </c>
      <c r="G2355" s="77" t="s">
        <v>191</v>
      </c>
      <c r="H2355" s="77" t="s">
        <v>153</v>
      </c>
      <c r="I2355" s="86">
        <v>41932</v>
      </c>
      <c r="J2355" s="78">
        <v>524</v>
      </c>
      <c r="U2355" s="132" t="s">
        <v>154</v>
      </c>
      <c r="V2355" s="132" t="s">
        <v>285</v>
      </c>
      <c r="W2355" s="132" t="s">
        <v>267</v>
      </c>
      <c r="X2355" s="133">
        <v>41840</v>
      </c>
      <c r="Y2355" s="134">
        <v>499</v>
      </c>
    </row>
    <row r="2356" spans="6:25" x14ac:dyDescent="0.25">
      <c r="F2356" s="76" t="s">
        <v>150</v>
      </c>
      <c r="G2356" s="77" t="s">
        <v>191</v>
      </c>
      <c r="H2356" s="77" t="s">
        <v>153</v>
      </c>
      <c r="I2356" s="86">
        <v>41933</v>
      </c>
      <c r="J2356" s="78">
        <v>1228</v>
      </c>
      <c r="U2356" s="132" t="s">
        <v>154</v>
      </c>
      <c r="V2356" s="132" t="s">
        <v>285</v>
      </c>
      <c r="W2356" s="132" t="s">
        <v>267</v>
      </c>
      <c r="X2356" s="133">
        <v>41840</v>
      </c>
      <c r="Y2356" s="134">
        <v>239</v>
      </c>
    </row>
    <row r="2357" spans="6:25" x14ac:dyDescent="0.25">
      <c r="F2357" s="76" t="s">
        <v>150</v>
      </c>
      <c r="G2357" s="77" t="s">
        <v>191</v>
      </c>
      <c r="H2357" s="77" t="s">
        <v>153</v>
      </c>
      <c r="I2357" s="86">
        <v>41934</v>
      </c>
      <c r="J2357" s="78">
        <v>503</v>
      </c>
      <c r="U2357" s="132" t="s">
        <v>154</v>
      </c>
      <c r="V2357" s="132" t="s">
        <v>285</v>
      </c>
      <c r="W2357" s="132" t="s">
        <v>267</v>
      </c>
      <c r="X2357" s="133">
        <v>41840</v>
      </c>
      <c r="Y2357" s="134">
        <v>701</v>
      </c>
    </row>
    <row r="2358" spans="6:25" x14ac:dyDescent="0.25">
      <c r="F2358" s="76" t="s">
        <v>150</v>
      </c>
      <c r="G2358" s="77" t="s">
        <v>191</v>
      </c>
      <c r="H2358" s="77" t="s">
        <v>153</v>
      </c>
      <c r="I2358" s="86">
        <v>41935</v>
      </c>
      <c r="J2358" s="78">
        <v>1115</v>
      </c>
      <c r="U2358" s="132" t="s">
        <v>154</v>
      </c>
      <c r="V2358" s="132" t="s">
        <v>285</v>
      </c>
      <c r="W2358" s="132" t="s">
        <v>267</v>
      </c>
      <c r="X2358" s="133">
        <v>41841</v>
      </c>
      <c r="Y2358" s="134">
        <v>1025</v>
      </c>
    </row>
    <row r="2359" spans="6:25" x14ac:dyDescent="0.25">
      <c r="F2359" s="76" t="s">
        <v>150</v>
      </c>
      <c r="G2359" s="77" t="s">
        <v>191</v>
      </c>
      <c r="H2359" s="77" t="s">
        <v>153</v>
      </c>
      <c r="I2359" s="86">
        <v>41936</v>
      </c>
      <c r="J2359" s="78">
        <v>446</v>
      </c>
      <c r="U2359" s="132" t="s">
        <v>154</v>
      </c>
      <c r="V2359" s="132" t="s">
        <v>285</v>
      </c>
      <c r="W2359" s="132" t="s">
        <v>267</v>
      </c>
      <c r="X2359" s="133">
        <v>41842</v>
      </c>
      <c r="Y2359" s="134">
        <v>855</v>
      </c>
    </row>
    <row r="2360" spans="6:25" x14ac:dyDescent="0.25">
      <c r="F2360" s="76" t="s">
        <v>150</v>
      </c>
      <c r="G2360" s="77" t="s">
        <v>191</v>
      </c>
      <c r="H2360" s="77" t="s">
        <v>153</v>
      </c>
      <c r="I2360" s="86">
        <v>41937</v>
      </c>
      <c r="J2360" s="78">
        <v>780</v>
      </c>
      <c r="U2360" s="132" t="s">
        <v>154</v>
      </c>
      <c r="V2360" s="132" t="s">
        <v>285</v>
      </c>
      <c r="W2360" s="132" t="s">
        <v>267</v>
      </c>
      <c r="X2360" s="133">
        <v>41843</v>
      </c>
      <c r="Y2360" s="134">
        <v>906</v>
      </c>
    </row>
    <row r="2361" spans="6:25" x14ac:dyDescent="0.25">
      <c r="F2361" s="76" t="s">
        <v>150</v>
      </c>
      <c r="G2361" s="77" t="s">
        <v>191</v>
      </c>
      <c r="H2361" s="77" t="s">
        <v>153</v>
      </c>
      <c r="I2361" s="86">
        <v>41938</v>
      </c>
      <c r="J2361" s="78">
        <v>1185</v>
      </c>
      <c r="U2361" s="132" t="s">
        <v>154</v>
      </c>
      <c r="V2361" s="132" t="s">
        <v>285</v>
      </c>
      <c r="W2361" s="132" t="s">
        <v>267</v>
      </c>
      <c r="X2361" s="133">
        <v>41849</v>
      </c>
      <c r="Y2361" s="134">
        <v>788</v>
      </c>
    </row>
    <row r="2362" spans="6:25" x14ac:dyDescent="0.25">
      <c r="F2362" s="76" t="s">
        <v>150</v>
      </c>
      <c r="G2362" s="77" t="s">
        <v>191</v>
      </c>
      <c r="H2362" s="77" t="s">
        <v>153</v>
      </c>
      <c r="I2362" s="86">
        <v>41940</v>
      </c>
      <c r="J2362" s="78">
        <v>687</v>
      </c>
      <c r="U2362" s="132" t="s">
        <v>154</v>
      </c>
      <c r="V2362" s="132" t="s">
        <v>285</v>
      </c>
      <c r="W2362" s="132" t="s">
        <v>267</v>
      </c>
      <c r="X2362" s="133">
        <v>41850</v>
      </c>
      <c r="Y2362" s="134">
        <v>855</v>
      </c>
    </row>
    <row r="2363" spans="6:25" x14ac:dyDescent="0.25">
      <c r="F2363" s="76" t="s">
        <v>150</v>
      </c>
      <c r="G2363" s="77" t="s">
        <v>191</v>
      </c>
      <c r="H2363" s="77" t="s">
        <v>153</v>
      </c>
      <c r="I2363" s="86">
        <v>41942</v>
      </c>
      <c r="J2363" s="78">
        <v>712</v>
      </c>
      <c r="U2363" s="132" t="s">
        <v>154</v>
      </c>
      <c r="V2363" s="132" t="s">
        <v>285</v>
      </c>
      <c r="W2363" s="132" t="s">
        <v>267</v>
      </c>
      <c r="X2363" s="133">
        <v>41851</v>
      </c>
      <c r="Y2363" s="134">
        <v>596</v>
      </c>
    </row>
    <row r="2364" spans="6:25" x14ac:dyDescent="0.25">
      <c r="F2364" s="76" t="s">
        <v>150</v>
      </c>
      <c r="G2364" s="77" t="s">
        <v>191</v>
      </c>
      <c r="H2364" s="77" t="s">
        <v>153</v>
      </c>
      <c r="I2364" s="86">
        <v>41944</v>
      </c>
      <c r="J2364" s="78">
        <v>859</v>
      </c>
      <c r="U2364" s="132" t="s">
        <v>154</v>
      </c>
      <c r="V2364" s="132" t="s">
        <v>285</v>
      </c>
      <c r="W2364" s="132" t="s">
        <v>267</v>
      </c>
      <c r="X2364" s="133">
        <v>41852</v>
      </c>
      <c r="Y2364" s="134">
        <v>831</v>
      </c>
    </row>
    <row r="2365" spans="6:25" x14ac:dyDescent="0.25">
      <c r="F2365" s="76" t="s">
        <v>150</v>
      </c>
      <c r="G2365" s="77" t="s">
        <v>191</v>
      </c>
      <c r="H2365" s="77" t="s">
        <v>153</v>
      </c>
      <c r="I2365" s="86">
        <v>41947</v>
      </c>
      <c r="J2365" s="78">
        <v>1105</v>
      </c>
      <c r="U2365" s="132" t="s">
        <v>154</v>
      </c>
      <c r="V2365" s="132" t="s">
        <v>285</v>
      </c>
      <c r="W2365" s="132" t="s">
        <v>267</v>
      </c>
      <c r="X2365" s="133">
        <v>41853</v>
      </c>
      <c r="Y2365" s="134">
        <v>636</v>
      </c>
    </row>
    <row r="2366" spans="6:25" x14ac:dyDescent="0.25">
      <c r="F2366" s="76" t="s">
        <v>150</v>
      </c>
      <c r="G2366" s="77" t="s">
        <v>191</v>
      </c>
      <c r="H2366" s="77" t="s">
        <v>153</v>
      </c>
      <c r="I2366" s="86">
        <v>41947</v>
      </c>
      <c r="J2366" s="78">
        <v>547</v>
      </c>
      <c r="U2366" s="132" t="s">
        <v>154</v>
      </c>
      <c r="V2366" s="132" t="s">
        <v>285</v>
      </c>
      <c r="W2366" s="132" t="s">
        <v>267</v>
      </c>
      <c r="X2366" s="133">
        <v>41853</v>
      </c>
      <c r="Y2366" s="134">
        <v>437</v>
      </c>
    </row>
    <row r="2367" spans="6:25" x14ac:dyDescent="0.25">
      <c r="F2367" s="76" t="s">
        <v>150</v>
      </c>
      <c r="G2367" s="77" t="s">
        <v>191</v>
      </c>
      <c r="H2367" s="77" t="s">
        <v>153</v>
      </c>
      <c r="I2367" s="86">
        <v>41950</v>
      </c>
      <c r="J2367" s="78">
        <v>777</v>
      </c>
      <c r="U2367" s="132" t="s">
        <v>154</v>
      </c>
      <c r="V2367" s="132" t="s">
        <v>285</v>
      </c>
      <c r="W2367" s="132" t="s">
        <v>267</v>
      </c>
      <c r="X2367" s="133">
        <v>41853</v>
      </c>
      <c r="Y2367" s="134">
        <v>425</v>
      </c>
    </row>
    <row r="2368" spans="6:25" x14ac:dyDescent="0.25">
      <c r="F2368" s="76" t="s">
        <v>150</v>
      </c>
      <c r="G2368" s="77" t="s">
        <v>191</v>
      </c>
      <c r="H2368" s="77" t="s">
        <v>153</v>
      </c>
      <c r="I2368" s="86">
        <v>41954</v>
      </c>
      <c r="J2368" s="78">
        <v>928</v>
      </c>
      <c r="U2368" s="132" t="s">
        <v>154</v>
      </c>
      <c r="V2368" s="132" t="s">
        <v>285</v>
      </c>
      <c r="W2368" s="132" t="s">
        <v>267</v>
      </c>
      <c r="X2368" s="133">
        <v>41854</v>
      </c>
      <c r="Y2368" s="134">
        <v>421</v>
      </c>
    </row>
    <row r="2369" spans="6:25" x14ac:dyDescent="0.25">
      <c r="F2369" s="76" t="s">
        <v>150</v>
      </c>
      <c r="G2369" s="77" t="s">
        <v>191</v>
      </c>
      <c r="H2369" s="77" t="s">
        <v>153</v>
      </c>
      <c r="I2369" s="86">
        <v>41956</v>
      </c>
      <c r="J2369" s="78">
        <v>1032</v>
      </c>
      <c r="U2369" s="132" t="s">
        <v>154</v>
      </c>
      <c r="V2369" s="132" t="s">
        <v>285</v>
      </c>
      <c r="W2369" s="132" t="s">
        <v>267</v>
      </c>
      <c r="X2369" s="133">
        <v>41854</v>
      </c>
      <c r="Y2369" s="134">
        <v>474</v>
      </c>
    </row>
    <row r="2370" spans="6:25" x14ac:dyDescent="0.25">
      <c r="F2370" s="76" t="s">
        <v>150</v>
      </c>
      <c r="G2370" s="77" t="s">
        <v>191</v>
      </c>
      <c r="H2370" s="77" t="s">
        <v>153</v>
      </c>
      <c r="I2370" s="86">
        <v>41996</v>
      </c>
      <c r="J2370" s="78">
        <v>653</v>
      </c>
      <c r="U2370" s="132" t="s">
        <v>154</v>
      </c>
      <c r="V2370" s="132" t="s">
        <v>285</v>
      </c>
      <c r="W2370" s="132" t="s">
        <v>267</v>
      </c>
      <c r="X2370" s="133">
        <v>41854</v>
      </c>
      <c r="Y2370" s="134">
        <v>518</v>
      </c>
    </row>
    <row r="2371" spans="6:25" x14ac:dyDescent="0.25">
      <c r="F2371" s="76" t="s">
        <v>150</v>
      </c>
      <c r="G2371" s="77" t="s">
        <v>191</v>
      </c>
      <c r="H2371" s="77" t="s">
        <v>153</v>
      </c>
      <c r="I2371" s="86">
        <v>41997</v>
      </c>
      <c r="J2371" s="78">
        <v>844</v>
      </c>
      <c r="U2371" s="132" t="s">
        <v>154</v>
      </c>
      <c r="V2371" s="132" t="s">
        <v>285</v>
      </c>
      <c r="W2371" s="132" t="s">
        <v>267</v>
      </c>
      <c r="X2371" s="133">
        <v>41855</v>
      </c>
      <c r="Y2371" s="134">
        <v>688</v>
      </c>
    </row>
    <row r="2372" spans="6:25" x14ac:dyDescent="0.25">
      <c r="F2372" s="76" t="s">
        <v>150</v>
      </c>
      <c r="G2372" s="77" t="s">
        <v>192</v>
      </c>
      <c r="H2372" s="77" t="s">
        <v>153</v>
      </c>
      <c r="I2372" s="86">
        <v>41799</v>
      </c>
      <c r="J2372" s="78">
        <v>857</v>
      </c>
      <c r="U2372" s="132" t="s">
        <v>154</v>
      </c>
      <c r="V2372" s="132" t="s">
        <v>285</v>
      </c>
      <c r="W2372" s="132" t="s">
        <v>267</v>
      </c>
      <c r="X2372" s="133">
        <v>41855</v>
      </c>
      <c r="Y2372" s="134">
        <v>802</v>
      </c>
    </row>
    <row r="2373" spans="6:25" x14ac:dyDescent="0.25">
      <c r="F2373" s="76" t="s">
        <v>150</v>
      </c>
      <c r="G2373" s="77" t="s">
        <v>192</v>
      </c>
      <c r="H2373" s="77" t="s">
        <v>153</v>
      </c>
      <c r="I2373" s="86">
        <v>41801</v>
      </c>
      <c r="J2373" s="78">
        <v>699</v>
      </c>
      <c r="U2373" s="132" t="s">
        <v>154</v>
      </c>
      <c r="V2373" s="132" t="s">
        <v>285</v>
      </c>
      <c r="W2373" s="132" t="s">
        <v>267</v>
      </c>
      <c r="X2373" s="133">
        <v>41856</v>
      </c>
      <c r="Y2373" s="134">
        <v>683</v>
      </c>
    </row>
    <row r="2374" spans="6:25" x14ac:dyDescent="0.25">
      <c r="F2374" s="76" t="s">
        <v>150</v>
      </c>
      <c r="G2374" s="77" t="s">
        <v>192</v>
      </c>
      <c r="H2374" s="77" t="s">
        <v>153</v>
      </c>
      <c r="I2374" s="86">
        <v>41802</v>
      </c>
      <c r="J2374" s="78">
        <v>929</v>
      </c>
      <c r="U2374" s="132" t="s">
        <v>154</v>
      </c>
      <c r="V2374" s="132" t="s">
        <v>285</v>
      </c>
      <c r="W2374" s="132" t="s">
        <v>267</v>
      </c>
      <c r="X2374" s="133">
        <v>41857</v>
      </c>
      <c r="Y2374" s="134">
        <v>575</v>
      </c>
    </row>
    <row r="2375" spans="6:25" x14ac:dyDescent="0.25">
      <c r="F2375" s="76" t="s">
        <v>150</v>
      </c>
      <c r="G2375" s="77" t="s">
        <v>192</v>
      </c>
      <c r="H2375" s="77" t="s">
        <v>153</v>
      </c>
      <c r="I2375" s="86">
        <v>41806</v>
      </c>
      <c r="J2375" s="78">
        <v>938</v>
      </c>
      <c r="U2375" s="132" t="s">
        <v>154</v>
      </c>
      <c r="V2375" s="132" t="s">
        <v>285</v>
      </c>
      <c r="W2375" s="132" t="s">
        <v>267</v>
      </c>
      <c r="X2375" s="133">
        <v>41858</v>
      </c>
      <c r="Y2375" s="134">
        <v>372</v>
      </c>
    </row>
    <row r="2376" spans="6:25" x14ac:dyDescent="0.25">
      <c r="F2376" s="76" t="s">
        <v>150</v>
      </c>
      <c r="G2376" s="77" t="s">
        <v>192</v>
      </c>
      <c r="H2376" s="77" t="s">
        <v>153</v>
      </c>
      <c r="I2376" s="86">
        <v>41807</v>
      </c>
      <c r="J2376" s="78">
        <v>449</v>
      </c>
      <c r="U2376" s="132" t="s">
        <v>154</v>
      </c>
      <c r="V2376" s="132" t="s">
        <v>285</v>
      </c>
      <c r="W2376" s="132" t="s">
        <v>267</v>
      </c>
      <c r="X2376" s="133">
        <v>41858</v>
      </c>
      <c r="Y2376" s="134">
        <v>874</v>
      </c>
    </row>
    <row r="2377" spans="6:25" x14ac:dyDescent="0.25">
      <c r="F2377" s="76" t="s">
        <v>150</v>
      </c>
      <c r="G2377" s="77" t="s">
        <v>192</v>
      </c>
      <c r="H2377" s="77" t="s">
        <v>153</v>
      </c>
      <c r="I2377" s="86">
        <v>41808</v>
      </c>
      <c r="J2377" s="78">
        <v>1086</v>
      </c>
      <c r="U2377" s="132" t="s">
        <v>154</v>
      </c>
      <c r="V2377" s="132" t="s">
        <v>285</v>
      </c>
      <c r="W2377" s="132" t="s">
        <v>267</v>
      </c>
      <c r="X2377" s="133">
        <v>41859</v>
      </c>
      <c r="Y2377" s="134">
        <v>681</v>
      </c>
    </row>
    <row r="2378" spans="6:25" x14ac:dyDescent="0.25">
      <c r="F2378" s="76" t="s">
        <v>150</v>
      </c>
      <c r="G2378" s="77" t="s">
        <v>192</v>
      </c>
      <c r="H2378" s="77" t="s">
        <v>153</v>
      </c>
      <c r="I2378" s="86">
        <v>41809</v>
      </c>
      <c r="J2378" s="78">
        <v>856</v>
      </c>
      <c r="U2378" s="132" t="s">
        <v>154</v>
      </c>
      <c r="V2378" s="132" t="s">
        <v>285</v>
      </c>
      <c r="W2378" s="132" t="s">
        <v>267</v>
      </c>
      <c r="X2378" s="133">
        <v>41860</v>
      </c>
      <c r="Y2378" s="134">
        <v>525</v>
      </c>
    </row>
    <row r="2379" spans="6:25" x14ac:dyDescent="0.25">
      <c r="F2379" s="76" t="s">
        <v>150</v>
      </c>
      <c r="G2379" s="77" t="s">
        <v>192</v>
      </c>
      <c r="H2379" s="77" t="s">
        <v>153</v>
      </c>
      <c r="I2379" s="86">
        <v>41813</v>
      </c>
      <c r="J2379" s="78">
        <v>836</v>
      </c>
      <c r="U2379" s="132" t="s">
        <v>154</v>
      </c>
      <c r="V2379" s="132" t="s">
        <v>285</v>
      </c>
      <c r="W2379" s="132" t="s">
        <v>267</v>
      </c>
      <c r="X2379" s="133">
        <v>41860</v>
      </c>
      <c r="Y2379" s="134">
        <v>761</v>
      </c>
    </row>
    <row r="2380" spans="6:25" x14ac:dyDescent="0.25">
      <c r="F2380" s="76" t="s">
        <v>150</v>
      </c>
      <c r="G2380" s="77" t="s">
        <v>192</v>
      </c>
      <c r="H2380" s="77" t="s">
        <v>153</v>
      </c>
      <c r="I2380" s="86">
        <v>41815</v>
      </c>
      <c r="J2380" s="78">
        <v>1087</v>
      </c>
      <c r="U2380" s="132" t="s">
        <v>154</v>
      </c>
      <c r="V2380" s="132" t="s">
        <v>285</v>
      </c>
      <c r="W2380" s="132" t="s">
        <v>267</v>
      </c>
      <c r="X2380" s="133">
        <v>41861</v>
      </c>
      <c r="Y2380" s="134">
        <v>714</v>
      </c>
    </row>
    <row r="2381" spans="6:25" x14ac:dyDescent="0.25">
      <c r="F2381" s="76" t="s">
        <v>150</v>
      </c>
      <c r="G2381" s="77" t="s">
        <v>192</v>
      </c>
      <c r="H2381" s="77" t="s">
        <v>153</v>
      </c>
      <c r="I2381" s="86">
        <v>41815</v>
      </c>
      <c r="J2381" s="78">
        <v>679</v>
      </c>
      <c r="U2381" s="132" t="s">
        <v>154</v>
      </c>
      <c r="V2381" s="132" t="s">
        <v>285</v>
      </c>
      <c r="W2381" s="132" t="s">
        <v>267</v>
      </c>
      <c r="X2381" s="133">
        <v>41862</v>
      </c>
      <c r="Y2381" s="134">
        <v>799</v>
      </c>
    </row>
    <row r="2382" spans="6:25" x14ac:dyDescent="0.25">
      <c r="F2382" s="76" t="s">
        <v>150</v>
      </c>
      <c r="G2382" s="77" t="s">
        <v>192</v>
      </c>
      <c r="H2382" s="77" t="s">
        <v>153</v>
      </c>
      <c r="I2382" s="86">
        <v>41816</v>
      </c>
      <c r="J2382" s="78">
        <v>974</v>
      </c>
      <c r="U2382" s="132" t="s">
        <v>154</v>
      </c>
      <c r="V2382" s="132" t="s">
        <v>285</v>
      </c>
      <c r="W2382" s="132" t="s">
        <v>267</v>
      </c>
      <c r="X2382" s="133">
        <v>41870</v>
      </c>
      <c r="Y2382" s="134">
        <v>497</v>
      </c>
    </row>
    <row r="2383" spans="6:25" x14ac:dyDescent="0.25">
      <c r="F2383" s="76" t="s">
        <v>150</v>
      </c>
      <c r="G2383" s="77" t="s">
        <v>192</v>
      </c>
      <c r="H2383" s="77" t="s">
        <v>153</v>
      </c>
      <c r="I2383" s="86">
        <v>41817</v>
      </c>
      <c r="J2383" s="78">
        <v>747</v>
      </c>
      <c r="U2383" s="132" t="s">
        <v>154</v>
      </c>
      <c r="V2383" s="132" t="s">
        <v>285</v>
      </c>
      <c r="W2383" s="132" t="s">
        <v>267</v>
      </c>
      <c r="X2383" s="133">
        <v>41871</v>
      </c>
      <c r="Y2383" s="134">
        <v>520</v>
      </c>
    </row>
    <row r="2384" spans="6:25" x14ac:dyDescent="0.25">
      <c r="F2384" s="76" t="s">
        <v>150</v>
      </c>
      <c r="G2384" s="77" t="s">
        <v>192</v>
      </c>
      <c r="H2384" s="77" t="s">
        <v>153</v>
      </c>
      <c r="I2384" s="86">
        <v>41817</v>
      </c>
      <c r="J2384" s="78">
        <v>487</v>
      </c>
      <c r="U2384" s="132" t="s">
        <v>154</v>
      </c>
      <c r="V2384" s="132" t="s">
        <v>285</v>
      </c>
      <c r="W2384" s="132" t="s">
        <v>267</v>
      </c>
      <c r="X2384" s="133">
        <v>41872</v>
      </c>
      <c r="Y2384" s="134">
        <v>805</v>
      </c>
    </row>
    <row r="2385" spans="6:25" x14ac:dyDescent="0.25">
      <c r="F2385" s="76" t="s">
        <v>150</v>
      </c>
      <c r="G2385" s="77" t="s">
        <v>192</v>
      </c>
      <c r="H2385" s="77" t="s">
        <v>153</v>
      </c>
      <c r="I2385" s="86">
        <v>41818</v>
      </c>
      <c r="J2385" s="78">
        <v>739</v>
      </c>
      <c r="U2385" s="132" t="s">
        <v>154</v>
      </c>
      <c r="V2385" s="132" t="s">
        <v>285</v>
      </c>
      <c r="W2385" s="132" t="s">
        <v>267</v>
      </c>
      <c r="X2385" s="133">
        <v>41873</v>
      </c>
      <c r="Y2385" s="134">
        <v>1164</v>
      </c>
    </row>
    <row r="2386" spans="6:25" x14ac:dyDescent="0.25">
      <c r="F2386" s="76" t="s">
        <v>150</v>
      </c>
      <c r="G2386" s="77" t="s">
        <v>192</v>
      </c>
      <c r="H2386" s="77" t="s">
        <v>153</v>
      </c>
      <c r="I2386" s="86">
        <v>41842</v>
      </c>
      <c r="J2386" s="78">
        <v>819</v>
      </c>
      <c r="U2386" s="132" t="s">
        <v>154</v>
      </c>
      <c r="V2386" s="132" t="s">
        <v>285</v>
      </c>
      <c r="W2386" s="132" t="s">
        <v>267</v>
      </c>
      <c r="X2386" s="133">
        <v>41876</v>
      </c>
      <c r="Y2386" s="134">
        <v>845</v>
      </c>
    </row>
    <row r="2387" spans="6:25" x14ac:dyDescent="0.25">
      <c r="F2387" s="76" t="s">
        <v>150</v>
      </c>
      <c r="G2387" s="77" t="s">
        <v>192</v>
      </c>
      <c r="H2387" s="77" t="s">
        <v>153</v>
      </c>
      <c r="I2387" s="86">
        <v>41843</v>
      </c>
      <c r="J2387" s="78">
        <v>1271</v>
      </c>
      <c r="U2387" s="132" t="s">
        <v>154</v>
      </c>
      <c r="V2387" s="132" t="s">
        <v>285</v>
      </c>
      <c r="W2387" s="132" t="s">
        <v>267</v>
      </c>
      <c r="X2387" s="133">
        <v>41877</v>
      </c>
      <c r="Y2387" s="134">
        <v>400</v>
      </c>
    </row>
    <row r="2388" spans="6:25" x14ac:dyDescent="0.25">
      <c r="F2388" s="76" t="s">
        <v>150</v>
      </c>
      <c r="G2388" s="77" t="s">
        <v>192</v>
      </c>
      <c r="H2388" s="77" t="s">
        <v>153</v>
      </c>
      <c r="I2388" s="86">
        <v>41845</v>
      </c>
      <c r="J2388" s="78">
        <v>486</v>
      </c>
      <c r="U2388" s="132" t="s">
        <v>154</v>
      </c>
      <c r="V2388" s="132" t="s">
        <v>285</v>
      </c>
      <c r="W2388" s="132" t="s">
        <v>267</v>
      </c>
      <c r="X2388" s="133">
        <v>41878</v>
      </c>
      <c r="Y2388" s="134">
        <v>345</v>
      </c>
    </row>
    <row r="2389" spans="6:25" x14ac:dyDescent="0.25">
      <c r="F2389" s="76" t="s">
        <v>150</v>
      </c>
      <c r="G2389" s="77" t="s">
        <v>192</v>
      </c>
      <c r="H2389" s="77" t="s">
        <v>153</v>
      </c>
      <c r="I2389" s="86">
        <v>41845</v>
      </c>
      <c r="J2389" s="78">
        <v>1129</v>
      </c>
      <c r="U2389" s="132" t="s">
        <v>154</v>
      </c>
      <c r="V2389" s="132" t="s">
        <v>285</v>
      </c>
      <c r="W2389" s="132" t="s">
        <v>267</v>
      </c>
      <c r="X2389" s="133">
        <v>41879</v>
      </c>
      <c r="Y2389" s="134">
        <v>721</v>
      </c>
    </row>
    <row r="2390" spans="6:25" x14ac:dyDescent="0.25">
      <c r="F2390" s="76" t="s">
        <v>150</v>
      </c>
      <c r="G2390" s="77" t="s">
        <v>192</v>
      </c>
      <c r="H2390" s="77" t="s">
        <v>153</v>
      </c>
      <c r="I2390" s="86">
        <v>41846</v>
      </c>
      <c r="J2390" s="78">
        <v>849</v>
      </c>
      <c r="U2390" s="132" t="s">
        <v>154</v>
      </c>
      <c r="V2390" s="132" t="s">
        <v>285</v>
      </c>
      <c r="W2390" s="132" t="s">
        <v>267</v>
      </c>
      <c r="X2390" s="133">
        <v>41879</v>
      </c>
      <c r="Y2390" s="134">
        <v>329</v>
      </c>
    </row>
    <row r="2391" spans="6:25" x14ac:dyDescent="0.25">
      <c r="F2391" s="76" t="s">
        <v>150</v>
      </c>
      <c r="G2391" s="77" t="s">
        <v>192</v>
      </c>
      <c r="H2391" s="77" t="s">
        <v>153</v>
      </c>
      <c r="I2391" s="86">
        <v>41847</v>
      </c>
      <c r="J2391" s="78">
        <v>699</v>
      </c>
      <c r="U2391" s="132" t="s">
        <v>154</v>
      </c>
      <c r="V2391" s="132" t="s">
        <v>285</v>
      </c>
      <c r="W2391" s="132" t="s">
        <v>267</v>
      </c>
      <c r="X2391" s="133">
        <v>41880</v>
      </c>
      <c r="Y2391" s="134">
        <v>696</v>
      </c>
    </row>
    <row r="2392" spans="6:25" x14ac:dyDescent="0.25">
      <c r="F2392" s="76" t="s">
        <v>150</v>
      </c>
      <c r="G2392" s="77" t="s">
        <v>192</v>
      </c>
      <c r="H2392" s="77" t="s">
        <v>153</v>
      </c>
      <c r="I2392" s="86">
        <v>41848</v>
      </c>
      <c r="J2392" s="78">
        <v>800</v>
      </c>
      <c r="U2392" s="132" t="s">
        <v>154</v>
      </c>
      <c r="V2392" s="132" t="s">
        <v>285</v>
      </c>
      <c r="W2392" s="132" t="s">
        <v>267</v>
      </c>
      <c r="X2392" s="133">
        <v>41884</v>
      </c>
      <c r="Y2392" s="134">
        <v>741</v>
      </c>
    </row>
    <row r="2393" spans="6:25" x14ac:dyDescent="0.25">
      <c r="F2393" s="76" t="s">
        <v>150</v>
      </c>
      <c r="G2393" s="77" t="s">
        <v>192</v>
      </c>
      <c r="H2393" s="77" t="s">
        <v>153</v>
      </c>
      <c r="I2393" s="86">
        <v>41849</v>
      </c>
      <c r="J2393" s="78">
        <v>825</v>
      </c>
      <c r="U2393" s="132" t="s">
        <v>154</v>
      </c>
      <c r="V2393" s="132" t="s">
        <v>285</v>
      </c>
      <c r="W2393" s="132" t="s">
        <v>267</v>
      </c>
      <c r="X2393" s="133">
        <v>41885</v>
      </c>
      <c r="Y2393" s="134">
        <v>826</v>
      </c>
    </row>
    <row r="2394" spans="6:25" x14ac:dyDescent="0.25">
      <c r="F2394" s="76" t="s">
        <v>150</v>
      </c>
      <c r="G2394" s="77" t="s">
        <v>192</v>
      </c>
      <c r="H2394" s="77" t="s">
        <v>153</v>
      </c>
      <c r="I2394" s="86">
        <v>41851</v>
      </c>
      <c r="J2394" s="78">
        <v>780</v>
      </c>
      <c r="U2394" s="132" t="s">
        <v>154</v>
      </c>
      <c r="V2394" s="132" t="s">
        <v>285</v>
      </c>
      <c r="W2394" s="132" t="s">
        <v>267</v>
      </c>
      <c r="X2394" s="133">
        <v>41885</v>
      </c>
      <c r="Y2394" s="134">
        <v>350</v>
      </c>
    </row>
    <row r="2395" spans="6:25" x14ac:dyDescent="0.25">
      <c r="F2395" s="76" t="s">
        <v>150</v>
      </c>
      <c r="G2395" s="77" t="s">
        <v>192</v>
      </c>
      <c r="H2395" s="77" t="s">
        <v>153</v>
      </c>
      <c r="I2395" s="86">
        <v>41852</v>
      </c>
      <c r="J2395" s="78">
        <v>414</v>
      </c>
      <c r="U2395" s="132" t="s">
        <v>154</v>
      </c>
      <c r="V2395" s="132" t="s">
        <v>285</v>
      </c>
      <c r="W2395" s="132" t="s">
        <v>267</v>
      </c>
      <c r="X2395" s="133">
        <v>41886</v>
      </c>
      <c r="Y2395" s="134">
        <v>700</v>
      </c>
    </row>
    <row r="2396" spans="6:25" x14ac:dyDescent="0.25">
      <c r="F2396" s="76" t="s">
        <v>150</v>
      </c>
      <c r="G2396" s="77" t="s">
        <v>192</v>
      </c>
      <c r="H2396" s="77" t="s">
        <v>153</v>
      </c>
      <c r="I2396" s="86">
        <v>41855</v>
      </c>
      <c r="J2396" s="78">
        <v>469</v>
      </c>
      <c r="U2396" s="132" t="s">
        <v>154</v>
      </c>
      <c r="V2396" s="132" t="s">
        <v>285</v>
      </c>
      <c r="W2396" s="132" t="s">
        <v>267</v>
      </c>
      <c r="X2396" s="133">
        <v>41886</v>
      </c>
      <c r="Y2396" s="134">
        <v>681</v>
      </c>
    </row>
    <row r="2397" spans="6:25" x14ac:dyDescent="0.25">
      <c r="F2397" s="76" t="s">
        <v>150</v>
      </c>
      <c r="G2397" s="77" t="s">
        <v>192</v>
      </c>
      <c r="H2397" s="77" t="s">
        <v>153</v>
      </c>
      <c r="I2397" s="86">
        <v>41856</v>
      </c>
      <c r="J2397" s="78">
        <v>478</v>
      </c>
      <c r="U2397" s="132" t="s">
        <v>154</v>
      </c>
      <c r="V2397" s="132" t="s">
        <v>285</v>
      </c>
      <c r="W2397" s="132" t="s">
        <v>267</v>
      </c>
      <c r="X2397" s="133">
        <v>41887</v>
      </c>
      <c r="Y2397" s="134">
        <v>720</v>
      </c>
    </row>
    <row r="2398" spans="6:25" x14ac:dyDescent="0.25">
      <c r="F2398" s="76" t="s">
        <v>150</v>
      </c>
      <c r="G2398" s="77" t="s">
        <v>192</v>
      </c>
      <c r="H2398" s="77" t="s">
        <v>153</v>
      </c>
      <c r="I2398" s="86">
        <v>41858</v>
      </c>
      <c r="J2398" s="78">
        <v>883</v>
      </c>
      <c r="U2398" s="132" t="s">
        <v>154</v>
      </c>
      <c r="V2398" s="132" t="s">
        <v>285</v>
      </c>
      <c r="W2398" s="132" t="s">
        <v>267</v>
      </c>
      <c r="X2398" s="133">
        <v>41887</v>
      </c>
      <c r="Y2398" s="134">
        <v>336</v>
      </c>
    </row>
    <row r="2399" spans="6:25" x14ac:dyDescent="0.25">
      <c r="F2399" s="76" t="s">
        <v>150</v>
      </c>
      <c r="G2399" s="77" t="s">
        <v>192</v>
      </c>
      <c r="H2399" s="77" t="s">
        <v>153</v>
      </c>
      <c r="I2399" s="86">
        <v>41862</v>
      </c>
      <c r="J2399" s="78">
        <v>860</v>
      </c>
      <c r="U2399" s="132" t="s">
        <v>154</v>
      </c>
      <c r="V2399" s="132" t="s">
        <v>285</v>
      </c>
      <c r="W2399" s="132" t="s">
        <v>267</v>
      </c>
      <c r="X2399" s="133">
        <v>41888</v>
      </c>
      <c r="Y2399" s="134">
        <v>560</v>
      </c>
    </row>
    <row r="2400" spans="6:25" x14ac:dyDescent="0.25">
      <c r="F2400" s="76" t="s">
        <v>150</v>
      </c>
      <c r="G2400" s="77" t="s">
        <v>192</v>
      </c>
      <c r="H2400" s="77" t="s">
        <v>153</v>
      </c>
      <c r="I2400" s="86">
        <v>41864</v>
      </c>
      <c r="J2400" s="78">
        <v>946</v>
      </c>
      <c r="U2400" s="132" t="s">
        <v>154</v>
      </c>
      <c r="V2400" s="132" t="s">
        <v>285</v>
      </c>
      <c r="W2400" s="132" t="s">
        <v>267</v>
      </c>
      <c r="X2400" s="133">
        <v>41889</v>
      </c>
      <c r="Y2400" s="134">
        <v>256</v>
      </c>
    </row>
    <row r="2401" spans="6:25" x14ac:dyDescent="0.25">
      <c r="F2401" s="76" t="s">
        <v>150</v>
      </c>
      <c r="G2401" s="77" t="s">
        <v>192</v>
      </c>
      <c r="H2401" s="77" t="s">
        <v>153</v>
      </c>
      <c r="I2401" s="86">
        <v>41866</v>
      </c>
      <c r="J2401" s="78">
        <v>915</v>
      </c>
      <c r="U2401" s="132" t="s">
        <v>154</v>
      </c>
      <c r="V2401" s="132" t="s">
        <v>285</v>
      </c>
      <c r="W2401" s="132" t="s">
        <v>267</v>
      </c>
      <c r="X2401" s="133">
        <v>41889</v>
      </c>
      <c r="Y2401" s="134">
        <v>538</v>
      </c>
    </row>
    <row r="2402" spans="6:25" x14ac:dyDescent="0.25">
      <c r="F2402" s="76" t="s">
        <v>150</v>
      </c>
      <c r="G2402" s="77" t="s">
        <v>192</v>
      </c>
      <c r="H2402" s="77" t="s">
        <v>153</v>
      </c>
      <c r="I2402" s="86">
        <v>41869</v>
      </c>
      <c r="J2402" s="78">
        <v>229</v>
      </c>
      <c r="U2402" s="132" t="s">
        <v>154</v>
      </c>
      <c r="V2402" s="132" t="s">
        <v>285</v>
      </c>
      <c r="W2402" s="132" t="s">
        <v>267</v>
      </c>
      <c r="X2402" s="133">
        <v>41889</v>
      </c>
      <c r="Y2402" s="134">
        <v>824</v>
      </c>
    </row>
    <row r="2403" spans="6:25" x14ac:dyDescent="0.25">
      <c r="F2403" s="76" t="s">
        <v>150</v>
      </c>
      <c r="G2403" s="77" t="s">
        <v>192</v>
      </c>
      <c r="H2403" s="77" t="s">
        <v>153</v>
      </c>
      <c r="I2403" s="86">
        <v>41886</v>
      </c>
      <c r="J2403" s="78">
        <v>1086</v>
      </c>
      <c r="U2403" s="132" t="s">
        <v>154</v>
      </c>
      <c r="V2403" s="132" t="s">
        <v>285</v>
      </c>
      <c r="W2403" s="132" t="s">
        <v>267</v>
      </c>
      <c r="X2403" s="133">
        <v>41890</v>
      </c>
      <c r="Y2403" s="134">
        <v>763</v>
      </c>
    </row>
    <row r="2404" spans="6:25" x14ac:dyDescent="0.25">
      <c r="F2404" s="76" t="s">
        <v>150</v>
      </c>
      <c r="G2404" s="77" t="s">
        <v>192</v>
      </c>
      <c r="H2404" s="77" t="s">
        <v>153</v>
      </c>
      <c r="I2404" s="86">
        <v>41887</v>
      </c>
      <c r="J2404" s="78">
        <v>1159</v>
      </c>
      <c r="U2404" s="132" t="s">
        <v>154</v>
      </c>
      <c r="V2404" s="132" t="s">
        <v>285</v>
      </c>
      <c r="W2404" s="132" t="s">
        <v>267</v>
      </c>
      <c r="X2404" s="133">
        <v>41890</v>
      </c>
      <c r="Y2404" s="134">
        <v>592</v>
      </c>
    </row>
    <row r="2405" spans="6:25" x14ac:dyDescent="0.25">
      <c r="F2405" s="76" t="s">
        <v>150</v>
      </c>
      <c r="G2405" s="77" t="s">
        <v>192</v>
      </c>
      <c r="H2405" s="77" t="s">
        <v>153</v>
      </c>
      <c r="I2405" s="86">
        <v>41888</v>
      </c>
      <c r="J2405" s="78">
        <v>892</v>
      </c>
      <c r="U2405" s="132" t="s">
        <v>154</v>
      </c>
      <c r="V2405" s="132" t="s">
        <v>285</v>
      </c>
      <c r="W2405" s="132" t="s">
        <v>267</v>
      </c>
      <c r="X2405" s="133">
        <v>41891</v>
      </c>
      <c r="Y2405" s="134">
        <v>691</v>
      </c>
    </row>
    <row r="2406" spans="6:25" x14ac:dyDescent="0.25">
      <c r="F2406" s="76" t="s">
        <v>150</v>
      </c>
      <c r="G2406" s="77" t="s">
        <v>192</v>
      </c>
      <c r="H2406" s="77" t="s">
        <v>153</v>
      </c>
      <c r="I2406" s="86">
        <v>41889</v>
      </c>
      <c r="J2406" s="78">
        <v>676</v>
      </c>
      <c r="U2406" s="132" t="s">
        <v>154</v>
      </c>
      <c r="V2406" s="132" t="s">
        <v>285</v>
      </c>
      <c r="W2406" s="132" t="s">
        <v>267</v>
      </c>
      <c r="X2406" s="133">
        <v>41891</v>
      </c>
      <c r="Y2406" s="134">
        <v>320</v>
      </c>
    </row>
    <row r="2407" spans="6:25" x14ac:dyDescent="0.25">
      <c r="F2407" s="76" t="s">
        <v>150</v>
      </c>
      <c r="G2407" s="77" t="s">
        <v>192</v>
      </c>
      <c r="H2407" s="77" t="s">
        <v>153</v>
      </c>
      <c r="I2407" s="86">
        <v>41890</v>
      </c>
      <c r="J2407" s="78">
        <v>1279</v>
      </c>
      <c r="U2407" s="132" t="s">
        <v>154</v>
      </c>
      <c r="V2407" s="132" t="s">
        <v>285</v>
      </c>
      <c r="W2407" s="132" t="s">
        <v>267</v>
      </c>
      <c r="X2407" s="133">
        <v>41892</v>
      </c>
      <c r="Y2407" s="134">
        <v>296</v>
      </c>
    </row>
    <row r="2408" spans="6:25" x14ac:dyDescent="0.25">
      <c r="F2408" s="76" t="s">
        <v>150</v>
      </c>
      <c r="G2408" s="77" t="s">
        <v>192</v>
      </c>
      <c r="H2408" s="77" t="s">
        <v>153</v>
      </c>
      <c r="I2408" s="86">
        <v>41891</v>
      </c>
      <c r="J2408" s="78">
        <v>961</v>
      </c>
      <c r="U2408" s="132" t="s">
        <v>154</v>
      </c>
      <c r="V2408" s="132" t="s">
        <v>285</v>
      </c>
      <c r="W2408" s="132" t="s">
        <v>267</v>
      </c>
      <c r="X2408" s="133">
        <v>41892</v>
      </c>
      <c r="Y2408" s="134">
        <v>705</v>
      </c>
    </row>
    <row r="2409" spans="6:25" x14ac:dyDescent="0.25">
      <c r="F2409" s="76" t="s">
        <v>150</v>
      </c>
      <c r="G2409" s="77" t="s">
        <v>192</v>
      </c>
      <c r="H2409" s="77" t="s">
        <v>153</v>
      </c>
      <c r="I2409" s="86">
        <v>41892</v>
      </c>
      <c r="J2409" s="78">
        <v>1068</v>
      </c>
      <c r="U2409" s="132" t="s">
        <v>154</v>
      </c>
      <c r="V2409" s="132" t="s">
        <v>285</v>
      </c>
      <c r="W2409" s="132" t="s">
        <v>267</v>
      </c>
      <c r="X2409" s="133">
        <v>41893</v>
      </c>
      <c r="Y2409" s="134">
        <v>760</v>
      </c>
    </row>
    <row r="2410" spans="6:25" x14ac:dyDescent="0.25">
      <c r="F2410" s="76" t="s">
        <v>150</v>
      </c>
      <c r="G2410" s="77" t="s">
        <v>192</v>
      </c>
      <c r="H2410" s="77" t="s">
        <v>153</v>
      </c>
      <c r="I2410" s="86">
        <v>41893</v>
      </c>
      <c r="J2410" s="78">
        <v>927</v>
      </c>
      <c r="U2410" s="132" t="s">
        <v>154</v>
      </c>
      <c r="V2410" s="132" t="s">
        <v>285</v>
      </c>
      <c r="W2410" s="132" t="s">
        <v>267</v>
      </c>
      <c r="X2410" s="133">
        <v>41893</v>
      </c>
      <c r="Y2410" s="134">
        <v>646</v>
      </c>
    </row>
    <row r="2411" spans="6:25" x14ac:dyDescent="0.25">
      <c r="F2411" s="76" t="s">
        <v>150</v>
      </c>
      <c r="G2411" s="77" t="s">
        <v>192</v>
      </c>
      <c r="H2411" s="77" t="s">
        <v>153</v>
      </c>
      <c r="I2411" s="86">
        <v>41894</v>
      </c>
      <c r="J2411" s="78">
        <v>1053</v>
      </c>
      <c r="U2411" s="132" t="s">
        <v>154</v>
      </c>
      <c r="V2411" s="132" t="s">
        <v>285</v>
      </c>
      <c r="W2411" s="132" t="s">
        <v>267</v>
      </c>
      <c r="X2411" s="133">
        <v>41894</v>
      </c>
      <c r="Y2411" s="134">
        <v>675</v>
      </c>
    </row>
    <row r="2412" spans="6:25" x14ac:dyDescent="0.25">
      <c r="F2412" s="76" t="s">
        <v>150</v>
      </c>
      <c r="G2412" s="77" t="s">
        <v>192</v>
      </c>
      <c r="H2412" s="77" t="s">
        <v>153</v>
      </c>
      <c r="I2412" s="86">
        <v>41895</v>
      </c>
      <c r="J2412" s="78">
        <v>853</v>
      </c>
      <c r="U2412" s="132" t="s">
        <v>154</v>
      </c>
      <c r="V2412" s="132" t="s">
        <v>285</v>
      </c>
      <c r="W2412" s="132" t="s">
        <v>267</v>
      </c>
      <c r="X2412" s="133">
        <v>41894</v>
      </c>
      <c r="Y2412" s="134">
        <v>329</v>
      </c>
    </row>
    <row r="2413" spans="6:25" x14ac:dyDescent="0.25">
      <c r="F2413" s="76" t="s">
        <v>150</v>
      </c>
      <c r="G2413" s="77" t="s">
        <v>192</v>
      </c>
      <c r="H2413" s="77" t="s">
        <v>153</v>
      </c>
      <c r="I2413" s="86">
        <v>41896</v>
      </c>
      <c r="J2413" s="78">
        <v>831</v>
      </c>
      <c r="U2413" s="132" t="s">
        <v>154</v>
      </c>
      <c r="V2413" s="132" t="s">
        <v>285</v>
      </c>
      <c r="W2413" s="132" t="s">
        <v>267</v>
      </c>
      <c r="X2413" s="133">
        <v>41896</v>
      </c>
      <c r="Y2413" s="134">
        <v>614</v>
      </c>
    </row>
    <row r="2414" spans="6:25" x14ac:dyDescent="0.25">
      <c r="F2414" s="76" t="s">
        <v>150</v>
      </c>
      <c r="G2414" s="77" t="s">
        <v>192</v>
      </c>
      <c r="H2414" s="77" t="s">
        <v>153</v>
      </c>
      <c r="I2414" s="86">
        <v>41897</v>
      </c>
      <c r="J2414" s="78">
        <v>1204</v>
      </c>
      <c r="U2414" s="132" t="s">
        <v>154</v>
      </c>
      <c r="V2414" s="132" t="s">
        <v>285</v>
      </c>
      <c r="W2414" s="132" t="s">
        <v>267</v>
      </c>
      <c r="X2414" s="133">
        <v>41897</v>
      </c>
      <c r="Y2414" s="134">
        <v>715</v>
      </c>
    </row>
    <row r="2415" spans="6:25" x14ac:dyDescent="0.25">
      <c r="F2415" s="76" t="s">
        <v>150</v>
      </c>
      <c r="G2415" s="77" t="s">
        <v>192</v>
      </c>
      <c r="H2415" s="77" t="s">
        <v>153</v>
      </c>
      <c r="I2415" s="86">
        <v>41898</v>
      </c>
      <c r="J2415" s="78">
        <v>955</v>
      </c>
      <c r="U2415" s="132" t="s">
        <v>154</v>
      </c>
      <c r="V2415" s="132" t="s">
        <v>285</v>
      </c>
      <c r="W2415" s="132" t="s">
        <v>267</v>
      </c>
      <c r="X2415" s="133">
        <v>41897</v>
      </c>
      <c r="Y2415" s="134">
        <v>517</v>
      </c>
    </row>
    <row r="2416" spans="6:25" x14ac:dyDescent="0.25">
      <c r="F2416" s="76" t="s">
        <v>150</v>
      </c>
      <c r="G2416" s="77" t="s">
        <v>192</v>
      </c>
      <c r="H2416" s="77" t="s">
        <v>153</v>
      </c>
      <c r="I2416" s="86">
        <v>41899</v>
      </c>
      <c r="J2416" s="78">
        <v>962</v>
      </c>
      <c r="U2416" s="132" t="s">
        <v>154</v>
      </c>
      <c r="V2416" s="132" t="s">
        <v>285</v>
      </c>
      <c r="W2416" s="132" t="s">
        <v>267</v>
      </c>
      <c r="X2416" s="133">
        <v>41898</v>
      </c>
      <c r="Y2416" s="134">
        <v>815</v>
      </c>
    </row>
    <row r="2417" spans="6:25" x14ac:dyDescent="0.25">
      <c r="F2417" s="76" t="s">
        <v>150</v>
      </c>
      <c r="G2417" s="77" t="s">
        <v>192</v>
      </c>
      <c r="H2417" s="77" t="s">
        <v>153</v>
      </c>
      <c r="I2417" s="86">
        <v>41900</v>
      </c>
      <c r="J2417" s="78">
        <v>1065</v>
      </c>
      <c r="U2417" s="132" t="s">
        <v>154</v>
      </c>
      <c r="V2417" s="132" t="s">
        <v>285</v>
      </c>
      <c r="W2417" s="132" t="s">
        <v>267</v>
      </c>
      <c r="X2417" s="133">
        <v>41899</v>
      </c>
      <c r="Y2417" s="134">
        <v>686</v>
      </c>
    </row>
    <row r="2418" spans="6:25" x14ac:dyDescent="0.25">
      <c r="F2418" s="76" t="s">
        <v>150</v>
      </c>
      <c r="G2418" s="77" t="s">
        <v>192</v>
      </c>
      <c r="H2418" s="77" t="s">
        <v>153</v>
      </c>
      <c r="I2418" s="86">
        <v>41904</v>
      </c>
      <c r="J2418" s="78">
        <v>1123</v>
      </c>
      <c r="U2418" s="132" t="s">
        <v>154</v>
      </c>
      <c r="V2418" s="132" t="s">
        <v>285</v>
      </c>
      <c r="W2418" s="132" t="s">
        <v>267</v>
      </c>
      <c r="X2418" s="133">
        <v>41899</v>
      </c>
      <c r="Y2418" s="134">
        <v>327</v>
      </c>
    </row>
    <row r="2419" spans="6:25" x14ac:dyDescent="0.25">
      <c r="F2419" s="76" t="s">
        <v>150</v>
      </c>
      <c r="G2419" s="77" t="s">
        <v>192</v>
      </c>
      <c r="H2419" s="77" t="s">
        <v>153</v>
      </c>
      <c r="I2419" s="86">
        <v>41906</v>
      </c>
      <c r="J2419" s="78">
        <v>962</v>
      </c>
      <c r="U2419" s="132" t="s">
        <v>154</v>
      </c>
      <c r="V2419" s="132" t="s">
        <v>286</v>
      </c>
      <c r="W2419" s="132" t="s">
        <v>267</v>
      </c>
      <c r="X2419" s="133">
        <v>41856</v>
      </c>
      <c r="Y2419" s="134">
        <v>990</v>
      </c>
    </row>
    <row r="2420" spans="6:25" x14ac:dyDescent="0.25">
      <c r="F2420" s="76" t="s">
        <v>150</v>
      </c>
      <c r="G2420" s="77" t="s">
        <v>192</v>
      </c>
      <c r="H2420" s="77" t="s">
        <v>153</v>
      </c>
      <c r="I2420" s="86">
        <v>41906</v>
      </c>
      <c r="J2420" s="78">
        <v>694</v>
      </c>
      <c r="U2420" s="132" t="s">
        <v>154</v>
      </c>
      <c r="V2420" s="132" t="s">
        <v>286</v>
      </c>
      <c r="W2420" s="132" t="s">
        <v>267</v>
      </c>
      <c r="X2420" s="133">
        <v>41864</v>
      </c>
      <c r="Y2420" s="134">
        <v>550</v>
      </c>
    </row>
    <row r="2421" spans="6:25" x14ac:dyDescent="0.25">
      <c r="F2421" s="76" t="s">
        <v>150</v>
      </c>
      <c r="G2421" s="77" t="s">
        <v>192</v>
      </c>
      <c r="H2421" s="77" t="s">
        <v>153</v>
      </c>
      <c r="I2421" s="86">
        <v>41907</v>
      </c>
      <c r="J2421" s="78">
        <v>835</v>
      </c>
      <c r="U2421" s="132" t="s">
        <v>154</v>
      </c>
      <c r="V2421" s="132" t="s">
        <v>286</v>
      </c>
      <c r="W2421" s="132" t="s">
        <v>267</v>
      </c>
      <c r="X2421" s="133">
        <v>41865</v>
      </c>
      <c r="Y2421" s="134">
        <v>820</v>
      </c>
    </row>
    <row r="2422" spans="6:25" x14ac:dyDescent="0.25">
      <c r="F2422" s="76" t="s">
        <v>150</v>
      </c>
      <c r="G2422" s="77" t="s">
        <v>192</v>
      </c>
      <c r="H2422" s="77" t="s">
        <v>153</v>
      </c>
      <c r="I2422" s="86">
        <v>41908</v>
      </c>
      <c r="J2422" s="78">
        <v>1195</v>
      </c>
      <c r="U2422" s="132" t="s">
        <v>154</v>
      </c>
      <c r="V2422" s="132" t="s">
        <v>286</v>
      </c>
      <c r="W2422" s="132" t="s">
        <v>267</v>
      </c>
      <c r="X2422" s="133">
        <v>41866</v>
      </c>
      <c r="Y2422" s="134">
        <v>1055</v>
      </c>
    </row>
    <row r="2423" spans="6:25" x14ac:dyDescent="0.25">
      <c r="F2423" s="76" t="s">
        <v>150</v>
      </c>
      <c r="G2423" s="77" t="s">
        <v>192</v>
      </c>
      <c r="H2423" s="77" t="s">
        <v>153</v>
      </c>
      <c r="I2423" s="86">
        <v>41911</v>
      </c>
      <c r="J2423" s="78">
        <v>608</v>
      </c>
      <c r="U2423" s="132" t="s">
        <v>154</v>
      </c>
      <c r="V2423" s="132" t="s">
        <v>286</v>
      </c>
      <c r="W2423" s="132" t="s">
        <v>267</v>
      </c>
      <c r="X2423" s="133">
        <v>41869</v>
      </c>
      <c r="Y2423" s="134">
        <v>711</v>
      </c>
    </row>
    <row r="2424" spans="6:25" x14ac:dyDescent="0.25">
      <c r="F2424" s="76" t="s">
        <v>150</v>
      </c>
      <c r="G2424" s="77" t="s">
        <v>192</v>
      </c>
      <c r="H2424" s="77" t="s">
        <v>153</v>
      </c>
      <c r="I2424" s="86">
        <v>41913</v>
      </c>
      <c r="J2424" s="78">
        <v>1104</v>
      </c>
      <c r="U2424" s="132" t="s">
        <v>154</v>
      </c>
      <c r="V2424" s="132" t="s">
        <v>286</v>
      </c>
      <c r="W2424" s="132" t="s">
        <v>267</v>
      </c>
      <c r="X2424" s="133">
        <v>41870</v>
      </c>
      <c r="Y2424" s="134">
        <v>597</v>
      </c>
    </row>
    <row r="2425" spans="6:25" x14ac:dyDescent="0.25">
      <c r="F2425" s="76" t="s">
        <v>150</v>
      </c>
      <c r="G2425" s="77" t="s">
        <v>192</v>
      </c>
      <c r="H2425" s="77" t="s">
        <v>153</v>
      </c>
      <c r="I2425" s="86">
        <v>41915</v>
      </c>
      <c r="J2425" s="78">
        <v>789</v>
      </c>
      <c r="U2425" s="132" t="s">
        <v>154</v>
      </c>
      <c r="V2425" s="132" t="s">
        <v>286</v>
      </c>
      <c r="W2425" s="132" t="s">
        <v>267</v>
      </c>
      <c r="X2425" s="133">
        <v>41876</v>
      </c>
      <c r="Y2425" s="134">
        <v>616</v>
      </c>
    </row>
    <row r="2426" spans="6:25" x14ac:dyDescent="0.25">
      <c r="F2426" s="76" t="s">
        <v>150</v>
      </c>
      <c r="G2426" s="77" t="s">
        <v>192</v>
      </c>
      <c r="H2426" s="77" t="s">
        <v>153</v>
      </c>
      <c r="I2426" s="86">
        <v>41919</v>
      </c>
      <c r="J2426" s="78">
        <v>973</v>
      </c>
      <c r="U2426" s="132" t="s">
        <v>154</v>
      </c>
      <c r="V2426" s="132" t="s">
        <v>287</v>
      </c>
      <c r="W2426" s="132" t="s">
        <v>267</v>
      </c>
      <c r="X2426" s="133">
        <v>41916</v>
      </c>
      <c r="Y2426" s="134">
        <v>581</v>
      </c>
    </row>
    <row r="2427" spans="6:25" x14ac:dyDescent="0.25">
      <c r="F2427" s="76" t="s">
        <v>150</v>
      </c>
      <c r="G2427" s="77" t="s">
        <v>192</v>
      </c>
      <c r="H2427" s="77" t="s">
        <v>153</v>
      </c>
      <c r="I2427" s="86">
        <v>41921</v>
      </c>
      <c r="J2427" s="78">
        <v>881</v>
      </c>
      <c r="U2427" s="132" t="s">
        <v>154</v>
      </c>
      <c r="V2427" s="132" t="s">
        <v>287</v>
      </c>
      <c r="W2427" s="132" t="s">
        <v>267</v>
      </c>
      <c r="X2427" s="133">
        <v>41917</v>
      </c>
      <c r="Y2427" s="134">
        <v>724</v>
      </c>
    </row>
    <row r="2428" spans="6:25" x14ac:dyDescent="0.25">
      <c r="F2428" s="76" t="s">
        <v>150</v>
      </c>
      <c r="G2428" s="77" t="s">
        <v>192</v>
      </c>
      <c r="H2428" s="77" t="s">
        <v>153</v>
      </c>
      <c r="I2428" s="86">
        <v>41925</v>
      </c>
      <c r="J2428" s="78">
        <v>822</v>
      </c>
      <c r="U2428" s="132" t="s">
        <v>154</v>
      </c>
      <c r="V2428" s="132" t="s">
        <v>288</v>
      </c>
      <c r="W2428" s="132" t="s">
        <v>267</v>
      </c>
      <c r="X2428" s="133">
        <v>41933</v>
      </c>
      <c r="Y2428" s="134">
        <v>515</v>
      </c>
    </row>
    <row r="2429" spans="6:25" x14ac:dyDescent="0.25">
      <c r="F2429" s="76" t="s">
        <v>150</v>
      </c>
      <c r="G2429" s="77" t="s">
        <v>192</v>
      </c>
      <c r="H2429" s="77" t="s">
        <v>153</v>
      </c>
      <c r="I2429" s="86">
        <v>41928</v>
      </c>
      <c r="J2429" s="78">
        <v>1148</v>
      </c>
      <c r="U2429" s="132" t="s">
        <v>154</v>
      </c>
      <c r="V2429" s="132" t="s">
        <v>288</v>
      </c>
      <c r="W2429" s="132" t="s">
        <v>267</v>
      </c>
      <c r="X2429" s="133">
        <v>41934</v>
      </c>
      <c r="Y2429" s="134">
        <v>530</v>
      </c>
    </row>
    <row r="2430" spans="6:25" x14ac:dyDescent="0.25">
      <c r="F2430" s="76" t="s">
        <v>150</v>
      </c>
      <c r="G2430" s="77" t="s">
        <v>192</v>
      </c>
      <c r="H2430" s="77" t="s">
        <v>153</v>
      </c>
      <c r="I2430" s="86">
        <v>41932</v>
      </c>
      <c r="J2430" s="78">
        <v>806</v>
      </c>
      <c r="U2430" s="132" t="s">
        <v>154</v>
      </c>
      <c r="V2430" s="132" t="s">
        <v>288</v>
      </c>
      <c r="W2430" s="132" t="s">
        <v>267</v>
      </c>
      <c r="X2430" s="133">
        <v>41935</v>
      </c>
      <c r="Y2430" s="134">
        <v>766</v>
      </c>
    </row>
    <row r="2431" spans="6:25" x14ac:dyDescent="0.25">
      <c r="F2431" s="76" t="s">
        <v>150</v>
      </c>
      <c r="G2431" s="77" t="s">
        <v>192</v>
      </c>
      <c r="H2431" s="77" t="s">
        <v>153</v>
      </c>
      <c r="I2431" s="86">
        <v>41934</v>
      </c>
      <c r="J2431" s="78">
        <v>807</v>
      </c>
      <c r="U2431" s="132" t="s">
        <v>154</v>
      </c>
      <c r="V2431" s="132" t="s">
        <v>288</v>
      </c>
      <c r="W2431" s="132" t="s">
        <v>267</v>
      </c>
      <c r="X2431" s="133">
        <v>41936</v>
      </c>
      <c r="Y2431" s="134">
        <v>861</v>
      </c>
    </row>
    <row r="2432" spans="6:25" x14ac:dyDescent="0.25">
      <c r="F2432" s="76" t="s">
        <v>150</v>
      </c>
      <c r="G2432" s="77" t="s">
        <v>192</v>
      </c>
      <c r="H2432" s="77" t="s">
        <v>153</v>
      </c>
      <c r="I2432" s="86">
        <v>41936</v>
      </c>
      <c r="J2432" s="78">
        <v>767</v>
      </c>
      <c r="U2432" s="132" t="s">
        <v>154</v>
      </c>
      <c r="V2432" s="132" t="s">
        <v>288</v>
      </c>
      <c r="W2432" s="132" t="s">
        <v>267</v>
      </c>
      <c r="X2432" s="133">
        <v>41938</v>
      </c>
      <c r="Y2432" s="134">
        <v>786</v>
      </c>
    </row>
    <row r="2433" spans="6:25" x14ac:dyDescent="0.25">
      <c r="F2433" s="76" t="s">
        <v>150</v>
      </c>
      <c r="G2433" s="77" t="s">
        <v>192</v>
      </c>
      <c r="H2433" s="77" t="s">
        <v>153</v>
      </c>
      <c r="I2433" s="86">
        <v>41983</v>
      </c>
      <c r="J2433" s="78">
        <v>1387</v>
      </c>
      <c r="U2433" s="132" t="s">
        <v>154</v>
      </c>
      <c r="V2433" s="132" t="s">
        <v>288</v>
      </c>
      <c r="W2433" s="132" t="s">
        <v>267</v>
      </c>
      <c r="X2433" s="133">
        <v>41939</v>
      </c>
      <c r="Y2433" s="134">
        <v>704</v>
      </c>
    </row>
    <row r="2434" spans="6:25" x14ac:dyDescent="0.25">
      <c r="F2434" s="76" t="s">
        <v>150</v>
      </c>
      <c r="G2434" s="77" t="s">
        <v>192</v>
      </c>
      <c r="H2434" s="77" t="s">
        <v>153</v>
      </c>
      <c r="I2434" s="86">
        <v>42002</v>
      </c>
      <c r="J2434" s="78">
        <v>833</v>
      </c>
      <c r="U2434" s="132" t="s">
        <v>154</v>
      </c>
      <c r="V2434" s="132" t="s">
        <v>288</v>
      </c>
      <c r="W2434" s="132" t="s">
        <v>267</v>
      </c>
      <c r="X2434" s="133">
        <v>41940</v>
      </c>
      <c r="Y2434" s="134">
        <v>815</v>
      </c>
    </row>
    <row r="2435" spans="6:25" x14ac:dyDescent="0.25">
      <c r="F2435" s="76" t="s">
        <v>150</v>
      </c>
      <c r="G2435" s="77" t="s">
        <v>193</v>
      </c>
      <c r="H2435" s="77" t="s">
        <v>153</v>
      </c>
      <c r="I2435" s="86">
        <v>41667</v>
      </c>
      <c r="J2435" s="78">
        <v>1167</v>
      </c>
      <c r="U2435" s="132" t="s">
        <v>154</v>
      </c>
      <c r="V2435" s="132" t="s">
        <v>288</v>
      </c>
      <c r="W2435" s="132" t="s">
        <v>267</v>
      </c>
      <c r="X2435" s="133">
        <v>41941</v>
      </c>
      <c r="Y2435" s="134">
        <v>916</v>
      </c>
    </row>
    <row r="2436" spans="6:25" x14ac:dyDescent="0.25">
      <c r="F2436" s="76" t="s">
        <v>150</v>
      </c>
      <c r="G2436" s="77" t="s">
        <v>193</v>
      </c>
      <c r="H2436" s="77" t="s">
        <v>153</v>
      </c>
      <c r="I2436" s="86">
        <v>41677</v>
      </c>
      <c r="J2436" s="78">
        <v>943</v>
      </c>
      <c r="U2436" s="132" t="s">
        <v>154</v>
      </c>
      <c r="V2436" s="132" t="s">
        <v>289</v>
      </c>
      <c r="W2436" s="132" t="s">
        <v>267</v>
      </c>
      <c r="X2436" s="133">
        <v>41729</v>
      </c>
      <c r="Y2436" s="134">
        <v>526</v>
      </c>
    </row>
    <row r="2437" spans="6:25" x14ac:dyDescent="0.25">
      <c r="F2437" s="76" t="s">
        <v>150</v>
      </c>
      <c r="G2437" s="77" t="s">
        <v>193</v>
      </c>
      <c r="H2437" s="77" t="s">
        <v>153</v>
      </c>
      <c r="I2437" s="86">
        <v>41680</v>
      </c>
      <c r="J2437" s="78">
        <v>582</v>
      </c>
      <c r="U2437" s="132" t="s">
        <v>154</v>
      </c>
      <c r="V2437" s="132" t="s">
        <v>289</v>
      </c>
      <c r="W2437" s="132" t="s">
        <v>267</v>
      </c>
      <c r="X2437" s="133">
        <v>41729</v>
      </c>
      <c r="Y2437" s="134">
        <v>700</v>
      </c>
    </row>
    <row r="2438" spans="6:25" x14ac:dyDescent="0.25">
      <c r="F2438" s="76" t="s">
        <v>150</v>
      </c>
      <c r="G2438" s="77" t="s">
        <v>193</v>
      </c>
      <c r="H2438" s="77" t="s">
        <v>153</v>
      </c>
      <c r="I2438" s="86">
        <v>41681</v>
      </c>
      <c r="J2438" s="78">
        <v>819</v>
      </c>
      <c r="U2438" s="132" t="s">
        <v>154</v>
      </c>
      <c r="V2438" s="132" t="s">
        <v>289</v>
      </c>
      <c r="W2438" s="132" t="s">
        <v>267</v>
      </c>
      <c r="X2438" s="133">
        <v>41730</v>
      </c>
      <c r="Y2438" s="134">
        <v>950</v>
      </c>
    </row>
    <row r="2439" spans="6:25" x14ac:dyDescent="0.25">
      <c r="F2439" s="76" t="s">
        <v>150</v>
      </c>
      <c r="G2439" s="77" t="s">
        <v>193</v>
      </c>
      <c r="H2439" s="77" t="s">
        <v>153</v>
      </c>
      <c r="I2439" s="86">
        <v>41682</v>
      </c>
      <c r="J2439" s="78">
        <v>1015</v>
      </c>
      <c r="U2439" s="132" t="s">
        <v>154</v>
      </c>
      <c r="V2439" s="132" t="s">
        <v>289</v>
      </c>
      <c r="W2439" s="132" t="s">
        <v>267</v>
      </c>
      <c r="X2439" s="133">
        <v>41731</v>
      </c>
      <c r="Y2439" s="134">
        <v>557</v>
      </c>
    </row>
    <row r="2440" spans="6:25" x14ac:dyDescent="0.25">
      <c r="F2440" s="76" t="s">
        <v>150</v>
      </c>
      <c r="G2440" s="77" t="s">
        <v>193</v>
      </c>
      <c r="H2440" s="77" t="s">
        <v>153</v>
      </c>
      <c r="I2440" s="86">
        <v>41688</v>
      </c>
      <c r="J2440" s="78">
        <v>633</v>
      </c>
      <c r="U2440" s="132" t="s">
        <v>154</v>
      </c>
      <c r="V2440" s="132" t="s">
        <v>289</v>
      </c>
      <c r="W2440" s="132" t="s">
        <v>267</v>
      </c>
      <c r="X2440" s="133">
        <v>41731</v>
      </c>
      <c r="Y2440" s="134">
        <v>647</v>
      </c>
    </row>
    <row r="2441" spans="6:25" x14ac:dyDescent="0.25">
      <c r="F2441" s="76" t="s">
        <v>150</v>
      </c>
      <c r="G2441" s="77" t="s">
        <v>193</v>
      </c>
      <c r="H2441" s="77" t="s">
        <v>153</v>
      </c>
      <c r="I2441" s="86">
        <v>41692</v>
      </c>
      <c r="J2441" s="78">
        <v>1082</v>
      </c>
      <c r="U2441" s="132" t="s">
        <v>154</v>
      </c>
      <c r="V2441" s="132" t="s">
        <v>289</v>
      </c>
      <c r="W2441" s="132" t="s">
        <v>267</v>
      </c>
      <c r="X2441" s="133">
        <v>41732</v>
      </c>
      <c r="Y2441" s="134">
        <v>771</v>
      </c>
    </row>
    <row r="2442" spans="6:25" x14ac:dyDescent="0.25">
      <c r="F2442" s="76" t="s">
        <v>150</v>
      </c>
      <c r="G2442" s="77" t="s">
        <v>193</v>
      </c>
      <c r="H2442" s="77" t="s">
        <v>153</v>
      </c>
      <c r="I2442" s="86">
        <v>41692</v>
      </c>
      <c r="J2442" s="78">
        <v>1013</v>
      </c>
      <c r="U2442" s="132" t="s">
        <v>154</v>
      </c>
      <c r="V2442" s="132" t="s">
        <v>289</v>
      </c>
      <c r="W2442" s="132" t="s">
        <v>267</v>
      </c>
      <c r="X2442" s="133">
        <v>41733</v>
      </c>
      <c r="Y2442" s="134">
        <v>803</v>
      </c>
    </row>
    <row r="2443" spans="6:25" x14ac:dyDescent="0.25">
      <c r="F2443" s="76" t="s">
        <v>150</v>
      </c>
      <c r="G2443" s="77" t="s">
        <v>193</v>
      </c>
      <c r="H2443" s="77" t="s">
        <v>153</v>
      </c>
      <c r="I2443" s="86">
        <v>41693</v>
      </c>
      <c r="J2443" s="78">
        <v>891</v>
      </c>
      <c r="U2443" s="132" t="s">
        <v>154</v>
      </c>
      <c r="V2443" s="132" t="s">
        <v>289</v>
      </c>
      <c r="W2443" s="132" t="s">
        <v>267</v>
      </c>
      <c r="X2443" s="133">
        <v>41734</v>
      </c>
      <c r="Y2443" s="134">
        <v>517</v>
      </c>
    </row>
    <row r="2444" spans="6:25" x14ac:dyDescent="0.25">
      <c r="F2444" s="76" t="s">
        <v>150</v>
      </c>
      <c r="G2444" s="77" t="s">
        <v>193</v>
      </c>
      <c r="H2444" s="77" t="s">
        <v>153</v>
      </c>
      <c r="I2444" s="86">
        <v>41695</v>
      </c>
      <c r="J2444" s="78">
        <v>1409</v>
      </c>
      <c r="U2444" s="132" t="s">
        <v>154</v>
      </c>
      <c r="V2444" s="132" t="s">
        <v>289</v>
      </c>
      <c r="W2444" s="132" t="s">
        <v>267</v>
      </c>
      <c r="X2444" s="133">
        <v>41734</v>
      </c>
      <c r="Y2444" s="134">
        <v>494</v>
      </c>
    </row>
    <row r="2445" spans="6:25" x14ac:dyDescent="0.25">
      <c r="F2445" s="76" t="s">
        <v>150</v>
      </c>
      <c r="G2445" s="77" t="s">
        <v>193</v>
      </c>
      <c r="H2445" s="77" t="s">
        <v>153</v>
      </c>
      <c r="I2445" s="86">
        <v>41696</v>
      </c>
      <c r="J2445" s="78">
        <v>352</v>
      </c>
      <c r="U2445" s="132" t="s">
        <v>154</v>
      </c>
      <c r="V2445" s="132" t="s">
        <v>289</v>
      </c>
      <c r="W2445" s="132" t="s">
        <v>267</v>
      </c>
      <c r="X2445" s="133">
        <v>41734</v>
      </c>
      <c r="Y2445" s="134">
        <v>262</v>
      </c>
    </row>
    <row r="2446" spans="6:25" x14ac:dyDescent="0.25">
      <c r="F2446" s="76" t="s">
        <v>150</v>
      </c>
      <c r="G2446" s="77" t="s">
        <v>193</v>
      </c>
      <c r="H2446" s="77" t="s">
        <v>153</v>
      </c>
      <c r="I2446" s="86">
        <v>41701</v>
      </c>
      <c r="J2446" s="78">
        <v>305</v>
      </c>
      <c r="U2446" s="132" t="s">
        <v>154</v>
      </c>
      <c r="V2446" s="132" t="s">
        <v>289</v>
      </c>
      <c r="W2446" s="132" t="s">
        <v>267</v>
      </c>
      <c r="X2446" s="133">
        <v>41737</v>
      </c>
      <c r="Y2446" s="134">
        <v>795</v>
      </c>
    </row>
    <row r="2447" spans="6:25" x14ac:dyDescent="0.25">
      <c r="F2447" s="76" t="s">
        <v>150</v>
      </c>
      <c r="G2447" s="77" t="s">
        <v>193</v>
      </c>
      <c r="H2447" s="77" t="s">
        <v>153</v>
      </c>
      <c r="I2447" s="86">
        <v>41703</v>
      </c>
      <c r="J2447" s="78">
        <v>556</v>
      </c>
      <c r="U2447" s="132" t="s">
        <v>154</v>
      </c>
      <c r="V2447" s="132" t="s">
        <v>289</v>
      </c>
      <c r="W2447" s="132" t="s">
        <v>267</v>
      </c>
      <c r="X2447" s="133">
        <v>41738</v>
      </c>
      <c r="Y2447" s="134">
        <v>1129</v>
      </c>
    </row>
    <row r="2448" spans="6:25" x14ac:dyDescent="0.25">
      <c r="F2448" s="76" t="s">
        <v>150</v>
      </c>
      <c r="G2448" s="77" t="s">
        <v>193</v>
      </c>
      <c r="H2448" s="77" t="s">
        <v>153</v>
      </c>
      <c r="I2448" s="86">
        <v>41705</v>
      </c>
      <c r="J2448" s="78">
        <v>1052</v>
      </c>
      <c r="U2448" s="132" t="s">
        <v>154</v>
      </c>
      <c r="V2448" s="132" t="s">
        <v>289</v>
      </c>
      <c r="W2448" s="132" t="s">
        <v>267</v>
      </c>
      <c r="X2448" s="133">
        <v>41739</v>
      </c>
      <c r="Y2448" s="134">
        <v>779</v>
      </c>
    </row>
    <row r="2449" spans="6:25" x14ac:dyDescent="0.25">
      <c r="F2449" s="76" t="s">
        <v>150</v>
      </c>
      <c r="G2449" s="77" t="s">
        <v>193</v>
      </c>
      <c r="H2449" s="77" t="s">
        <v>153</v>
      </c>
      <c r="I2449" s="86">
        <v>41706</v>
      </c>
      <c r="J2449" s="78">
        <v>982</v>
      </c>
      <c r="U2449" s="132" t="s">
        <v>154</v>
      </c>
      <c r="V2449" s="132" t="s">
        <v>289</v>
      </c>
      <c r="W2449" s="132" t="s">
        <v>267</v>
      </c>
      <c r="X2449" s="133">
        <v>41739</v>
      </c>
      <c r="Y2449" s="134">
        <v>353</v>
      </c>
    </row>
    <row r="2450" spans="6:25" x14ac:dyDescent="0.25">
      <c r="F2450" s="76" t="s">
        <v>150</v>
      </c>
      <c r="G2450" s="77" t="s">
        <v>193</v>
      </c>
      <c r="H2450" s="77" t="s">
        <v>153</v>
      </c>
      <c r="I2450" s="86">
        <v>41706</v>
      </c>
      <c r="J2450" s="78">
        <v>539</v>
      </c>
      <c r="U2450" s="132" t="s">
        <v>154</v>
      </c>
      <c r="V2450" s="132" t="s">
        <v>289</v>
      </c>
      <c r="W2450" s="132" t="s">
        <v>267</v>
      </c>
      <c r="X2450" s="133">
        <v>41740</v>
      </c>
      <c r="Y2450" s="134">
        <v>409</v>
      </c>
    </row>
    <row r="2451" spans="6:25" x14ac:dyDescent="0.25">
      <c r="F2451" s="76" t="s">
        <v>150</v>
      </c>
      <c r="G2451" s="77" t="s">
        <v>193</v>
      </c>
      <c r="H2451" s="77" t="s">
        <v>153</v>
      </c>
      <c r="I2451" s="86">
        <v>41707</v>
      </c>
      <c r="J2451" s="78">
        <v>803</v>
      </c>
      <c r="U2451" s="132" t="s">
        <v>154</v>
      </c>
      <c r="V2451" s="132" t="s">
        <v>289</v>
      </c>
      <c r="W2451" s="132" t="s">
        <v>267</v>
      </c>
      <c r="X2451" s="133">
        <v>41740</v>
      </c>
      <c r="Y2451" s="134">
        <v>650</v>
      </c>
    </row>
    <row r="2452" spans="6:25" x14ac:dyDescent="0.25">
      <c r="F2452" s="76" t="s">
        <v>150</v>
      </c>
      <c r="G2452" s="77" t="s">
        <v>193</v>
      </c>
      <c r="H2452" s="77" t="s">
        <v>153</v>
      </c>
      <c r="I2452" s="86">
        <v>41709</v>
      </c>
      <c r="J2452" s="78">
        <v>1360</v>
      </c>
      <c r="U2452" s="132" t="s">
        <v>154</v>
      </c>
      <c r="V2452" s="132" t="s">
        <v>289</v>
      </c>
      <c r="W2452" s="132" t="s">
        <v>267</v>
      </c>
      <c r="X2452" s="133">
        <v>41741</v>
      </c>
      <c r="Y2452" s="134">
        <v>582</v>
      </c>
    </row>
    <row r="2453" spans="6:25" x14ac:dyDescent="0.25">
      <c r="F2453" s="76" t="s">
        <v>150</v>
      </c>
      <c r="G2453" s="77" t="s">
        <v>193</v>
      </c>
      <c r="H2453" s="77" t="s">
        <v>153</v>
      </c>
      <c r="I2453" s="86">
        <v>41710</v>
      </c>
      <c r="J2453" s="78">
        <v>731</v>
      </c>
      <c r="U2453" s="132" t="s">
        <v>154</v>
      </c>
      <c r="V2453" s="132" t="s">
        <v>289</v>
      </c>
      <c r="W2453" s="132" t="s">
        <v>267</v>
      </c>
      <c r="X2453" s="133">
        <v>41741</v>
      </c>
      <c r="Y2453" s="134">
        <v>480</v>
      </c>
    </row>
    <row r="2454" spans="6:25" x14ac:dyDescent="0.25">
      <c r="F2454" s="76" t="s">
        <v>150</v>
      </c>
      <c r="G2454" s="77" t="s">
        <v>193</v>
      </c>
      <c r="H2454" s="77" t="s">
        <v>153</v>
      </c>
      <c r="I2454" s="86">
        <v>41711</v>
      </c>
      <c r="J2454" s="78">
        <v>278</v>
      </c>
      <c r="U2454" s="132" t="s">
        <v>154</v>
      </c>
      <c r="V2454" s="132" t="s">
        <v>289</v>
      </c>
      <c r="W2454" s="132" t="s">
        <v>267</v>
      </c>
      <c r="X2454" s="133">
        <v>41741</v>
      </c>
      <c r="Y2454" s="134">
        <v>225</v>
      </c>
    </row>
    <row r="2455" spans="6:25" x14ac:dyDescent="0.25">
      <c r="F2455" s="76" t="s">
        <v>150</v>
      </c>
      <c r="G2455" s="77" t="s">
        <v>193</v>
      </c>
      <c r="H2455" s="77" t="s">
        <v>153</v>
      </c>
      <c r="I2455" s="86">
        <v>41717</v>
      </c>
      <c r="J2455" s="78">
        <v>958</v>
      </c>
      <c r="U2455" s="132" t="s">
        <v>154</v>
      </c>
      <c r="V2455" s="132" t="s">
        <v>289</v>
      </c>
      <c r="W2455" s="132" t="s">
        <v>267</v>
      </c>
      <c r="X2455" s="133">
        <v>41742</v>
      </c>
      <c r="Y2455" s="134">
        <v>779</v>
      </c>
    </row>
    <row r="2456" spans="6:25" x14ac:dyDescent="0.25">
      <c r="F2456" s="76" t="s">
        <v>150</v>
      </c>
      <c r="G2456" s="77" t="s">
        <v>193</v>
      </c>
      <c r="H2456" s="77" t="s">
        <v>153</v>
      </c>
      <c r="I2456" s="86">
        <v>41717</v>
      </c>
      <c r="J2456" s="78">
        <v>351</v>
      </c>
      <c r="U2456" s="132" t="s">
        <v>154</v>
      </c>
      <c r="V2456" s="132" t="s">
        <v>289</v>
      </c>
      <c r="W2456" s="132" t="s">
        <v>267</v>
      </c>
      <c r="X2456" s="133">
        <v>41743</v>
      </c>
      <c r="Y2456" s="134">
        <v>334</v>
      </c>
    </row>
    <row r="2457" spans="6:25" x14ac:dyDescent="0.25">
      <c r="F2457" s="76" t="s">
        <v>150</v>
      </c>
      <c r="G2457" s="77" t="s">
        <v>193</v>
      </c>
      <c r="H2457" s="77" t="s">
        <v>153</v>
      </c>
      <c r="I2457" s="86">
        <v>41718</v>
      </c>
      <c r="J2457" s="78">
        <v>421</v>
      </c>
      <c r="U2457" s="132" t="s">
        <v>154</v>
      </c>
      <c r="V2457" s="132" t="s">
        <v>289</v>
      </c>
      <c r="W2457" s="132" t="s">
        <v>267</v>
      </c>
      <c r="X2457" s="133">
        <v>41744</v>
      </c>
      <c r="Y2457" s="134">
        <v>1051</v>
      </c>
    </row>
    <row r="2458" spans="6:25" x14ac:dyDescent="0.25">
      <c r="F2458" s="76" t="s">
        <v>150</v>
      </c>
      <c r="G2458" s="77" t="s">
        <v>193</v>
      </c>
      <c r="H2458" s="77" t="s">
        <v>153</v>
      </c>
      <c r="I2458" s="86">
        <v>41722</v>
      </c>
      <c r="J2458" s="78">
        <v>817</v>
      </c>
      <c r="U2458" s="132" t="s">
        <v>154</v>
      </c>
      <c r="V2458" s="132" t="s">
        <v>289</v>
      </c>
      <c r="W2458" s="132" t="s">
        <v>267</v>
      </c>
      <c r="X2458" s="133">
        <v>41745</v>
      </c>
      <c r="Y2458" s="134">
        <v>951</v>
      </c>
    </row>
    <row r="2459" spans="6:25" x14ac:dyDescent="0.25">
      <c r="F2459" s="76" t="s">
        <v>150</v>
      </c>
      <c r="G2459" s="77" t="s">
        <v>193</v>
      </c>
      <c r="H2459" s="77" t="s">
        <v>153</v>
      </c>
      <c r="I2459" s="86">
        <v>41724</v>
      </c>
      <c r="J2459" s="78">
        <v>1021</v>
      </c>
      <c r="U2459" s="132" t="s">
        <v>154</v>
      </c>
      <c r="V2459" s="132" t="s">
        <v>289</v>
      </c>
      <c r="W2459" s="132" t="s">
        <v>267</v>
      </c>
      <c r="X2459" s="133">
        <v>41746</v>
      </c>
      <c r="Y2459" s="134">
        <v>766</v>
      </c>
    </row>
    <row r="2460" spans="6:25" x14ac:dyDescent="0.25">
      <c r="F2460" s="76" t="s">
        <v>150</v>
      </c>
      <c r="G2460" s="77" t="s">
        <v>193</v>
      </c>
      <c r="H2460" s="77" t="s">
        <v>153</v>
      </c>
      <c r="I2460" s="86">
        <v>41726</v>
      </c>
      <c r="J2460" s="78">
        <v>1156</v>
      </c>
      <c r="U2460" s="132" t="s">
        <v>154</v>
      </c>
      <c r="V2460" s="132" t="s">
        <v>289</v>
      </c>
      <c r="W2460" s="132" t="s">
        <v>267</v>
      </c>
      <c r="X2460" s="133">
        <v>41747</v>
      </c>
      <c r="Y2460" s="134">
        <v>958</v>
      </c>
    </row>
    <row r="2461" spans="6:25" x14ac:dyDescent="0.25">
      <c r="F2461" s="76" t="s">
        <v>150</v>
      </c>
      <c r="G2461" s="77" t="s">
        <v>193</v>
      </c>
      <c r="H2461" s="77" t="s">
        <v>153</v>
      </c>
      <c r="I2461" s="86">
        <v>41729</v>
      </c>
      <c r="J2461" s="78">
        <v>951</v>
      </c>
      <c r="U2461" s="132" t="s">
        <v>154</v>
      </c>
      <c r="V2461" s="132" t="s">
        <v>289</v>
      </c>
      <c r="W2461" s="132" t="s">
        <v>267</v>
      </c>
      <c r="X2461" s="133">
        <v>41750</v>
      </c>
      <c r="Y2461" s="134">
        <v>585</v>
      </c>
    </row>
    <row r="2462" spans="6:25" x14ac:dyDescent="0.25">
      <c r="F2462" s="76" t="s">
        <v>150</v>
      </c>
      <c r="G2462" s="77" t="s">
        <v>193</v>
      </c>
      <c r="H2462" s="77" t="s">
        <v>153</v>
      </c>
      <c r="I2462" s="86">
        <v>41730</v>
      </c>
      <c r="J2462" s="78">
        <v>658</v>
      </c>
      <c r="U2462" s="132" t="s">
        <v>154</v>
      </c>
      <c r="V2462" s="132" t="s">
        <v>289</v>
      </c>
      <c r="W2462" s="132" t="s">
        <v>267</v>
      </c>
      <c r="X2462" s="133">
        <v>41751</v>
      </c>
      <c r="Y2462" s="134">
        <v>250</v>
      </c>
    </row>
    <row r="2463" spans="6:25" x14ac:dyDescent="0.25">
      <c r="F2463" s="76" t="s">
        <v>150</v>
      </c>
      <c r="G2463" s="77" t="s">
        <v>193</v>
      </c>
      <c r="H2463" s="77" t="s">
        <v>153</v>
      </c>
      <c r="I2463" s="86">
        <v>41732</v>
      </c>
      <c r="J2463" s="78">
        <v>593</v>
      </c>
      <c r="U2463" s="132" t="s">
        <v>154</v>
      </c>
      <c r="V2463" s="132" t="s">
        <v>289</v>
      </c>
      <c r="W2463" s="132" t="s">
        <v>267</v>
      </c>
      <c r="X2463" s="133">
        <v>41752</v>
      </c>
      <c r="Y2463" s="134">
        <v>1030</v>
      </c>
    </row>
    <row r="2464" spans="6:25" x14ac:dyDescent="0.25">
      <c r="F2464" s="76" t="s">
        <v>150</v>
      </c>
      <c r="G2464" s="77" t="s">
        <v>193</v>
      </c>
      <c r="H2464" s="77" t="s">
        <v>153</v>
      </c>
      <c r="I2464" s="86">
        <v>41739</v>
      </c>
      <c r="J2464" s="78">
        <v>563</v>
      </c>
      <c r="U2464" s="132" t="s">
        <v>154</v>
      </c>
      <c r="V2464" s="132" t="s">
        <v>289</v>
      </c>
      <c r="W2464" s="132" t="s">
        <v>267</v>
      </c>
      <c r="X2464" s="133">
        <v>41753</v>
      </c>
      <c r="Y2464" s="134">
        <v>769</v>
      </c>
    </row>
    <row r="2465" spans="6:25" x14ac:dyDescent="0.25">
      <c r="F2465" s="76" t="s">
        <v>150</v>
      </c>
      <c r="G2465" s="77" t="s">
        <v>193</v>
      </c>
      <c r="H2465" s="77" t="s">
        <v>153</v>
      </c>
      <c r="I2465" s="86">
        <v>41740</v>
      </c>
      <c r="J2465" s="78">
        <v>550</v>
      </c>
      <c r="U2465" s="132" t="s">
        <v>154</v>
      </c>
      <c r="V2465" s="132" t="s">
        <v>289</v>
      </c>
      <c r="W2465" s="132" t="s">
        <v>267</v>
      </c>
      <c r="X2465" s="133">
        <v>41754</v>
      </c>
      <c r="Y2465" s="134">
        <v>529</v>
      </c>
    </row>
    <row r="2466" spans="6:25" x14ac:dyDescent="0.25">
      <c r="F2466" s="76" t="s">
        <v>150</v>
      </c>
      <c r="G2466" s="77" t="s">
        <v>193</v>
      </c>
      <c r="H2466" s="77" t="s">
        <v>153</v>
      </c>
      <c r="I2466" s="86">
        <v>41742</v>
      </c>
      <c r="J2466" s="78">
        <v>599</v>
      </c>
      <c r="U2466" s="132" t="s">
        <v>154</v>
      </c>
      <c r="V2466" s="132" t="s">
        <v>289</v>
      </c>
      <c r="W2466" s="132" t="s">
        <v>267</v>
      </c>
      <c r="X2466" s="133">
        <v>41754</v>
      </c>
      <c r="Y2466" s="134">
        <v>680</v>
      </c>
    </row>
    <row r="2467" spans="6:25" x14ac:dyDescent="0.25">
      <c r="F2467" s="76" t="s">
        <v>150</v>
      </c>
      <c r="G2467" s="77" t="s">
        <v>193</v>
      </c>
      <c r="H2467" s="77" t="s">
        <v>153</v>
      </c>
      <c r="I2467" s="86">
        <v>41743</v>
      </c>
      <c r="J2467" s="78">
        <v>580</v>
      </c>
      <c r="U2467" s="132" t="s">
        <v>154</v>
      </c>
      <c r="V2467" s="132" t="s">
        <v>289</v>
      </c>
      <c r="W2467" s="132" t="s">
        <v>267</v>
      </c>
      <c r="X2467" s="133">
        <v>41755</v>
      </c>
      <c r="Y2467" s="134">
        <v>269</v>
      </c>
    </row>
    <row r="2468" spans="6:25" x14ac:dyDescent="0.25">
      <c r="F2468" s="76" t="s">
        <v>150</v>
      </c>
      <c r="G2468" s="77" t="s">
        <v>193</v>
      </c>
      <c r="H2468" s="77" t="s">
        <v>153</v>
      </c>
      <c r="I2468" s="86">
        <v>41744</v>
      </c>
      <c r="J2468" s="78">
        <v>632</v>
      </c>
      <c r="U2468" s="132" t="s">
        <v>154</v>
      </c>
      <c r="V2468" s="132" t="s">
        <v>289</v>
      </c>
      <c r="W2468" s="132" t="s">
        <v>267</v>
      </c>
      <c r="X2468" s="133">
        <v>41755</v>
      </c>
      <c r="Y2468" s="134">
        <v>375</v>
      </c>
    </row>
    <row r="2469" spans="6:25" x14ac:dyDescent="0.25">
      <c r="F2469" s="76" t="s">
        <v>150</v>
      </c>
      <c r="G2469" s="77" t="s">
        <v>193</v>
      </c>
      <c r="H2469" s="77" t="s">
        <v>153</v>
      </c>
      <c r="I2469" s="86">
        <v>41801</v>
      </c>
      <c r="J2469" s="78">
        <v>819</v>
      </c>
      <c r="U2469" s="132" t="s">
        <v>154</v>
      </c>
      <c r="V2469" s="132" t="s">
        <v>289</v>
      </c>
      <c r="W2469" s="132" t="s">
        <v>267</v>
      </c>
      <c r="X2469" s="133">
        <v>41755</v>
      </c>
      <c r="Y2469" s="134">
        <v>467</v>
      </c>
    </row>
    <row r="2470" spans="6:25" x14ac:dyDescent="0.25">
      <c r="F2470" s="76" t="s">
        <v>150</v>
      </c>
      <c r="G2470" s="77" t="s">
        <v>193</v>
      </c>
      <c r="H2470" s="77" t="s">
        <v>153</v>
      </c>
      <c r="I2470" s="86">
        <v>41802</v>
      </c>
      <c r="J2470" s="78">
        <v>758</v>
      </c>
      <c r="U2470" s="132" t="s">
        <v>154</v>
      </c>
      <c r="V2470" s="132" t="s">
        <v>289</v>
      </c>
      <c r="W2470" s="132" t="s">
        <v>267</v>
      </c>
      <c r="X2470" s="133">
        <v>41756</v>
      </c>
      <c r="Y2470" s="134">
        <v>440</v>
      </c>
    </row>
    <row r="2471" spans="6:25" x14ac:dyDescent="0.25">
      <c r="F2471" s="76" t="s">
        <v>150</v>
      </c>
      <c r="G2471" s="77" t="s">
        <v>193</v>
      </c>
      <c r="H2471" s="77" t="s">
        <v>153</v>
      </c>
      <c r="I2471" s="86">
        <v>41806</v>
      </c>
      <c r="J2471" s="78">
        <v>716</v>
      </c>
      <c r="U2471" s="132" t="s">
        <v>154</v>
      </c>
      <c r="V2471" s="132" t="s">
        <v>289</v>
      </c>
      <c r="W2471" s="132" t="s">
        <v>267</v>
      </c>
      <c r="X2471" s="133">
        <v>41756</v>
      </c>
      <c r="Y2471" s="134">
        <v>424</v>
      </c>
    </row>
    <row r="2472" spans="6:25" x14ac:dyDescent="0.25">
      <c r="F2472" s="76" t="s">
        <v>150</v>
      </c>
      <c r="G2472" s="77" t="s">
        <v>193</v>
      </c>
      <c r="H2472" s="77" t="s">
        <v>153</v>
      </c>
      <c r="I2472" s="86">
        <v>41808</v>
      </c>
      <c r="J2472" s="78">
        <v>1214</v>
      </c>
      <c r="U2472" s="132" t="s">
        <v>154</v>
      </c>
      <c r="V2472" s="132" t="s">
        <v>289</v>
      </c>
      <c r="W2472" s="132" t="s">
        <v>267</v>
      </c>
      <c r="X2472" s="133">
        <v>41756</v>
      </c>
      <c r="Y2472" s="134">
        <v>230</v>
      </c>
    </row>
    <row r="2473" spans="6:25" x14ac:dyDescent="0.25">
      <c r="F2473" s="76" t="s">
        <v>150</v>
      </c>
      <c r="G2473" s="77" t="s">
        <v>193</v>
      </c>
      <c r="H2473" s="77" t="s">
        <v>153</v>
      </c>
      <c r="I2473" s="86">
        <v>41808</v>
      </c>
      <c r="J2473" s="78">
        <v>1224</v>
      </c>
      <c r="U2473" s="132" t="s">
        <v>154</v>
      </c>
      <c r="V2473" s="132" t="s">
        <v>289</v>
      </c>
      <c r="W2473" s="132" t="s">
        <v>267</v>
      </c>
      <c r="X2473" s="133">
        <v>41757</v>
      </c>
      <c r="Y2473" s="134">
        <v>512</v>
      </c>
    </row>
    <row r="2474" spans="6:25" x14ac:dyDescent="0.25">
      <c r="F2474" s="76" t="s">
        <v>150</v>
      </c>
      <c r="G2474" s="77" t="s">
        <v>193</v>
      </c>
      <c r="H2474" s="77" t="s">
        <v>153</v>
      </c>
      <c r="I2474" s="86">
        <v>41809</v>
      </c>
      <c r="J2474" s="78">
        <v>886</v>
      </c>
      <c r="U2474" s="132" t="s">
        <v>154</v>
      </c>
      <c r="V2474" s="132" t="s">
        <v>289</v>
      </c>
      <c r="W2474" s="132" t="s">
        <v>267</v>
      </c>
      <c r="X2474" s="133">
        <v>41757</v>
      </c>
      <c r="Y2474" s="134">
        <v>705</v>
      </c>
    </row>
    <row r="2475" spans="6:25" x14ac:dyDescent="0.25">
      <c r="F2475" s="76" t="s">
        <v>150</v>
      </c>
      <c r="G2475" s="77" t="s">
        <v>193</v>
      </c>
      <c r="H2475" s="77" t="s">
        <v>153</v>
      </c>
      <c r="I2475" s="86">
        <v>41811</v>
      </c>
      <c r="J2475" s="78">
        <v>1057</v>
      </c>
      <c r="U2475" s="132" t="s">
        <v>154</v>
      </c>
      <c r="V2475" s="132" t="s">
        <v>289</v>
      </c>
      <c r="W2475" s="132" t="s">
        <v>267</v>
      </c>
      <c r="X2475" s="133">
        <v>41812</v>
      </c>
      <c r="Y2475" s="134">
        <v>485</v>
      </c>
    </row>
    <row r="2476" spans="6:25" x14ac:dyDescent="0.25">
      <c r="F2476" s="76" t="s">
        <v>150</v>
      </c>
      <c r="G2476" s="77" t="s">
        <v>193</v>
      </c>
      <c r="H2476" s="77" t="s">
        <v>153</v>
      </c>
      <c r="I2476" s="86">
        <v>41811</v>
      </c>
      <c r="J2476" s="78">
        <v>1116</v>
      </c>
      <c r="U2476" s="132" t="s">
        <v>154</v>
      </c>
      <c r="V2476" s="132" t="s">
        <v>290</v>
      </c>
      <c r="W2476" s="132" t="s">
        <v>267</v>
      </c>
      <c r="X2476" s="133">
        <v>41699</v>
      </c>
      <c r="Y2476" s="134">
        <v>655</v>
      </c>
    </row>
    <row r="2477" spans="6:25" x14ac:dyDescent="0.25">
      <c r="F2477" s="76" t="s">
        <v>150</v>
      </c>
      <c r="G2477" s="77" t="s">
        <v>193</v>
      </c>
      <c r="H2477" s="77" t="s">
        <v>153</v>
      </c>
      <c r="I2477" s="86">
        <v>41812</v>
      </c>
      <c r="J2477" s="78">
        <v>1295</v>
      </c>
      <c r="U2477" s="132" t="s">
        <v>154</v>
      </c>
      <c r="V2477" s="132" t="s">
        <v>290</v>
      </c>
      <c r="W2477" s="132" t="s">
        <v>267</v>
      </c>
      <c r="X2477" s="133">
        <v>41701</v>
      </c>
      <c r="Y2477" s="134">
        <v>919</v>
      </c>
    </row>
    <row r="2478" spans="6:25" x14ac:dyDescent="0.25">
      <c r="F2478" s="76" t="s">
        <v>150</v>
      </c>
      <c r="G2478" s="77" t="s">
        <v>193</v>
      </c>
      <c r="H2478" s="77" t="s">
        <v>153</v>
      </c>
      <c r="I2478" s="86">
        <v>41813</v>
      </c>
      <c r="J2478" s="78">
        <v>1214</v>
      </c>
      <c r="U2478" s="132" t="s">
        <v>154</v>
      </c>
      <c r="V2478" s="132" t="s">
        <v>290</v>
      </c>
      <c r="W2478" s="132" t="s">
        <v>267</v>
      </c>
      <c r="X2478" s="133">
        <v>41702</v>
      </c>
      <c r="Y2478" s="134">
        <v>580</v>
      </c>
    </row>
    <row r="2479" spans="6:25" x14ac:dyDescent="0.25">
      <c r="F2479" s="76" t="s">
        <v>150</v>
      </c>
      <c r="G2479" s="77" t="s">
        <v>193</v>
      </c>
      <c r="H2479" s="77" t="s">
        <v>153</v>
      </c>
      <c r="I2479" s="86">
        <v>41815</v>
      </c>
      <c r="J2479" s="78">
        <v>927</v>
      </c>
      <c r="U2479" s="132" t="s">
        <v>154</v>
      </c>
      <c r="V2479" s="132" t="s">
        <v>290</v>
      </c>
      <c r="W2479" s="132" t="s">
        <v>267</v>
      </c>
      <c r="X2479" s="133">
        <v>41703</v>
      </c>
      <c r="Y2479" s="134">
        <v>920</v>
      </c>
    </row>
    <row r="2480" spans="6:25" x14ac:dyDescent="0.25">
      <c r="F2480" s="76" t="s">
        <v>150</v>
      </c>
      <c r="G2480" s="77" t="s">
        <v>193</v>
      </c>
      <c r="H2480" s="77" t="s">
        <v>153</v>
      </c>
      <c r="I2480" s="86">
        <v>41817</v>
      </c>
      <c r="J2480" s="78">
        <v>1078</v>
      </c>
      <c r="U2480" s="132" t="s">
        <v>154</v>
      </c>
      <c r="V2480" s="132" t="s">
        <v>290</v>
      </c>
      <c r="W2480" s="132" t="s">
        <v>267</v>
      </c>
      <c r="X2480" s="133">
        <v>41704</v>
      </c>
      <c r="Y2480" s="134">
        <v>412</v>
      </c>
    </row>
    <row r="2481" spans="6:25" x14ac:dyDescent="0.25">
      <c r="F2481" s="76" t="s">
        <v>150</v>
      </c>
      <c r="G2481" s="77" t="s">
        <v>193</v>
      </c>
      <c r="H2481" s="77" t="s">
        <v>153</v>
      </c>
      <c r="I2481" s="86">
        <v>41817</v>
      </c>
      <c r="J2481" s="78">
        <v>1179</v>
      </c>
      <c r="U2481" s="132" t="s">
        <v>154</v>
      </c>
      <c r="V2481" s="132" t="s">
        <v>290</v>
      </c>
      <c r="W2481" s="132" t="s">
        <v>267</v>
      </c>
      <c r="X2481" s="133">
        <v>41705</v>
      </c>
      <c r="Y2481" s="134">
        <v>980</v>
      </c>
    </row>
    <row r="2482" spans="6:25" x14ac:dyDescent="0.25">
      <c r="F2482" s="76" t="s">
        <v>150</v>
      </c>
      <c r="G2482" s="77" t="s">
        <v>193</v>
      </c>
      <c r="H2482" s="77" t="s">
        <v>153</v>
      </c>
      <c r="I2482" s="86">
        <v>41818</v>
      </c>
      <c r="J2482" s="78">
        <v>530</v>
      </c>
      <c r="U2482" s="132" t="s">
        <v>154</v>
      </c>
      <c r="V2482" s="132" t="s">
        <v>290</v>
      </c>
      <c r="W2482" s="132" t="s">
        <v>267</v>
      </c>
      <c r="X2482" s="133">
        <v>41706</v>
      </c>
      <c r="Y2482" s="134">
        <v>745</v>
      </c>
    </row>
    <row r="2483" spans="6:25" x14ac:dyDescent="0.25">
      <c r="F2483" s="76" t="s">
        <v>150</v>
      </c>
      <c r="G2483" s="77" t="s">
        <v>193</v>
      </c>
      <c r="H2483" s="77" t="s">
        <v>153</v>
      </c>
      <c r="I2483" s="86">
        <v>41819</v>
      </c>
      <c r="J2483" s="78">
        <v>681</v>
      </c>
      <c r="U2483" s="132" t="s">
        <v>154</v>
      </c>
      <c r="V2483" s="132" t="s">
        <v>290</v>
      </c>
      <c r="W2483" s="132" t="s">
        <v>267</v>
      </c>
      <c r="X2483" s="133">
        <v>41709</v>
      </c>
      <c r="Y2483" s="134">
        <v>429</v>
      </c>
    </row>
    <row r="2484" spans="6:25" x14ac:dyDescent="0.25">
      <c r="F2484" s="76" t="s">
        <v>150</v>
      </c>
      <c r="G2484" s="77" t="s">
        <v>193</v>
      </c>
      <c r="H2484" s="77" t="s">
        <v>153</v>
      </c>
      <c r="I2484" s="86">
        <v>41821</v>
      </c>
      <c r="J2484" s="78">
        <v>1314</v>
      </c>
      <c r="U2484" s="132" t="s">
        <v>154</v>
      </c>
      <c r="V2484" s="132" t="s">
        <v>290</v>
      </c>
      <c r="W2484" s="132" t="s">
        <v>267</v>
      </c>
      <c r="X2484" s="133">
        <v>41710</v>
      </c>
      <c r="Y2484" s="134">
        <v>590</v>
      </c>
    </row>
    <row r="2485" spans="6:25" x14ac:dyDescent="0.25">
      <c r="F2485" s="76" t="s">
        <v>150</v>
      </c>
      <c r="G2485" s="77" t="s">
        <v>193</v>
      </c>
      <c r="H2485" s="77" t="s">
        <v>153</v>
      </c>
      <c r="I2485" s="86">
        <v>41822</v>
      </c>
      <c r="J2485" s="78">
        <v>1178</v>
      </c>
      <c r="U2485" s="132" t="s">
        <v>154</v>
      </c>
      <c r="V2485" s="132" t="s">
        <v>290</v>
      </c>
      <c r="W2485" s="132" t="s">
        <v>267</v>
      </c>
      <c r="X2485" s="133">
        <v>41710</v>
      </c>
      <c r="Y2485" s="134">
        <v>280</v>
      </c>
    </row>
    <row r="2486" spans="6:25" x14ac:dyDescent="0.25">
      <c r="F2486" s="76" t="s">
        <v>150</v>
      </c>
      <c r="G2486" s="77" t="s">
        <v>193</v>
      </c>
      <c r="H2486" s="77" t="s">
        <v>153</v>
      </c>
      <c r="I2486" s="86">
        <v>41822</v>
      </c>
      <c r="J2486" s="78">
        <v>950</v>
      </c>
      <c r="U2486" s="132" t="s">
        <v>154</v>
      </c>
      <c r="V2486" s="132" t="s">
        <v>290</v>
      </c>
      <c r="W2486" s="132" t="s">
        <v>267</v>
      </c>
      <c r="X2486" s="133">
        <v>41711</v>
      </c>
      <c r="Y2486" s="134">
        <v>1276</v>
      </c>
    </row>
    <row r="2487" spans="6:25" x14ac:dyDescent="0.25">
      <c r="F2487" s="76" t="s">
        <v>150</v>
      </c>
      <c r="G2487" s="77" t="s">
        <v>193</v>
      </c>
      <c r="H2487" s="77" t="s">
        <v>153</v>
      </c>
      <c r="I2487" s="86">
        <v>41827</v>
      </c>
      <c r="J2487" s="78">
        <v>1214</v>
      </c>
      <c r="U2487" s="132" t="s">
        <v>154</v>
      </c>
      <c r="V2487" s="132" t="s">
        <v>290</v>
      </c>
      <c r="W2487" s="132" t="s">
        <v>267</v>
      </c>
      <c r="X2487" s="133">
        <v>41712</v>
      </c>
      <c r="Y2487" s="134">
        <v>443</v>
      </c>
    </row>
    <row r="2488" spans="6:25" x14ac:dyDescent="0.25">
      <c r="F2488" s="76" t="s">
        <v>150</v>
      </c>
      <c r="G2488" s="77" t="s">
        <v>193</v>
      </c>
      <c r="H2488" s="77" t="s">
        <v>153</v>
      </c>
      <c r="I2488" s="86">
        <v>41829</v>
      </c>
      <c r="J2488" s="78">
        <v>1002</v>
      </c>
      <c r="U2488" s="132" t="s">
        <v>154</v>
      </c>
      <c r="V2488" s="132" t="s">
        <v>290</v>
      </c>
      <c r="W2488" s="132" t="s">
        <v>267</v>
      </c>
      <c r="X2488" s="133">
        <v>41712</v>
      </c>
      <c r="Y2488" s="134">
        <v>954</v>
      </c>
    </row>
    <row r="2489" spans="6:25" x14ac:dyDescent="0.25">
      <c r="F2489" s="76" t="s">
        <v>150</v>
      </c>
      <c r="G2489" s="77" t="s">
        <v>193</v>
      </c>
      <c r="H2489" s="77" t="s">
        <v>153</v>
      </c>
      <c r="I2489" s="86">
        <v>41830</v>
      </c>
      <c r="J2489" s="78">
        <v>500</v>
      </c>
      <c r="U2489" s="132" t="s">
        <v>154</v>
      </c>
      <c r="V2489" s="132" t="s">
        <v>290</v>
      </c>
      <c r="W2489" s="132" t="s">
        <v>267</v>
      </c>
      <c r="X2489" s="133">
        <v>41713</v>
      </c>
      <c r="Y2489" s="134">
        <v>990</v>
      </c>
    </row>
    <row r="2490" spans="6:25" x14ac:dyDescent="0.25">
      <c r="F2490" s="76" t="s">
        <v>150</v>
      </c>
      <c r="G2490" s="77" t="s">
        <v>193</v>
      </c>
      <c r="H2490" s="77" t="s">
        <v>153</v>
      </c>
      <c r="I2490" s="86">
        <v>41831</v>
      </c>
      <c r="J2490" s="78">
        <v>899</v>
      </c>
      <c r="U2490" s="132" t="s">
        <v>154</v>
      </c>
      <c r="V2490" s="132" t="s">
        <v>290</v>
      </c>
      <c r="W2490" s="132" t="s">
        <v>267</v>
      </c>
      <c r="X2490" s="133">
        <v>41713</v>
      </c>
      <c r="Y2490" s="134">
        <v>235</v>
      </c>
    </row>
    <row r="2491" spans="6:25" x14ac:dyDescent="0.25">
      <c r="F2491" s="76" t="s">
        <v>150</v>
      </c>
      <c r="G2491" s="77" t="s">
        <v>193</v>
      </c>
      <c r="H2491" s="77" t="s">
        <v>153</v>
      </c>
      <c r="I2491" s="86">
        <v>41832</v>
      </c>
      <c r="J2491" s="78">
        <v>508</v>
      </c>
      <c r="U2491" s="132" t="s">
        <v>154</v>
      </c>
      <c r="V2491" s="132" t="s">
        <v>290</v>
      </c>
      <c r="W2491" s="132" t="s">
        <v>267</v>
      </c>
      <c r="X2491" s="133">
        <v>41714</v>
      </c>
      <c r="Y2491" s="134">
        <v>1119</v>
      </c>
    </row>
    <row r="2492" spans="6:25" x14ac:dyDescent="0.25">
      <c r="F2492" s="76" t="s">
        <v>150</v>
      </c>
      <c r="G2492" s="77" t="s">
        <v>193</v>
      </c>
      <c r="H2492" s="77" t="s">
        <v>153</v>
      </c>
      <c r="I2492" s="86">
        <v>41832</v>
      </c>
      <c r="J2492" s="78">
        <v>706</v>
      </c>
      <c r="U2492" s="132" t="s">
        <v>154</v>
      </c>
      <c r="V2492" s="132" t="s">
        <v>290</v>
      </c>
      <c r="W2492" s="132" t="s">
        <v>267</v>
      </c>
      <c r="X2492" s="133">
        <v>41714</v>
      </c>
      <c r="Y2492" s="134">
        <v>312</v>
      </c>
    </row>
    <row r="2493" spans="6:25" x14ac:dyDescent="0.25">
      <c r="F2493" s="76" t="s">
        <v>150</v>
      </c>
      <c r="G2493" s="77" t="s">
        <v>193</v>
      </c>
      <c r="H2493" s="77" t="s">
        <v>153</v>
      </c>
      <c r="I2493" s="86">
        <v>41833</v>
      </c>
      <c r="J2493" s="78">
        <v>751</v>
      </c>
      <c r="U2493" s="132" t="s">
        <v>154</v>
      </c>
      <c r="V2493" s="132" t="s">
        <v>290</v>
      </c>
      <c r="W2493" s="132" t="s">
        <v>267</v>
      </c>
      <c r="X2493" s="133">
        <v>41715</v>
      </c>
      <c r="Y2493" s="134">
        <v>334</v>
      </c>
    </row>
    <row r="2494" spans="6:25" x14ac:dyDescent="0.25">
      <c r="F2494" s="76" t="s">
        <v>150</v>
      </c>
      <c r="G2494" s="77" t="s">
        <v>193</v>
      </c>
      <c r="H2494" s="77" t="s">
        <v>153</v>
      </c>
      <c r="I2494" s="86">
        <v>41834</v>
      </c>
      <c r="J2494" s="78">
        <v>586</v>
      </c>
      <c r="U2494" s="132" t="s">
        <v>154</v>
      </c>
      <c r="V2494" s="132" t="s">
        <v>290</v>
      </c>
      <c r="W2494" s="132" t="s">
        <v>267</v>
      </c>
      <c r="X2494" s="133">
        <v>41715</v>
      </c>
      <c r="Y2494" s="134">
        <v>766</v>
      </c>
    </row>
    <row r="2495" spans="6:25" x14ac:dyDescent="0.25">
      <c r="F2495" s="76" t="s">
        <v>150</v>
      </c>
      <c r="G2495" s="77" t="s">
        <v>193</v>
      </c>
      <c r="H2495" s="77" t="s">
        <v>153</v>
      </c>
      <c r="I2495" s="86">
        <v>41837</v>
      </c>
      <c r="J2495" s="78">
        <v>1048</v>
      </c>
      <c r="U2495" s="132" t="s">
        <v>154</v>
      </c>
      <c r="V2495" s="132" t="s">
        <v>290</v>
      </c>
      <c r="W2495" s="132" t="s">
        <v>267</v>
      </c>
      <c r="X2495" s="133">
        <v>41716</v>
      </c>
      <c r="Y2495" s="134">
        <v>704</v>
      </c>
    </row>
    <row r="2496" spans="6:25" x14ac:dyDescent="0.25">
      <c r="F2496" s="76" t="s">
        <v>150</v>
      </c>
      <c r="G2496" s="77" t="s">
        <v>193</v>
      </c>
      <c r="H2496" s="77" t="s">
        <v>153</v>
      </c>
      <c r="I2496" s="86">
        <v>41838</v>
      </c>
      <c r="J2496" s="78">
        <v>811</v>
      </c>
      <c r="U2496" s="132" t="s">
        <v>154</v>
      </c>
      <c r="V2496" s="132" t="s">
        <v>290</v>
      </c>
      <c r="W2496" s="132" t="s">
        <v>267</v>
      </c>
      <c r="X2496" s="133">
        <v>41723</v>
      </c>
      <c r="Y2496" s="134">
        <v>376</v>
      </c>
    </row>
    <row r="2497" spans="6:25" x14ac:dyDescent="0.25">
      <c r="F2497" s="76" t="s">
        <v>150</v>
      </c>
      <c r="G2497" s="77" t="s">
        <v>193</v>
      </c>
      <c r="H2497" s="77" t="s">
        <v>153</v>
      </c>
      <c r="I2497" s="86">
        <v>41842</v>
      </c>
      <c r="J2497" s="78">
        <v>910</v>
      </c>
      <c r="U2497" s="132" t="s">
        <v>154</v>
      </c>
      <c r="V2497" s="132" t="s">
        <v>290</v>
      </c>
      <c r="W2497" s="132" t="s">
        <v>267</v>
      </c>
      <c r="X2497" s="133">
        <v>41723</v>
      </c>
      <c r="Y2497" s="134">
        <v>610</v>
      </c>
    </row>
    <row r="2498" spans="6:25" x14ac:dyDescent="0.25">
      <c r="F2498" s="76" t="s">
        <v>150</v>
      </c>
      <c r="G2498" s="77" t="s">
        <v>193</v>
      </c>
      <c r="H2498" s="77" t="s">
        <v>153</v>
      </c>
      <c r="I2498" s="86">
        <v>41843</v>
      </c>
      <c r="J2498" s="78">
        <v>749</v>
      </c>
      <c r="U2498" s="132" t="s">
        <v>154</v>
      </c>
      <c r="V2498" s="132" t="s">
        <v>290</v>
      </c>
      <c r="W2498" s="132" t="s">
        <v>267</v>
      </c>
      <c r="X2498" s="133">
        <v>41724</v>
      </c>
      <c r="Y2498" s="134">
        <v>762</v>
      </c>
    </row>
    <row r="2499" spans="6:25" x14ac:dyDescent="0.25">
      <c r="F2499" s="76" t="s">
        <v>150</v>
      </c>
      <c r="G2499" s="77" t="s">
        <v>193</v>
      </c>
      <c r="H2499" s="77" t="s">
        <v>153</v>
      </c>
      <c r="I2499" s="86">
        <v>41846</v>
      </c>
      <c r="J2499" s="78">
        <v>1108</v>
      </c>
      <c r="U2499" s="132" t="s">
        <v>154</v>
      </c>
      <c r="V2499" s="132" t="s">
        <v>290</v>
      </c>
      <c r="W2499" s="132" t="s">
        <v>267</v>
      </c>
      <c r="X2499" s="133">
        <v>41725</v>
      </c>
      <c r="Y2499" s="134">
        <v>638</v>
      </c>
    </row>
    <row r="2500" spans="6:25" x14ac:dyDescent="0.25">
      <c r="F2500" s="76" t="s">
        <v>150</v>
      </c>
      <c r="G2500" s="77" t="s">
        <v>193</v>
      </c>
      <c r="H2500" s="77" t="s">
        <v>153</v>
      </c>
      <c r="I2500" s="86">
        <v>41846</v>
      </c>
      <c r="J2500" s="78">
        <v>1235</v>
      </c>
      <c r="U2500" s="132" t="s">
        <v>154</v>
      </c>
      <c r="V2500" s="132" t="s">
        <v>290</v>
      </c>
      <c r="W2500" s="132" t="s">
        <v>267</v>
      </c>
      <c r="X2500" s="133">
        <v>41725</v>
      </c>
      <c r="Y2500" s="134">
        <v>497</v>
      </c>
    </row>
    <row r="2501" spans="6:25" x14ac:dyDescent="0.25">
      <c r="F2501" s="76" t="s">
        <v>150</v>
      </c>
      <c r="G2501" s="77" t="s">
        <v>193</v>
      </c>
      <c r="H2501" s="77" t="s">
        <v>153</v>
      </c>
      <c r="I2501" s="86">
        <v>41847</v>
      </c>
      <c r="J2501" s="78">
        <v>1159</v>
      </c>
      <c r="U2501" s="132" t="s">
        <v>154</v>
      </c>
      <c r="V2501" s="132" t="s">
        <v>290</v>
      </c>
      <c r="W2501" s="132" t="s">
        <v>267</v>
      </c>
      <c r="X2501" s="133">
        <v>41726</v>
      </c>
      <c r="Y2501" s="134">
        <v>673</v>
      </c>
    </row>
    <row r="2502" spans="6:25" x14ac:dyDescent="0.25">
      <c r="F2502" s="76" t="s">
        <v>150</v>
      </c>
      <c r="G2502" s="77" t="s">
        <v>193</v>
      </c>
      <c r="H2502" s="77" t="s">
        <v>153</v>
      </c>
      <c r="I2502" s="86">
        <v>41848</v>
      </c>
      <c r="J2502" s="78">
        <v>1239</v>
      </c>
      <c r="U2502" s="132" t="s">
        <v>154</v>
      </c>
      <c r="V2502" s="132" t="s">
        <v>290</v>
      </c>
      <c r="W2502" s="132" t="s">
        <v>267</v>
      </c>
      <c r="X2502" s="133">
        <v>41729</v>
      </c>
      <c r="Y2502" s="134">
        <v>455</v>
      </c>
    </row>
    <row r="2503" spans="6:25" x14ac:dyDescent="0.25">
      <c r="F2503" s="76" t="s">
        <v>150</v>
      </c>
      <c r="G2503" s="77" t="s">
        <v>193</v>
      </c>
      <c r="H2503" s="77" t="s">
        <v>153</v>
      </c>
      <c r="I2503" s="86">
        <v>41849</v>
      </c>
      <c r="J2503" s="78">
        <v>1188</v>
      </c>
      <c r="U2503" s="132" t="s">
        <v>154</v>
      </c>
      <c r="V2503" s="132" t="s">
        <v>290</v>
      </c>
      <c r="W2503" s="132" t="s">
        <v>267</v>
      </c>
      <c r="X2503" s="133">
        <v>41730</v>
      </c>
      <c r="Y2503" s="134">
        <v>1271</v>
      </c>
    </row>
    <row r="2504" spans="6:25" x14ac:dyDescent="0.25">
      <c r="F2504" s="76" t="s">
        <v>150</v>
      </c>
      <c r="G2504" s="77" t="s">
        <v>193</v>
      </c>
      <c r="H2504" s="77" t="s">
        <v>153</v>
      </c>
      <c r="I2504" s="86">
        <v>41850</v>
      </c>
      <c r="J2504" s="78">
        <v>1146</v>
      </c>
      <c r="U2504" s="132" t="s">
        <v>154</v>
      </c>
      <c r="V2504" s="132" t="s">
        <v>290</v>
      </c>
      <c r="W2504" s="132" t="s">
        <v>267</v>
      </c>
      <c r="X2504" s="133">
        <v>41731</v>
      </c>
      <c r="Y2504" s="134">
        <v>710</v>
      </c>
    </row>
    <row r="2505" spans="6:25" x14ac:dyDescent="0.25">
      <c r="F2505" s="76" t="s">
        <v>150</v>
      </c>
      <c r="G2505" s="77" t="s">
        <v>193</v>
      </c>
      <c r="H2505" s="77" t="s">
        <v>153</v>
      </c>
      <c r="I2505" s="86">
        <v>41852</v>
      </c>
      <c r="J2505" s="78">
        <v>1306</v>
      </c>
      <c r="U2505" s="132" t="s">
        <v>154</v>
      </c>
      <c r="V2505" s="132" t="s">
        <v>290</v>
      </c>
      <c r="W2505" s="132" t="s">
        <v>267</v>
      </c>
      <c r="X2505" s="133">
        <v>41732</v>
      </c>
      <c r="Y2505" s="134">
        <v>700</v>
      </c>
    </row>
    <row r="2506" spans="6:25" x14ac:dyDescent="0.25">
      <c r="F2506" s="76" t="s">
        <v>150</v>
      </c>
      <c r="G2506" s="77" t="s">
        <v>193</v>
      </c>
      <c r="H2506" s="77" t="s">
        <v>153</v>
      </c>
      <c r="I2506" s="86">
        <v>41856</v>
      </c>
      <c r="J2506" s="78">
        <v>803</v>
      </c>
      <c r="U2506" s="132" t="s">
        <v>154</v>
      </c>
      <c r="V2506" s="132" t="s">
        <v>290</v>
      </c>
      <c r="W2506" s="132" t="s">
        <v>267</v>
      </c>
      <c r="X2506" s="133">
        <v>41733</v>
      </c>
      <c r="Y2506" s="134">
        <v>914</v>
      </c>
    </row>
    <row r="2507" spans="6:25" x14ac:dyDescent="0.25">
      <c r="F2507" s="76" t="s">
        <v>150</v>
      </c>
      <c r="G2507" s="77" t="s">
        <v>193</v>
      </c>
      <c r="H2507" s="77" t="s">
        <v>153</v>
      </c>
      <c r="I2507" s="86">
        <v>41857</v>
      </c>
      <c r="J2507" s="78">
        <v>670</v>
      </c>
      <c r="U2507" s="132" t="s">
        <v>154</v>
      </c>
      <c r="V2507" s="132" t="s">
        <v>290</v>
      </c>
      <c r="W2507" s="132" t="s">
        <v>267</v>
      </c>
      <c r="X2507" s="133">
        <v>41735</v>
      </c>
      <c r="Y2507" s="134">
        <v>542</v>
      </c>
    </row>
    <row r="2508" spans="6:25" x14ac:dyDescent="0.25">
      <c r="F2508" s="76" t="s">
        <v>150</v>
      </c>
      <c r="G2508" s="77" t="s">
        <v>193</v>
      </c>
      <c r="H2508" s="77" t="s">
        <v>153</v>
      </c>
      <c r="I2508" s="86">
        <v>41858</v>
      </c>
      <c r="J2508" s="78">
        <v>754</v>
      </c>
      <c r="U2508" s="132" t="s">
        <v>154</v>
      </c>
      <c r="V2508" s="132" t="s">
        <v>290</v>
      </c>
      <c r="W2508" s="132" t="s">
        <v>267</v>
      </c>
      <c r="X2508" s="133">
        <v>41736</v>
      </c>
      <c r="Y2508" s="134">
        <v>725</v>
      </c>
    </row>
    <row r="2509" spans="6:25" x14ac:dyDescent="0.25">
      <c r="F2509" s="76" t="s">
        <v>150</v>
      </c>
      <c r="G2509" s="77" t="s">
        <v>193</v>
      </c>
      <c r="H2509" s="77" t="s">
        <v>153</v>
      </c>
      <c r="I2509" s="86">
        <v>41859</v>
      </c>
      <c r="J2509" s="78">
        <v>558</v>
      </c>
      <c r="U2509" s="132" t="s">
        <v>154</v>
      </c>
      <c r="V2509" s="132" t="s">
        <v>290</v>
      </c>
      <c r="W2509" s="132" t="s">
        <v>267</v>
      </c>
      <c r="X2509" s="133">
        <v>41736</v>
      </c>
      <c r="Y2509" s="134">
        <v>925</v>
      </c>
    </row>
    <row r="2510" spans="6:25" x14ac:dyDescent="0.25">
      <c r="F2510" s="76" t="s">
        <v>150</v>
      </c>
      <c r="G2510" s="77" t="s">
        <v>193</v>
      </c>
      <c r="H2510" s="77" t="s">
        <v>153</v>
      </c>
      <c r="I2510" s="86">
        <v>41861</v>
      </c>
      <c r="J2510" s="78">
        <v>601</v>
      </c>
      <c r="U2510" s="132" t="s">
        <v>154</v>
      </c>
      <c r="V2510" s="132" t="s">
        <v>290</v>
      </c>
      <c r="W2510" s="132" t="s">
        <v>267</v>
      </c>
      <c r="X2510" s="133">
        <v>41737</v>
      </c>
      <c r="Y2510" s="134">
        <v>1100</v>
      </c>
    </row>
    <row r="2511" spans="6:25" x14ac:dyDescent="0.25">
      <c r="F2511" s="76" t="s">
        <v>150</v>
      </c>
      <c r="G2511" s="77" t="s">
        <v>193</v>
      </c>
      <c r="H2511" s="77" t="s">
        <v>153</v>
      </c>
      <c r="I2511" s="86">
        <v>41862</v>
      </c>
      <c r="J2511" s="78">
        <v>520</v>
      </c>
      <c r="U2511" s="132" t="s">
        <v>154</v>
      </c>
      <c r="V2511" s="132" t="s">
        <v>290</v>
      </c>
      <c r="W2511" s="132" t="s">
        <v>267</v>
      </c>
      <c r="X2511" s="133">
        <v>41738</v>
      </c>
      <c r="Y2511" s="134">
        <v>980</v>
      </c>
    </row>
    <row r="2512" spans="6:25" x14ac:dyDescent="0.25">
      <c r="F2512" s="76" t="s">
        <v>150</v>
      </c>
      <c r="G2512" s="77" t="s">
        <v>193</v>
      </c>
      <c r="H2512" s="77" t="s">
        <v>153</v>
      </c>
      <c r="I2512" s="86">
        <v>41862</v>
      </c>
      <c r="J2512" s="78">
        <v>555</v>
      </c>
      <c r="U2512" s="132" t="s">
        <v>154</v>
      </c>
      <c r="V2512" s="132" t="s">
        <v>290</v>
      </c>
      <c r="W2512" s="132" t="s">
        <v>267</v>
      </c>
      <c r="X2512" s="133">
        <v>41739</v>
      </c>
      <c r="Y2512" s="134">
        <v>754</v>
      </c>
    </row>
    <row r="2513" spans="6:25" x14ac:dyDescent="0.25">
      <c r="F2513" s="76" t="s">
        <v>150</v>
      </c>
      <c r="G2513" s="77" t="s">
        <v>193</v>
      </c>
      <c r="H2513" s="77" t="s">
        <v>153</v>
      </c>
      <c r="I2513" s="86">
        <v>41863</v>
      </c>
      <c r="J2513" s="78">
        <v>852</v>
      </c>
      <c r="U2513" s="132" t="s">
        <v>154</v>
      </c>
      <c r="V2513" s="132" t="s">
        <v>290</v>
      </c>
      <c r="W2513" s="132" t="s">
        <v>267</v>
      </c>
      <c r="X2513" s="133">
        <v>41740</v>
      </c>
      <c r="Y2513" s="134">
        <v>790</v>
      </c>
    </row>
    <row r="2514" spans="6:25" x14ac:dyDescent="0.25">
      <c r="F2514" s="76" t="s">
        <v>150</v>
      </c>
      <c r="G2514" s="77" t="s">
        <v>193</v>
      </c>
      <c r="H2514" s="77" t="s">
        <v>153</v>
      </c>
      <c r="I2514" s="86">
        <v>41864</v>
      </c>
      <c r="J2514" s="78">
        <v>756</v>
      </c>
      <c r="U2514" s="132" t="s">
        <v>154</v>
      </c>
      <c r="V2514" s="132" t="s">
        <v>290</v>
      </c>
      <c r="W2514" s="132" t="s">
        <v>267</v>
      </c>
      <c r="X2514" s="133">
        <v>41743</v>
      </c>
      <c r="Y2514" s="134">
        <v>580</v>
      </c>
    </row>
    <row r="2515" spans="6:25" x14ac:dyDescent="0.25">
      <c r="F2515" s="76" t="s">
        <v>150</v>
      </c>
      <c r="G2515" s="77" t="s">
        <v>193</v>
      </c>
      <c r="H2515" s="77" t="s">
        <v>153</v>
      </c>
      <c r="I2515" s="86">
        <v>41870</v>
      </c>
      <c r="J2515" s="78">
        <v>870</v>
      </c>
      <c r="U2515" s="132" t="s">
        <v>154</v>
      </c>
      <c r="V2515" s="132" t="s">
        <v>290</v>
      </c>
      <c r="W2515" s="132" t="s">
        <v>267</v>
      </c>
      <c r="X2515" s="133">
        <v>41744</v>
      </c>
      <c r="Y2515" s="134">
        <v>885</v>
      </c>
    </row>
    <row r="2516" spans="6:25" x14ac:dyDescent="0.25">
      <c r="F2516" s="76" t="s">
        <v>150</v>
      </c>
      <c r="G2516" s="77" t="s">
        <v>193</v>
      </c>
      <c r="H2516" s="77" t="s">
        <v>153</v>
      </c>
      <c r="I2516" s="86">
        <v>41871</v>
      </c>
      <c r="J2516" s="78">
        <v>804</v>
      </c>
      <c r="U2516" s="132" t="s">
        <v>154</v>
      </c>
      <c r="V2516" s="132" t="s">
        <v>290</v>
      </c>
      <c r="W2516" s="132" t="s">
        <v>267</v>
      </c>
      <c r="X2516" s="133">
        <v>41745</v>
      </c>
      <c r="Y2516" s="134">
        <v>1405</v>
      </c>
    </row>
    <row r="2517" spans="6:25" x14ac:dyDescent="0.25">
      <c r="F2517" s="76" t="s">
        <v>150</v>
      </c>
      <c r="G2517" s="77" t="s">
        <v>193</v>
      </c>
      <c r="H2517" s="77" t="s">
        <v>153</v>
      </c>
      <c r="I2517" s="86">
        <v>41872</v>
      </c>
      <c r="J2517" s="78">
        <v>818</v>
      </c>
      <c r="U2517" s="132" t="s">
        <v>154</v>
      </c>
      <c r="V2517" s="132" t="s">
        <v>290</v>
      </c>
      <c r="W2517" s="132" t="s">
        <v>267</v>
      </c>
      <c r="X2517" s="133">
        <v>41746</v>
      </c>
      <c r="Y2517" s="134">
        <v>720</v>
      </c>
    </row>
    <row r="2518" spans="6:25" x14ac:dyDescent="0.25">
      <c r="F2518" s="76" t="s">
        <v>150</v>
      </c>
      <c r="G2518" s="77" t="s">
        <v>193</v>
      </c>
      <c r="H2518" s="77" t="s">
        <v>153</v>
      </c>
      <c r="I2518" s="86">
        <v>41879</v>
      </c>
      <c r="J2518" s="78">
        <v>968</v>
      </c>
      <c r="U2518" s="132" t="s">
        <v>154</v>
      </c>
      <c r="V2518" s="132" t="s">
        <v>290</v>
      </c>
      <c r="W2518" s="132" t="s">
        <v>267</v>
      </c>
      <c r="X2518" s="133">
        <v>41747</v>
      </c>
      <c r="Y2518" s="134">
        <v>501</v>
      </c>
    </row>
    <row r="2519" spans="6:25" x14ac:dyDescent="0.25">
      <c r="F2519" s="76" t="s">
        <v>150</v>
      </c>
      <c r="G2519" s="77" t="s">
        <v>193</v>
      </c>
      <c r="H2519" s="77" t="s">
        <v>153</v>
      </c>
      <c r="I2519" s="86">
        <v>41897</v>
      </c>
      <c r="J2519" s="78">
        <v>1046</v>
      </c>
      <c r="U2519" s="132" t="s">
        <v>154</v>
      </c>
      <c r="V2519" s="132" t="s">
        <v>290</v>
      </c>
      <c r="W2519" s="132" t="s">
        <v>267</v>
      </c>
      <c r="X2519" s="133">
        <v>41750</v>
      </c>
      <c r="Y2519" s="134">
        <v>825</v>
      </c>
    </row>
    <row r="2520" spans="6:25" x14ac:dyDescent="0.25">
      <c r="F2520" s="76" t="s">
        <v>150</v>
      </c>
      <c r="G2520" s="77" t="s">
        <v>193</v>
      </c>
      <c r="H2520" s="77" t="s">
        <v>153</v>
      </c>
      <c r="I2520" s="86">
        <v>41898</v>
      </c>
      <c r="J2520" s="78">
        <v>725</v>
      </c>
      <c r="U2520" s="132" t="s">
        <v>154</v>
      </c>
      <c r="V2520" s="132" t="s">
        <v>290</v>
      </c>
      <c r="W2520" s="132" t="s">
        <v>267</v>
      </c>
      <c r="X2520" s="133">
        <v>41751</v>
      </c>
      <c r="Y2520" s="134">
        <v>591</v>
      </c>
    </row>
    <row r="2521" spans="6:25" x14ac:dyDescent="0.25">
      <c r="F2521" s="76" t="s">
        <v>150</v>
      </c>
      <c r="G2521" s="77" t="s">
        <v>193</v>
      </c>
      <c r="H2521" s="77" t="s">
        <v>153</v>
      </c>
      <c r="I2521" s="86">
        <v>41899</v>
      </c>
      <c r="J2521" s="78">
        <v>558</v>
      </c>
      <c r="U2521" s="132" t="s">
        <v>154</v>
      </c>
      <c r="V2521" s="132" t="s">
        <v>290</v>
      </c>
      <c r="W2521" s="132" t="s">
        <v>267</v>
      </c>
      <c r="X2521" s="133">
        <v>41751</v>
      </c>
      <c r="Y2521" s="134">
        <v>785</v>
      </c>
    </row>
    <row r="2522" spans="6:25" x14ac:dyDescent="0.25">
      <c r="F2522" s="76" t="s">
        <v>150</v>
      </c>
      <c r="G2522" s="77" t="s">
        <v>193</v>
      </c>
      <c r="H2522" s="77" t="s">
        <v>153</v>
      </c>
      <c r="I2522" s="86">
        <v>41906</v>
      </c>
      <c r="J2522" s="78">
        <v>840</v>
      </c>
      <c r="U2522" s="132" t="s">
        <v>154</v>
      </c>
      <c r="V2522" s="132" t="s">
        <v>290</v>
      </c>
      <c r="W2522" s="132" t="s">
        <v>267</v>
      </c>
      <c r="X2522" s="133">
        <v>41752</v>
      </c>
      <c r="Y2522" s="134">
        <v>945</v>
      </c>
    </row>
    <row r="2523" spans="6:25" x14ac:dyDescent="0.25">
      <c r="F2523" s="76" t="s">
        <v>150</v>
      </c>
      <c r="G2523" s="77" t="s">
        <v>193</v>
      </c>
      <c r="H2523" s="77" t="s">
        <v>153</v>
      </c>
      <c r="I2523" s="86">
        <v>41913</v>
      </c>
      <c r="J2523" s="78">
        <v>350</v>
      </c>
      <c r="U2523" s="132" t="s">
        <v>154</v>
      </c>
      <c r="V2523" s="132" t="s">
        <v>290</v>
      </c>
      <c r="W2523" s="132" t="s">
        <v>267</v>
      </c>
      <c r="X2523" s="133">
        <v>41753</v>
      </c>
      <c r="Y2523" s="134">
        <v>533</v>
      </c>
    </row>
    <row r="2524" spans="6:25" x14ac:dyDescent="0.25">
      <c r="F2524" s="76" t="s">
        <v>150</v>
      </c>
      <c r="G2524" s="77" t="s">
        <v>193</v>
      </c>
      <c r="H2524" s="77" t="s">
        <v>153</v>
      </c>
      <c r="I2524" s="86">
        <v>41913</v>
      </c>
      <c r="J2524" s="78">
        <v>880</v>
      </c>
      <c r="U2524" s="132" t="s">
        <v>154</v>
      </c>
      <c r="V2524" s="132" t="s">
        <v>290</v>
      </c>
      <c r="W2524" s="132" t="s">
        <v>267</v>
      </c>
      <c r="X2524" s="133">
        <v>41753</v>
      </c>
      <c r="Y2524" s="134">
        <v>711</v>
      </c>
    </row>
    <row r="2525" spans="6:25" x14ac:dyDescent="0.25">
      <c r="F2525" s="76" t="s">
        <v>150</v>
      </c>
      <c r="G2525" s="77" t="s">
        <v>193</v>
      </c>
      <c r="H2525" s="77" t="s">
        <v>153</v>
      </c>
      <c r="I2525" s="86">
        <v>41914</v>
      </c>
      <c r="J2525" s="78">
        <v>794</v>
      </c>
      <c r="U2525" s="132" t="s">
        <v>154</v>
      </c>
      <c r="V2525" s="132" t="s">
        <v>290</v>
      </c>
      <c r="W2525" s="132" t="s">
        <v>267</v>
      </c>
      <c r="X2525" s="133">
        <v>41779</v>
      </c>
      <c r="Y2525" s="134">
        <v>625</v>
      </c>
    </row>
    <row r="2526" spans="6:25" x14ac:dyDescent="0.25">
      <c r="F2526" s="76" t="s">
        <v>150</v>
      </c>
      <c r="G2526" s="77" t="s">
        <v>193</v>
      </c>
      <c r="H2526" s="77" t="s">
        <v>153</v>
      </c>
      <c r="I2526" s="86">
        <v>41915</v>
      </c>
      <c r="J2526" s="78">
        <v>440</v>
      </c>
      <c r="U2526" s="132" t="s">
        <v>154</v>
      </c>
      <c r="V2526" s="132" t="s">
        <v>290</v>
      </c>
      <c r="W2526" s="132" t="s">
        <v>267</v>
      </c>
      <c r="X2526" s="133">
        <v>41815</v>
      </c>
      <c r="Y2526" s="134">
        <v>115</v>
      </c>
    </row>
    <row r="2527" spans="6:25" x14ac:dyDescent="0.25">
      <c r="F2527" s="76" t="s">
        <v>150</v>
      </c>
      <c r="G2527" s="77" t="s">
        <v>193</v>
      </c>
      <c r="H2527" s="77" t="s">
        <v>153</v>
      </c>
      <c r="I2527" s="86">
        <v>41918</v>
      </c>
      <c r="J2527" s="78">
        <v>1101</v>
      </c>
      <c r="U2527" s="132" t="s">
        <v>154</v>
      </c>
      <c r="V2527" s="132" t="s">
        <v>290</v>
      </c>
      <c r="W2527" s="132" t="s">
        <v>267</v>
      </c>
      <c r="X2527" s="133">
        <v>41815</v>
      </c>
      <c r="Y2527" s="134">
        <v>692</v>
      </c>
    </row>
    <row r="2528" spans="6:25" x14ac:dyDescent="0.25">
      <c r="F2528" s="76" t="s">
        <v>150</v>
      </c>
      <c r="G2528" s="77" t="s">
        <v>193</v>
      </c>
      <c r="H2528" s="77" t="s">
        <v>153</v>
      </c>
      <c r="I2528" s="86">
        <v>41919</v>
      </c>
      <c r="J2528" s="78">
        <v>766</v>
      </c>
      <c r="U2528" s="132" t="s">
        <v>154</v>
      </c>
      <c r="V2528" s="132" t="s">
        <v>290</v>
      </c>
      <c r="W2528" s="132" t="s">
        <v>267</v>
      </c>
      <c r="X2528" s="133">
        <v>41816</v>
      </c>
      <c r="Y2528" s="134">
        <v>760</v>
      </c>
    </row>
    <row r="2529" spans="6:25" x14ac:dyDescent="0.25">
      <c r="F2529" s="76" t="s">
        <v>150</v>
      </c>
      <c r="G2529" s="77" t="s">
        <v>193</v>
      </c>
      <c r="H2529" s="77" t="s">
        <v>153</v>
      </c>
      <c r="I2529" s="86">
        <v>41921</v>
      </c>
      <c r="J2529" s="78">
        <v>1018</v>
      </c>
      <c r="U2529" s="132" t="s">
        <v>154</v>
      </c>
      <c r="V2529" s="132" t="s">
        <v>290</v>
      </c>
      <c r="W2529" s="132" t="s">
        <v>267</v>
      </c>
      <c r="X2529" s="133">
        <v>41817</v>
      </c>
      <c r="Y2529" s="134">
        <v>515</v>
      </c>
    </row>
    <row r="2530" spans="6:25" x14ac:dyDescent="0.25">
      <c r="F2530" s="76" t="s">
        <v>150</v>
      </c>
      <c r="G2530" s="77" t="s">
        <v>193</v>
      </c>
      <c r="H2530" s="77" t="s">
        <v>153</v>
      </c>
      <c r="I2530" s="86">
        <v>41922</v>
      </c>
      <c r="J2530" s="78">
        <v>908</v>
      </c>
      <c r="U2530" s="132" t="s">
        <v>154</v>
      </c>
      <c r="V2530" s="132" t="s">
        <v>290</v>
      </c>
      <c r="W2530" s="132" t="s">
        <v>267</v>
      </c>
      <c r="X2530" s="133">
        <v>41820</v>
      </c>
      <c r="Y2530" s="134">
        <v>1116</v>
      </c>
    </row>
    <row r="2531" spans="6:25" x14ac:dyDescent="0.25">
      <c r="F2531" s="76" t="s">
        <v>150</v>
      </c>
      <c r="G2531" s="77" t="s">
        <v>193</v>
      </c>
      <c r="H2531" s="77" t="s">
        <v>153</v>
      </c>
      <c r="I2531" s="86">
        <v>41925</v>
      </c>
      <c r="J2531" s="78">
        <v>890</v>
      </c>
      <c r="U2531" s="132" t="s">
        <v>154</v>
      </c>
      <c r="V2531" s="132" t="s">
        <v>290</v>
      </c>
      <c r="W2531" s="132" t="s">
        <v>267</v>
      </c>
      <c r="X2531" s="133">
        <v>41821</v>
      </c>
      <c r="Y2531" s="134">
        <v>933</v>
      </c>
    </row>
    <row r="2532" spans="6:25" x14ac:dyDescent="0.25">
      <c r="F2532" s="76" t="s">
        <v>150</v>
      </c>
      <c r="G2532" s="77" t="s">
        <v>193</v>
      </c>
      <c r="H2532" s="77" t="s">
        <v>153</v>
      </c>
      <c r="I2532" s="86">
        <v>41926</v>
      </c>
      <c r="J2532" s="78">
        <v>770</v>
      </c>
      <c r="U2532" s="132" t="s">
        <v>154</v>
      </c>
      <c r="V2532" s="132" t="s">
        <v>290</v>
      </c>
      <c r="W2532" s="132" t="s">
        <v>267</v>
      </c>
      <c r="X2532" s="133">
        <v>41822</v>
      </c>
      <c r="Y2532" s="134">
        <v>1089</v>
      </c>
    </row>
    <row r="2533" spans="6:25" x14ac:dyDescent="0.25">
      <c r="F2533" s="76" t="s">
        <v>150</v>
      </c>
      <c r="G2533" s="77" t="s">
        <v>193</v>
      </c>
      <c r="H2533" s="77" t="s">
        <v>153</v>
      </c>
      <c r="I2533" s="86">
        <v>41927</v>
      </c>
      <c r="J2533" s="78">
        <v>571</v>
      </c>
      <c r="U2533" s="132" t="s">
        <v>154</v>
      </c>
      <c r="V2533" s="132" t="s">
        <v>290</v>
      </c>
      <c r="W2533" s="132" t="s">
        <v>267</v>
      </c>
      <c r="X2533" s="133">
        <v>41823</v>
      </c>
      <c r="Y2533" s="134">
        <v>557</v>
      </c>
    </row>
    <row r="2534" spans="6:25" x14ac:dyDescent="0.25">
      <c r="F2534" s="76" t="s">
        <v>150</v>
      </c>
      <c r="G2534" s="77" t="s">
        <v>193</v>
      </c>
      <c r="H2534" s="77" t="s">
        <v>153</v>
      </c>
      <c r="I2534" s="86">
        <v>41928</v>
      </c>
      <c r="J2534" s="78">
        <v>640</v>
      </c>
      <c r="U2534" s="132" t="s">
        <v>154</v>
      </c>
      <c r="V2534" s="132" t="s">
        <v>290</v>
      </c>
      <c r="W2534" s="132" t="s">
        <v>267</v>
      </c>
      <c r="X2534" s="133">
        <v>41823</v>
      </c>
      <c r="Y2534" s="134">
        <v>538</v>
      </c>
    </row>
    <row r="2535" spans="6:25" x14ac:dyDescent="0.25">
      <c r="F2535" s="76" t="s">
        <v>150</v>
      </c>
      <c r="G2535" s="77" t="s">
        <v>193</v>
      </c>
      <c r="H2535" s="77" t="s">
        <v>153</v>
      </c>
      <c r="I2535" s="86">
        <v>41932</v>
      </c>
      <c r="J2535" s="78">
        <v>874</v>
      </c>
      <c r="U2535" s="132" t="s">
        <v>154</v>
      </c>
      <c r="V2535" s="132" t="s">
        <v>290</v>
      </c>
      <c r="W2535" s="132" t="s">
        <v>267</v>
      </c>
      <c r="X2535" s="133">
        <v>41824</v>
      </c>
      <c r="Y2535" s="134">
        <v>487</v>
      </c>
    </row>
    <row r="2536" spans="6:25" x14ac:dyDescent="0.25">
      <c r="F2536" s="76" t="s">
        <v>150</v>
      </c>
      <c r="G2536" s="77" t="s">
        <v>193</v>
      </c>
      <c r="H2536" s="77" t="s">
        <v>153</v>
      </c>
      <c r="I2536" s="86">
        <v>41933</v>
      </c>
      <c r="J2536" s="78">
        <v>728</v>
      </c>
      <c r="U2536" s="132" t="s">
        <v>154</v>
      </c>
      <c r="V2536" s="132" t="s">
        <v>290</v>
      </c>
      <c r="W2536" s="132" t="s">
        <v>267</v>
      </c>
      <c r="X2536" s="133">
        <v>41826</v>
      </c>
      <c r="Y2536" s="134">
        <v>725</v>
      </c>
    </row>
    <row r="2537" spans="6:25" x14ac:dyDescent="0.25">
      <c r="F2537" s="76" t="s">
        <v>150</v>
      </c>
      <c r="G2537" s="77" t="s">
        <v>193</v>
      </c>
      <c r="H2537" s="77" t="s">
        <v>153</v>
      </c>
      <c r="I2537" s="86">
        <v>41934</v>
      </c>
      <c r="J2537" s="78">
        <v>511</v>
      </c>
      <c r="U2537" s="132" t="s">
        <v>154</v>
      </c>
      <c r="V2537" s="132" t="s">
        <v>290</v>
      </c>
      <c r="W2537" s="132" t="s">
        <v>267</v>
      </c>
      <c r="X2537" s="133">
        <v>41826</v>
      </c>
      <c r="Y2537" s="134">
        <v>724</v>
      </c>
    </row>
    <row r="2538" spans="6:25" x14ac:dyDescent="0.25">
      <c r="F2538" s="76" t="s">
        <v>150</v>
      </c>
      <c r="G2538" s="77" t="s">
        <v>193</v>
      </c>
      <c r="H2538" s="77" t="s">
        <v>153</v>
      </c>
      <c r="I2538" s="86">
        <v>41935</v>
      </c>
      <c r="J2538" s="78">
        <v>453</v>
      </c>
      <c r="U2538" s="132" t="s">
        <v>154</v>
      </c>
      <c r="V2538" s="132" t="s">
        <v>290</v>
      </c>
      <c r="W2538" s="132" t="s">
        <v>267</v>
      </c>
      <c r="X2538" s="133">
        <v>41827</v>
      </c>
      <c r="Y2538" s="134">
        <v>764</v>
      </c>
    </row>
    <row r="2539" spans="6:25" x14ac:dyDescent="0.25">
      <c r="F2539" s="76" t="s">
        <v>150</v>
      </c>
      <c r="G2539" s="77" t="s">
        <v>193</v>
      </c>
      <c r="H2539" s="77" t="s">
        <v>153</v>
      </c>
      <c r="I2539" s="86">
        <v>41936</v>
      </c>
      <c r="J2539" s="78">
        <v>731</v>
      </c>
      <c r="U2539" s="132" t="s">
        <v>154</v>
      </c>
      <c r="V2539" s="132" t="s">
        <v>290</v>
      </c>
      <c r="W2539" s="132" t="s">
        <v>267</v>
      </c>
      <c r="X2539" s="133">
        <v>41827</v>
      </c>
      <c r="Y2539" s="134">
        <v>349</v>
      </c>
    </row>
    <row r="2540" spans="6:25" x14ac:dyDescent="0.25">
      <c r="F2540" s="76" t="s">
        <v>150</v>
      </c>
      <c r="G2540" s="77" t="s">
        <v>193</v>
      </c>
      <c r="H2540" s="77" t="s">
        <v>153</v>
      </c>
      <c r="I2540" s="86">
        <v>41939</v>
      </c>
      <c r="J2540" s="78">
        <v>444</v>
      </c>
      <c r="U2540" s="132" t="s">
        <v>154</v>
      </c>
      <c r="V2540" s="132" t="s">
        <v>290</v>
      </c>
      <c r="W2540" s="132" t="s">
        <v>267</v>
      </c>
      <c r="X2540" s="133">
        <v>41828</v>
      </c>
      <c r="Y2540" s="134">
        <v>859</v>
      </c>
    </row>
    <row r="2541" spans="6:25" x14ac:dyDescent="0.25">
      <c r="F2541" s="76" t="s">
        <v>150</v>
      </c>
      <c r="G2541" s="77" t="s">
        <v>193</v>
      </c>
      <c r="H2541" s="77" t="s">
        <v>153</v>
      </c>
      <c r="I2541" s="86">
        <v>41940</v>
      </c>
      <c r="J2541" s="78">
        <v>727</v>
      </c>
      <c r="U2541" s="132" t="s">
        <v>154</v>
      </c>
      <c r="V2541" s="132" t="s">
        <v>291</v>
      </c>
      <c r="W2541" s="132" t="s">
        <v>267</v>
      </c>
      <c r="X2541" s="133">
        <v>41878</v>
      </c>
      <c r="Y2541" s="134">
        <v>490</v>
      </c>
    </row>
    <row r="2542" spans="6:25" x14ac:dyDescent="0.25">
      <c r="F2542" s="76" t="s">
        <v>150</v>
      </c>
      <c r="G2542" s="77" t="s">
        <v>193</v>
      </c>
      <c r="H2542" s="77" t="s">
        <v>153</v>
      </c>
      <c r="I2542" s="86">
        <v>41941</v>
      </c>
      <c r="J2542" s="78">
        <v>850</v>
      </c>
      <c r="U2542" s="132" t="s">
        <v>154</v>
      </c>
      <c r="V2542" s="132" t="s">
        <v>291</v>
      </c>
      <c r="W2542" s="132" t="s">
        <v>267</v>
      </c>
      <c r="X2542" s="133">
        <v>41944</v>
      </c>
      <c r="Y2542" s="134">
        <v>723</v>
      </c>
    </row>
    <row r="2543" spans="6:25" x14ac:dyDescent="0.25">
      <c r="F2543" s="76" t="s">
        <v>150</v>
      </c>
      <c r="G2543" s="77" t="s">
        <v>193</v>
      </c>
      <c r="H2543" s="77" t="s">
        <v>153</v>
      </c>
      <c r="I2543" s="86">
        <v>41942</v>
      </c>
      <c r="J2543" s="78">
        <v>737</v>
      </c>
      <c r="U2543" s="132" t="s">
        <v>154</v>
      </c>
      <c r="V2543" s="132" t="s">
        <v>291</v>
      </c>
      <c r="W2543" s="132" t="s">
        <v>267</v>
      </c>
      <c r="X2543" s="133">
        <v>41944</v>
      </c>
      <c r="Y2543" s="134">
        <v>436</v>
      </c>
    </row>
    <row r="2544" spans="6:25" x14ac:dyDescent="0.25">
      <c r="F2544" s="76" t="s">
        <v>150</v>
      </c>
      <c r="G2544" s="77" t="s">
        <v>193</v>
      </c>
      <c r="H2544" s="77" t="s">
        <v>153</v>
      </c>
      <c r="I2544" s="86">
        <v>41946</v>
      </c>
      <c r="J2544" s="78">
        <v>960</v>
      </c>
      <c r="U2544" s="132" t="s">
        <v>154</v>
      </c>
      <c r="V2544" s="132" t="s">
        <v>291</v>
      </c>
      <c r="W2544" s="132" t="s">
        <v>267</v>
      </c>
      <c r="X2544" s="133">
        <v>41945</v>
      </c>
      <c r="Y2544" s="134">
        <v>238</v>
      </c>
    </row>
    <row r="2545" spans="6:25" x14ac:dyDescent="0.25">
      <c r="F2545" s="76" t="s">
        <v>150</v>
      </c>
      <c r="G2545" s="77" t="s">
        <v>193</v>
      </c>
      <c r="H2545" s="77" t="s">
        <v>153</v>
      </c>
      <c r="I2545" s="86">
        <v>41947</v>
      </c>
      <c r="J2545" s="78">
        <v>525</v>
      </c>
      <c r="U2545" s="132" t="s">
        <v>154</v>
      </c>
      <c r="V2545" s="132" t="s">
        <v>291</v>
      </c>
      <c r="W2545" s="132" t="s">
        <v>267</v>
      </c>
      <c r="X2545" s="133">
        <v>41946</v>
      </c>
      <c r="Y2545" s="134">
        <v>727</v>
      </c>
    </row>
    <row r="2546" spans="6:25" x14ac:dyDescent="0.25">
      <c r="F2546" s="76" t="s">
        <v>150</v>
      </c>
      <c r="G2546" s="77" t="s">
        <v>193</v>
      </c>
      <c r="H2546" s="77" t="s">
        <v>153</v>
      </c>
      <c r="I2546" s="86">
        <v>41953</v>
      </c>
      <c r="J2546" s="78">
        <v>926</v>
      </c>
      <c r="U2546" s="132" t="s">
        <v>154</v>
      </c>
      <c r="V2546" s="132" t="s">
        <v>291</v>
      </c>
      <c r="W2546" s="132" t="s">
        <v>267</v>
      </c>
      <c r="X2546" s="133">
        <v>41955</v>
      </c>
      <c r="Y2546" s="134">
        <v>724</v>
      </c>
    </row>
    <row r="2547" spans="6:25" x14ac:dyDescent="0.25">
      <c r="F2547" s="76" t="s">
        <v>150</v>
      </c>
      <c r="G2547" s="77" t="s">
        <v>193</v>
      </c>
      <c r="H2547" s="77" t="s">
        <v>153</v>
      </c>
      <c r="I2547" s="86">
        <v>41961</v>
      </c>
      <c r="J2547" s="78">
        <v>883</v>
      </c>
      <c r="U2547" s="132" t="s">
        <v>154</v>
      </c>
      <c r="V2547" s="132" t="s">
        <v>291</v>
      </c>
      <c r="W2547" s="132" t="s">
        <v>267</v>
      </c>
      <c r="X2547" s="133">
        <v>41956</v>
      </c>
      <c r="Y2547" s="134">
        <v>463</v>
      </c>
    </row>
    <row r="2548" spans="6:25" x14ac:dyDescent="0.25">
      <c r="F2548" s="76" t="s">
        <v>150</v>
      </c>
      <c r="G2548" s="77" t="s">
        <v>193</v>
      </c>
      <c r="H2548" s="77" t="s">
        <v>153</v>
      </c>
      <c r="I2548" s="86">
        <v>41984</v>
      </c>
      <c r="J2548" s="78">
        <v>616</v>
      </c>
      <c r="U2548" s="132" t="s">
        <v>154</v>
      </c>
      <c r="V2548" s="132" t="s">
        <v>291</v>
      </c>
      <c r="W2548" s="132" t="s">
        <v>267</v>
      </c>
      <c r="X2548" s="133">
        <v>41957</v>
      </c>
      <c r="Y2548" s="134">
        <v>663</v>
      </c>
    </row>
    <row r="2549" spans="6:25" x14ac:dyDescent="0.25">
      <c r="F2549" s="76" t="s">
        <v>150</v>
      </c>
      <c r="G2549" s="77" t="s">
        <v>193</v>
      </c>
      <c r="H2549" s="77" t="s">
        <v>153</v>
      </c>
      <c r="I2549" s="86">
        <v>41984</v>
      </c>
      <c r="J2549" s="78">
        <v>860</v>
      </c>
      <c r="U2549" s="132" t="s">
        <v>154</v>
      </c>
      <c r="V2549" s="132" t="s">
        <v>291</v>
      </c>
      <c r="W2549" s="132" t="s">
        <v>267</v>
      </c>
      <c r="X2549" s="133">
        <v>41959</v>
      </c>
      <c r="Y2549" s="134">
        <v>688</v>
      </c>
    </row>
    <row r="2550" spans="6:25" x14ac:dyDescent="0.25">
      <c r="F2550" s="76" t="s">
        <v>150</v>
      </c>
      <c r="G2550" s="77" t="s">
        <v>193</v>
      </c>
      <c r="H2550" s="77" t="s">
        <v>153</v>
      </c>
      <c r="I2550" s="86">
        <v>41985</v>
      </c>
      <c r="J2550" s="78">
        <v>773</v>
      </c>
      <c r="U2550" s="132" t="s">
        <v>154</v>
      </c>
      <c r="V2550" s="132" t="s">
        <v>291</v>
      </c>
      <c r="W2550" s="132" t="s">
        <v>267</v>
      </c>
      <c r="X2550" s="133">
        <v>41959</v>
      </c>
      <c r="Y2550" s="134">
        <v>590</v>
      </c>
    </row>
    <row r="2551" spans="6:25" x14ac:dyDescent="0.25">
      <c r="F2551" s="76" t="s">
        <v>150</v>
      </c>
      <c r="G2551" s="77" t="s">
        <v>193</v>
      </c>
      <c r="H2551" s="77" t="s">
        <v>153</v>
      </c>
      <c r="I2551" s="86">
        <v>41989</v>
      </c>
      <c r="J2551" s="78">
        <v>1204</v>
      </c>
      <c r="U2551" s="132" t="s">
        <v>154</v>
      </c>
      <c r="V2551" s="132" t="s">
        <v>291</v>
      </c>
      <c r="W2551" s="132" t="s">
        <v>267</v>
      </c>
      <c r="X2551" s="133">
        <v>41960</v>
      </c>
      <c r="Y2551" s="134">
        <v>743</v>
      </c>
    </row>
    <row r="2552" spans="6:25" x14ac:dyDescent="0.25">
      <c r="F2552" s="76" t="s">
        <v>150</v>
      </c>
      <c r="G2552" s="77" t="s">
        <v>193</v>
      </c>
      <c r="H2552" s="77" t="s">
        <v>153</v>
      </c>
      <c r="I2552" s="86">
        <v>41990</v>
      </c>
      <c r="J2552" s="78">
        <v>1126</v>
      </c>
      <c r="U2552" s="132" t="s">
        <v>154</v>
      </c>
      <c r="V2552" s="132" t="s">
        <v>291</v>
      </c>
      <c r="W2552" s="132" t="s">
        <v>267</v>
      </c>
      <c r="X2552" s="133">
        <v>41960</v>
      </c>
      <c r="Y2552" s="134">
        <v>496</v>
      </c>
    </row>
    <row r="2553" spans="6:25" x14ac:dyDescent="0.25">
      <c r="F2553" s="76" t="s">
        <v>150</v>
      </c>
      <c r="G2553" s="77" t="s">
        <v>193</v>
      </c>
      <c r="H2553" s="77" t="s">
        <v>153</v>
      </c>
      <c r="I2553" s="86">
        <v>41992</v>
      </c>
      <c r="J2553" s="78">
        <v>495</v>
      </c>
      <c r="U2553" s="132" t="s">
        <v>154</v>
      </c>
      <c r="V2553" s="132" t="s">
        <v>291</v>
      </c>
      <c r="W2553" s="132" t="s">
        <v>267</v>
      </c>
      <c r="X2553" s="133">
        <v>41961</v>
      </c>
      <c r="Y2553" s="134">
        <v>725</v>
      </c>
    </row>
    <row r="2554" spans="6:25" x14ac:dyDescent="0.25">
      <c r="F2554" s="76" t="s">
        <v>150</v>
      </c>
      <c r="G2554" s="77" t="s">
        <v>193</v>
      </c>
      <c r="H2554" s="77" t="s">
        <v>153</v>
      </c>
      <c r="I2554" s="86">
        <v>41995</v>
      </c>
      <c r="J2554" s="78">
        <v>949</v>
      </c>
      <c r="U2554" s="132" t="s">
        <v>154</v>
      </c>
      <c r="V2554" s="132" t="s">
        <v>291</v>
      </c>
      <c r="W2554" s="132" t="s">
        <v>267</v>
      </c>
      <c r="X2554" s="133">
        <v>41962</v>
      </c>
      <c r="Y2554" s="134">
        <v>565</v>
      </c>
    </row>
    <row r="2555" spans="6:25" x14ac:dyDescent="0.25">
      <c r="F2555" s="76" t="s">
        <v>150</v>
      </c>
      <c r="G2555" s="77" t="s">
        <v>193</v>
      </c>
      <c r="H2555" s="77" t="s">
        <v>153</v>
      </c>
      <c r="I2555" s="86">
        <v>41997</v>
      </c>
      <c r="J2555" s="78">
        <v>983</v>
      </c>
      <c r="U2555" s="132" t="s">
        <v>154</v>
      </c>
      <c r="V2555" s="132" t="s">
        <v>291</v>
      </c>
      <c r="W2555" s="132" t="s">
        <v>267</v>
      </c>
      <c r="X2555" s="133">
        <v>41963</v>
      </c>
      <c r="Y2555" s="134">
        <v>695</v>
      </c>
    </row>
    <row r="2556" spans="6:25" x14ac:dyDescent="0.25">
      <c r="F2556" s="76" t="s">
        <v>150</v>
      </c>
      <c r="G2556" s="77" t="s">
        <v>193</v>
      </c>
      <c r="H2556" s="77" t="s">
        <v>153</v>
      </c>
      <c r="I2556" s="86">
        <v>41998</v>
      </c>
      <c r="J2556" s="78">
        <v>620</v>
      </c>
      <c r="U2556" s="132" t="s">
        <v>154</v>
      </c>
      <c r="V2556" s="132" t="s">
        <v>291</v>
      </c>
      <c r="W2556" s="132" t="s">
        <v>267</v>
      </c>
      <c r="X2556" s="133">
        <v>41964</v>
      </c>
      <c r="Y2556" s="134">
        <v>781</v>
      </c>
    </row>
    <row r="2557" spans="6:25" x14ac:dyDescent="0.25">
      <c r="F2557" s="76" t="s">
        <v>150</v>
      </c>
      <c r="G2557" s="77" t="s">
        <v>193</v>
      </c>
      <c r="H2557" s="77" t="s">
        <v>153</v>
      </c>
      <c r="I2557" s="86">
        <v>42000</v>
      </c>
      <c r="J2557" s="78">
        <v>1179</v>
      </c>
      <c r="U2557" s="132" t="s">
        <v>154</v>
      </c>
      <c r="V2557" s="132" t="s">
        <v>291</v>
      </c>
      <c r="W2557" s="132" t="s">
        <v>267</v>
      </c>
      <c r="X2557" s="133">
        <v>41964</v>
      </c>
      <c r="Y2557" s="134">
        <v>303</v>
      </c>
    </row>
    <row r="2558" spans="6:25" x14ac:dyDescent="0.25">
      <c r="F2558" s="76" t="s">
        <v>150</v>
      </c>
      <c r="G2558" s="77" t="s">
        <v>193</v>
      </c>
      <c r="H2558" s="77" t="s">
        <v>153</v>
      </c>
      <c r="I2558" s="86">
        <v>42002</v>
      </c>
      <c r="J2558" s="78">
        <v>1147</v>
      </c>
      <c r="U2558" s="132" t="s">
        <v>154</v>
      </c>
      <c r="V2558" s="132" t="s">
        <v>291</v>
      </c>
      <c r="W2558" s="132" t="s">
        <v>267</v>
      </c>
      <c r="X2558" s="133">
        <v>41965</v>
      </c>
      <c r="Y2558" s="134">
        <v>492</v>
      </c>
    </row>
    <row r="2559" spans="6:25" x14ac:dyDescent="0.25">
      <c r="F2559" s="76" t="s">
        <v>150</v>
      </c>
      <c r="G2559" s="77" t="s">
        <v>167</v>
      </c>
      <c r="H2559" s="77" t="s">
        <v>153</v>
      </c>
      <c r="I2559" s="86">
        <v>41655</v>
      </c>
      <c r="J2559" s="78">
        <v>1240</v>
      </c>
      <c r="U2559" s="132" t="s">
        <v>154</v>
      </c>
      <c r="V2559" s="132" t="s">
        <v>291</v>
      </c>
      <c r="W2559" s="132" t="s">
        <v>267</v>
      </c>
      <c r="X2559" s="133">
        <v>41966</v>
      </c>
      <c r="Y2559" s="134">
        <v>727</v>
      </c>
    </row>
    <row r="2560" spans="6:25" x14ac:dyDescent="0.25">
      <c r="F2560" s="76" t="s">
        <v>150</v>
      </c>
      <c r="G2560" s="77" t="s">
        <v>167</v>
      </c>
      <c r="H2560" s="77" t="s">
        <v>153</v>
      </c>
      <c r="I2560" s="86">
        <v>41656</v>
      </c>
      <c r="J2560" s="78">
        <v>504</v>
      </c>
      <c r="U2560" s="132" t="s">
        <v>154</v>
      </c>
      <c r="V2560" s="132" t="s">
        <v>291</v>
      </c>
      <c r="W2560" s="132" t="s">
        <v>267</v>
      </c>
      <c r="X2560" s="133">
        <v>41966</v>
      </c>
      <c r="Y2560" s="134">
        <v>469</v>
      </c>
    </row>
    <row r="2561" spans="6:25" x14ac:dyDescent="0.25">
      <c r="F2561" s="76" t="s">
        <v>150</v>
      </c>
      <c r="G2561" s="77" t="s">
        <v>167</v>
      </c>
      <c r="H2561" s="77" t="s">
        <v>153</v>
      </c>
      <c r="I2561" s="86">
        <v>41660</v>
      </c>
      <c r="J2561" s="78">
        <v>1206</v>
      </c>
      <c r="U2561" s="132" t="s">
        <v>154</v>
      </c>
      <c r="V2561" s="132" t="s">
        <v>291</v>
      </c>
      <c r="W2561" s="132" t="s">
        <v>267</v>
      </c>
      <c r="X2561" s="133">
        <v>41967</v>
      </c>
      <c r="Y2561" s="134">
        <v>805</v>
      </c>
    </row>
    <row r="2562" spans="6:25" x14ac:dyDescent="0.25">
      <c r="F2562" s="76" t="s">
        <v>150</v>
      </c>
      <c r="G2562" s="77" t="s">
        <v>167</v>
      </c>
      <c r="H2562" s="77" t="s">
        <v>153</v>
      </c>
      <c r="I2562" s="86">
        <v>41662</v>
      </c>
      <c r="J2562" s="78">
        <v>764</v>
      </c>
      <c r="U2562" s="132" t="s">
        <v>154</v>
      </c>
      <c r="V2562" s="132" t="s">
        <v>291</v>
      </c>
      <c r="W2562" s="132" t="s">
        <v>267</v>
      </c>
      <c r="X2562" s="133">
        <v>41968</v>
      </c>
      <c r="Y2562" s="134">
        <v>951</v>
      </c>
    </row>
    <row r="2563" spans="6:25" x14ac:dyDescent="0.25">
      <c r="F2563" s="76" t="s">
        <v>150</v>
      </c>
      <c r="G2563" s="77" t="s">
        <v>167</v>
      </c>
      <c r="H2563" s="77" t="s">
        <v>153</v>
      </c>
      <c r="I2563" s="86">
        <v>41663</v>
      </c>
      <c r="J2563" s="78">
        <v>749</v>
      </c>
      <c r="U2563" s="132" t="s">
        <v>154</v>
      </c>
      <c r="V2563" s="132" t="s">
        <v>291</v>
      </c>
      <c r="W2563" s="132" t="s">
        <v>267</v>
      </c>
      <c r="X2563" s="133">
        <v>41969</v>
      </c>
      <c r="Y2563" s="134">
        <v>469</v>
      </c>
    </row>
    <row r="2564" spans="6:25" x14ac:dyDescent="0.25">
      <c r="F2564" s="76" t="s">
        <v>150</v>
      </c>
      <c r="G2564" s="77" t="s">
        <v>167</v>
      </c>
      <c r="H2564" s="77" t="s">
        <v>153</v>
      </c>
      <c r="I2564" s="86">
        <v>41669</v>
      </c>
      <c r="J2564" s="78">
        <v>765</v>
      </c>
      <c r="U2564" s="132" t="s">
        <v>154</v>
      </c>
      <c r="V2564" s="132" t="s">
        <v>291</v>
      </c>
      <c r="W2564" s="132" t="s">
        <v>267</v>
      </c>
      <c r="X2564" s="133">
        <v>41969</v>
      </c>
      <c r="Y2564" s="134">
        <v>415</v>
      </c>
    </row>
    <row r="2565" spans="6:25" x14ac:dyDescent="0.25">
      <c r="F2565" s="76" t="s">
        <v>150</v>
      </c>
      <c r="G2565" s="77" t="s">
        <v>167</v>
      </c>
      <c r="H2565" s="77" t="s">
        <v>153</v>
      </c>
      <c r="I2565" s="86">
        <v>41670</v>
      </c>
      <c r="J2565" s="78">
        <v>1002</v>
      </c>
      <c r="U2565" s="132" t="s">
        <v>154</v>
      </c>
      <c r="V2565" s="132" t="s">
        <v>291</v>
      </c>
      <c r="W2565" s="132" t="s">
        <v>267</v>
      </c>
      <c r="X2565" s="133">
        <v>41970</v>
      </c>
      <c r="Y2565" s="134">
        <v>453</v>
      </c>
    </row>
    <row r="2566" spans="6:25" x14ac:dyDescent="0.25">
      <c r="F2566" s="76" t="s">
        <v>150</v>
      </c>
      <c r="G2566" s="77" t="s">
        <v>167</v>
      </c>
      <c r="H2566" s="77" t="s">
        <v>153</v>
      </c>
      <c r="I2566" s="86">
        <v>41671</v>
      </c>
      <c r="J2566" s="78">
        <v>741</v>
      </c>
      <c r="U2566" s="132" t="s">
        <v>154</v>
      </c>
      <c r="V2566" s="132" t="s">
        <v>291</v>
      </c>
      <c r="W2566" s="132" t="s">
        <v>267</v>
      </c>
      <c r="X2566" s="133">
        <v>41971</v>
      </c>
      <c r="Y2566" s="134">
        <v>757</v>
      </c>
    </row>
    <row r="2567" spans="6:25" x14ac:dyDescent="0.25">
      <c r="F2567" s="76" t="s">
        <v>150</v>
      </c>
      <c r="G2567" s="77" t="s">
        <v>167</v>
      </c>
      <c r="H2567" s="77" t="s">
        <v>153</v>
      </c>
      <c r="I2567" s="86">
        <v>41673</v>
      </c>
      <c r="J2567" s="78">
        <v>1404</v>
      </c>
      <c r="U2567" s="132" t="s">
        <v>154</v>
      </c>
      <c r="V2567" s="132" t="s">
        <v>291</v>
      </c>
      <c r="W2567" s="132" t="s">
        <v>267</v>
      </c>
      <c r="X2567" s="133">
        <v>41974</v>
      </c>
      <c r="Y2567" s="134">
        <v>562</v>
      </c>
    </row>
    <row r="2568" spans="6:25" x14ac:dyDescent="0.25">
      <c r="F2568" s="76" t="s">
        <v>150</v>
      </c>
      <c r="G2568" s="77" t="s">
        <v>167</v>
      </c>
      <c r="H2568" s="77" t="s">
        <v>153</v>
      </c>
      <c r="I2568" s="86">
        <v>41676</v>
      </c>
      <c r="J2568" s="78">
        <v>938</v>
      </c>
      <c r="U2568" s="132" t="s">
        <v>154</v>
      </c>
      <c r="V2568" s="132" t="s">
        <v>291</v>
      </c>
      <c r="W2568" s="132" t="s">
        <v>267</v>
      </c>
      <c r="X2568" s="133">
        <v>41975</v>
      </c>
      <c r="Y2568" s="134">
        <v>458</v>
      </c>
    </row>
    <row r="2569" spans="6:25" x14ac:dyDescent="0.25">
      <c r="F2569" s="76" t="s">
        <v>150</v>
      </c>
      <c r="G2569" s="77" t="s">
        <v>167</v>
      </c>
      <c r="H2569" s="77" t="s">
        <v>153</v>
      </c>
      <c r="I2569" s="86">
        <v>41692</v>
      </c>
      <c r="J2569" s="78">
        <v>627</v>
      </c>
      <c r="U2569" s="132" t="s">
        <v>154</v>
      </c>
      <c r="V2569" s="132" t="s">
        <v>291</v>
      </c>
      <c r="W2569" s="132" t="s">
        <v>267</v>
      </c>
      <c r="X2569" s="133">
        <v>41976</v>
      </c>
      <c r="Y2569" s="134">
        <v>725</v>
      </c>
    </row>
    <row r="2570" spans="6:25" x14ac:dyDescent="0.25">
      <c r="F2570" s="76" t="s">
        <v>150</v>
      </c>
      <c r="G2570" s="77" t="s">
        <v>167</v>
      </c>
      <c r="H2570" s="77" t="s">
        <v>153</v>
      </c>
      <c r="I2570" s="86">
        <v>41694</v>
      </c>
      <c r="J2570" s="78">
        <v>901</v>
      </c>
      <c r="U2570" s="132" t="s">
        <v>154</v>
      </c>
      <c r="V2570" s="132" t="s">
        <v>291</v>
      </c>
      <c r="W2570" s="132" t="s">
        <v>267</v>
      </c>
      <c r="X2570" s="133">
        <v>41977</v>
      </c>
      <c r="Y2570" s="134">
        <v>700</v>
      </c>
    </row>
    <row r="2571" spans="6:25" x14ac:dyDescent="0.25">
      <c r="F2571" s="76" t="s">
        <v>150</v>
      </c>
      <c r="G2571" s="77" t="s">
        <v>167</v>
      </c>
      <c r="H2571" s="77" t="s">
        <v>153</v>
      </c>
      <c r="I2571" s="86">
        <v>41695</v>
      </c>
      <c r="J2571" s="78">
        <v>568</v>
      </c>
      <c r="U2571" s="132" t="s">
        <v>154</v>
      </c>
      <c r="V2571" s="132" t="s">
        <v>291</v>
      </c>
      <c r="W2571" s="132" t="s">
        <v>267</v>
      </c>
      <c r="X2571" s="133">
        <v>41978</v>
      </c>
      <c r="Y2571" s="134">
        <v>295</v>
      </c>
    </row>
    <row r="2572" spans="6:25" x14ac:dyDescent="0.25">
      <c r="F2572" s="76" t="s">
        <v>150</v>
      </c>
      <c r="G2572" s="77" t="s">
        <v>167</v>
      </c>
      <c r="H2572" s="77" t="s">
        <v>153</v>
      </c>
      <c r="I2572" s="86">
        <v>41696</v>
      </c>
      <c r="J2572" s="78">
        <v>923</v>
      </c>
      <c r="U2572" s="132" t="s">
        <v>154</v>
      </c>
      <c r="V2572" s="132" t="s">
        <v>291</v>
      </c>
      <c r="W2572" s="132" t="s">
        <v>267</v>
      </c>
      <c r="X2572" s="133">
        <v>41978</v>
      </c>
      <c r="Y2572" s="134">
        <v>809</v>
      </c>
    </row>
    <row r="2573" spans="6:25" x14ac:dyDescent="0.25">
      <c r="F2573" s="76" t="s">
        <v>150</v>
      </c>
      <c r="G2573" s="77" t="s">
        <v>167</v>
      </c>
      <c r="H2573" s="77" t="s">
        <v>153</v>
      </c>
      <c r="I2573" s="86">
        <v>41697</v>
      </c>
      <c r="J2573" s="78">
        <v>1276</v>
      </c>
      <c r="U2573" s="132" t="s">
        <v>154</v>
      </c>
      <c r="V2573" s="132" t="s">
        <v>291</v>
      </c>
      <c r="W2573" s="132" t="s">
        <v>267</v>
      </c>
      <c r="X2573" s="133">
        <v>41981</v>
      </c>
      <c r="Y2573" s="134">
        <v>935</v>
      </c>
    </row>
    <row r="2574" spans="6:25" x14ac:dyDescent="0.25">
      <c r="F2574" s="76" t="s">
        <v>150</v>
      </c>
      <c r="G2574" s="77" t="s">
        <v>167</v>
      </c>
      <c r="H2574" s="77" t="s">
        <v>153</v>
      </c>
      <c r="I2574" s="86">
        <v>41698</v>
      </c>
      <c r="J2574" s="78">
        <v>436</v>
      </c>
      <c r="U2574" s="132" t="s">
        <v>154</v>
      </c>
      <c r="V2574" s="132" t="s">
        <v>291</v>
      </c>
      <c r="W2574" s="132" t="s">
        <v>267</v>
      </c>
      <c r="X2574" s="133">
        <v>41982</v>
      </c>
      <c r="Y2574" s="134">
        <v>685</v>
      </c>
    </row>
    <row r="2575" spans="6:25" x14ac:dyDescent="0.25">
      <c r="F2575" s="76" t="s">
        <v>150</v>
      </c>
      <c r="G2575" s="77" t="s">
        <v>167</v>
      </c>
      <c r="H2575" s="77" t="s">
        <v>153</v>
      </c>
      <c r="I2575" s="86">
        <v>41703</v>
      </c>
      <c r="J2575" s="78">
        <v>428</v>
      </c>
      <c r="U2575" s="132" t="s">
        <v>154</v>
      </c>
      <c r="V2575" s="132" t="s">
        <v>291</v>
      </c>
      <c r="W2575" s="132" t="s">
        <v>267</v>
      </c>
      <c r="X2575" s="133">
        <v>41983</v>
      </c>
      <c r="Y2575" s="134">
        <v>819</v>
      </c>
    </row>
    <row r="2576" spans="6:25" x14ac:dyDescent="0.25">
      <c r="F2576" s="76" t="s">
        <v>150</v>
      </c>
      <c r="G2576" s="77" t="s">
        <v>167</v>
      </c>
      <c r="H2576" s="77" t="s">
        <v>153</v>
      </c>
      <c r="I2576" s="86">
        <v>41704</v>
      </c>
      <c r="J2576" s="78">
        <v>814</v>
      </c>
      <c r="U2576" s="132" t="s">
        <v>154</v>
      </c>
      <c r="V2576" s="132" t="s">
        <v>291</v>
      </c>
      <c r="W2576" s="132" t="s">
        <v>267</v>
      </c>
      <c r="X2576" s="133">
        <v>41984</v>
      </c>
      <c r="Y2576" s="134">
        <v>445</v>
      </c>
    </row>
    <row r="2577" spans="6:25" x14ac:dyDescent="0.25">
      <c r="F2577" s="76" t="s">
        <v>150</v>
      </c>
      <c r="G2577" s="77" t="s">
        <v>167</v>
      </c>
      <c r="H2577" s="77" t="s">
        <v>153</v>
      </c>
      <c r="I2577" s="86">
        <v>41708</v>
      </c>
      <c r="J2577" s="78">
        <v>668</v>
      </c>
      <c r="U2577" s="132" t="s">
        <v>154</v>
      </c>
      <c r="V2577" s="132" t="s">
        <v>291</v>
      </c>
      <c r="W2577" s="132" t="s">
        <v>267</v>
      </c>
      <c r="X2577" s="133">
        <v>41985</v>
      </c>
      <c r="Y2577" s="134">
        <v>701</v>
      </c>
    </row>
    <row r="2578" spans="6:25" x14ac:dyDescent="0.25">
      <c r="F2578" s="76" t="s">
        <v>150</v>
      </c>
      <c r="G2578" s="77" t="s">
        <v>167</v>
      </c>
      <c r="H2578" s="77" t="s">
        <v>153</v>
      </c>
      <c r="I2578" s="86">
        <v>41709</v>
      </c>
      <c r="J2578" s="78">
        <v>728</v>
      </c>
      <c r="U2578" s="132" t="s">
        <v>154</v>
      </c>
      <c r="V2578" s="132" t="s">
        <v>291</v>
      </c>
      <c r="W2578" s="132" t="s">
        <v>267</v>
      </c>
      <c r="X2578" s="133">
        <v>41986</v>
      </c>
      <c r="Y2578" s="134">
        <v>782</v>
      </c>
    </row>
    <row r="2579" spans="6:25" x14ac:dyDescent="0.25">
      <c r="F2579" s="76" t="s">
        <v>150</v>
      </c>
      <c r="G2579" s="77" t="s">
        <v>167</v>
      </c>
      <c r="H2579" s="77" t="s">
        <v>153</v>
      </c>
      <c r="I2579" s="86">
        <v>41711</v>
      </c>
      <c r="J2579" s="78">
        <v>973</v>
      </c>
      <c r="U2579" s="132" t="s">
        <v>154</v>
      </c>
      <c r="V2579" s="132" t="s">
        <v>292</v>
      </c>
      <c r="W2579" s="132" t="s">
        <v>267</v>
      </c>
      <c r="X2579" s="133">
        <v>41691</v>
      </c>
      <c r="Y2579" s="134">
        <v>535</v>
      </c>
    </row>
    <row r="2580" spans="6:25" x14ac:dyDescent="0.25">
      <c r="F2580" s="76" t="s">
        <v>150</v>
      </c>
      <c r="G2580" s="77" t="s">
        <v>167</v>
      </c>
      <c r="H2580" s="77" t="s">
        <v>153</v>
      </c>
      <c r="I2580" s="86">
        <v>41716</v>
      </c>
      <c r="J2580" s="78">
        <v>816</v>
      </c>
      <c r="U2580" s="132" t="s">
        <v>154</v>
      </c>
      <c r="V2580" s="132" t="s">
        <v>292</v>
      </c>
      <c r="W2580" s="132" t="s">
        <v>267</v>
      </c>
      <c r="X2580" s="133">
        <v>41692</v>
      </c>
      <c r="Y2580" s="134">
        <v>758</v>
      </c>
    </row>
    <row r="2581" spans="6:25" x14ac:dyDescent="0.25">
      <c r="F2581" s="76" t="s">
        <v>150</v>
      </c>
      <c r="G2581" s="77" t="s">
        <v>167</v>
      </c>
      <c r="H2581" s="77" t="s">
        <v>153</v>
      </c>
      <c r="I2581" s="86">
        <v>41717</v>
      </c>
      <c r="J2581" s="78">
        <v>938</v>
      </c>
      <c r="U2581" s="132" t="s">
        <v>154</v>
      </c>
      <c r="V2581" s="132" t="s">
        <v>292</v>
      </c>
      <c r="W2581" s="132" t="s">
        <v>267</v>
      </c>
      <c r="X2581" s="133">
        <v>41693</v>
      </c>
      <c r="Y2581" s="134">
        <v>825</v>
      </c>
    </row>
    <row r="2582" spans="6:25" x14ac:dyDescent="0.25">
      <c r="F2582" s="76" t="s">
        <v>150</v>
      </c>
      <c r="G2582" s="77" t="s">
        <v>167</v>
      </c>
      <c r="H2582" s="77" t="s">
        <v>153</v>
      </c>
      <c r="I2582" s="86">
        <v>41718</v>
      </c>
      <c r="J2582" s="78">
        <v>1252</v>
      </c>
      <c r="U2582" s="132" t="s">
        <v>154</v>
      </c>
      <c r="V2582" s="132" t="s">
        <v>292</v>
      </c>
      <c r="W2582" s="132" t="s">
        <v>267</v>
      </c>
      <c r="X2582" s="133">
        <v>41693</v>
      </c>
      <c r="Y2582" s="134">
        <v>460</v>
      </c>
    </row>
    <row r="2583" spans="6:25" x14ac:dyDescent="0.25">
      <c r="F2583" s="76" t="s">
        <v>150</v>
      </c>
      <c r="G2583" s="77" t="s">
        <v>167</v>
      </c>
      <c r="H2583" s="77" t="s">
        <v>153</v>
      </c>
      <c r="I2583" s="86">
        <v>41719</v>
      </c>
      <c r="J2583" s="78">
        <v>584</v>
      </c>
      <c r="U2583" s="132" t="s">
        <v>154</v>
      </c>
      <c r="V2583" s="132" t="s">
        <v>292</v>
      </c>
      <c r="W2583" s="132" t="s">
        <v>267</v>
      </c>
      <c r="X2583" s="133">
        <v>41694</v>
      </c>
      <c r="Y2583" s="134">
        <v>815</v>
      </c>
    </row>
    <row r="2584" spans="6:25" x14ac:dyDescent="0.25">
      <c r="F2584" s="76" t="s">
        <v>150</v>
      </c>
      <c r="G2584" s="77" t="s">
        <v>167</v>
      </c>
      <c r="H2584" s="77" t="s">
        <v>153</v>
      </c>
      <c r="I2584" s="86">
        <v>41723</v>
      </c>
      <c r="J2584" s="78">
        <v>1092</v>
      </c>
      <c r="U2584" s="132" t="s">
        <v>154</v>
      </c>
      <c r="V2584" s="132" t="s">
        <v>292</v>
      </c>
      <c r="W2584" s="132" t="s">
        <v>267</v>
      </c>
      <c r="X2584" s="133">
        <v>41694</v>
      </c>
      <c r="Y2584" s="134">
        <v>456</v>
      </c>
    </row>
    <row r="2585" spans="6:25" x14ac:dyDescent="0.25">
      <c r="F2585" s="76" t="s">
        <v>150</v>
      </c>
      <c r="G2585" s="77" t="s">
        <v>167</v>
      </c>
      <c r="H2585" s="77" t="s">
        <v>153</v>
      </c>
      <c r="I2585" s="86">
        <v>41724</v>
      </c>
      <c r="J2585" s="78">
        <v>1282</v>
      </c>
      <c r="U2585" s="132" t="s">
        <v>154</v>
      </c>
      <c r="V2585" s="132" t="s">
        <v>292</v>
      </c>
      <c r="W2585" s="132" t="s">
        <v>267</v>
      </c>
      <c r="X2585" s="133">
        <v>41695</v>
      </c>
      <c r="Y2585" s="134">
        <v>744</v>
      </c>
    </row>
    <row r="2586" spans="6:25" x14ac:dyDescent="0.25">
      <c r="F2586" s="76" t="s">
        <v>150</v>
      </c>
      <c r="G2586" s="77" t="s">
        <v>167</v>
      </c>
      <c r="H2586" s="77" t="s">
        <v>153</v>
      </c>
      <c r="I2586" s="86">
        <v>41731</v>
      </c>
      <c r="J2586" s="78">
        <v>732</v>
      </c>
      <c r="U2586" s="132" t="s">
        <v>154</v>
      </c>
      <c r="V2586" s="132" t="s">
        <v>292</v>
      </c>
      <c r="W2586" s="132" t="s">
        <v>267</v>
      </c>
      <c r="X2586" s="133">
        <v>41695</v>
      </c>
      <c r="Y2586" s="134">
        <v>398</v>
      </c>
    </row>
    <row r="2587" spans="6:25" x14ac:dyDescent="0.25">
      <c r="F2587" s="76" t="s">
        <v>150</v>
      </c>
      <c r="G2587" s="77" t="s">
        <v>167</v>
      </c>
      <c r="H2587" s="77" t="s">
        <v>153</v>
      </c>
      <c r="I2587" s="86">
        <v>41732</v>
      </c>
      <c r="J2587" s="78">
        <v>1201</v>
      </c>
      <c r="U2587" s="132" t="s">
        <v>154</v>
      </c>
      <c r="V2587" s="132" t="s">
        <v>292</v>
      </c>
      <c r="W2587" s="132" t="s">
        <v>267</v>
      </c>
      <c r="X2587" s="133">
        <v>41701</v>
      </c>
      <c r="Y2587" s="134">
        <v>624</v>
      </c>
    </row>
    <row r="2588" spans="6:25" x14ac:dyDescent="0.25">
      <c r="F2588" s="76" t="s">
        <v>150</v>
      </c>
      <c r="G2588" s="77" t="s">
        <v>167</v>
      </c>
      <c r="H2588" s="77" t="s">
        <v>153</v>
      </c>
      <c r="I2588" s="86">
        <v>41733</v>
      </c>
      <c r="J2588" s="78">
        <v>1063</v>
      </c>
      <c r="U2588" s="132" t="s">
        <v>154</v>
      </c>
      <c r="V2588" s="132" t="s">
        <v>292</v>
      </c>
      <c r="W2588" s="132" t="s">
        <v>267</v>
      </c>
      <c r="X2588" s="133">
        <v>41703</v>
      </c>
      <c r="Y2588" s="134">
        <v>519</v>
      </c>
    </row>
    <row r="2589" spans="6:25" x14ac:dyDescent="0.25">
      <c r="F2589" s="76" t="s">
        <v>150</v>
      </c>
      <c r="G2589" s="77" t="s">
        <v>167</v>
      </c>
      <c r="H2589" s="77" t="s">
        <v>153</v>
      </c>
      <c r="I2589" s="86">
        <v>41733</v>
      </c>
      <c r="J2589" s="78">
        <v>559</v>
      </c>
      <c r="U2589" s="132" t="s">
        <v>154</v>
      </c>
      <c r="V2589" s="132" t="s">
        <v>292</v>
      </c>
      <c r="W2589" s="132" t="s">
        <v>267</v>
      </c>
      <c r="X2589" s="133">
        <v>41704</v>
      </c>
      <c r="Y2589" s="134">
        <v>640</v>
      </c>
    </row>
    <row r="2590" spans="6:25" x14ac:dyDescent="0.25">
      <c r="F2590" s="76" t="s">
        <v>150</v>
      </c>
      <c r="G2590" s="77" t="s">
        <v>167</v>
      </c>
      <c r="H2590" s="77" t="s">
        <v>153</v>
      </c>
      <c r="I2590" s="86">
        <v>41734</v>
      </c>
      <c r="J2590" s="78">
        <v>1071</v>
      </c>
      <c r="U2590" s="132" t="s">
        <v>154</v>
      </c>
      <c r="V2590" s="132" t="s">
        <v>292</v>
      </c>
      <c r="W2590" s="132" t="s">
        <v>267</v>
      </c>
      <c r="X2590" s="133">
        <v>41704</v>
      </c>
      <c r="Y2590" s="134">
        <v>465</v>
      </c>
    </row>
    <row r="2591" spans="6:25" x14ac:dyDescent="0.25">
      <c r="F2591" s="76" t="s">
        <v>150</v>
      </c>
      <c r="G2591" s="77" t="s">
        <v>167</v>
      </c>
      <c r="H2591" s="77" t="s">
        <v>153</v>
      </c>
      <c r="I2591" s="86">
        <v>41735</v>
      </c>
      <c r="J2591" s="78">
        <v>1209</v>
      </c>
      <c r="U2591" s="132" t="s">
        <v>154</v>
      </c>
      <c r="V2591" s="132" t="s">
        <v>292</v>
      </c>
      <c r="W2591" s="132" t="s">
        <v>267</v>
      </c>
      <c r="X2591" s="133">
        <v>41705</v>
      </c>
      <c r="Y2591" s="134">
        <v>612</v>
      </c>
    </row>
    <row r="2592" spans="6:25" x14ac:dyDescent="0.25">
      <c r="F2592" s="76" t="s">
        <v>150</v>
      </c>
      <c r="G2592" s="77" t="s">
        <v>167</v>
      </c>
      <c r="H2592" s="77" t="s">
        <v>153</v>
      </c>
      <c r="I2592" s="86">
        <v>41736</v>
      </c>
      <c r="J2592" s="78">
        <v>1029</v>
      </c>
      <c r="U2592" s="132" t="s">
        <v>154</v>
      </c>
      <c r="V2592" s="132" t="s">
        <v>292</v>
      </c>
      <c r="W2592" s="132" t="s">
        <v>267</v>
      </c>
      <c r="X2592" s="133">
        <v>41705</v>
      </c>
      <c r="Y2592" s="134">
        <v>620</v>
      </c>
    </row>
    <row r="2593" spans="6:25" x14ac:dyDescent="0.25">
      <c r="F2593" s="76" t="s">
        <v>150</v>
      </c>
      <c r="G2593" s="77" t="s">
        <v>167</v>
      </c>
      <c r="H2593" s="77" t="s">
        <v>153</v>
      </c>
      <c r="I2593" s="86">
        <v>41738</v>
      </c>
      <c r="J2593" s="78">
        <v>1413</v>
      </c>
      <c r="U2593" s="132" t="s">
        <v>154</v>
      </c>
      <c r="V2593" s="132" t="s">
        <v>292</v>
      </c>
      <c r="W2593" s="132" t="s">
        <v>267</v>
      </c>
      <c r="X2593" s="133">
        <v>41707</v>
      </c>
      <c r="Y2593" s="134">
        <v>724</v>
      </c>
    </row>
    <row r="2594" spans="6:25" x14ac:dyDescent="0.25">
      <c r="F2594" s="76" t="s">
        <v>150</v>
      </c>
      <c r="G2594" s="77" t="s">
        <v>167</v>
      </c>
      <c r="H2594" s="77" t="s">
        <v>153</v>
      </c>
      <c r="I2594" s="86">
        <v>41739</v>
      </c>
      <c r="J2594" s="78">
        <v>1124</v>
      </c>
      <c r="U2594" s="132" t="s">
        <v>154</v>
      </c>
      <c r="V2594" s="132" t="s">
        <v>292</v>
      </c>
      <c r="W2594" s="132" t="s">
        <v>267</v>
      </c>
      <c r="X2594" s="133">
        <v>41708</v>
      </c>
      <c r="Y2594" s="134">
        <v>440</v>
      </c>
    </row>
    <row r="2595" spans="6:25" x14ac:dyDescent="0.25">
      <c r="F2595" s="76" t="s">
        <v>150</v>
      </c>
      <c r="G2595" s="77" t="s">
        <v>167</v>
      </c>
      <c r="H2595" s="77" t="s">
        <v>153</v>
      </c>
      <c r="I2595" s="86">
        <v>41739</v>
      </c>
      <c r="J2595" s="78">
        <v>490</v>
      </c>
      <c r="U2595" s="132" t="s">
        <v>154</v>
      </c>
      <c r="V2595" s="132" t="s">
        <v>292</v>
      </c>
      <c r="W2595" s="132" t="s">
        <v>267</v>
      </c>
      <c r="X2595" s="133">
        <v>41709</v>
      </c>
      <c r="Y2595" s="134">
        <v>595</v>
      </c>
    </row>
    <row r="2596" spans="6:25" x14ac:dyDescent="0.25">
      <c r="F2596" s="76" t="s">
        <v>150</v>
      </c>
      <c r="G2596" s="77" t="s">
        <v>167</v>
      </c>
      <c r="H2596" s="77" t="s">
        <v>153</v>
      </c>
      <c r="I2596" s="86">
        <v>41743</v>
      </c>
      <c r="J2596" s="78">
        <v>1388</v>
      </c>
      <c r="U2596" s="132" t="s">
        <v>154</v>
      </c>
      <c r="V2596" s="132" t="s">
        <v>292</v>
      </c>
      <c r="W2596" s="132" t="s">
        <v>267</v>
      </c>
      <c r="X2596" s="133">
        <v>41709</v>
      </c>
      <c r="Y2596" s="134">
        <v>505</v>
      </c>
    </row>
    <row r="2597" spans="6:25" x14ac:dyDescent="0.25">
      <c r="F2597" s="76" t="s">
        <v>150</v>
      </c>
      <c r="G2597" s="77" t="s">
        <v>167</v>
      </c>
      <c r="H2597" s="77" t="s">
        <v>153</v>
      </c>
      <c r="I2597" s="86">
        <v>41745</v>
      </c>
      <c r="J2597" s="78">
        <v>742</v>
      </c>
      <c r="U2597" s="132" t="s">
        <v>154</v>
      </c>
      <c r="V2597" s="132" t="s">
        <v>292</v>
      </c>
      <c r="W2597" s="132" t="s">
        <v>267</v>
      </c>
      <c r="X2597" s="133">
        <v>41710</v>
      </c>
      <c r="Y2597" s="134">
        <v>639</v>
      </c>
    </row>
    <row r="2598" spans="6:25" x14ac:dyDescent="0.25">
      <c r="F2598" s="76" t="s">
        <v>150</v>
      </c>
      <c r="G2598" s="77" t="s">
        <v>167</v>
      </c>
      <c r="H2598" s="77" t="s">
        <v>153</v>
      </c>
      <c r="I2598" s="86">
        <v>41748</v>
      </c>
      <c r="J2598" s="78">
        <v>1035</v>
      </c>
      <c r="U2598" s="132" t="s">
        <v>154</v>
      </c>
      <c r="V2598" s="132" t="s">
        <v>292</v>
      </c>
      <c r="W2598" s="132" t="s">
        <v>267</v>
      </c>
      <c r="X2598" s="133">
        <v>41710</v>
      </c>
      <c r="Y2598" s="134">
        <v>700</v>
      </c>
    </row>
    <row r="2599" spans="6:25" x14ac:dyDescent="0.25">
      <c r="F2599" s="76" t="s">
        <v>150</v>
      </c>
      <c r="G2599" s="77" t="s">
        <v>167</v>
      </c>
      <c r="H2599" s="77" t="s">
        <v>153</v>
      </c>
      <c r="I2599" s="86">
        <v>41748</v>
      </c>
      <c r="J2599" s="78">
        <v>1043</v>
      </c>
      <c r="U2599" s="132" t="s">
        <v>154</v>
      </c>
      <c r="V2599" s="132" t="s">
        <v>292</v>
      </c>
      <c r="W2599" s="132" t="s">
        <v>267</v>
      </c>
      <c r="X2599" s="133">
        <v>41711</v>
      </c>
      <c r="Y2599" s="134">
        <v>1300</v>
      </c>
    </row>
    <row r="2600" spans="6:25" x14ac:dyDescent="0.25">
      <c r="F2600" s="76" t="s">
        <v>150</v>
      </c>
      <c r="G2600" s="77" t="s">
        <v>167</v>
      </c>
      <c r="H2600" s="77" t="s">
        <v>153</v>
      </c>
      <c r="I2600" s="86">
        <v>41749</v>
      </c>
      <c r="J2600" s="78">
        <v>1310</v>
      </c>
      <c r="U2600" s="132" t="s">
        <v>154</v>
      </c>
      <c r="V2600" s="132" t="s">
        <v>292</v>
      </c>
      <c r="W2600" s="132" t="s">
        <v>267</v>
      </c>
      <c r="X2600" s="133">
        <v>41712</v>
      </c>
      <c r="Y2600" s="134">
        <v>1162</v>
      </c>
    </row>
    <row r="2601" spans="6:25" x14ac:dyDescent="0.25">
      <c r="F2601" s="76" t="s">
        <v>150</v>
      </c>
      <c r="G2601" s="77" t="s">
        <v>167</v>
      </c>
      <c r="H2601" s="77" t="s">
        <v>153</v>
      </c>
      <c r="I2601" s="86">
        <v>41750</v>
      </c>
      <c r="J2601" s="78">
        <v>1237</v>
      </c>
      <c r="U2601" s="132" t="s">
        <v>154</v>
      </c>
      <c r="V2601" s="132" t="s">
        <v>292</v>
      </c>
      <c r="W2601" s="132" t="s">
        <v>267</v>
      </c>
      <c r="X2601" s="133">
        <v>41714</v>
      </c>
      <c r="Y2601" s="134">
        <v>650</v>
      </c>
    </row>
    <row r="2602" spans="6:25" x14ac:dyDescent="0.25">
      <c r="F2602" s="76" t="s">
        <v>150</v>
      </c>
      <c r="G2602" s="77" t="s">
        <v>167</v>
      </c>
      <c r="H2602" s="77" t="s">
        <v>153</v>
      </c>
      <c r="I2602" s="86">
        <v>41751</v>
      </c>
      <c r="J2602" s="78">
        <v>920</v>
      </c>
      <c r="U2602" s="132" t="s">
        <v>154</v>
      </c>
      <c r="V2602" s="132" t="s">
        <v>292</v>
      </c>
      <c r="W2602" s="132" t="s">
        <v>267</v>
      </c>
      <c r="X2602" s="133">
        <v>41715</v>
      </c>
      <c r="Y2602" s="134">
        <v>799</v>
      </c>
    </row>
    <row r="2603" spans="6:25" x14ac:dyDescent="0.25">
      <c r="F2603" s="76" t="s">
        <v>150</v>
      </c>
      <c r="G2603" s="77" t="s">
        <v>167</v>
      </c>
      <c r="H2603" s="77" t="s">
        <v>153</v>
      </c>
      <c r="I2603" s="86">
        <v>41752</v>
      </c>
      <c r="J2603" s="78">
        <v>1244</v>
      </c>
      <c r="U2603" s="132" t="s">
        <v>154</v>
      </c>
      <c r="V2603" s="132" t="s">
        <v>292</v>
      </c>
      <c r="W2603" s="132" t="s">
        <v>267</v>
      </c>
      <c r="X2603" s="133">
        <v>41730</v>
      </c>
      <c r="Y2603" s="134">
        <v>196</v>
      </c>
    </row>
    <row r="2604" spans="6:25" x14ac:dyDescent="0.25">
      <c r="F2604" s="76" t="s">
        <v>150</v>
      </c>
      <c r="G2604" s="77" t="s">
        <v>167</v>
      </c>
      <c r="H2604" s="77" t="s">
        <v>153</v>
      </c>
      <c r="I2604" s="86">
        <v>41754</v>
      </c>
      <c r="J2604" s="78">
        <v>1184</v>
      </c>
      <c r="U2604" s="132" t="s">
        <v>154</v>
      </c>
      <c r="V2604" s="132" t="s">
        <v>292</v>
      </c>
      <c r="W2604" s="132" t="s">
        <v>267</v>
      </c>
      <c r="X2604" s="133">
        <v>41731</v>
      </c>
      <c r="Y2604" s="134">
        <v>495</v>
      </c>
    </row>
    <row r="2605" spans="6:25" x14ac:dyDescent="0.25">
      <c r="F2605" s="76" t="s">
        <v>150</v>
      </c>
      <c r="G2605" s="77" t="s">
        <v>167</v>
      </c>
      <c r="H2605" s="77" t="s">
        <v>153</v>
      </c>
      <c r="I2605" s="86">
        <v>41755</v>
      </c>
      <c r="J2605" s="78">
        <v>1340</v>
      </c>
      <c r="U2605" s="132" t="s">
        <v>154</v>
      </c>
      <c r="V2605" s="132" t="s">
        <v>292</v>
      </c>
      <c r="W2605" s="132" t="s">
        <v>267</v>
      </c>
      <c r="X2605" s="133">
        <v>41732</v>
      </c>
      <c r="Y2605" s="134">
        <v>612</v>
      </c>
    </row>
    <row r="2606" spans="6:25" x14ac:dyDescent="0.25">
      <c r="F2606" s="76" t="s">
        <v>150</v>
      </c>
      <c r="G2606" s="77" t="s">
        <v>167</v>
      </c>
      <c r="H2606" s="77" t="s">
        <v>153</v>
      </c>
      <c r="I2606" s="86">
        <v>41756</v>
      </c>
      <c r="J2606" s="78">
        <v>1021</v>
      </c>
      <c r="U2606" s="132" t="s">
        <v>154</v>
      </c>
      <c r="V2606" s="132" t="s">
        <v>292</v>
      </c>
      <c r="W2606" s="132" t="s">
        <v>267</v>
      </c>
      <c r="X2606" s="133">
        <v>41732</v>
      </c>
      <c r="Y2606" s="134">
        <v>645</v>
      </c>
    </row>
    <row r="2607" spans="6:25" x14ac:dyDescent="0.25">
      <c r="F2607" s="76" t="s">
        <v>150</v>
      </c>
      <c r="G2607" s="77" t="s">
        <v>167</v>
      </c>
      <c r="H2607" s="77" t="s">
        <v>153</v>
      </c>
      <c r="I2607" s="86">
        <v>41756</v>
      </c>
      <c r="J2607" s="78">
        <v>527</v>
      </c>
      <c r="U2607" s="132" t="s">
        <v>154</v>
      </c>
      <c r="V2607" s="132" t="s">
        <v>292</v>
      </c>
      <c r="W2607" s="132" t="s">
        <v>267</v>
      </c>
      <c r="X2607" s="133">
        <v>41733</v>
      </c>
      <c r="Y2607" s="134">
        <v>430</v>
      </c>
    </row>
    <row r="2608" spans="6:25" x14ac:dyDescent="0.25">
      <c r="F2608" s="76" t="s">
        <v>150</v>
      </c>
      <c r="G2608" s="77" t="s">
        <v>167</v>
      </c>
      <c r="H2608" s="77" t="s">
        <v>153</v>
      </c>
      <c r="I2608" s="86">
        <v>41757</v>
      </c>
      <c r="J2608" s="78">
        <v>1117</v>
      </c>
      <c r="U2608" s="132" t="s">
        <v>154</v>
      </c>
      <c r="V2608" s="132" t="s">
        <v>292</v>
      </c>
      <c r="W2608" s="132" t="s">
        <v>267</v>
      </c>
      <c r="X2608" s="133">
        <v>41736</v>
      </c>
      <c r="Y2608" s="134">
        <v>696</v>
      </c>
    </row>
    <row r="2609" spans="6:25" x14ac:dyDescent="0.25">
      <c r="F2609" s="76" t="s">
        <v>150</v>
      </c>
      <c r="G2609" s="77" t="s">
        <v>167</v>
      </c>
      <c r="H2609" s="77" t="s">
        <v>153</v>
      </c>
      <c r="I2609" s="86">
        <v>41759</v>
      </c>
      <c r="J2609" s="78">
        <v>1250</v>
      </c>
      <c r="U2609" s="132" t="s">
        <v>154</v>
      </c>
      <c r="V2609" s="132" t="s">
        <v>292</v>
      </c>
      <c r="W2609" s="132" t="s">
        <v>267</v>
      </c>
      <c r="X2609" s="133">
        <v>41737</v>
      </c>
      <c r="Y2609" s="134">
        <v>965</v>
      </c>
    </row>
    <row r="2610" spans="6:25" x14ac:dyDescent="0.25">
      <c r="F2610" s="76" t="s">
        <v>150</v>
      </c>
      <c r="G2610" s="77" t="s">
        <v>167</v>
      </c>
      <c r="H2610" s="77" t="s">
        <v>153</v>
      </c>
      <c r="I2610" s="86">
        <v>41781</v>
      </c>
      <c r="J2610" s="78">
        <v>1028</v>
      </c>
      <c r="U2610" s="132" t="s">
        <v>154</v>
      </c>
      <c r="V2610" s="132" t="s">
        <v>292</v>
      </c>
      <c r="W2610" s="132" t="s">
        <v>267</v>
      </c>
      <c r="X2610" s="133">
        <v>41738</v>
      </c>
      <c r="Y2610" s="134">
        <v>714</v>
      </c>
    </row>
    <row r="2611" spans="6:25" x14ac:dyDescent="0.25">
      <c r="F2611" s="76" t="s">
        <v>150</v>
      </c>
      <c r="G2611" s="77" t="s">
        <v>167</v>
      </c>
      <c r="H2611" s="77" t="s">
        <v>153</v>
      </c>
      <c r="I2611" s="86">
        <v>41782</v>
      </c>
      <c r="J2611" s="78">
        <v>857</v>
      </c>
      <c r="U2611" s="132" t="s">
        <v>154</v>
      </c>
      <c r="V2611" s="132" t="s">
        <v>292</v>
      </c>
      <c r="W2611" s="132" t="s">
        <v>267</v>
      </c>
      <c r="X2611" s="133">
        <v>41739</v>
      </c>
      <c r="Y2611" s="134">
        <v>575</v>
      </c>
    </row>
    <row r="2612" spans="6:25" x14ac:dyDescent="0.25">
      <c r="F2612" s="76" t="s">
        <v>150</v>
      </c>
      <c r="G2612" s="77" t="s">
        <v>167</v>
      </c>
      <c r="H2612" s="77" t="s">
        <v>153</v>
      </c>
      <c r="I2612" s="86">
        <v>41786</v>
      </c>
      <c r="J2612" s="78">
        <v>769</v>
      </c>
      <c r="U2612" s="132" t="s">
        <v>154</v>
      </c>
      <c r="V2612" s="132" t="s">
        <v>292</v>
      </c>
      <c r="W2612" s="132" t="s">
        <v>267</v>
      </c>
      <c r="X2612" s="133">
        <v>41739</v>
      </c>
      <c r="Y2612" s="134">
        <v>455</v>
      </c>
    </row>
    <row r="2613" spans="6:25" x14ac:dyDescent="0.25">
      <c r="F2613" s="76" t="s">
        <v>150</v>
      </c>
      <c r="G2613" s="77" t="s">
        <v>167</v>
      </c>
      <c r="H2613" s="77" t="s">
        <v>153</v>
      </c>
      <c r="I2613" s="86">
        <v>41788</v>
      </c>
      <c r="J2613" s="78">
        <v>914</v>
      </c>
      <c r="U2613" s="132" t="s">
        <v>154</v>
      </c>
      <c r="V2613" s="132" t="s">
        <v>292</v>
      </c>
      <c r="W2613" s="132" t="s">
        <v>267</v>
      </c>
      <c r="X2613" s="133">
        <v>41740</v>
      </c>
      <c r="Y2613" s="134">
        <v>845</v>
      </c>
    </row>
    <row r="2614" spans="6:25" x14ac:dyDescent="0.25">
      <c r="F2614" s="76" t="s">
        <v>150</v>
      </c>
      <c r="G2614" s="77" t="s">
        <v>167</v>
      </c>
      <c r="H2614" s="77" t="s">
        <v>153</v>
      </c>
      <c r="I2614" s="86">
        <v>41789</v>
      </c>
      <c r="J2614" s="78">
        <v>832</v>
      </c>
      <c r="U2614" s="132" t="s">
        <v>154</v>
      </c>
      <c r="V2614" s="132" t="s">
        <v>292</v>
      </c>
      <c r="W2614" s="132" t="s">
        <v>267</v>
      </c>
      <c r="X2614" s="133">
        <v>41741</v>
      </c>
      <c r="Y2614" s="134">
        <v>991</v>
      </c>
    </row>
    <row r="2615" spans="6:25" x14ac:dyDescent="0.25">
      <c r="F2615" s="76" t="s">
        <v>150</v>
      </c>
      <c r="G2615" s="77" t="s">
        <v>167</v>
      </c>
      <c r="H2615" s="77" t="s">
        <v>153</v>
      </c>
      <c r="I2615" s="86">
        <v>41792</v>
      </c>
      <c r="J2615" s="78">
        <v>889</v>
      </c>
      <c r="U2615" s="132" t="s">
        <v>154</v>
      </c>
      <c r="V2615" s="132" t="s">
        <v>292</v>
      </c>
      <c r="W2615" s="132" t="s">
        <v>267</v>
      </c>
      <c r="X2615" s="133">
        <v>41742</v>
      </c>
      <c r="Y2615" s="134">
        <v>849</v>
      </c>
    </row>
    <row r="2616" spans="6:25" x14ac:dyDescent="0.25">
      <c r="F2616" s="76" t="s">
        <v>150</v>
      </c>
      <c r="G2616" s="77" t="s">
        <v>167</v>
      </c>
      <c r="H2616" s="77" t="s">
        <v>153</v>
      </c>
      <c r="I2616" s="86">
        <v>41793</v>
      </c>
      <c r="J2616" s="78">
        <v>766</v>
      </c>
      <c r="U2616" s="132" t="s">
        <v>154</v>
      </c>
      <c r="V2616" s="132" t="s">
        <v>292</v>
      </c>
      <c r="W2616" s="132" t="s">
        <v>267</v>
      </c>
      <c r="X2616" s="133">
        <v>41742</v>
      </c>
      <c r="Y2616" s="134">
        <v>737</v>
      </c>
    </row>
    <row r="2617" spans="6:25" x14ac:dyDescent="0.25">
      <c r="F2617" s="76" t="s">
        <v>150</v>
      </c>
      <c r="G2617" s="77" t="s">
        <v>167</v>
      </c>
      <c r="H2617" s="77" t="s">
        <v>153</v>
      </c>
      <c r="I2617" s="86">
        <v>41794</v>
      </c>
      <c r="J2617" s="78">
        <v>422</v>
      </c>
      <c r="U2617" s="132" t="s">
        <v>154</v>
      </c>
      <c r="V2617" s="132" t="s">
        <v>292</v>
      </c>
      <c r="W2617" s="132" t="s">
        <v>267</v>
      </c>
      <c r="X2617" s="133">
        <v>41742</v>
      </c>
      <c r="Y2617" s="134">
        <v>225</v>
      </c>
    </row>
    <row r="2618" spans="6:25" x14ac:dyDescent="0.25">
      <c r="F2618" s="76" t="s">
        <v>150</v>
      </c>
      <c r="G2618" s="77" t="s">
        <v>167</v>
      </c>
      <c r="H2618" s="77" t="s">
        <v>153</v>
      </c>
      <c r="I2618" s="86">
        <v>41795</v>
      </c>
      <c r="J2618" s="78">
        <v>618</v>
      </c>
      <c r="U2618" s="132" t="s">
        <v>154</v>
      </c>
      <c r="V2618" s="132" t="s">
        <v>292</v>
      </c>
      <c r="W2618" s="132" t="s">
        <v>267</v>
      </c>
      <c r="X2618" s="133">
        <v>41743</v>
      </c>
      <c r="Y2618" s="134">
        <v>630</v>
      </c>
    </row>
    <row r="2619" spans="6:25" x14ac:dyDescent="0.25">
      <c r="F2619" s="76" t="s">
        <v>150</v>
      </c>
      <c r="G2619" s="77" t="s">
        <v>167</v>
      </c>
      <c r="H2619" s="77" t="s">
        <v>153</v>
      </c>
      <c r="I2619" s="86">
        <v>41795</v>
      </c>
      <c r="J2619" s="78">
        <v>559</v>
      </c>
      <c r="U2619" s="132" t="s">
        <v>154</v>
      </c>
      <c r="V2619" s="132" t="s">
        <v>292</v>
      </c>
      <c r="W2619" s="132" t="s">
        <v>267</v>
      </c>
      <c r="X2619" s="133">
        <v>41743</v>
      </c>
      <c r="Y2619" s="134">
        <v>784</v>
      </c>
    </row>
    <row r="2620" spans="6:25" x14ac:dyDescent="0.25">
      <c r="F2620" s="76" t="s">
        <v>150</v>
      </c>
      <c r="G2620" s="77" t="s">
        <v>167</v>
      </c>
      <c r="H2620" s="77" t="s">
        <v>153</v>
      </c>
      <c r="I2620" s="86">
        <v>41796</v>
      </c>
      <c r="J2620" s="78">
        <v>941</v>
      </c>
      <c r="U2620" s="132" t="s">
        <v>154</v>
      </c>
      <c r="V2620" s="132" t="s">
        <v>292</v>
      </c>
      <c r="W2620" s="132" t="s">
        <v>267</v>
      </c>
      <c r="X2620" s="133">
        <v>41746</v>
      </c>
      <c r="Y2620" s="134">
        <v>945</v>
      </c>
    </row>
    <row r="2621" spans="6:25" x14ac:dyDescent="0.25">
      <c r="F2621" s="76" t="s">
        <v>150</v>
      </c>
      <c r="G2621" s="77" t="s">
        <v>167</v>
      </c>
      <c r="H2621" s="77" t="s">
        <v>153</v>
      </c>
      <c r="I2621" s="86">
        <v>41802</v>
      </c>
      <c r="J2621" s="78">
        <v>818</v>
      </c>
      <c r="U2621" s="132" t="s">
        <v>154</v>
      </c>
      <c r="V2621" s="132" t="s">
        <v>292</v>
      </c>
      <c r="W2621" s="132" t="s">
        <v>267</v>
      </c>
      <c r="X2621" s="133">
        <v>41747</v>
      </c>
      <c r="Y2621" s="134">
        <v>511</v>
      </c>
    </row>
    <row r="2622" spans="6:25" x14ac:dyDescent="0.25">
      <c r="F2622" s="76" t="s">
        <v>150</v>
      </c>
      <c r="G2622" s="77" t="s">
        <v>167</v>
      </c>
      <c r="H2622" s="77" t="s">
        <v>153</v>
      </c>
      <c r="I2622" s="86">
        <v>41806</v>
      </c>
      <c r="J2622" s="78">
        <v>789</v>
      </c>
      <c r="U2622" s="132" t="s">
        <v>154</v>
      </c>
      <c r="V2622" s="132" t="s">
        <v>292</v>
      </c>
      <c r="W2622" s="132" t="s">
        <v>267</v>
      </c>
      <c r="X2622" s="133">
        <v>41747</v>
      </c>
      <c r="Y2622" s="134">
        <v>635</v>
      </c>
    </row>
    <row r="2623" spans="6:25" x14ac:dyDescent="0.25">
      <c r="F2623" s="76" t="s">
        <v>150</v>
      </c>
      <c r="G2623" s="77" t="s">
        <v>167</v>
      </c>
      <c r="H2623" s="77" t="s">
        <v>153</v>
      </c>
      <c r="I2623" s="86">
        <v>41807</v>
      </c>
      <c r="J2623" s="78">
        <v>489</v>
      </c>
      <c r="U2623" s="132" t="s">
        <v>154</v>
      </c>
      <c r="V2623" s="132" t="s">
        <v>292</v>
      </c>
      <c r="W2623" s="132" t="s">
        <v>267</v>
      </c>
      <c r="X2623" s="133">
        <v>41749</v>
      </c>
      <c r="Y2623" s="134">
        <v>590</v>
      </c>
    </row>
    <row r="2624" spans="6:25" x14ac:dyDescent="0.25">
      <c r="F2624" s="76" t="s">
        <v>150</v>
      </c>
      <c r="G2624" s="77" t="s">
        <v>167</v>
      </c>
      <c r="H2624" s="77" t="s">
        <v>153</v>
      </c>
      <c r="I2624" s="86">
        <v>41809</v>
      </c>
      <c r="J2624" s="78">
        <v>771</v>
      </c>
      <c r="U2624" s="132" t="s">
        <v>154</v>
      </c>
      <c r="V2624" s="132" t="s">
        <v>292</v>
      </c>
      <c r="W2624" s="132" t="s">
        <v>267</v>
      </c>
      <c r="X2624" s="133">
        <v>41750</v>
      </c>
      <c r="Y2624" s="134">
        <v>852</v>
      </c>
    </row>
    <row r="2625" spans="6:25" x14ac:dyDescent="0.25">
      <c r="F2625" s="76" t="s">
        <v>150</v>
      </c>
      <c r="G2625" s="77" t="s">
        <v>167</v>
      </c>
      <c r="H2625" s="77" t="s">
        <v>153</v>
      </c>
      <c r="I2625" s="86">
        <v>41811</v>
      </c>
      <c r="J2625" s="78">
        <v>877</v>
      </c>
      <c r="U2625" s="132" t="s">
        <v>154</v>
      </c>
      <c r="V2625" s="132" t="s">
        <v>292</v>
      </c>
      <c r="W2625" s="132" t="s">
        <v>267</v>
      </c>
      <c r="X2625" s="133">
        <v>41751</v>
      </c>
      <c r="Y2625" s="134">
        <v>701</v>
      </c>
    </row>
    <row r="2626" spans="6:25" x14ac:dyDescent="0.25">
      <c r="F2626" s="76" t="s">
        <v>150</v>
      </c>
      <c r="G2626" s="77" t="s">
        <v>167</v>
      </c>
      <c r="H2626" s="77" t="s">
        <v>153</v>
      </c>
      <c r="I2626" s="86">
        <v>41813</v>
      </c>
      <c r="J2626" s="78">
        <v>1070</v>
      </c>
      <c r="U2626" s="132" t="s">
        <v>154</v>
      </c>
      <c r="V2626" s="132" t="s">
        <v>292</v>
      </c>
      <c r="W2626" s="132" t="s">
        <v>267</v>
      </c>
      <c r="X2626" s="133">
        <v>41752</v>
      </c>
      <c r="Y2626" s="134">
        <v>720</v>
      </c>
    </row>
    <row r="2627" spans="6:25" x14ac:dyDescent="0.25">
      <c r="F2627" s="76" t="s">
        <v>150</v>
      </c>
      <c r="G2627" s="77" t="s">
        <v>167</v>
      </c>
      <c r="H2627" s="77" t="s">
        <v>153</v>
      </c>
      <c r="I2627" s="86">
        <v>41815</v>
      </c>
      <c r="J2627" s="78">
        <v>940</v>
      </c>
      <c r="U2627" s="132" t="s">
        <v>154</v>
      </c>
      <c r="V2627" s="132" t="s">
        <v>292</v>
      </c>
      <c r="W2627" s="132" t="s">
        <v>267</v>
      </c>
      <c r="X2627" s="133">
        <v>41753</v>
      </c>
      <c r="Y2627" s="134">
        <v>874</v>
      </c>
    </row>
    <row r="2628" spans="6:25" x14ac:dyDescent="0.25">
      <c r="F2628" s="76" t="s">
        <v>150</v>
      </c>
      <c r="G2628" s="77" t="s">
        <v>167</v>
      </c>
      <c r="H2628" s="77" t="s">
        <v>153</v>
      </c>
      <c r="I2628" s="86">
        <v>41816</v>
      </c>
      <c r="J2628" s="78">
        <v>815</v>
      </c>
      <c r="U2628" s="132" t="s">
        <v>154</v>
      </c>
      <c r="V2628" s="132" t="s">
        <v>292</v>
      </c>
      <c r="W2628" s="132" t="s">
        <v>267</v>
      </c>
      <c r="X2628" s="133">
        <v>41754</v>
      </c>
      <c r="Y2628" s="134">
        <v>1160</v>
      </c>
    </row>
    <row r="2629" spans="6:25" x14ac:dyDescent="0.25">
      <c r="F2629" s="76" t="s">
        <v>150</v>
      </c>
      <c r="G2629" s="77" t="s">
        <v>167</v>
      </c>
      <c r="H2629" s="77" t="s">
        <v>153</v>
      </c>
      <c r="I2629" s="86">
        <v>41820</v>
      </c>
      <c r="J2629" s="78">
        <v>544</v>
      </c>
      <c r="U2629" s="132" t="s">
        <v>154</v>
      </c>
      <c r="V2629" s="132" t="s">
        <v>292</v>
      </c>
      <c r="W2629" s="132" t="s">
        <v>267</v>
      </c>
      <c r="X2629" s="133">
        <v>41755</v>
      </c>
      <c r="Y2629" s="134">
        <v>269</v>
      </c>
    </row>
    <row r="2630" spans="6:25" x14ac:dyDescent="0.25">
      <c r="F2630" s="76" t="s">
        <v>150</v>
      </c>
      <c r="G2630" s="77" t="s">
        <v>167</v>
      </c>
      <c r="H2630" s="77" t="s">
        <v>153</v>
      </c>
      <c r="I2630" s="86">
        <v>41823</v>
      </c>
      <c r="J2630" s="78">
        <v>852</v>
      </c>
      <c r="U2630" s="132" t="s">
        <v>154</v>
      </c>
      <c r="V2630" s="132" t="s">
        <v>292</v>
      </c>
      <c r="W2630" s="132" t="s">
        <v>267</v>
      </c>
      <c r="X2630" s="133">
        <v>41756</v>
      </c>
      <c r="Y2630" s="134">
        <v>441</v>
      </c>
    </row>
    <row r="2631" spans="6:25" x14ac:dyDescent="0.25">
      <c r="F2631" s="76" t="s">
        <v>150</v>
      </c>
      <c r="G2631" s="77" t="s">
        <v>167</v>
      </c>
      <c r="H2631" s="77" t="s">
        <v>153</v>
      </c>
      <c r="I2631" s="86">
        <v>41828</v>
      </c>
      <c r="J2631" s="78">
        <v>776</v>
      </c>
      <c r="U2631" s="132" t="s">
        <v>154</v>
      </c>
      <c r="V2631" s="132" t="s">
        <v>292</v>
      </c>
      <c r="W2631" s="132" t="s">
        <v>267</v>
      </c>
      <c r="X2631" s="133">
        <v>41756</v>
      </c>
      <c r="Y2631" s="134">
        <v>504</v>
      </c>
    </row>
    <row r="2632" spans="6:25" x14ac:dyDescent="0.25">
      <c r="F2632" s="76" t="s">
        <v>150</v>
      </c>
      <c r="G2632" s="77" t="s">
        <v>167</v>
      </c>
      <c r="H2632" s="77" t="s">
        <v>153</v>
      </c>
      <c r="I2632" s="86">
        <v>41829</v>
      </c>
      <c r="J2632" s="78">
        <v>667</v>
      </c>
      <c r="U2632" s="132" t="s">
        <v>154</v>
      </c>
      <c r="V2632" s="132" t="s">
        <v>292</v>
      </c>
      <c r="W2632" s="132" t="s">
        <v>267</v>
      </c>
      <c r="X2632" s="133">
        <v>41757</v>
      </c>
      <c r="Y2632" s="134">
        <v>963</v>
      </c>
    </row>
    <row r="2633" spans="6:25" x14ac:dyDescent="0.25">
      <c r="F2633" s="76" t="s">
        <v>150</v>
      </c>
      <c r="G2633" s="77" t="s">
        <v>167</v>
      </c>
      <c r="H2633" s="77" t="s">
        <v>153</v>
      </c>
      <c r="I2633" s="86">
        <v>41830</v>
      </c>
      <c r="J2633" s="78">
        <v>878</v>
      </c>
      <c r="U2633" s="132" t="s">
        <v>154</v>
      </c>
      <c r="V2633" s="132" t="s">
        <v>292</v>
      </c>
      <c r="W2633" s="132" t="s">
        <v>267</v>
      </c>
      <c r="X2633" s="133">
        <v>41758</v>
      </c>
      <c r="Y2633" s="134">
        <v>642</v>
      </c>
    </row>
    <row r="2634" spans="6:25" x14ac:dyDescent="0.25">
      <c r="F2634" s="76" t="s">
        <v>150</v>
      </c>
      <c r="G2634" s="77" t="s">
        <v>167</v>
      </c>
      <c r="H2634" s="77" t="s">
        <v>153</v>
      </c>
      <c r="I2634" s="86">
        <v>41837</v>
      </c>
      <c r="J2634" s="78">
        <v>883</v>
      </c>
      <c r="U2634" s="132" t="s">
        <v>154</v>
      </c>
      <c r="V2634" s="132" t="s">
        <v>292</v>
      </c>
      <c r="W2634" s="132" t="s">
        <v>267</v>
      </c>
      <c r="X2634" s="133">
        <v>41758</v>
      </c>
      <c r="Y2634" s="134">
        <v>655</v>
      </c>
    </row>
    <row r="2635" spans="6:25" x14ac:dyDescent="0.25">
      <c r="F2635" s="76" t="s">
        <v>150</v>
      </c>
      <c r="G2635" s="77" t="s">
        <v>167</v>
      </c>
      <c r="H2635" s="77" t="s">
        <v>153</v>
      </c>
      <c r="I2635" s="86">
        <v>41838</v>
      </c>
      <c r="J2635" s="78">
        <v>1256</v>
      </c>
      <c r="U2635" s="132" t="s">
        <v>154</v>
      </c>
      <c r="V2635" s="132" t="s">
        <v>292</v>
      </c>
      <c r="W2635" s="132" t="s">
        <v>267</v>
      </c>
      <c r="X2635" s="133">
        <v>41759</v>
      </c>
      <c r="Y2635" s="134">
        <v>550</v>
      </c>
    </row>
    <row r="2636" spans="6:25" x14ac:dyDescent="0.25">
      <c r="F2636" s="76" t="s">
        <v>150</v>
      </c>
      <c r="G2636" s="77" t="s">
        <v>167</v>
      </c>
      <c r="H2636" s="77" t="s">
        <v>153</v>
      </c>
      <c r="I2636" s="86">
        <v>41842</v>
      </c>
      <c r="J2636" s="78">
        <v>1163</v>
      </c>
      <c r="U2636" s="132" t="s">
        <v>154</v>
      </c>
      <c r="V2636" s="132" t="s">
        <v>292</v>
      </c>
      <c r="W2636" s="132" t="s">
        <v>267</v>
      </c>
      <c r="X2636" s="133">
        <v>41771</v>
      </c>
      <c r="Y2636" s="134">
        <v>880</v>
      </c>
    </row>
    <row r="2637" spans="6:25" x14ac:dyDescent="0.25">
      <c r="F2637" s="76" t="s">
        <v>150</v>
      </c>
      <c r="G2637" s="77" t="s">
        <v>167</v>
      </c>
      <c r="H2637" s="77" t="s">
        <v>153</v>
      </c>
      <c r="I2637" s="86">
        <v>41845</v>
      </c>
      <c r="J2637" s="78">
        <v>1169</v>
      </c>
      <c r="U2637" s="132" t="s">
        <v>154</v>
      </c>
      <c r="V2637" s="132" t="s">
        <v>292</v>
      </c>
      <c r="W2637" s="132" t="s">
        <v>267</v>
      </c>
      <c r="X2637" s="133">
        <v>41772</v>
      </c>
      <c r="Y2637" s="134">
        <v>906</v>
      </c>
    </row>
    <row r="2638" spans="6:25" x14ac:dyDescent="0.25">
      <c r="F2638" s="76" t="s">
        <v>150</v>
      </c>
      <c r="G2638" s="77" t="s">
        <v>167</v>
      </c>
      <c r="H2638" s="77" t="s">
        <v>153</v>
      </c>
      <c r="I2638" s="86">
        <v>41870</v>
      </c>
      <c r="J2638" s="78">
        <v>446</v>
      </c>
      <c r="U2638" s="132" t="s">
        <v>154</v>
      </c>
      <c r="V2638" s="132" t="s">
        <v>292</v>
      </c>
      <c r="W2638" s="132" t="s">
        <v>267</v>
      </c>
      <c r="X2638" s="133">
        <v>41773</v>
      </c>
      <c r="Y2638" s="134">
        <v>689</v>
      </c>
    </row>
    <row r="2639" spans="6:25" x14ac:dyDescent="0.25">
      <c r="F2639" s="76" t="s">
        <v>150</v>
      </c>
      <c r="G2639" s="77" t="s">
        <v>167</v>
      </c>
      <c r="H2639" s="77" t="s">
        <v>153</v>
      </c>
      <c r="I2639" s="86">
        <v>41872</v>
      </c>
      <c r="J2639" s="78">
        <v>1105</v>
      </c>
      <c r="U2639" s="132" t="s">
        <v>154</v>
      </c>
      <c r="V2639" s="132" t="s">
        <v>292</v>
      </c>
      <c r="W2639" s="132" t="s">
        <v>267</v>
      </c>
      <c r="X2639" s="133">
        <v>41773</v>
      </c>
      <c r="Y2639" s="134">
        <v>720</v>
      </c>
    </row>
    <row r="2640" spans="6:25" x14ac:dyDescent="0.25">
      <c r="F2640" s="76" t="s">
        <v>150</v>
      </c>
      <c r="G2640" s="77" t="s">
        <v>167</v>
      </c>
      <c r="H2640" s="77" t="s">
        <v>153</v>
      </c>
      <c r="I2640" s="86">
        <v>41873</v>
      </c>
      <c r="J2640" s="78">
        <v>880</v>
      </c>
      <c r="U2640" s="132" t="s">
        <v>154</v>
      </c>
      <c r="V2640" s="132" t="s">
        <v>292</v>
      </c>
      <c r="W2640" s="132" t="s">
        <v>267</v>
      </c>
      <c r="X2640" s="133">
        <v>41774</v>
      </c>
      <c r="Y2640" s="134">
        <v>620</v>
      </c>
    </row>
    <row r="2641" spans="6:25" x14ac:dyDescent="0.25">
      <c r="F2641" s="76" t="s">
        <v>150</v>
      </c>
      <c r="G2641" s="77" t="s">
        <v>167</v>
      </c>
      <c r="H2641" s="77" t="s">
        <v>153</v>
      </c>
      <c r="I2641" s="86">
        <v>41875</v>
      </c>
      <c r="J2641" s="78">
        <v>1242</v>
      </c>
      <c r="U2641" s="132" t="s">
        <v>154</v>
      </c>
      <c r="V2641" s="132" t="s">
        <v>292</v>
      </c>
      <c r="W2641" s="132" t="s">
        <v>267</v>
      </c>
      <c r="X2641" s="133">
        <v>41775</v>
      </c>
      <c r="Y2641" s="134">
        <v>1337</v>
      </c>
    </row>
    <row r="2642" spans="6:25" x14ac:dyDescent="0.25">
      <c r="F2642" s="76" t="s">
        <v>150</v>
      </c>
      <c r="G2642" s="77" t="s">
        <v>167</v>
      </c>
      <c r="H2642" s="77" t="s">
        <v>153</v>
      </c>
      <c r="I2642" s="86">
        <v>41877</v>
      </c>
      <c r="J2642" s="78">
        <v>1079</v>
      </c>
      <c r="U2642" s="132" t="s">
        <v>154</v>
      </c>
      <c r="V2642" s="132" t="s">
        <v>292</v>
      </c>
      <c r="W2642" s="132" t="s">
        <v>267</v>
      </c>
      <c r="X2642" s="133">
        <v>41776</v>
      </c>
      <c r="Y2642" s="134">
        <v>857</v>
      </c>
    </row>
    <row r="2643" spans="6:25" x14ac:dyDescent="0.25">
      <c r="F2643" s="76" t="s">
        <v>150</v>
      </c>
      <c r="G2643" s="77" t="s">
        <v>167</v>
      </c>
      <c r="H2643" s="77" t="s">
        <v>153</v>
      </c>
      <c r="I2643" s="86">
        <v>41879</v>
      </c>
      <c r="J2643" s="78">
        <v>814</v>
      </c>
      <c r="U2643" s="132" t="s">
        <v>154</v>
      </c>
      <c r="V2643" s="132" t="s">
        <v>292</v>
      </c>
      <c r="W2643" s="132" t="s">
        <v>267</v>
      </c>
      <c r="X2643" s="133">
        <v>41776</v>
      </c>
      <c r="Y2643" s="134">
        <v>510</v>
      </c>
    </row>
    <row r="2644" spans="6:25" x14ac:dyDescent="0.25">
      <c r="F2644" s="76" t="s">
        <v>150</v>
      </c>
      <c r="G2644" s="77" t="s">
        <v>167</v>
      </c>
      <c r="H2644" s="77" t="s">
        <v>153</v>
      </c>
      <c r="I2644" s="86">
        <v>41884</v>
      </c>
      <c r="J2644" s="78">
        <v>1084</v>
      </c>
      <c r="U2644" s="132" t="s">
        <v>154</v>
      </c>
      <c r="V2644" s="132" t="s">
        <v>292</v>
      </c>
      <c r="W2644" s="132" t="s">
        <v>267</v>
      </c>
      <c r="X2644" s="133">
        <v>41777</v>
      </c>
      <c r="Y2644" s="134">
        <v>836</v>
      </c>
    </row>
    <row r="2645" spans="6:25" x14ac:dyDescent="0.25">
      <c r="F2645" s="76" t="s">
        <v>150</v>
      </c>
      <c r="G2645" s="77" t="s">
        <v>167</v>
      </c>
      <c r="H2645" s="77" t="s">
        <v>153</v>
      </c>
      <c r="I2645" s="86">
        <v>41891</v>
      </c>
      <c r="J2645" s="78">
        <v>466</v>
      </c>
      <c r="U2645" s="132" t="s">
        <v>154</v>
      </c>
      <c r="V2645" s="132" t="s">
        <v>292</v>
      </c>
      <c r="W2645" s="132" t="s">
        <v>267</v>
      </c>
      <c r="X2645" s="133">
        <v>41777</v>
      </c>
      <c r="Y2645" s="134">
        <v>789</v>
      </c>
    </row>
    <row r="2646" spans="6:25" x14ac:dyDescent="0.25">
      <c r="F2646" s="76" t="s">
        <v>150</v>
      </c>
      <c r="G2646" s="77" t="s">
        <v>167</v>
      </c>
      <c r="H2646" s="77" t="s">
        <v>153</v>
      </c>
      <c r="I2646" s="86">
        <v>41892</v>
      </c>
      <c r="J2646" s="78">
        <v>830</v>
      </c>
      <c r="U2646" s="132" t="s">
        <v>154</v>
      </c>
      <c r="V2646" s="132" t="s">
        <v>292</v>
      </c>
      <c r="W2646" s="132" t="s">
        <v>267</v>
      </c>
      <c r="X2646" s="133">
        <v>41778</v>
      </c>
      <c r="Y2646" s="134">
        <v>721</v>
      </c>
    </row>
    <row r="2647" spans="6:25" x14ac:dyDescent="0.25">
      <c r="F2647" s="76" t="s">
        <v>150</v>
      </c>
      <c r="G2647" s="77" t="s">
        <v>167</v>
      </c>
      <c r="H2647" s="77" t="s">
        <v>153</v>
      </c>
      <c r="I2647" s="86">
        <v>41894</v>
      </c>
      <c r="J2647" s="78">
        <v>1048</v>
      </c>
      <c r="U2647" s="132" t="s">
        <v>154</v>
      </c>
      <c r="V2647" s="132" t="s">
        <v>292</v>
      </c>
      <c r="W2647" s="132" t="s">
        <v>267</v>
      </c>
      <c r="X2647" s="133">
        <v>41778</v>
      </c>
      <c r="Y2647" s="134">
        <v>881</v>
      </c>
    </row>
    <row r="2648" spans="6:25" x14ac:dyDescent="0.25">
      <c r="F2648" s="76" t="s">
        <v>150</v>
      </c>
      <c r="G2648" s="77" t="s">
        <v>167</v>
      </c>
      <c r="H2648" s="77" t="s">
        <v>153</v>
      </c>
      <c r="I2648" s="86">
        <v>41895</v>
      </c>
      <c r="J2648" s="78">
        <v>1030</v>
      </c>
      <c r="U2648" s="132" t="s">
        <v>154</v>
      </c>
      <c r="V2648" s="132" t="s">
        <v>292</v>
      </c>
      <c r="W2648" s="132" t="s">
        <v>267</v>
      </c>
      <c r="X2648" s="133">
        <v>41780</v>
      </c>
      <c r="Y2648" s="134">
        <v>930</v>
      </c>
    </row>
    <row r="2649" spans="6:25" x14ac:dyDescent="0.25">
      <c r="F2649" s="76" t="s">
        <v>150</v>
      </c>
      <c r="G2649" s="77" t="s">
        <v>167</v>
      </c>
      <c r="H2649" s="77" t="s">
        <v>153</v>
      </c>
      <c r="I2649" s="86">
        <v>41897</v>
      </c>
      <c r="J2649" s="78">
        <v>884</v>
      </c>
      <c r="U2649" s="132" t="s">
        <v>154</v>
      </c>
      <c r="V2649" s="132" t="s">
        <v>292</v>
      </c>
      <c r="W2649" s="132" t="s">
        <v>267</v>
      </c>
      <c r="X2649" s="133">
        <v>41781</v>
      </c>
      <c r="Y2649" s="134">
        <v>984</v>
      </c>
    </row>
    <row r="2650" spans="6:25" x14ac:dyDescent="0.25">
      <c r="F2650" s="76" t="s">
        <v>150</v>
      </c>
      <c r="G2650" s="77" t="s">
        <v>167</v>
      </c>
      <c r="H2650" s="77" t="s">
        <v>153</v>
      </c>
      <c r="I2650" s="86">
        <v>41901</v>
      </c>
      <c r="J2650" s="78">
        <v>961</v>
      </c>
      <c r="U2650" s="132" t="s">
        <v>154</v>
      </c>
      <c r="V2650" s="132" t="s">
        <v>292</v>
      </c>
      <c r="W2650" s="132" t="s">
        <v>267</v>
      </c>
      <c r="X2650" s="133">
        <v>41782</v>
      </c>
      <c r="Y2650" s="134">
        <v>920</v>
      </c>
    </row>
    <row r="2651" spans="6:25" x14ac:dyDescent="0.25">
      <c r="F2651" s="76" t="s">
        <v>150</v>
      </c>
      <c r="G2651" s="77" t="s">
        <v>167</v>
      </c>
      <c r="H2651" s="77" t="s">
        <v>153</v>
      </c>
      <c r="I2651" s="86">
        <v>41904</v>
      </c>
      <c r="J2651" s="78">
        <v>1254</v>
      </c>
      <c r="U2651" s="132" t="s">
        <v>154</v>
      </c>
      <c r="V2651" s="132" t="s">
        <v>292</v>
      </c>
      <c r="W2651" s="132" t="s">
        <v>267</v>
      </c>
      <c r="X2651" s="133">
        <v>41783</v>
      </c>
      <c r="Y2651" s="134">
        <v>1032</v>
      </c>
    </row>
    <row r="2652" spans="6:25" x14ac:dyDescent="0.25">
      <c r="F2652" s="76" t="s">
        <v>150</v>
      </c>
      <c r="G2652" s="77" t="s">
        <v>167</v>
      </c>
      <c r="H2652" s="77" t="s">
        <v>153</v>
      </c>
      <c r="I2652" s="86">
        <v>41906</v>
      </c>
      <c r="J2652" s="78">
        <v>1072</v>
      </c>
      <c r="U2652" s="132" t="s">
        <v>154</v>
      </c>
      <c r="V2652" s="132" t="s">
        <v>292</v>
      </c>
      <c r="W2652" s="132" t="s">
        <v>267</v>
      </c>
      <c r="X2652" s="133">
        <v>41784</v>
      </c>
      <c r="Y2652" s="134">
        <v>617</v>
      </c>
    </row>
    <row r="2653" spans="6:25" x14ac:dyDescent="0.25">
      <c r="F2653" s="76" t="s">
        <v>150</v>
      </c>
      <c r="G2653" s="77" t="s">
        <v>167</v>
      </c>
      <c r="H2653" s="77" t="s">
        <v>153</v>
      </c>
      <c r="I2653" s="86">
        <v>41908</v>
      </c>
      <c r="J2653" s="78">
        <v>1227</v>
      </c>
      <c r="U2653" s="132" t="s">
        <v>154</v>
      </c>
      <c r="V2653" s="132" t="s">
        <v>292</v>
      </c>
      <c r="W2653" s="132" t="s">
        <v>267</v>
      </c>
      <c r="X2653" s="133">
        <v>41786</v>
      </c>
      <c r="Y2653" s="134">
        <v>967</v>
      </c>
    </row>
    <row r="2654" spans="6:25" x14ac:dyDescent="0.25">
      <c r="F2654" s="76" t="s">
        <v>150</v>
      </c>
      <c r="G2654" s="77" t="s">
        <v>167</v>
      </c>
      <c r="H2654" s="77" t="s">
        <v>153</v>
      </c>
      <c r="I2654" s="86">
        <v>41910</v>
      </c>
      <c r="J2654" s="78">
        <v>907</v>
      </c>
      <c r="U2654" s="132" t="s">
        <v>154</v>
      </c>
      <c r="V2654" s="132" t="s">
        <v>292</v>
      </c>
      <c r="W2654" s="132" t="s">
        <v>267</v>
      </c>
      <c r="X2654" s="133">
        <v>41787</v>
      </c>
      <c r="Y2654" s="134">
        <v>910</v>
      </c>
    </row>
    <row r="2655" spans="6:25" x14ac:dyDescent="0.25">
      <c r="F2655" s="76" t="s">
        <v>150</v>
      </c>
      <c r="G2655" s="77" t="s">
        <v>167</v>
      </c>
      <c r="H2655" s="77" t="s">
        <v>153</v>
      </c>
      <c r="I2655" s="86">
        <v>41912</v>
      </c>
      <c r="J2655" s="78">
        <v>1063</v>
      </c>
      <c r="U2655" s="132" t="s">
        <v>154</v>
      </c>
      <c r="V2655" s="132" t="s">
        <v>292</v>
      </c>
      <c r="W2655" s="132" t="s">
        <v>267</v>
      </c>
      <c r="X2655" s="133">
        <v>41788</v>
      </c>
      <c r="Y2655" s="134">
        <v>737</v>
      </c>
    </row>
    <row r="2656" spans="6:25" x14ac:dyDescent="0.25">
      <c r="F2656" s="76" t="s">
        <v>150</v>
      </c>
      <c r="G2656" s="77" t="s">
        <v>167</v>
      </c>
      <c r="H2656" s="77" t="s">
        <v>153</v>
      </c>
      <c r="I2656" s="86">
        <v>41913</v>
      </c>
      <c r="J2656" s="78">
        <v>908</v>
      </c>
      <c r="U2656" s="132" t="s">
        <v>154</v>
      </c>
      <c r="V2656" s="132" t="s">
        <v>292</v>
      </c>
      <c r="W2656" s="132" t="s">
        <v>267</v>
      </c>
      <c r="X2656" s="133">
        <v>41788</v>
      </c>
      <c r="Y2656" s="134">
        <v>691</v>
      </c>
    </row>
    <row r="2657" spans="6:25" x14ac:dyDescent="0.25">
      <c r="F2657" s="76" t="s">
        <v>150</v>
      </c>
      <c r="G2657" s="77" t="s">
        <v>167</v>
      </c>
      <c r="H2657" s="77" t="s">
        <v>153</v>
      </c>
      <c r="I2657" s="86">
        <v>41919</v>
      </c>
      <c r="J2657" s="78">
        <v>990</v>
      </c>
      <c r="U2657" s="132" t="s">
        <v>154</v>
      </c>
      <c r="V2657" s="132" t="s">
        <v>292</v>
      </c>
      <c r="W2657" s="132" t="s">
        <v>267</v>
      </c>
      <c r="X2657" s="133">
        <v>41789</v>
      </c>
      <c r="Y2657" s="134">
        <v>625</v>
      </c>
    </row>
    <row r="2658" spans="6:25" x14ac:dyDescent="0.25">
      <c r="F2658" s="76" t="s">
        <v>150</v>
      </c>
      <c r="G2658" s="77" t="s">
        <v>167</v>
      </c>
      <c r="H2658" s="77" t="s">
        <v>153</v>
      </c>
      <c r="I2658" s="86">
        <v>41920</v>
      </c>
      <c r="J2658" s="78">
        <v>837</v>
      </c>
      <c r="U2658" s="132" t="s">
        <v>154</v>
      </c>
      <c r="V2658" s="132" t="s">
        <v>292</v>
      </c>
      <c r="W2658" s="132" t="s">
        <v>267</v>
      </c>
      <c r="X2658" s="133">
        <v>41790</v>
      </c>
      <c r="Y2658" s="134">
        <v>730</v>
      </c>
    </row>
    <row r="2659" spans="6:25" x14ac:dyDescent="0.25">
      <c r="F2659" s="76" t="s">
        <v>150</v>
      </c>
      <c r="G2659" s="77" t="s">
        <v>167</v>
      </c>
      <c r="H2659" s="77" t="s">
        <v>153</v>
      </c>
      <c r="I2659" s="86">
        <v>41926</v>
      </c>
      <c r="J2659" s="78">
        <v>1016</v>
      </c>
      <c r="U2659" s="132" t="s">
        <v>154</v>
      </c>
      <c r="V2659" s="132" t="s">
        <v>292</v>
      </c>
      <c r="W2659" s="132" t="s">
        <v>267</v>
      </c>
      <c r="X2659" s="133">
        <v>41790</v>
      </c>
      <c r="Y2659" s="134">
        <v>545</v>
      </c>
    </row>
    <row r="2660" spans="6:25" x14ac:dyDescent="0.25">
      <c r="F2660" s="76" t="s">
        <v>150</v>
      </c>
      <c r="G2660" s="77" t="s">
        <v>167</v>
      </c>
      <c r="H2660" s="77" t="s">
        <v>153</v>
      </c>
      <c r="I2660" s="86">
        <v>41928</v>
      </c>
      <c r="J2660" s="78">
        <v>1191</v>
      </c>
      <c r="U2660" s="132" t="s">
        <v>154</v>
      </c>
      <c r="V2660" s="132" t="s">
        <v>292</v>
      </c>
      <c r="W2660" s="132" t="s">
        <v>267</v>
      </c>
      <c r="X2660" s="133">
        <v>41791</v>
      </c>
      <c r="Y2660" s="134">
        <v>808</v>
      </c>
    </row>
    <row r="2661" spans="6:25" x14ac:dyDescent="0.25">
      <c r="F2661" s="76" t="s">
        <v>150</v>
      </c>
      <c r="G2661" s="77" t="s">
        <v>167</v>
      </c>
      <c r="H2661" s="77" t="s">
        <v>153</v>
      </c>
      <c r="I2661" s="86">
        <v>41953</v>
      </c>
      <c r="J2661" s="78">
        <v>1677</v>
      </c>
      <c r="U2661" s="132" t="s">
        <v>154</v>
      </c>
      <c r="V2661" s="132" t="s">
        <v>292</v>
      </c>
      <c r="W2661" s="132" t="s">
        <v>267</v>
      </c>
      <c r="X2661" s="133">
        <v>41791</v>
      </c>
      <c r="Y2661" s="134">
        <v>800</v>
      </c>
    </row>
    <row r="2662" spans="6:25" x14ac:dyDescent="0.25">
      <c r="F2662" s="76" t="s">
        <v>150</v>
      </c>
      <c r="G2662" s="77" t="s">
        <v>167</v>
      </c>
      <c r="H2662" s="77" t="s">
        <v>153</v>
      </c>
      <c r="I2662" s="86">
        <v>41955</v>
      </c>
      <c r="J2662" s="78">
        <v>763</v>
      </c>
      <c r="U2662" s="132" t="s">
        <v>154</v>
      </c>
      <c r="V2662" s="132" t="s">
        <v>292</v>
      </c>
      <c r="W2662" s="132" t="s">
        <v>267</v>
      </c>
      <c r="X2662" s="133">
        <v>41955</v>
      </c>
      <c r="Y2662" s="134">
        <v>858</v>
      </c>
    </row>
    <row r="2663" spans="6:25" x14ac:dyDescent="0.25">
      <c r="F2663" s="76" t="s">
        <v>150</v>
      </c>
      <c r="G2663" s="77" t="s">
        <v>167</v>
      </c>
      <c r="H2663" s="77" t="s">
        <v>153</v>
      </c>
      <c r="I2663" s="86">
        <v>41957</v>
      </c>
      <c r="J2663" s="78">
        <v>895</v>
      </c>
      <c r="U2663" s="132" t="s">
        <v>154</v>
      </c>
      <c r="V2663" s="132" t="s">
        <v>292</v>
      </c>
      <c r="W2663" s="132" t="s">
        <v>267</v>
      </c>
      <c r="X2663" s="133">
        <v>41956</v>
      </c>
      <c r="Y2663" s="134">
        <v>299</v>
      </c>
    </row>
    <row r="2664" spans="6:25" x14ac:dyDescent="0.25">
      <c r="F2664" s="76" t="s">
        <v>150</v>
      </c>
      <c r="G2664" s="77" t="s">
        <v>167</v>
      </c>
      <c r="H2664" s="77" t="s">
        <v>153</v>
      </c>
      <c r="I2664" s="86">
        <v>41958</v>
      </c>
      <c r="J2664" s="78">
        <v>588</v>
      </c>
      <c r="U2664" s="132" t="s">
        <v>154</v>
      </c>
      <c r="V2664" s="132" t="s">
        <v>292</v>
      </c>
      <c r="W2664" s="132" t="s">
        <v>267</v>
      </c>
      <c r="X2664" s="133">
        <v>41956</v>
      </c>
      <c r="Y2664" s="134">
        <v>571</v>
      </c>
    </row>
    <row r="2665" spans="6:25" x14ac:dyDescent="0.25">
      <c r="F2665" s="76" t="s">
        <v>150</v>
      </c>
      <c r="G2665" s="77" t="s">
        <v>167</v>
      </c>
      <c r="H2665" s="77" t="s">
        <v>153</v>
      </c>
      <c r="I2665" s="86">
        <v>41958</v>
      </c>
      <c r="J2665" s="78">
        <v>565</v>
      </c>
      <c r="U2665" s="132" t="s">
        <v>154</v>
      </c>
      <c r="V2665" s="132" t="s">
        <v>292</v>
      </c>
      <c r="W2665" s="132" t="s">
        <v>267</v>
      </c>
      <c r="X2665" s="133">
        <v>41957</v>
      </c>
      <c r="Y2665" s="134">
        <v>285</v>
      </c>
    </row>
    <row r="2666" spans="6:25" x14ac:dyDescent="0.25">
      <c r="F2666" s="76" t="s">
        <v>150</v>
      </c>
      <c r="G2666" s="77" t="s">
        <v>167</v>
      </c>
      <c r="H2666" s="77" t="s">
        <v>153</v>
      </c>
      <c r="I2666" s="86">
        <v>41959</v>
      </c>
      <c r="J2666" s="78">
        <v>909</v>
      </c>
      <c r="U2666" s="132" t="s">
        <v>154</v>
      </c>
      <c r="V2666" s="132" t="s">
        <v>292</v>
      </c>
      <c r="W2666" s="132" t="s">
        <v>267</v>
      </c>
      <c r="X2666" s="133">
        <v>41957</v>
      </c>
      <c r="Y2666" s="134">
        <v>559</v>
      </c>
    </row>
    <row r="2667" spans="6:25" x14ac:dyDescent="0.25">
      <c r="F2667" s="76" t="s">
        <v>150</v>
      </c>
      <c r="G2667" s="77" t="s">
        <v>167</v>
      </c>
      <c r="H2667" s="77" t="s">
        <v>153</v>
      </c>
      <c r="I2667" s="86">
        <v>41961</v>
      </c>
      <c r="J2667" s="78">
        <v>1134</v>
      </c>
      <c r="U2667" s="132" t="s">
        <v>154</v>
      </c>
      <c r="V2667" s="132" t="s">
        <v>292</v>
      </c>
      <c r="W2667" s="132" t="s">
        <v>267</v>
      </c>
      <c r="X2667" s="133">
        <v>41960</v>
      </c>
      <c r="Y2667" s="134">
        <v>287</v>
      </c>
    </row>
    <row r="2668" spans="6:25" x14ac:dyDescent="0.25">
      <c r="F2668" s="76" t="s">
        <v>150</v>
      </c>
      <c r="G2668" s="77" t="s">
        <v>167</v>
      </c>
      <c r="H2668" s="77" t="s">
        <v>153</v>
      </c>
      <c r="I2668" s="86">
        <v>41963</v>
      </c>
      <c r="J2668" s="78">
        <v>590</v>
      </c>
      <c r="U2668" s="132" t="s">
        <v>154</v>
      </c>
      <c r="V2668" s="132" t="s">
        <v>292</v>
      </c>
      <c r="W2668" s="132" t="s">
        <v>267</v>
      </c>
      <c r="X2668" s="133">
        <v>41960</v>
      </c>
      <c r="Y2668" s="134">
        <v>608</v>
      </c>
    </row>
    <row r="2669" spans="6:25" x14ac:dyDescent="0.25">
      <c r="F2669" s="76" t="s">
        <v>150</v>
      </c>
      <c r="G2669" s="77" t="s">
        <v>167</v>
      </c>
      <c r="H2669" s="77" t="s">
        <v>153</v>
      </c>
      <c r="I2669" s="86">
        <v>41964</v>
      </c>
      <c r="J2669" s="78">
        <v>621</v>
      </c>
      <c r="U2669" s="132" t="s">
        <v>154</v>
      </c>
      <c r="V2669" s="132" t="s">
        <v>292</v>
      </c>
      <c r="W2669" s="132" t="s">
        <v>267</v>
      </c>
      <c r="X2669" s="133">
        <v>41961</v>
      </c>
      <c r="Y2669" s="134">
        <v>271</v>
      </c>
    </row>
    <row r="2670" spans="6:25" x14ac:dyDescent="0.25">
      <c r="F2670" s="76" t="s">
        <v>150</v>
      </c>
      <c r="G2670" s="77" t="s">
        <v>167</v>
      </c>
      <c r="H2670" s="77" t="s">
        <v>153</v>
      </c>
      <c r="I2670" s="86">
        <v>41967</v>
      </c>
      <c r="J2670" s="78">
        <v>581</v>
      </c>
      <c r="U2670" s="132" t="s">
        <v>154</v>
      </c>
      <c r="V2670" s="132" t="s">
        <v>292</v>
      </c>
      <c r="W2670" s="132" t="s">
        <v>267</v>
      </c>
      <c r="X2670" s="133">
        <v>41961</v>
      </c>
      <c r="Y2670" s="134">
        <v>574</v>
      </c>
    </row>
    <row r="2671" spans="6:25" x14ac:dyDescent="0.25">
      <c r="F2671" s="76" t="s">
        <v>150</v>
      </c>
      <c r="G2671" s="77" t="s">
        <v>167</v>
      </c>
      <c r="H2671" s="77" t="s">
        <v>153</v>
      </c>
      <c r="I2671" s="86">
        <v>41969</v>
      </c>
      <c r="J2671" s="78">
        <v>570</v>
      </c>
      <c r="U2671" s="132" t="s">
        <v>154</v>
      </c>
      <c r="V2671" s="132" t="s">
        <v>292</v>
      </c>
      <c r="W2671" s="132" t="s">
        <v>267</v>
      </c>
      <c r="X2671" s="133">
        <v>41962</v>
      </c>
      <c r="Y2671" s="134">
        <v>290</v>
      </c>
    </row>
    <row r="2672" spans="6:25" x14ac:dyDescent="0.25">
      <c r="F2672" s="76" t="s">
        <v>150</v>
      </c>
      <c r="G2672" s="77" t="s">
        <v>167</v>
      </c>
      <c r="H2672" s="77" t="s">
        <v>153</v>
      </c>
      <c r="I2672" s="86">
        <v>41971</v>
      </c>
      <c r="J2672" s="78">
        <v>1109</v>
      </c>
      <c r="U2672" s="132" t="s">
        <v>154</v>
      </c>
      <c r="V2672" s="132" t="s">
        <v>292</v>
      </c>
      <c r="W2672" s="132" t="s">
        <v>267</v>
      </c>
      <c r="X2672" s="133">
        <v>41962</v>
      </c>
      <c r="Y2672" s="134">
        <v>574</v>
      </c>
    </row>
    <row r="2673" spans="6:25" x14ac:dyDescent="0.25">
      <c r="F2673" s="76" t="s">
        <v>150</v>
      </c>
      <c r="G2673" s="77" t="s">
        <v>168</v>
      </c>
      <c r="H2673" s="77" t="s">
        <v>153</v>
      </c>
      <c r="I2673" s="86">
        <v>41640</v>
      </c>
      <c r="J2673" s="78">
        <v>942</v>
      </c>
      <c r="U2673" s="132" t="s">
        <v>154</v>
      </c>
      <c r="V2673" s="132" t="s">
        <v>292</v>
      </c>
      <c r="W2673" s="132" t="s">
        <v>267</v>
      </c>
      <c r="X2673" s="133">
        <v>41963</v>
      </c>
      <c r="Y2673" s="134">
        <v>302</v>
      </c>
    </row>
    <row r="2674" spans="6:25" x14ac:dyDescent="0.25">
      <c r="F2674" s="76" t="s">
        <v>150</v>
      </c>
      <c r="G2674" s="77" t="s">
        <v>168</v>
      </c>
      <c r="H2674" s="77" t="s">
        <v>153</v>
      </c>
      <c r="I2674" s="86">
        <v>41642</v>
      </c>
      <c r="J2674" s="78">
        <v>1309</v>
      </c>
      <c r="U2674" s="132" t="s">
        <v>154</v>
      </c>
      <c r="V2674" s="132" t="s">
        <v>292</v>
      </c>
      <c r="W2674" s="132" t="s">
        <v>267</v>
      </c>
      <c r="X2674" s="133">
        <v>41963</v>
      </c>
      <c r="Y2674" s="134">
        <v>576</v>
      </c>
    </row>
    <row r="2675" spans="6:25" x14ac:dyDescent="0.25">
      <c r="F2675" s="76" t="s">
        <v>150</v>
      </c>
      <c r="G2675" s="77" t="s">
        <v>168</v>
      </c>
      <c r="H2675" s="77" t="s">
        <v>153</v>
      </c>
      <c r="I2675" s="86">
        <v>41642</v>
      </c>
      <c r="J2675" s="78">
        <v>644</v>
      </c>
      <c r="U2675" s="132" t="s">
        <v>154</v>
      </c>
      <c r="V2675" s="132" t="s">
        <v>292</v>
      </c>
      <c r="W2675" s="132" t="s">
        <v>267</v>
      </c>
      <c r="X2675" s="133">
        <v>41964</v>
      </c>
      <c r="Y2675" s="134">
        <v>318</v>
      </c>
    </row>
    <row r="2676" spans="6:25" x14ac:dyDescent="0.25">
      <c r="F2676" s="76" t="s">
        <v>150</v>
      </c>
      <c r="G2676" s="77" t="s">
        <v>168</v>
      </c>
      <c r="H2676" s="77" t="s">
        <v>153</v>
      </c>
      <c r="I2676" s="86">
        <v>41643</v>
      </c>
      <c r="J2676" s="78">
        <v>1142</v>
      </c>
      <c r="U2676" s="132" t="s">
        <v>154</v>
      </c>
      <c r="V2676" s="132" t="s">
        <v>292</v>
      </c>
      <c r="W2676" s="132" t="s">
        <v>267</v>
      </c>
      <c r="X2676" s="133">
        <v>41964</v>
      </c>
      <c r="Y2676" s="134">
        <v>560</v>
      </c>
    </row>
    <row r="2677" spans="6:25" x14ac:dyDescent="0.25">
      <c r="F2677" s="76" t="s">
        <v>150</v>
      </c>
      <c r="G2677" s="77" t="s">
        <v>168</v>
      </c>
      <c r="H2677" s="77" t="s">
        <v>153</v>
      </c>
      <c r="I2677" s="86">
        <v>41644</v>
      </c>
      <c r="J2677" s="78">
        <v>973</v>
      </c>
      <c r="U2677" s="132" t="s">
        <v>154</v>
      </c>
      <c r="V2677" s="132" t="s">
        <v>292</v>
      </c>
      <c r="W2677" s="132" t="s">
        <v>267</v>
      </c>
      <c r="X2677" s="133">
        <v>41965</v>
      </c>
      <c r="Y2677" s="134">
        <v>455</v>
      </c>
    </row>
    <row r="2678" spans="6:25" x14ac:dyDescent="0.25">
      <c r="F2678" s="76" t="s">
        <v>150</v>
      </c>
      <c r="G2678" s="77" t="s">
        <v>168</v>
      </c>
      <c r="H2678" s="77" t="s">
        <v>153</v>
      </c>
      <c r="I2678" s="86">
        <v>41646</v>
      </c>
      <c r="J2678" s="78">
        <v>1177</v>
      </c>
      <c r="U2678" s="132" t="s">
        <v>154</v>
      </c>
      <c r="V2678" s="132" t="s">
        <v>292</v>
      </c>
      <c r="W2678" s="132" t="s">
        <v>267</v>
      </c>
      <c r="X2678" s="133">
        <v>41966</v>
      </c>
      <c r="Y2678" s="134">
        <v>710</v>
      </c>
    </row>
    <row r="2679" spans="6:25" x14ac:dyDescent="0.25">
      <c r="F2679" s="76" t="s">
        <v>150</v>
      </c>
      <c r="G2679" s="77" t="s">
        <v>168</v>
      </c>
      <c r="H2679" s="77" t="s">
        <v>153</v>
      </c>
      <c r="I2679" s="86">
        <v>41647</v>
      </c>
      <c r="J2679" s="78">
        <v>1498</v>
      </c>
      <c r="U2679" s="132" t="s">
        <v>154</v>
      </c>
      <c r="V2679" s="132" t="s">
        <v>292</v>
      </c>
      <c r="W2679" s="132" t="s">
        <v>267</v>
      </c>
      <c r="X2679" s="133">
        <v>41966</v>
      </c>
      <c r="Y2679" s="134">
        <v>466</v>
      </c>
    </row>
    <row r="2680" spans="6:25" x14ac:dyDescent="0.25">
      <c r="F2680" s="76" t="s">
        <v>150</v>
      </c>
      <c r="G2680" s="77" t="s">
        <v>168</v>
      </c>
      <c r="H2680" s="77" t="s">
        <v>153</v>
      </c>
      <c r="I2680" s="86">
        <v>41648</v>
      </c>
      <c r="J2680" s="78">
        <v>640</v>
      </c>
      <c r="U2680" s="132" t="s">
        <v>154</v>
      </c>
      <c r="V2680" s="132" t="s">
        <v>292</v>
      </c>
      <c r="W2680" s="132" t="s">
        <v>267</v>
      </c>
      <c r="X2680" s="133">
        <v>41966</v>
      </c>
      <c r="Y2680" s="134">
        <v>231</v>
      </c>
    </row>
    <row r="2681" spans="6:25" x14ac:dyDescent="0.25">
      <c r="F2681" s="76" t="s">
        <v>150</v>
      </c>
      <c r="G2681" s="77" t="s">
        <v>168</v>
      </c>
      <c r="H2681" s="77" t="s">
        <v>153</v>
      </c>
      <c r="I2681" s="86">
        <v>41649</v>
      </c>
      <c r="J2681" s="78">
        <v>773</v>
      </c>
      <c r="U2681" s="132" t="s">
        <v>154</v>
      </c>
      <c r="V2681" s="132" t="s">
        <v>292</v>
      </c>
      <c r="W2681" s="132" t="s">
        <v>267</v>
      </c>
      <c r="X2681" s="133">
        <v>41967</v>
      </c>
      <c r="Y2681" s="134">
        <v>949</v>
      </c>
    </row>
    <row r="2682" spans="6:25" x14ac:dyDescent="0.25">
      <c r="F2682" s="76" t="s">
        <v>150</v>
      </c>
      <c r="G2682" s="77" t="s">
        <v>168</v>
      </c>
      <c r="H2682" s="77" t="s">
        <v>153</v>
      </c>
      <c r="I2682" s="86">
        <v>41656</v>
      </c>
      <c r="J2682" s="78">
        <v>469</v>
      </c>
      <c r="U2682" s="132" t="s">
        <v>154</v>
      </c>
      <c r="V2682" s="132" t="s">
        <v>292</v>
      </c>
      <c r="W2682" s="132" t="s">
        <v>267</v>
      </c>
      <c r="X2682" s="133">
        <v>41967</v>
      </c>
      <c r="Y2682" s="134">
        <v>527</v>
      </c>
    </row>
    <row r="2683" spans="6:25" x14ac:dyDescent="0.25">
      <c r="F2683" s="76" t="s">
        <v>150</v>
      </c>
      <c r="G2683" s="77" t="s">
        <v>168</v>
      </c>
      <c r="H2683" s="77" t="s">
        <v>153</v>
      </c>
      <c r="I2683" s="86">
        <v>41656</v>
      </c>
      <c r="J2683" s="78">
        <v>1202</v>
      </c>
      <c r="U2683" s="132" t="s">
        <v>154</v>
      </c>
      <c r="V2683" s="132" t="s">
        <v>292</v>
      </c>
      <c r="W2683" s="132" t="s">
        <v>267</v>
      </c>
      <c r="X2683" s="133">
        <v>41968</v>
      </c>
      <c r="Y2683" s="134">
        <v>888</v>
      </c>
    </row>
    <row r="2684" spans="6:25" x14ac:dyDescent="0.25">
      <c r="F2684" s="76" t="s">
        <v>150</v>
      </c>
      <c r="G2684" s="77" t="s">
        <v>168</v>
      </c>
      <c r="H2684" s="77" t="s">
        <v>153</v>
      </c>
      <c r="I2684" s="86">
        <v>41657</v>
      </c>
      <c r="J2684" s="78">
        <v>841</v>
      </c>
      <c r="U2684" s="132" t="s">
        <v>154</v>
      </c>
      <c r="V2684" s="132" t="s">
        <v>292</v>
      </c>
      <c r="W2684" s="132" t="s">
        <v>267</v>
      </c>
      <c r="X2684" s="133">
        <v>41969</v>
      </c>
      <c r="Y2684" s="134">
        <v>611</v>
      </c>
    </row>
    <row r="2685" spans="6:25" x14ac:dyDescent="0.25">
      <c r="F2685" s="76" t="s">
        <v>150</v>
      </c>
      <c r="G2685" s="77" t="s">
        <v>168</v>
      </c>
      <c r="H2685" s="77" t="s">
        <v>153</v>
      </c>
      <c r="I2685" s="86">
        <v>41658</v>
      </c>
      <c r="J2685" s="78">
        <v>1162</v>
      </c>
      <c r="U2685" s="132" t="s">
        <v>154</v>
      </c>
      <c r="V2685" s="132" t="s">
        <v>292</v>
      </c>
      <c r="W2685" s="132" t="s">
        <v>267</v>
      </c>
      <c r="X2685" s="133">
        <v>41971</v>
      </c>
      <c r="Y2685" s="134">
        <v>899</v>
      </c>
    </row>
    <row r="2686" spans="6:25" x14ac:dyDescent="0.25">
      <c r="F2686" s="76" t="s">
        <v>150</v>
      </c>
      <c r="G2686" s="77" t="s">
        <v>168</v>
      </c>
      <c r="H2686" s="77" t="s">
        <v>153</v>
      </c>
      <c r="I2686" s="86">
        <v>41659</v>
      </c>
      <c r="J2686" s="78">
        <v>1069</v>
      </c>
      <c r="U2686" s="132" t="s">
        <v>154</v>
      </c>
      <c r="V2686" s="132" t="s">
        <v>292</v>
      </c>
      <c r="W2686" s="132" t="s">
        <v>267</v>
      </c>
      <c r="X2686" s="133">
        <v>41972</v>
      </c>
      <c r="Y2686" s="134">
        <v>487</v>
      </c>
    </row>
    <row r="2687" spans="6:25" x14ac:dyDescent="0.25">
      <c r="F2687" s="76" t="s">
        <v>150</v>
      </c>
      <c r="G2687" s="77" t="s">
        <v>168</v>
      </c>
      <c r="H2687" s="77" t="s">
        <v>153</v>
      </c>
      <c r="I2687" s="86">
        <v>41660</v>
      </c>
      <c r="J2687" s="78">
        <v>1278</v>
      </c>
      <c r="U2687" s="132" t="s">
        <v>154</v>
      </c>
      <c r="V2687" s="132" t="s">
        <v>292</v>
      </c>
      <c r="W2687" s="132" t="s">
        <v>267</v>
      </c>
      <c r="X2687" s="133">
        <v>41972</v>
      </c>
      <c r="Y2687" s="134">
        <v>737</v>
      </c>
    </row>
    <row r="2688" spans="6:25" x14ac:dyDescent="0.25">
      <c r="F2688" s="76" t="s">
        <v>150</v>
      </c>
      <c r="G2688" s="77" t="s">
        <v>168</v>
      </c>
      <c r="H2688" s="77" t="s">
        <v>153</v>
      </c>
      <c r="I2688" s="86">
        <v>41661</v>
      </c>
      <c r="J2688" s="78">
        <v>1073</v>
      </c>
      <c r="U2688" s="132" t="s">
        <v>154</v>
      </c>
      <c r="V2688" s="132" t="s">
        <v>292</v>
      </c>
      <c r="W2688" s="132" t="s">
        <v>267</v>
      </c>
      <c r="X2688" s="133">
        <v>41974</v>
      </c>
      <c r="Y2688" s="134">
        <v>845</v>
      </c>
    </row>
    <row r="2689" spans="6:25" x14ac:dyDescent="0.25">
      <c r="F2689" s="76" t="s">
        <v>150</v>
      </c>
      <c r="G2689" s="77" t="s">
        <v>168</v>
      </c>
      <c r="H2689" s="77" t="s">
        <v>153</v>
      </c>
      <c r="I2689" s="86">
        <v>41663</v>
      </c>
      <c r="J2689" s="78">
        <v>1612</v>
      </c>
      <c r="U2689" s="132" t="s">
        <v>154</v>
      </c>
      <c r="V2689" s="132" t="s">
        <v>292</v>
      </c>
      <c r="W2689" s="132" t="s">
        <v>267</v>
      </c>
      <c r="X2689" s="133">
        <v>41975</v>
      </c>
      <c r="Y2689" s="134">
        <v>614</v>
      </c>
    </row>
    <row r="2690" spans="6:25" x14ac:dyDescent="0.25">
      <c r="F2690" s="76" t="s">
        <v>150</v>
      </c>
      <c r="G2690" s="77" t="s">
        <v>168</v>
      </c>
      <c r="H2690" s="77" t="s">
        <v>153</v>
      </c>
      <c r="I2690" s="86">
        <v>41667</v>
      </c>
      <c r="J2690" s="78">
        <v>1005</v>
      </c>
      <c r="U2690" s="132" t="s">
        <v>154</v>
      </c>
      <c r="V2690" s="132" t="s">
        <v>292</v>
      </c>
      <c r="W2690" s="132" t="s">
        <v>267</v>
      </c>
      <c r="X2690" s="133">
        <v>41975</v>
      </c>
      <c r="Y2690" s="134">
        <v>538</v>
      </c>
    </row>
    <row r="2691" spans="6:25" x14ac:dyDescent="0.25">
      <c r="F2691" s="76" t="s">
        <v>150</v>
      </c>
      <c r="G2691" s="77" t="s">
        <v>168</v>
      </c>
      <c r="H2691" s="77" t="s">
        <v>153</v>
      </c>
      <c r="I2691" s="86">
        <v>41668</v>
      </c>
      <c r="J2691" s="78">
        <v>1013</v>
      </c>
      <c r="U2691" s="132" t="s">
        <v>154</v>
      </c>
      <c r="V2691" s="132" t="s">
        <v>292</v>
      </c>
      <c r="W2691" s="132" t="s">
        <v>267</v>
      </c>
      <c r="X2691" s="133">
        <v>41976</v>
      </c>
      <c r="Y2691" s="134">
        <v>903</v>
      </c>
    </row>
    <row r="2692" spans="6:25" x14ac:dyDescent="0.25">
      <c r="F2692" s="76" t="s">
        <v>150</v>
      </c>
      <c r="G2692" s="77" t="s">
        <v>168</v>
      </c>
      <c r="H2692" s="77" t="s">
        <v>153</v>
      </c>
      <c r="I2692" s="86">
        <v>41669</v>
      </c>
      <c r="J2692" s="78">
        <v>1050</v>
      </c>
      <c r="U2692" s="132" t="s">
        <v>154</v>
      </c>
      <c r="V2692" s="132" t="s">
        <v>292</v>
      </c>
      <c r="W2692" s="132" t="s">
        <v>267</v>
      </c>
      <c r="X2692" s="133">
        <v>41977</v>
      </c>
      <c r="Y2692" s="134">
        <v>421</v>
      </c>
    </row>
    <row r="2693" spans="6:25" x14ac:dyDescent="0.25">
      <c r="F2693" s="76" t="s">
        <v>150</v>
      </c>
      <c r="G2693" s="77" t="s">
        <v>168</v>
      </c>
      <c r="H2693" s="77" t="s">
        <v>153</v>
      </c>
      <c r="I2693" s="86">
        <v>41671</v>
      </c>
      <c r="J2693" s="78">
        <v>566</v>
      </c>
      <c r="U2693" s="132" t="s">
        <v>154</v>
      </c>
      <c r="V2693" s="132" t="s">
        <v>292</v>
      </c>
      <c r="W2693" s="132" t="s">
        <v>267</v>
      </c>
      <c r="X2693" s="133">
        <v>41977</v>
      </c>
      <c r="Y2693" s="134">
        <v>465</v>
      </c>
    </row>
    <row r="2694" spans="6:25" x14ac:dyDescent="0.25">
      <c r="F2694" s="76" t="s">
        <v>150</v>
      </c>
      <c r="G2694" s="77" t="s">
        <v>168</v>
      </c>
      <c r="H2694" s="77" t="s">
        <v>153</v>
      </c>
      <c r="I2694" s="86">
        <v>41671</v>
      </c>
      <c r="J2694" s="78">
        <v>932</v>
      </c>
      <c r="U2694" s="132" t="s">
        <v>154</v>
      </c>
      <c r="V2694" s="132" t="s">
        <v>292</v>
      </c>
      <c r="W2694" s="132" t="s">
        <v>267</v>
      </c>
      <c r="X2694" s="133">
        <v>41978</v>
      </c>
      <c r="Y2694" s="134">
        <v>459</v>
      </c>
    </row>
    <row r="2695" spans="6:25" x14ac:dyDescent="0.25">
      <c r="F2695" s="76" t="s">
        <v>150</v>
      </c>
      <c r="G2695" s="77" t="s">
        <v>168</v>
      </c>
      <c r="H2695" s="77" t="s">
        <v>153</v>
      </c>
      <c r="I2695" s="86">
        <v>41672</v>
      </c>
      <c r="J2695" s="78">
        <v>802</v>
      </c>
      <c r="U2695" s="132" t="s">
        <v>154</v>
      </c>
      <c r="V2695" s="132" t="s">
        <v>292</v>
      </c>
      <c r="W2695" s="132" t="s">
        <v>267</v>
      </c>
      <c r="X2695" s="133">
        <v>41981</v>
      </c>
      <c r="Y2695" s="134">
        <v>812</v>
      </c>
    </row>
    <row r="2696" spans="6:25" x14ac:dyDescent="0.25">
      <c r="F2696" s="76" t="s">
        <v>150</v>
      </c>
      <c r="G2696" s="77" t="s">
        <v>168</v>
      </c>
      <c r="H2696" s="77" t="s">
        <v>153</v>
      </c>
      <c r="I2696" s="86">
        <v>41674</v>
      </c>
      <c r="J2696" s="78">
        <v>533</v>
      </c>
      <c r="U2696" s="132" t="s">
        <v>154</v>
      </c>
      <c r="V2696" s="132" t="s">
        <v>294</v>
      </c>
      <c r="W2696" s="132" t="s">
        <v>267</v>
      </c>
      <c r="X2696" s="133">
        <v>41688</v>
      </c>
      <c r="Y2696" s="134">
        <v>881</v>
      </c>
    </row>
    <row r="2697" spans="6:25" x14ac:dyDescent="0.25">
      <c r="F2697" s="76" t="s">
        <v>150</v>
      </c>
      <c r="G2697" s="77" t="s">
        <v>168</v>
      </c>
      <c r="H2697" s="77" t="s">
        <v>153</v>
      </c>
      <c r="I2697" s="86">
        <v>41674</v>
      </c>
      <c r="J2697" s="78">
        <v>1007</v>
      </c>
      <c r="U2697" s="132" t="s">
        <v>154</v>
      </c>
      <c r="V2697" s="132" t="s">
        <v>294</v>
      </c>
      <c r="W2697" s="132" t="s">
        <v>267</v>
      </c>
      <c r="X2697" s="133">
        <v>41689</v>
      </c>
      <c r="Y2697" s="134">
        <v>1243</v>
      </c>
    </row>
    <row r="2698" spans="6:25" x14ac:dyDescent="0.25">
      <c r="F2698" s="76" t="s">
        <v>150</v>
      </c>
      <c r="G2698" s="77" t="s">
        <v>168</v>
      </c>
      <c r="H2698" s="77" t="s">
        <v>153</v>
      </c>
      <c r="I2698" s="86">
        <v>41676</v>
      </c>
      <c r="J2698" s="78">
        <v>1305</v>
      </c>
      <c r="U2698" s="132" t="s">
        <v>154</v>
      </c>
      <c r="V2698" s="132" t="s">
        <v>294</v>
      </c>
      <c r="W2698" s="132" t="s">
        <v>267</v>
      </c>
      <c r="X2698" s="133">
        <v>41690</v>
      </c>
      <c r="Y2698" s="134">
        <v>900</v>
      </c>
    </row>
    <row r="2699" spans="6:25" x14ac:dyDescent="0.25">
      <c r="F2699" s="76" t="s">
        <v>150</v>
      </c>
      <c r="G2699" s="77" t="s">
        <v>168</v>
      </c>
      <c r="H2699" s="77" t="s">
        <v>153</v>
      </c>
      <c r="I2699" s="86">
        <v>41677</v>
      </c>
      <c r="J2699" s="78">
        <v>480</v>
      </c>
      <c r="U2699" s="132" t="s">
        <v>154</v>
      </c>
      <c r="V2699" s="132" t="s">
        <v>294</v>
      </c>
      <c r="W2699" s="132" t="s">
        <v>267</v>
      </c>
      <c r="X2699" s="133">
        <v>41691</v>
      </c>
      <c r="Y2699" s="134">
        <v>1340</v>
      </c>
    </row>
    <row r="2700" spans="6:25" x14ac:dyDescent="0.25">
      <c r="F2700" s="76" t="s">
        <v>150</v>
      </c>
      <c r="G2700" s="77" t="s">
        <v>168</v>
      </c>
      <c r="H2700" s="77" t="s">
        <v>153</v>
      </c>
      <c r="I2700" s="86">
        <v>41678</v>
      </c>
      <c r="J2700" s="78">
        <v>933</v>
      </c>
      <c r="U2700" s="132" t="s">
        <v>154</v>
      </c>
      <c r="V2700" s="132" t="s">
        <v>294</v>
      </c>
      <c r="W2700" s="132" t="s">
        <v>267</v>
      </c>
      <c r="X2700" s="133">
        <v>41694</v>
      </c>
      <c r="Y2700" s="134">
        <v>687</v>
      </c>
    </row>
    <row r="2701" spans="6:25" x14ac:dyDescent="0.25">
      <c r="F2701" s="76" t="s">
        <v>150</v>
      </c>
      <c r="G2701" s="77" t="s">
        <v>168</v>
      </c>
      <c r="H2701" s="77" t="s">
        <v>153</v>
      </c>
      <c r="I2701" s="86">
        <v>41678</v>
      </c>
      <c r="J2701" s="78">
        <v>898</v>
      </c>
      <c r="U2701" s="132" t="s">
        <v>154</v>
      </c>
      <c r="V2701" s="132" t="s">
        <v>294</v>
      </c>
      <c r="W2701" s="132" t="s">
        <v>267</v>
      </c>
      <c r="X2701" s="133">
        <v>41695</v>
      </c>
      <c r="Y2701" s="134">
        <v>881</v>
      </c>
    </row>
    <row r="2702" spans="6:25" x14ac:dyDescent="0.25">
      <c r="F2702" s="76" t="s">
        <v>150</v>
      </c>
      <c r="G2702" s="77" t="s">
        <v>168</v>
      </c>
      <c r="H2702" s="77" t="s">
        <v>153</v>
      </c>
      <c r="I2702" s="86">
        <v>41679</v>
      </c>
      <c r="J2702" s="78">
        <v>805</v>
      </c>
      <c r="U2702" s="132" t="s">
        <v>154</v>
      </c>
      <c r="V2702" s="132" t="s">
        <v>294</v>
      </c>
      <c r="W2702" s="132" t="s">
        <v>267</v>
      </c>
      <c r="X2702" s="133">
        <v>41696</v>
      </c>
      <c r="Y2702" s="134">
        <v>710</v>
      </c>
    </row>
    <row r="2703" spans="6:25" x14ac:dyDescent="0.25">
      <c r="F2703" s="76" t="s">
        <v>150</v>
      </c>
      <c r="G2703" s="77" t="s">
        <v>168</v>
      </c>
      <c r="H2703" s="77" t="s">
        <v>153</v>
      </c>
      <c r="I2703" s="86">
        <v>41682</v>
      </c>
      <c r="J2703" s="78">
        <v>800</v>
      </c>
      <c r="U2703" s="132" t="s">
        <v>154</v>
      </c>
      <c r="V2703" s="132" t="s">
        <v>294</v>
      </c>
      <c r="W2703" s="132" t="s">
        <v>267</v>
      </c>
      <c r="X2703" s="133">
        <v>41697</v>
      </c>
      <c r="Y2703" s="134">
        <v>1095</v>
      </c>
    </row>
    <row r="2704" spans="6:25" x14ac:dyDescent="0.25">
      <c r="F2704" s="76" t="s">
        <v>150</v>
      </c>
      <c r="G2704" s="77" t="s">
        <v>168</v>
      </c>
      <c r="H2704" s="77" t="s">
        <v>153</v>
      </c>
      <c r="I2704" s="86">
        <v>41694</v>
      </c>
      <c r="J2704" s="78">
        <v>2001</v>
      </c>
      <c r="U2704" s="132" t="s">
        <v>154</v>
      </c>
      <c r="V2704" s="132" t="s">
        <v>294</v>
      </c>
      <c r="W2704" s="132" t="s">
        <v>267</v>
      </c>
      <c r="X2704" s="133">
        <v>41698</v>
      </c>
      <c r="Y2704" s="134">
        <v>1260</v>
      </c>
    </row>
    <row r="2705" spans="6:25" x14ac:dyDescent="0.25">
      <c r="F2705" s="76" t="s">
        <v>150</v>
      </c>
      <c r="G2705" s="77" t="s">
        <v>168</v>
      </c>
      <c r="H2705" s="77" t="s">
        <v>153</v>
      </c>
      <c r="I2705" s="86">
        <v>41697</v>
      </c>
      <c r="J2705" s="78">
        <v>866</v>
      </c>
      <c r="U2705" s="132" t="s">
        <v>154</v>
      </c>
      <c r="V2705" s="132" t="s">
        <v>294</v>
      </c>
      <c r="W2705" s="132" t="s">
        <v>267</v>
      </c>
      <c r="X2705" s="133">
        <v>41699</v>
      </c>
      <c r="Y2705" s="134">
        <v>961</v>
      </c>
    </row>
    <row r="2706" spans="6:25" x14ac:dyDescent="0.25">
      <c r="F2706" s="76" t="s">
        <v>150</v>
      </c>
      <c r="G2706" s="77" t="s">
        <v>168</v>
      </c>
      <c r="H2706" s="77" t="s">
        <v>153</v>
      </c>
      <c r="I2706" s="86">
        <v>41701</v>
      </c>
      <c r="J2706" s="78">
        <v>1164</v>
      </c>
      <c r="U2706" s="132" t="s">
        <v>154</v>
      </c>
      <c r="V2706" s="132" t="s">
        <v>294</v>
      </c>
      <c r="W2706" s="132" t="s">
        <v>267</v>
      </c>
      <c r="X2706" s="133">
        <v>41700</v>
      </c>
      <c r="Y2706" s="134">
        <v>865</v>
      </c>
    </row>
    <row r="2707" spans="6:25" x14ac:dyDescent="0.25">
      <c r="F2707" s="76" t="s">
        <v>150</v>
      </c>
      <c r="G2707" s="77" t="s">
        <v>168</v>
      </c>
      <c r="H2707" s="77" t="s">
        <v>153</v>
      </c>
      <c r="I2707" s="86">
        <v>41703</v>
      </c>
      <c r="J2707" s="78">
        <v>932</v>
      </c>
      <c r="U2707" s="132" t="s">
        <v>154</v>
      </c>
      <c r="V2707" s="132" t="s">
        <v>294</v>
      </c>
      <c r="W2707" s="132" t="s">
        <v>267</v>
      </c>
      <c r="X2707" s="133">
        <v>41701</v>
      </c>
      <c r="Y2707" s="134">
        <v>674</v>
      </c>
    </row>
    <row r="2708" spans="6:25" x14ac:dyDescent="0.25">
      <c r="F2708" s="76" t="s">
        <v>150</v>
      </c>
      <c r="G2708" s="77" t="s">
        <v>168</v>
      </c>
      <c r="H2708" s="77" t="s">
        <v>153</v>
      </c>
      <c r="I2708" s="86">
        <v>41705</v>
      </c>
      <c r="J2708" s="78">
        <v>718</v>
      </c>
      <c r="U2708" s="132" t="s">
        <v>154</v>
      </c>
      <c r="V2708" s="132" t="s">
        <v>294</v>
      </c>
      <c r="W2708" s="132" t="s">
        <v>267</v>
      </c>
      <c r="X2708" s="133">
        <v>41701</v>
      </c>
      <c r="Y2708" s="134">
        <v>830</v>
      </c>
    </row>
    <row r="2709" spans="6:25" x14ac:dyDescent="0.25">
      <c r="F2709" s="76" t="s">
        <v>150</v>
      </c>
      <c r="G2709" s="77" t="s">
        <v>168</v>
      </c>
      <c r="H2709" s="77" t="s">
        <v>153</v>
      </c>
      <c r="I2709" s="86">
        <v>41710</v>
      </c>
      <c r="J2709" s="78">
        <v>825</v>
      </c>
      <c r="U2709" s="132" t="s">
        <v>154</v>
      </c>
      <c r="V2709" s="132" t="s">
        <v>294</v>
      </c>
      <c r="W2709" s="132" t="s">
        <v>267</v>
      </c>
      <c r="X2709" s="133">
        <v>41702</v>
      </c>
      <c r="Y2709" s="134">
        <v>788</v>
      </c>
    </row>
    <row r="2710" spans="6:25" x14ac:dyDescent="0.25">
      <c r="F2710" s="76" t="s">
        <v>150</v>
      </c>
      <c r="G2710" s="77" t="s">
        <v>168</v>
      </c>
      <c r="H2710" s="77" t="s">
        <v>153</v>
      </c>
      <c r="I2710" s="86">
        <v>41712</v>
      </c>
      <c r="J2710" s="78">
        <v>672</v>
      </c>
      <c r="U2710" s="132" t="s">
        <v>154</v>
      </c>
      <c r="V2710" s="132" t="s">
        <v>294</v>
      </c>
      <c r="W2710" s="132" t="s">
        <v>267</v>
      </c>
      <c r="X2710" s="133">
        <v>41703</v>
      </c>
      <c r="Y2710" s="134">
        <v>850</v>
      </c>
    </row>
    <row r="2711" spans="6:25" x14ac:dyDescent="0.25">
      <c r="F2711" s="76" t="s">
        <v>150</v>
      </c>
      <c r="G2711" s="77" t="s">
        <v>168</v>
      </c>
      <c r="H2711" s="77" t="s">
        <v>153</v>
      </c>
      <c r="I2711" s="86">
        <v>41716</v>
      </c>
      <c r="J2711" s="78">
        <v>871</v>
      </c>
      <c r="U2711" s="132" t="s">
        <v>154</v>
      </c>
      <c r="V2711" s="132" t="s">
        <v>294</v>
      </c>
      <c r="W2711" s="132" t="s">
        <v>267</v>
      </c>
      <c r="X2711" s="133">
        <v>41703</v>
      </c>
      <c r="Y2711" s="134">
        <v>589</v>
      </c>
    </row>
    <row r="2712" spans="6:25" x14ac:dyDescent="0.25">
      <c r="F2712" s="76" t="s">
        <v>150</v>
      </c>
      <c r="G2712" s="77" t="s">
        <v>168</v>
      </c>
      <c r="H2712" s="77" t="s">
        <v>153</v>
      </c>
      <c r="I2712" s="86">
        <v>41718</v>
      </c>
      <c r="J2712" s="78">
        <v>1038</v>
      </c>
      <c r="U2712" s="132" t="s">
        <v>154</v>
      </c>
      <c r="V2712" s="132" t="s">
        <v>294</v>
      </c>
      <c r="W2712" s="132" t="s">
        <v>267</v>
      </c>
      <c r="X2712" s="133">
        <v>41704</v>
      </c>
      <c r="Y2712" s="134">
        <v>978</v>
      </c>
    </row>
    <row r="2713" spans="6:25" x14ac:dyDescent="0.25">
      <c r="F2713" s="76" t="s">
        <v>150</v>
      </c>
      <c r="G2713" s="77" t="s">
        <v>168</v>
      </c>
      <c r="H2713" s="77" t="s">
        <v>153</v>
      </c>
      <c r="I2713" s="86">
        <v>41725</v>
      </c>
      <c r="J2713" s="78">
        <v>907</v>
      </c>
      <c r="U2713" s="132" t="s">
        <v>154</v>
      </c>
      <c r="V2713" s="132" t="s">
        <v>294</v>
      </c>
      <c r="W2713" s="132" t="s">
        <v>267</v>
      </c>
      <c r="X2713" s="133">
        <v>41705</v>
      </c>
      <c r="Y2713" s="134">
        <v>430</v>
      </c>
    </row>
    <row r="2714" spans="6:25" x14ac:dyDescent="0.25">
      <c r="F2714" s="76" t="s">
        <v>150</v>
      </c>
      <c r="G2714" s="77" t="s">
        <v>168</v>
      </c>
      <c r="H2714" s="77" t="s">
        <v>153</v>
      </c>
      <c r="I2714" s="86">
        <v>41729</v>
      </c>
      <c r="J2714" s="78">
        <v>1238</v>
      </c>
      <c r="U2714" s="132" t="s">
        <v>154</v>
      </c>
      <c r="V2714" s="132" t="s">
        <v>294</v>
      </c>
      <c r="W2714" s="132" t="s">
        <v>267</v>
      </c>
      <c r="X2714" s="133">
        <v>41707</v>
      </c>
      <c r="Y2714" s="134">
        <v>906</v>
      </c>
    </row>
    <row r="2715" spans="6:25" x14ac:dyDescent="0.25">
      <c r="F2715" s="76" t="s">
        <v>150</v>
      </c>
      <c r="G2715" s="77" t="s">
        <v>168</v>
      </c>
      <c r="H2715" s="77" t="s">
        <v>153</v>
      </c>
      <c r="I2715" s="86">
        <v>41731</v>
      </c>
      <c r="J2715" s="78">
        <v>1034</v>
      </c>
      <c r="U2715" s="132" t="s">
        <v>154</v>
      </c>
      <c r="V2715" s="132" t="s">
        <v>294</v>
      </c>
      <c r="W2715" s="132" t="s">
        <v>267</v>
      </c>
      <c r="X2715" s="133">
        <v>41708</v>
      </c>
      <c r="Y2715" s="134">
        <v>840</v>
      </c>
    </row>
    <row r="2716" spans="6:25" x14ac:dyDescent="0.25">
      <c r="F2716" s="76" t="s">
        <v>150</v>
      </c>
      <c r="G2716" s="77" t="s">
        <v>168</v>
      </c>
      <c r="H2716" s="77" t="s">
        <v>153</v>
      </c>
      <c r="I2716" s="86">
        <v>41733</v>
      </c>
      <c r="J2716" s="78">
        <v>1031</v>
      </c>
      <c r="U2716" s="132" t="s">
        <v>154</v>
      </c>
      <c r="V2716" s="132" t="s">
        <v>294</v>
      </c>
      <c r="W2716" s="132" t="s">
        <v>267</v>
      </c>
      <c r="X2716" s="133">
        <v>41709</v>
      </c>
      <c r="Y2716" s="134">
        <v>875</v>
      </c>
    </row>
    <row r="2717" spans="6:25" x14ac:dyDescent="0.25">
      <c r="F2717" s="76" t="s">
        <v>150</v>
      </c>
      <c r="G2717" s="77" t="s">
        <v>168</v>
      </c>
      <c r="H2717" s="77" t="s">
        <v>153</v>
      </c>
      <c r="I2717" s="86">
        <v>41737</v>
      </c>
      <c r="J2717" s="78">
        <v>487</v>
      </c>
      <c r="U2717" s="132" t="s">
        <v>154</v>
      </c>
      <c r="V2717" s="132" t="s">
        <v>294</v>
      </c>
      <c r="W2717" s="132" t="s">
        <v>267</v>
      </c>
      <c r="X2717" s="133">
        <v>41710</v>
      </c>
      <c r="Y2717" s="134">
        <v>952</v>
      </c>
    </row>
    <row r="2718" spans="6:25" x14ac:dyDescent="0.25">
      <c r="F2718" s="76" t="s">
        <v>150</v>
      </c>
      <c r="G2718" s="77" t="s">
        <v>168</v>
      </c>
      <c r="H2718" s="77" t="s">
        <v>153</v>
      </c>
      <c r="I2718" s="86">
        <v>41738</v>
      </c>
      <c r="J2718" s="78">
        <v>157</v>
      </c>
      <c r="U2718" s="132" t="s">
        <v>154</v>
      </c>
      <c r="V2718" s="132" t="s">
        <v>294</v>
      </c>
      <c r="W2718" s="132" t="s">
        <v>267</v>
      </c>
      <c r="X2718" s="133">
        <v>41710</v>
      </c>
      <c r="Y2718" s="134">
        <v>490</v>
      </c>
    </row>
    <row r="2719" spans="6:25" x14ac:dyDescent="0.25">
      <c r="F2719" s="76" t="s">
        <v>150</v>
      </c>
      <c r="G2719" s="77" t="s">
        <v>168</v>
      </c>
      <c r="H2719" s="77" t="s">
        <v>153</v>
      </c>
      <c r="I2719" s="86">
        <v>41739</v>
      </c>
      <c r="J2719" s="78">
        <v>1252</v>
      </c>
      <c r="U2719" s="132" t="s">
        <v>154</v>
      </c>
      <c r="V2719" s="132" t="s">
        <v>294</v>
      </c>
      <c r="W2719" s="132" t="s">
        <v>267</v>
      </c>
      <c r="X2719" s="133">
        <v>41711</v>
      </c>
      <c r="Y2719" s="134">
        <v>510</v>
      </c>
    </row>
    <row r="2720" spans="6:25" x14ac:dyDescent="0.25">
      <c r="F2720" s="76" t="s">
        <v>150</v>
      </c>
      <c r="G2720" s="77" t="s">
        <v>168</v>
      </c>
      <c r="H2720" s="77" t="s">
        <v>153</v>
      </c>
      <c r="I2720" s="86">
        <v>41743</v>
      </c>
      <c r="J2720" s="78">
        <v>751</v>
      </c>
      <c r="U2720" s="132" t="s">
        <v>154</v>
      </c>
      <c r="V2720" s="132" t="s">
        <v>294</v>
      </c>
      <c r="W2720" s="132" t="s">
        <v>267</v>
      </c>
      <c r="X2720" s="133">
        <v>41711</v>
      </c>
      <c r="Y2720" s="134">
        <v>520</v>
      </c>
    </row>
    <row r="2721" spans="6:25" x14ac:dyDescent="0.25">
      <c r="F2721" s="76" t="s">
        <v>150</v>
      </c>
      <c r="G2721" s="77" t="s">
        <v>168</v>
      </c>
      <c r="H2721" s="77" t="s">
        <v>153</v>
      </c>
      <c r="I2721" s="86">
        <v>41745</v>
      </c>
      <c r="J2721" s="78">
        <v>860</v>
      </c>
      <c r="U2721" s="132" t="s">
        <v>154</v>
      </c>
      <c r="V2721" s="132" t="s">
        <v>294</v>
      </c>
      <c r="W2721" s="132" t="s">
        <v>267</v>
      </c>
      <c r="X2721" s="133">
        <v>41712</v>
      </c>
      <c r="Y2721" s="134">
        <v>929</v>
      </c>
    </row>
    <row r="2722" spans="6:25" x14ac:dyDescent="0.25">
      <c r="F2722" s="76" t="s">
        <v>150</v>
      </c>
      <c r="G2722" s="77" t="s">
        <v>168</v>
      </c>
      <c r="H2722" s="77" t="s">
        <v>153</v>
      </c>
      <c r="I2722" s="86">
        <v>41747</v>
      </c>
      <c r="J2722" s="78">
        <v>851</v>
      </c>
      <c r="U2722" s="132" t="s">
        <v>154</v>
      </c>
      <c r="V2722" s="132" t="s">
        <v>294</v>
      </c>
      <c r="W2722" s="132" t="s">
        <v>267</v>
      </c>
      <c r="X2722" s="133">
        <v>41713</v>
      </c>
      <c r="Y2722" s="134">
        <v>730</v>
      </c>
    </row>
    <row r="2723" spans="6:25" x14ac:dyDescent="0.25">
      <c r="F2723" s="76" t="s">
        <v>150</v>
      </c>
      <c r="G2723" s="77" t="s">
        <v>168</v>
      </c>
      <c r="H2723" s="77" t="s">
        <v>153</v>
      </c>
      <c r="I2723" s="86">
        <v>41751</v>
      </c>
      <c r="J2723" s="78">
        <v>979</v>
      </c>
      <c r="U2723" s="132" t="s">
        <v>154</v>
      </c>
      <c r="V2723" s="132" t="s">
        <v>294</v>
      </c>
      <c r="W2723" s="132" t="s">
        <v>267</v>
      </c>
      <c r="X2723" s="133">
        <v>41714</v>
      </c>
      <c r="Y2723" s="134">
        <v>676</v>
      </c>
    </row>
    <row r="2724" spans="6:25" x14ac:dyDescent="0.25">
      <c r="F2724" s="76" t="s">
        <v>150</v>
      </c>
      <c r="G2724" s="77" t="s">
        <v>168</v>
      </c>
      <c r="H2724" s="77" t="s">
        <v>153</v>
      </c>
      <c r="I2724" s="86">
        <v>41752</v>
      </c>
      <c r="J2724" s="78">
        <v>1291</v>
      </c>
      <c r="U2724" s="132" t="s">
        <v>154</v>
      </c>
      <c r="V2724" s="132" t="s">
        <v>294</v>
      </c>
      <c r="W2724" s="132" t="s">
        <v>267</v>
      </c>
      <c r="X2724" s="133">
        <v>41715</v>
      </c>
      <c r="Y2724" s="134">
        <v>870</v>
      </c>
    </row>
    <row r="2725" spans="6:25" x14ac:dyDescent="0.25">
      <c r="F2725" s="76" t="s">
        <v>150</v>
      </c>
      <c r="G2725" s="77" t="s">
        <v>168</v>
      </c>
      <c r="H2725" s="77" t="s">
        <v>153</v>
      </c>
      <c r="I2725" s="86">
        <v>41754</v>
      </c>
      <c r="J2725" s="78">
        <v>386</v>
      </c>
      <c r="U2725" s="132" t="s">
        <v>154</v>
      </c>
      <c r="V2725" s="132" t="s">
        <v>294</v>
      </c>
      <c r="W2725" s="132" t="s">
        <v>267</v>
      </c>
      <c r="X2725" s="133">
        <v>41775</v>
      </c>
      <c r="Y2725" s="134">
        <v>1360</v>
      </c>
    </row>
    <row r="2726" spans="6:25" x14ac:dyDescent="0.25">
      <c r="F2726" s="76" t="s">
        <v>150</v>
      </c>
      <c r="G2726" s="77" t="s">
        <v>168</v>
      </c>
      <c r="H2726" s="77" t="s">
        <v>153</v>
      </c>
      <c r="I2726" s="86">
        <v>41757</v>
      </c>
      <c r="J2726" s="78">
        <v>399</v>
      </c>
      <c r="U2726" s="132" t="s">
        <v>154</v>
      </c>
      <c r="V2726" s="132" t="s">
        <v>294</v>
      </c>
      <c r="W2726" s="132" t="s">
        <v>267</v>
      </c>
      <c r="X2726" s="133">
        <v>41778</v>
      </c>
      <c r="Y2726" s="134">
        <v>790</v>
      </c>
    </row>
    <row r="2727" spans="6:25" x14ac:dyDescent="0.25">
      <c r="F2727" s="76" t="s">
        <v>150</v>
      </c>
      <c r="G2727" s="77" t="s">
        <v>168</v>
      </c>
      <c r="H2727" s="77" t="s">
        <v>153</v>
      </c>
      <c r="I2727" s="86">
        <v>41758</v>
      </c>
      <c r="J2727" s="78">
        <v>456</v>
      </c>
      <c r="U2727" s="132" t="s">
        <v>154</v>
      </c>
      <c r="V2727" s="132" t="s">
        <v>294</v>
      </c>
      <c r="W2727" s="132" t="s">
        <v>267</v>
      </c>
      <c r="X2727" s="133">
        <v>41782</v>
      </c>
      <c r="Y2727" s="134">
        <v>705</v>
      </c>
    </row>
    <row r="2728" spans="6:25" x14ac:dyDescent="0.25">
      <c r="F2728" s="76" t="s">
        <v>150</v>
      </c>
      <c r="G2728" s="77" t="s">
        <v>168</v>
      </c>
      <c r="H2728" s="77" t="s">
        <v>153</v>
      </c>
      <c r="I2728" s="86">
        <v>41759</v>
      </c>
      <c r="J2728" s="78">
        <v>556</v>
      </c>
      <c r="U2728" s="132" t="s">
        <v>154</v>
      </c>
      <c r="V2728" s="132" t="s">
        <v>294</v>
      </c>
      <c r="W2728" s="132" t="s">
        <v>267</v>
      </c>
      <c r="X2728" s="133">
        <v>41799</v>
      </c>
      <c r="Y2728" s="134">
        <v>825</v>
      </c>
    </row>
    <row r="2729" spans="6:25" x14ac:dyDescent="0.25">
      <c r="F2729" s="76" t="s">
        <v>150</v>
      </c>
      <c r="G2729" s="77" t="s">
        <v>168</v>
      </c>
      <c r="H2729" s="77" t="s">
        <v>153</v>
      </c>
      <c r="I2729" s="86">
        <v>41760</v>
      </c>
      <c r="J2729" s="78">
        <v>358</v>
      </c>
      <c r="U2729" s="132" t="s">
        <v>154</v>
      </c>
      <c r="V2729" s="132" t="s">
        <v>294</v>
      </c>
      <c r="W2729" s="132" t="s">
        <v>267</v>
      </c>
      <c r="X2729" s="133">
        <v>41800</v>
      </c>
      <c r="Y2729" s="134">
        <v>695</v>
      </c>
    </row>
    <row r="2730" spans="6:25" x14ac:dyDescent="0.25">
      <c r="F2730" s="76" t="s">
        <v>150</v>
      </c>
      <c r="G2730" s="77" t="s">
        <v>168</v>
      </c>
      <c r="H2730" s="77" t="s">
        <v>153</v>
      </c>
      <c r="I2730" s="86">
        <v>41766</v>
      </c>
      <c r="J2730" s="78">
        <v>864</v>
      </c>
      <c r="U2730" s="132" t="s">
        <v>154</v>
      </c>
      <c r="V2730" s="132" t="s">
        <v>294</v>
      </c>
      <c r="W2730" s="132" t="s">
        <v>267</v>
      </c>
      <c r="X2730" s="133">
        <v>41800</v>
      </c>
      <c r="Y2730" s="134">
        <v>683</v>
      </c>
    </row>
    <row r="2731" spans="6:25" x14ac:dyDescent="0.25">
      <c r="F2731" s="76" t="s">
        <v>150</v>
      </c>
      <c r="G2731" s="77" t="s">
        <v>168</v>
      </c>
      <c r="H2731" s="77" t="s">
        <v>153</v>
      </c>
      <c r="I2731" s="86">
        <v>41772</v>
      </c>
      <c r="J2731" s="78">
        <v>1259</v>
      </c>
      <c r="U2731" s="132" t="s">
        <v>154</v>
      </c>
      <c r="V2731" s="132" t="s">
        <v>294</v>
      </c>
      <c r="W2731" s="132" t="s">
        <v>267</v>
      </c>
      <c r="X2731" s="133">
        <v>41801</v>
      </c>
      <c r="Y2731" s="134">
        <v>671</v>
      </c>
    </row>
    <row r="2732" spans="6:25" x14ac:dyDescent="0.25">
      <c r="F2732" s="76" t="s">
        <v>150</v>
      </c>
      <c r="G2732" s="77" t="s">
        <v>168</v>
      </c>
      <c r="H2732" s="77" t="s">
        <v>153</v>
      </c>
      <c r="I2732" s="86">
        <v>41780</v>
      </c>
      <c r="J2732" s="78">
        <v>854</v>
      </c>
      <c r="U2732" s="132" t="s">
        <v>154</v>
      </c>
      <c r="V2732" s="132" t="s">
        <v>294</v>
      </c>
      <c r="W2732" s="132" t="s">
        <v>267</v>
      </c>
      <c r="X2732" s="133">
        <v>41801</v>
      </c>
      <c r="Y2732" s="134">
        <v>331</v>
      </c>
    </row>
    <row r="2733" spans="6:25" x14ac:dyDescent="0.25">
      <c r="F2733" s="76" t="s">
        <v>150</v>
      </c>
      <c r="G2733" s="77" t="s">
        <v>168</v>
      </c>
      <c r="H2733" s="77" t="s">
        <v>153</v>
      </c>
      <c r="I2733" s="86">
        <v>41781</v>
      </c>
      <c r="J2733" s="78">
        <v>843</v>
      </c>
      <c r="U2733" s="132" t="s">
        <v>154</v>
      </c>
      <c r="V2733" s="132" t="s">
        <v>294</v>
      </c>
      <c r="W2733" s="132" t="s">
        <v>267</v>
      </c>
      <c r="X2733" s="133">
        <v>41802</v>
      </c>
      <c r="Y2733" s="134">
        <v>354</v>
      </c>
    </row>
    <row r="2734" spans="6:25" x14ac:dyDescent="0.25">
      <c r="F2734" s="76" t="s">
        <v>150</v>
      </c>
      <c r="G2734" s="77" t="s">
        <v>168</v>
      </c>
      <c r="H2734" s="77" t="s">
        <v>153</v>
      </c>
      <c r="I2734" s="86">
        <v>41795</v>
      </c>
      <c r="J2734" s="78">
        <v>1248</v>
      </c>
      <c r="U2734" s="132" t="s">
        <v>154</v>
      </c>
      <c r="V2734" s="132" t="s">
        <v>294</v>
      </c>
      <c r="W2734" s="132" t="s">
        <v>267</v>
      </c>
      <c r="X2734" s="133">
        <v>41802</v>
      </c>
      <c r="Y2734" s="134">
        <v>685</v>
      </c>
    </row>
    <row r="2735" spans="6:25" x14ac:dyDescent="0.25">
      <c r="F2735" s="76" t="s">
        <v>150</v>
      </c>
      <c r="G2735" s="77" t="s">
        <v>168</v>
      </c>
      <c r="H2735" s="77" t="s">
        <v>153</v>
      </c>
      <c r="I2735" s="86">
        <v>41795</v>
      </c>
      <c r="J2735" s="78">
        <v>1107</v>
      </c>
      <c r="U2735" s="132" t="s">
        <v>154</v>
      </c>
      <c r="V2735" s="132" t="s">
        <v>294</v>
      </c>
      <c r="W2735" s="132" t="s">
        <v>267</v>
      </c>
      <c r="X2735" s="133">
        <v>41803</v>
      </c>
      <c r="Y2735" s="134">
        <v>321</v>
      </c>
    </row>
    <row r="2736" spans="6:25" x14ac:dyDescent="0.25">
      <c r="F2736" s="76" t="s">
        <v>150</v>
      </c>
      <c r="G2736" s="77" t="s">
        <v>168</v>
      </c>
      <c r="H2736" s="77" t="s">
        <v>153</v>
      </c>
      <c r="I2736" s="86">
        <v>41799</v>
      </c>
      <c r="J2736" s="78">
        <v>1466</v>
      </c>
      <c r="U2736" s="132" t="s">
        <v>154</v>
      </c>
      <c r="V2736" s="132" t="s">
        <v>294</v>
      </c>
      <c r="W2736" s="132" t="s">
        <v>267</v>
      </c>
      <c r="X2736" s="133">
        <v>41803</v>
      </c>
      <c r="Y2736" s="134">
        <v>684</v>
      </c>
    </row>
    <row r="2737" spans="6:25" x14ac:dyDescent="0.25">
      <c r="F2737" s="76" t="s">
        <v>150</v>
      </c>
      <c r="G2737" s="77" t="s">
        <v>168</v>
      </c>
      <c r="H2737" s="77" t="s">
        <v>153</v>
      </c>
      <c r="I2737" s="86">
        <v>41800</v>
      </c>
      <c r="J2737" s="78">
        <v>626</v>
      </c>
      <c r="U2737" s="132" t="s">
        <v>154</v>
      </c>
      <c r="V2737" s="132" t="s">
        <v>294</v>
      </c>
      <c r="W2737" s="132" t="s">
        <v>267</v>
      </c>
      <c r="X2737" s="133">
        <v>41806</v>
      </c>
      <c r="Y2737" s="134">
        <v>791</v>
      </c>
    </row>
    <row r="2738" spans="6:25" x14ac:dyDescent="0.25">
      <c r="F2738" s="76" t="s">
        <v>150</v>
      </c>
      <c r="G2738" s="77" t="s">
        <v>168</v>
      </c>
      <c r="H2738" s="77" t="s">
        <v>153</v>
      </c>
      <c r="I2738" s="86">
        <v>41801</v>
      </c>
      <c r="J2738" s="78">
        <v>557</v>
      </c>
      <c r="U2738" s="132" t="s">
        <v>154</v>
      </c>
      <c r="V2738" s="132" t="s">
        <v>294</v>
      </c>
      <c r="W2738" s="132" t="s">
        <v>267</v>
      </c>
      <c r="X2738" s="133">
        <v>41807</v>
      </c>
      <c r="Y2738" s="134">
        <v>1272</v>
      </c>
    </row>
    <row r="2739" spans="6:25" x14ac:dyDescent="0.25">
      <c r="F2739" s="76" t="s">
        <v>150</v>
      </c>
      <c r="G2739" s="77" t="s">
        <v>168</v>
      </c>
      <c r="H2739" s="77" t="s">
        <v>153</v>
      </c>
      <c r="I2739" s="86">
        <v>41802</v>
      </c>
      <c r="J2739" s="78">
        <v>559</v>
      </c>
      <c r="U2739" s="132" t="s">
        <v>154</v>
      </c>
      <c r="V2739" s="132" t="s">
        <v>294</v>
      </c>
      <c r="W2739" s="132" t="s">
        <v>267</v>
      </c>
      <c r="X2739" s="133">
        <v>41808</v>
      </c>
      <c r="Y2739" s="134">
        <v>762</v>
      </c>
    </row>
    <row r="2740" spans="6:25" x14ac:dyDescent="0.25">
      <c r="F2740" s="76" t="s">
        <v>150</v>
      </c>
      <c r="G2740" s="77" t="s">
        <v>168</v>
      </c>
      <c r="H2740" s="77" t="s">
        <v>153</v>
      </c>
      <c r="I2740" s="86">
        <v>41802</v>
      </c>
      <c r="J2740" s="78">
        <v>602</v>
      </c>
      <c r="U2740" s="132" t="s">
        <v>154</v>
      </c>
      <c r="V2740" s="132" t="s">
        <v>294</v>
      </c>
      <c r="W2740" s="132" t="s">
        <v>267</v>
      </c>
      <c r="X2740" s="133">
        <v>41808</v>
      </c>
      <c r="Y2740" s="134">
        <v>589</v>
      </c>
    </row>
    <row r="2741" spans="6:25" x14ac:dyDescent="0.25">
      <c r="F2741" s="76" t="s">
        <v>150</v>
      </c>
      <c r="G2741" s="77" t="s">
        <v>168</v>
      </c>
      <c r="H2741" s="77" t="s">
        <v>153</v>
      </c>
      <c r="I2741" s="86">
        <v>41803</v>
      </c>
      <c r="J2741" s="78">
        <v>1005</v>
      </c>
      <c r="U2741" s="132" t="s">
        <v>154</v>
      </c>
      <c r="V2741" s="132" t="s">
        <v>294</v>
      </c>
      <c r="W2741" s="132" t="s">
        <v>267</v>
      </c>
      <c r="X2741" s="133">
        <v>41809</v>
      </c>
      <c r="Y2741" s="134">
        <v>675</v>
      </c>
    </row>
    <row r="2742" spans="6:25" x14ac:dyDescent="0.25">
      <c r="F2742" s="76" t="s">
        <v>150</v>
      </c>
      <c r="G2742" s="77" t="s">
        <v>168</v>
      </c>
      <c r="H2742" s="77" t="s">
        <v>153</v>
      </c>
      <c r="I2742" s="86">
        <v>41807</v>
      </c>
      <c r="J2742" s="78">
        <v>599</v>
      </c>
      <c r="U2742" s="132" t="s">
        <v>154</v>
      </c>
      <c r="V2742" s="132" t="s">
        <v>294</v>
      </c>
      <c r="W2742" s="132" t="s">
        <v>267</v>
      </c>
      <c r="X2742" s="133">
        <v>41809</v>
      </c>
      <c r="Y2742" s="134">
        <v>308</v>
      </c>
    </row>
    <row r="2743" spans="6:25" x14ac:dyDescent="0.25">
      <c r="F2743" s="76" t="s">
        <v>150</v>
      </c>
      <c r="G2743" s="77" t="s">
        <v>168</v>
      </c>
      <c r="H2743" s="77" t="s">
        <v>153</v>
      </c>
      <c r="I2743" s="86">
        <v>41808</v>
      </c>
      <c r="J2743" s="78">
        <v>902</v>
      </c>
      <c r="U2743" s="132" t="s">
        <v>154</v>
      </c>
      <c r="V2743" s="132" t="s">
        <v>294</v>
      </c>
      <c r="W2743" s="132" t="s">
        <v>267</v>
      </c>
      <c r="X2743" s="133">
        <v>41810</v>
      </c>
      <c r="Y2743" s="134">
        <v>652</v>
      </c>
    </row>
    <row r="2744" spans="6:25" x14ac:dyDescent="0.25">
      <c r="F2744" s="76" t="s">
        <v>150</v>
      </c>
      <c r="G2744" s="77" t="s">
        <v>168</v>
      </c>
      <c r="H2744" s="77" t="s">
        <v>153</v>
      </c>
      <c r="I2744" s="86">
        <v>41809</v>
      </c>
      <c r="J2744" s="78">
        <v>375</v>
      </c>
      <c r="U2744" s="132" t="s">
        <v>154</v>
      </c>
      <c r="V2744" s="132" t="s">
        <v>294</v>
      </c>
      <c r="W2744" s="132" t="s">
        <v>267</v>
      </c>
      <c r="X2744" s="133">
        <v>41810</v>
      </c>
      <c r="Y2744" s="134">
        <v>374</v>
      </c>
    </row>
    <row r="2745" spans="6:25" x14ac:dyDescent="0.25">
      <c r="F2745" s="76" t="s">
        <v>150</v>
      </c>
      <c r="G2745" s="77" t="s">
        <v>168</v>
      </c>
      <c r="H2745" s="77" t="s">
        <v>153</v>
      </c>
      <c r="I2745" s="86">
        <v>41809</v>
      </c>
      <c r="J2745" s="78">
        <v>560</v>
      </c>
      <c r="U2745" s="132" t="s">
        <v>154</v>
      </c>
      <c r="V2745" s="132" t="s">
        <v>294</v>
      </c>
      <c r="W2745" s="132" t="s">
        <v>267</v>
      </c>
      <c r="X2745" s="133">
        <v>41813</v>
      </c>
      <c r="Y2745" s="134">
        <v>355</v>
      </c>
    </row>
    <row r="2746" spans="6:25" x14ac:dyDescent="0.25">
      <c r="F2746" s="76" t="s">
        <v>150</v>
      </c>
      <c r="G2746" s="77" t="s">
        <v>168</v>
      </c>
      <c r="H2746" s="77" t="s">
        <v>153</v>
      </c>
      <c r="I2746" s="86">
        <v>41810</v>
      </c>
      <c r="J2746" s="78">
        <v>999</v>
      </c>
      <c r="U2746" s="132" t="s">
        <v>154</v>
      </c>
      <c r="V2746" s="132" t="s">
        <v>294</v>
      </c>
      <c r="W2746" s="132" t="s">
        <v>267</v>
      </c>
      <c r="X2746" s="133">
        <v>41813</v>
      </c>
      <c r="Y2746" s="134">
        <v>711</v>
      </c>
    </row>
    <row r="2747" spans="6:25" x14ac:dyDescent="0.25">
      <c r="F2747" s="76" t="s">
        <v>150</v>
      </c>
      <c r="G2747" s="77" t="s">
        <v>168</v>
      </c>
      <c r="H2747" s="77" t="s">
        <v>153</v>
      </c>
      <c r="I2747" s="86">
        <v>41814</v>
      </c>
      <c r="J2747" s="78">
        <v>867</v>
      </c>
      <c r="U2747" s="132" t="s">
        <v>154</v>
      </c>
      <c r="V2747" s="132" t="s">
        <v>294</v>
      </c>
      <c r="W2747" s="132" t="s">
        <v>267</v>
      </c>
      <c r="X2747" s="133">
        <v>41814</v>
      </c>
      <c r="Y2747" s="134">
        <v>846</v>
      </c>
    </row>
    <row r="2748" spans="6:25" x14ac:dyDescent="0.25">
      <c r="F2748" s="76" t="s">
        <v>150</v>
      </c>
      <c r="G2748" s="77" t="s">
        <v>168</v>
      </c>
      <c r="H2748" s="77" t="s">
        <v>153</v>
      </c>
      <c r="I2748" s="86">
        <v>41815</v>
      </c>
      <c r="J2748" s="78">
        <v>861</v>
      </c>
      <c r="U2748" s="132" t="s">
        <v>154</v>
      </c>
      <c r="V2748" s="132" t="s">
        <v>294</v>
      </c>
      <c r="W2748" s="132" t="s">
        <v>267</v>
      </c>
      <c r="X2748" s="133">
        <v>41814</v>
      </c>
      <c r="Y2748" s="134">
        <v>336</v>
      </c>
    </row>
    <row r="2749" spans="6:25" x14ac:dyDescent="0.25">
      <c r="F2749" s="76" t="s">
        <v>150</v>
      </c>
      <c r="G2749" s="77" t="s">
        <v>168</v>
      </c>
      <c r="H2749" s="77" t="s">
        <v>153</v>
      </c>
      <c r="I2749" s="86">
        <v>41816</v>
      </c>
      <c r="J2749" s="78">
        <v>1302</v>
      </c>
      <c r="U2749" s="132" t="s">
        <v>154</v>
      </c>
      <c r="V2749" s="132" t="s">
        <v>294</v>
      </c>
      <c r="W2749" s="132" t="s">
        <v>267</v>
      </c>
      <c r="X2749" s="133">
        <v>41815</v>
      </c>
      <c r="Y2749" s="134">
        <v>965</v>
      </c>
    </row>
    <row r="2750" spans="6:25" x14ac:dyDescent="0.25">
      <c r="F2750" s="76" t="s">
        <v>150</v>
      </c>
      <c r="G2750" s="77" t="s">
        <v>168</v>
      </c>
      <c r="H2750" s="77" t="s">
        <v>153</v>
      </c>
      <c r="I2750" s="86">
        <v>41817</v>
      </c>
      <c r="J2750" s="78">
        <v>910</v>
      </c>
      <c r="U2750" s="132" t="s">
        <v>154</v>
      </c>
      <c r="V2750" s="132" t="s">
        <v>294</v>
      </c>
      <c r="W2750" s="132" t="s">
        <v>267</v>
      </c>
      <c r="X2750" s="133">
        <v>41815</v>
      </c>
      <c r="Y2750" s="134">
        <v>664</v>
      </c>
    </row>
    <row r="2751" spans="6:25" x14ac:dyDescent="0.25">
      <c r="F2751" s="76" t="s">
        <v>150</v>
      </c>
      <c r="G2751" s="77" t="s">
        <v>168</v>
      </c>
      <c r="H2751" s="77" t="s">
        <v>153</v>
      </c>
      <c r="I2751" s="86">
        <v>41821</v>
      </c>
      <c r="J2751" s="78">
        <v>970</v>
      </c>
      <c r="U2751" s="132" t="s">
        <v>154</v>
      </c>
      <c r="V2751" s="132" t="s">
        <v>294</v>
      </c>
      <c r="W2751" s="132" t="s">
        <v>267</v>
      </c>
      <c r="X2751" s="133">
        <v>41816</v>
      </c>
      <c r="Y2751" s="134">
        <v>490</v>
      </c>
    </row>
    <row r="2752" spans="6:25" x14ac:dyDescent="0.25">
      <c r="F2752" s="76" t="s">
        <v>150</v>
      </c>
      <c r="G2752" s="77" t="s">
        <v>168</v>
      </c>
      <c r="H2752" s="77" t="s">
        <v>153</v>
      </c>
      <c r="I2752" s="86">
        <v>41836</v>
      </c>
      <c r="J2752" s="78">
        <v>722</v>
      </c>
      <c r="U2752" s="132" t="s">
        <v>154</v>
      </c>
      <c r="V2752" s="132" t="s">
        <v>294</v>
      </c>
      <c r="W2752" s="132" t="s">
        <v>267</v>
      </c>
      <c r="X2752" s="133">
        <v>41822</v>
      </c>
      <c r="Y2752" s="134">
        <v>276</v>
      </c>
    </row>
    <row r="2753" spans="6:25" x14ac:dyDescent="0.25">
      <c r="F2753" s="76" t="s">
        <v>150</v>
      </c>
      <c r="G2753" s="77" t="s">
        <v>168</v>
      </c>
      <c r="H2753" s="77" t="s">
        <v>153</v>
      </c>
      <c r="I2753" s="86">
        <v>41838</v>
      </c>
      <c r="J2753" s="78">
        <v>1511</v>
      </c>
      <c r="U2753" s="132" t="s">
        <v>154</v>
      </c>
      <c r="V2753" s="132" t="s">
        <v>294</v>
      </c>
      <c r="W2753" s="132" t="s">
        <v>267</v>
      </c>
      <c r="X2753" s="133">
        <v>41934</v>
      </c>
      <c r="Y2753" s="134">
        <v>499</v>
      </c>
    </row>
    <row r="2754" spans="6:25" x14ac:dyDescent="0.25">
      <c r="F2754" s="76" t="s">
        <v>150</v>
      </c>
      <c r="G2754" s="77" t="s">
        <v>168</v>
      </c>
      <c r="H2754" s="77" t="s">
        <v>153</v>
      </c>
      <c r="I2754" s="86">
        <v>41839</v>
      </c>
      <c r="J2754" s="78">
        <v>883</v>
      </c>
      <c r="U2754" s="132" t="s">
        <v>154</v>
      </c>
      <c r="V2754" s="132" t="s">
        <v>294</v>
      </c>
      <c r="W2754" s="132" t="s">
        <v>267</v>
      </c>
      <c r="X2754" s="133">
        <v>41935</v>
      </c>
      <c r="Y2754" s="134">
        <v>789</v>
      </c>
    </row>
    <row r="2755" spans="6:25" x14ac:dyDescent="0.25">
      <c r="F2755" s="76" t="s">
        <v>150</v>
      </c>
      <c r="G2755" s="77" t="s">
        <v>168</v>
      </c>
      <c r="H2755" s="77" t="s">
        <v>153</v>
      </c>
      <c r="I2755" s="86">
        <v>41840</v>
      </c>
      <c r="J2755" s="78">
        <v>1021</v>
      </c>
      <c r="U2755" s="132" t="s">
        <v>154</v>
      </c>
      <c r="V2755" s="132" t="s">
        <v>294</v>
      </c>
      <c r="W2755" s="132" t="s">
        <v>267</v>
      </c>
      <c r="X2755" s="133">
        <v>41936</v>
      </c>
      <c r="Y2755" s="134">
        <v>808</v>
      </c>
    </row>
    <row r="2756" spans="6:25" x14ac:dyDescent="0.25">
      <c r="F2756" s="76" t="s">
        <v>150</v>
      </c>
      <c r="G2756" s="77" t="s">
        <v>168</v>
      </c>
      <c r="H2756" s="77" t="s">
        <v>153</v>
      </c>
      <c r="I2756" s="86">
        <v>41841</v>
      </c>
      <c r="J2756" s="78">
        <v>1287</v>
      </c>
      <c r="U2756" s="132" t="s">
        <v>154</v>
      </c>
      <c r="V2756" s="132" t="s">
        <v>294</v>
      </c>
      <c r="W2756" s="132" t="s">
        <v>267</v>
      </c>
      <c r="X2756" s="133">
        <v>41937</v>
      </c>
      <c r="Y2756" s="134">
        <v>464</v>
      </c>
    </row>
    <row r="2757" spans="6:25" x14ac:dyDescent="0.25">
      <c r="F2757" s="76" t="s">
        <v>150</v>
      </c>
      <c r="G2757" s="77" t="s">
        <v>168</v>
      </c>
      <c r="H2757" s="77" t="s">
        <v>153</v>
      </c>
      <c r="I2757" s="86">
        <v>41842</v>
      </c>
      <c r="J2757" s="78">
        <v>754</v>
      </c>
      <c r="U2757" s="132" t="s">
        <v>154</v>
      </c>
      <c r="V2757" s="132" t="s">
        <v>294</v>
      </c>
      <c r="W2757" s="132" t="s">
        <v>267</v>
      </c>
      <c r="X2757" s="133">
        <v>41937</v>
      </c>
      <c r="Y2757" s="134">
        <v>860</v>
      </c>
    </row>
    <row r="2758" spans="6:25" x14ac:dyDescent="0.25">
      <c r="F2758" s="76" t="s">
        <v>150</v>
      </c>
      <c r="G2758" s="77" t="s">
        <v>168</v>
      </c>
      <c r="H2758" s="77" t="s">
        <v>153</v>
      </c>
      <c r="I2758" s="86">
        <v>41843</v>
      </c>
      <c r="J2758" s="78">
        <v>653</v>
      </c>
      <c r="U2758" s="132" t="s">
        <v>154</v>
      </c>
      <c r="V2758" s="132" t="s">
        <v>294</v>
      </c>
      <c r="W2758" s="132" t="s">
        <v>267</v>
      </c>
      <c r="X2758" s="133">
        <v>41939</v>
      </c>
      <c r="Y2758" s="134">
        <v>931</v>
      </c>
    </row>
    <row r="2759" spans="6:25" x14ac:dyDescent="0.25">
      <c r="F2759" s="76" t="s">
        <v>150</v>
      </c>
      <c r="G2759" s="77" t="s">
        <v>168</v>
      </c>
      <c r="H2759" s="77" t="s">
        <v>153</v>
      </c>
      <c r="I2759" s="86">
        <v>41844</v>
      </c>
      <c r="J2759" s="78">
        <v>971</v>
      </c>
      <c r="U2759" s="132" t="s">
        <v>154</v>
      </c>
      <c r="V2759" s="132" t="s">
        <v>294</v>
      </c>
      <c r="W2759" s="132" t="s">
        <v>267</v>
      </c>
      <c r="X2759" s="133">
        <v>41940</v>
      </c>
      <c r="Y2759" s="134">
        <v>471</v>
      </c>
    </row>
    <row r="2760" spans="6:25" x14ac:dyDescent="0.25">
      <c r="F2760" s="76" t="s">
        <v>150</v>
      </c>
      <c r="G2760" s="77" t="s">
        <v>168</v>
      </c>
      <c r="H2760" s="77" t="s">
        <v>153</v>
      </c>
      <c r="I2760" s="86">
        <v>41849</v>
      </c>
      <c r="J2760" s="78">
        <v>800</v>
      </c>
      <c r="U2760" s="132" t="s">
        <v>154</v>
      </c>
      <c r="V2760" s="132" t="s">
        <v>294</v>
      </c>
      <c r="W2760" s="132" t="s">
        <v>267</v>
      </c>
      <c r="X2760" s="133">
        <v>41941</v>
      </c>
      <c r="Y2760" s="134">
        <v>827</v>
      </c>
    </row>
    <row r="2761" spans="6:25" x14ac:dyDescent="0.25">
      <c r="F2761" s="76" t="s">
        <v>150</v>
      </c>
      <c r="G2761" s="77" t="s">
        <v>168</v>
      </c>
      <c r="H2761" s="77" t="s">
        <v>153</v>
      </c>
      <c r="I2761" s="86">
        <v>41850</v>
      </c>
      <c r="J2761" s="78">
        <v>1250</v>
      </c>
      <c r="U2761" s="132" t="s">
        <v>154</v>
      </c>
      <c r="V2761" s="132" t="s">
        <v>294</v>
      </c>
      <c r="W2761" s="132" t="s">
        <v>267</v>
      </c>
      <c r="X2761" s="133">
        <v>41942</v>
      </c>
      <c r="Y2761" s="134">
        <v>887</v>
      </c>
    </row>
    <row r="2762" spans="6:25" x14ac:dyDescent="0.25">
      <c r="F2762" s="76" t="s">
        <v>150</v>
      </c>
      <c r="G2762" s="77" t="s">
        <v>168</v>
      </c>
      <c r="H2762" s="77" t="s">
        <v>153</v>
      </c>
      <c r="I2762" s="86">
        <v>41851</v>
      </c>
      <c r="J2762" s="78">
        <v>1195</v>
      </c>
      <c r="U2762" s="132" t="s">
        <v>154</v>
      </c>
      <c r="V2762" s="132" t="s">
        <v>294</v>
      </c>
      <c r="W2762" s="132" t="s">
        <v>267</v>
      </c>
      <c r="X2762" s="133">
        <v>41943</v>
      </c>
      <c r="Y2762" s="134">
        <v>521</v>
      </c>
    </row>
    <row r="2763" spans="6:25" x14ac:dyDescent="0.25">
      <c r="F2763" s="76" t="s">
        <v>150</v>
      </c>
      <c r="G2763" s="77" t="s">
        <v>168</v>
      </c>
      <c r="H2763" s="77" t="s">
        <v>153</v>
      </c>
      <c r="I2763" s="86">
        <v>41851</v>
      </c>
      <c r="J2763" s="78">
        <v>675</v>
      </c>
      <c r="U2763" s="132" t="s">
        <v>154</v>
      </c>
      <c r="V2763" s="132" t="s">
        <v>294</v>
      </c>
      <c r="W2763" s="132" t="s">
        <v>267</v>
      </c>
      <c r="X2763" s="133">
        <v>41943</v>
      </c>
      <c r="Y2763" s="134">
        <v>653</v>
      </c>
    </row>
    <row r="2764" spans="6:25" x14ac:dyDescent="0.25">
      <c r="F2764" s="76" t="s">
        <v>150</v>
      </c>
      <c r="G2764" s="77" t="s">
        <v>168</v>
      </c>
      <c r="H2764" s="77" t="s">
        <v>153</v>
      </c>
      <c r="I2764" s="86">
        <v>41855</v>
      </c>
      <c r="J2764" s="78">
        <v>1238</v>
      </c>
      <c r="U2764" s="132" t="s">
        <v>154</v>
      </c>
      <c r="V2764" s="132" t="s">
        <v>294</v>
      </c>
      <c r="W2764" s="132" t="s">
        <v>267</v>
      </c>
      <c r="X2764" s="133">
        <v>41946</v>
      </c>
      <c r="Y2764" s="134">
        <v>422</v>
      </c>
    </row>
    <row r="2765" spans="6:25" x14ac:dyDescent="0.25">
      <c r="F2765" s="76" t="s">
        <v>150</v>
      </c>
      <c r="G2765" s="77" t="s">
        <v>168</v>
      </c>
      <c r="H2765" s="77" t="s">
        <v>153</v>
      </c>
      <c r="I2765" s="86">
        <v>41855</v>
      </c>
      <c r="J2765" s="78">
        <v>302</v>
      </c>
      <c r="U2765" s="132" t="s">
        <v>154</v>
      </c>
      <c r="V2765" s="132" t="s">
        <v>294</v>
      </c>
      <c r="W2765" s="132" t="s">
        <v>267</v>
      </c>
      <c r="X2765" s="133">
        <v>41946</v>
      </c>
      <c r="Y2765" s="134">
        <v>625</v>
      </c>
    </row>
    <row r="2766" spans="6:25" x14ac:dyDescent="0.25">
      <c r="F2766" s="76" t="s">
        <v>150</v>
      </c>
      <c r="G2766" s="77" t="s">
        <v>168</v>
      </c>
      <c r="H2766" s="77" t="s">
        <v>153</v>
      </c>
      <c r="I2766" s="86">
        <v>41856</v>
      </c>
      <c r="J2766" s="78">
        <v>865</v>
      </c>
      <c r="U2766" s="132" t="s">
        <v>154</v>
      </c>
      <c r="V2766" s="132" t="s">
        <v>294</v>
      </c>
      <c r="W2766" s="132" t="s">
        <v>267</v>
      </c>
      <c r="X2766" s="133">
        <v>41947</v>
      </c>
      <c r="Y2766" s="134">
        <v>650</v>
      </c>
    </row>
    <row r="2767" spans="6:25" x14ac:dyDescent="0.25">
      <c r="F2767" s="76" t="s">
        <v>150</v>
      </c>
      <c r="G2767" s="77" t="s">
        <v>168</v>
      </c>
      <c r="H2767" s="77" t="s">
        <v>153</v>
      </c>
      <c r="I2767" s="86">
        <v>41891</v>
      </c>
      <c r="J2767" s="78">
        <v>1022</v>
      </c>
      <c r="U2767" s="132" t="s">
        <v>154</v>
      </c>
      <c r="V2767" s="132" t="s">
        <v>294</v>
      </c>
      <c r="W2767" s="132" t="s">
        <v>267</v>
      </c>
      <c r="X2767" s="133">
        <v>41948</v>
      </c>
      <c r="Y2767" s="134">
        <v>558</v>
      </c>
    </row>
    <row r="2768" spans="6:25" x14ac:dyDescent="0.25">
      <c r="F2768" s="76" t="s">
        <v>150</v>
      </c>
      <c r="G2768" s="77" t="s">
        <v>168</v>
      </c>
      <c r="H2768" s="77" t="s">
        <v>153</v>
      </c>
      <c r="I2768" s="86">
        <v>41892</v>
      </c>
      <c r="J2768" s="78">
        <v>275</v>
      </c>
      <c r="U2768" s="132" t="s">
        <v>154</v>
      </c>
      <c r="V2768" s="132" t="s">
        <v>294</v>
      </c>
      <c r="W2768" s="132" t="s">
        <v>267</v>
      </c>
      <c r="X2768" s="133">
        <v>41948</v>
      </c>
      <c r="Y2768" s="134">
        <v>463</v>
      </c>
    </row>
    <row r="2769" spans="6:25" x14ac:dyDescent="0.25">
      <c r="F2769" s="76" t="s">
        <v>150</v>
      </c>
      <c r="G2769" s="77" t="s">
        <v>168</v>
      </c>
      <c r="H2769" s="77" t="s">
        <v>153</v>
      </c>
      <c r="I2769" s="86">
        <v>41893</v>
      </c>
      <c r="J2769" s="78">
        <v>552</v>
      </c>
      <c r="U2769" s="132" t="s">
        <v>154</v>
      </c>
      <c r="V2769" s="132" t="s">
        <v>294</v>
      </c>
      <c r="W2769" s="132" t="s">
        <v>267</v>
      </c>
      <c r="X2769" s="133">
        <v>41949</v>
      </c>
      <c r="Y2769" s="134">
        <v>537</v>
      </c>
    </row>
    <row r="2770" spans="6:25" x14ac:dyDescent="0.25">
      <c r="F2770" s="76" t="s">
        <v>150</v>
      </c>
      <c r="G2770" s="77" t="s">
        <v>168</v>
      </c>
      <c r="H2770" s="77" t="s">
        <v>153</v>
      </c>
      <c r="I2770" s="86">
        <v>41893</v>
      </c>
      <c r="J2770" s="78">
        <v>669</v>
      </c>
      <c r="U2770" s="132" t="s">
        <v>154</v>
      </c>
      <c r="V2770" s="132" t="s">
        <v>294</v>
      </c>
      <c r="W2770" s="132" t="s">
        <v>267</v>
      </c>
      <c r="X2770" s="133">
        <v>41950</v>
      </c>
      <c r="Y2770" s="134">
        <v>787</v>
      </c>
    </row>
    <row r="2771" spans="6:25" x14ac:dyDescent="0.25">
      <c r="F2771" s="76" t="s">
        <v>150</v>
      </c>
      <c r="G2771" s="77" t="s">
        <v>168</v>
      </c>
      <c r="H2771" s="77" t="s">
        <v>153</v>
      </c>
      <c r="I2771" s="86">
        <v>41894</v>
      </c>
      <c r="J2771" s="78">
        <v>911</v>
      </c>
      <c r="U2771" s="132" t="s">
        <v>154</v>
      </c>
      <c r="V2771" s="132" t="s">
        <v>294</v>
      </c>
      <c r="W2771" s="132" t="s">
        <v>267</v>
      </c>
      <c r="X2771" s="133">
        <v>41950</v>
      </c>
      <c r="Y2771" s="134">
        <v>404</v>
      </c>
    </row>
    <row r="2772" spans="6:25" x14ac:dyDescent="0.25">
      <c r="F2772" s="76" t="s">
        <v>150</v>
      </c>
      <c r="G2772" s="77" t="s">
        <v>168</v>
      </c>
      <c r="H2772" s="77" t="s">
        <v>153</v>
      </c>
      <c r="I2772" s="86">
        <v>41900</v>
      </c>
      <c r="J2772" s="78">
        <v>1064</v>
      </c>
      <c r="U2772" s="132" t="s">
        <v>154</v>
      </c>
      <c r="V2772" s="132" t="s">
        <v>294</v>
      </c>
      <c r="W2772" s="132" t="s">
        <v>267</v>
      </c>
      <c r="X2772" s="133">
        <v>41951</v>
      </c>
      <c r="Y2772" s="134">
        <v>727</v>
      </c>
    </row>
    <row r="2773" spans="6:25" x14ac:dyDescent="0.25">
      <c r="F2773" s="76" t="s">
        <v>150</v>
      </c>
      <c r="G2773" s="77" t="s">
        <v>168</v>
      </c>
      <c r="H2773" s="77" t="s">
        <v>153</v>
      </c>
      <c r="I2773" s="86">
        <v>41902</v>
      </c>
      <c r="J2773" s="78">
        <v>1164</v>
      </c>
      <c r="U2773" s="132" t="s">
        <v>154</v>
      </c>
      <c r="V2773" s="132" t="s">
        <v>294</v>
      </c>
      <c r="W2773" s="132" t="s">
        <v>267</v>
      </c>
      <c r="X2773" s="133">
        <v>41953</v>
      </c>
      <c r="Y2773" s="134">
        <v>747</v>
      </c>
    </row>
    <row r="2774" spans="6:25" x14ac:dyDescent="0.25">
      <c r="F2774" s="76" t="s">
        <v>150</v>
      </c>
      <c r="G2774" s="77" t="s">
        <v>168</v>
      </c>
      <c r="H2774" s="77" t="s">
        <v>153</v>
      </c>
      <c r="I2774" s="86">
        <v>41902</v>
      </c>
      <c r="J2774" s="78">
        <v>668</v>
      </c>
      <c r="U2774" s="132" t="s">
        <v>154</v>
      </c>
      <c r="V2774" s="132" t="s">
        <v>294</v>
      </c>
      <c r="W2774" s="132" t="s">
        <v>267</v>
      </c>
      <c r="X2774" s="133">
        <v>41954</v>
      </c>
      <c r="Y2774" s="134">
        <v>1022</v>
      </c>
    </row>
    <row r="2775" spans="6:25" x14ac:dyDescent="0.25">
      <c r="F2775" s="76" t="s">
        <v>150</v>
      </c>
      <c r="G2775" s="77" t="s">
        <v>168</v>
      </c>
      <c r="H2775" s="77" t="s">
        <v>153</v>
      </c>
      <c r="I2775" s="86">
        <v>41903</v>
      </c>
      <c r="J2775" s="78">
        <v>988</v>
      </c>
      <c r="U2775" s="132" t="s">
        <v>154</v>
      </c>
      <c r="V2775" s="132" t="s">
        <v>294</v>
      </c>
      <c r="W2775" s="132" t="s">
        <v>267</v>
      </c>
      <c r="X2775" s="133">
        <v>41955</v>
      </c>
      <c r="Y2775" s="134">
        <v>541</v>
      </c>
    </row>
    <row r="2776" spans="6:25" x14ac:dyDescent="0.25">
      <c r="F2776" s="76" t="s">
        <v>150</v>
      </c>
      <c r="G2776" s="77" t="s">
        <v>168</v>
      </c>
      <c r="H2776" s="77" t="s">
        <v>153</v>
      </c>
      <c r="I2776" s="86">
        <v>41905</v>
      </c>
      <c r="J2776" s="78">
        <v>1207</v>
      </c>
      <c r="U2776" s="132" t="s">
        <v>154</v>
      </c>
      <c r="V2776" s="132" t="s">
        <v>294</v>
      </c>
      <c r="W2776" s="132" t="s">
        <v>267</v>
      </c>
      <c r="X2776" s="133">
        <v>41962</v>
      </c>
      <c r="Y2776" s="134">
        <v>831</v>
      </c>
    </row>
    <row r="2777" spans="6:25" x14ac:dyDescent="0.25">
      <c r="F2777" s="76" t="s">
        <v>150</v>
      </c>
      <c r="G2777" s="77" t="s">
        <v>168</v>
      </c>
      <c r="H2777" s="77" t="s">
        <v>153</v>
      </c>
      <c r="I2777" s="86">
        <v>41906</v>
      </c>
      <c r="J2777" s="78">
        <v>398</v>
      </c>
      <c r="U2777" s="132" t="s">
        <v>154</v>
      </c>
      <c r="V2777" s="132" t="s">
        <v>294</v>
      </c>
      <c r="W2777" s="132" t="s">
        <v>267</v>
      </c>
      <c r="X2777" s="133">
        <v>41963</v>
      </c>
      <c r="Y2777" s="134">
        <v>476</v>
      </c>
    </row>
    <row r="2778" spans="6:25" x14ac:dyDescent="0.25">
      <c r="F2778" s="76" t="s">
        <v>150</v>
      </c>
      <c r="G2778" s="77" t="s">
        <v>168</v>
      </c>
      <c r="H2778" s="77" t="s">
        <v>153</v>
      </c>
      <c r="I2778" s="86">
        <v>41907</v>
      </c>
      <c r="J2778" s="78">
        <v>948</v>
      </c>
      <c r="U2778" s="132" t="s">
        <v>154</v>
      </c>
      <c r="V2778" s="132" t="s">
        <v>294</v>
      </c>
      <c r="W2778" s="132" t="s">
        <v>267</v>
      </c>
      <c r="X2778" s="133">
        <v>41963</v>
      </c>
      <c r="Y2778" s="134">
        <v>461</v>
      </c>
    </row>
    <row r="2779" spans="6:25" x14ac:dyDescent="0.25">
      <c r="F2779" s="76" t="s">
        <v>150</v>
      </c>
      <c r="G2779" s="77" t="s">
        <v>168</v>
      </c>
      <c r="H2779" s="77" t="s">
        <v>153</v>
      </c>
      <c r="I2779" s="86">
        <v>41911</v>
      </c>
      <c r="J2779" s="78">
        <v>922</v>
      </c>
      <c r="U2779" s="132" t="s">
        <v>154</v>
      </c>
      <c r="V2779" s="132" t="s">
        <v>294</v>
      </c>
      <c r="W2779" s="132" t="s">
        <v>267</v>
      </c>
      <c r="X2779" s="133">
        <v>41964</v>
      </c>
      <c r="Y2779" s="134">
        <v>817</v>
      </c>
    </row>
    <row r="2780" spans="6:25" x14ac:dyDescent="0.25">
      <c r="F2780" s="76" t="s">
        <v>150</v>
      </c>
      <c r="G2780" s="77" t="s">
        <v>168</v>
      </c>
      <c r="H2780" s="77" t="s">
        <v>153</v>
      </c>
      <c r="I2780" s="86">
        <v>41912</v>
      </c>
      <c r="J2780" s="78">
        <v>577</v>
      </c>
      <c r="U2780" s="132" t="s">
        <v>154</v>
      </c>
      <c r="V2780" s="132" t="s">
        <v>294</v>
      </c>
      <c r="W2780" s="132" t="s">
        <v>267</v>
      </c>
      <c r="X2780" s="133">
        <v>41965</v>
      </c>
      <c r="Y2780" s="134">
        <v>619</v>
      </c>
    </row>
    <row r="2781" spans="6:25" x14ac:dyDescent="0.25">
      <c r="F2781" s="76" t="s">
        <v>150</v>
      </c>
      <c r="G2781" s="77" t="s">
        <v>168</v>
      </c>
      <c r="H2781" s="77" t="s">
        <v>153</v>
      </c>
      <c r="I2781" s="86">
        <v>41917</v>
      </c>
      <c r="J2781" s="78">
        <v>660</v>
      </c>
      <c r="U2781" s="132" t="s">
        <v>154</v>
      </c>
      <c r="V2781" s="132" t="s">
        <v>294</v>
      </c>
      <c r="W2781" s="132" t="s">
        <v>267</v>
      </c>
      <c r="X2781" s="133">
        <v>41965</v>
      </c>
      <c r="Y2781" s="134">
        <v>468</v>
      </c>
    </row>
    <row r="2782" spans="6:25" x14ac:dyDescent="0.25">
      <c r="F2782" s="76" t="s">
        <v>150</v>
      </c>
      <c r="G2782" s="77" t="s">
        <v>168</v>
      </c>
      <c r="H2782" s="77" t="s">
        <v>153</v>
      </c>
      <c r="I2782" s="86">
        <v>41918</v>
      </c>
      <c r="J2782" s="78">
        <v>1136</v>
      </c>
      <c r="U2782" s="132" t="s">
        <v>154</v>
      </c>
      <c r="V2782" s="132" t="s">
        <v>294</v>
      </c>
      <c r="W2782" s="132" t="s">
        <v>267</v>
      </c>
      <c r="X2782" s="133">
        <v>41966</v>
      </c>
      <c r="Y2782" s="134">
        <v>692</v>
      </c>
    </row>
    <row r="2783" spans="6:25" x14ac:dyDescent="0.25">
      <c r="F2783" s="76" t="s">
        <v>150</v>
      </c>
      <c r="G2783" s="77" t="s">
        <v>168</v>
      </c>
      <c r="H2783" s="77" t="s">
        <v>153</v>
      </c>
      <c r="I2783" s="86">
        <v>41919</v>
      </c>
      <c r="J2783" s="78">
        <v>951</v>
      </c>
      <c r="U2783" s="132" t="s">
        <v>154</v>
      </c>
      <c r="V2783" s="132" t="s">
        <v>294</v>
      </c>
      <c r="W2783" s="132" t="s">
        <v>267</v>
      </c>
      <c r="X2783" s="133">
        <v>41967</v>
      </c>
      <c r="Y2783" s="134">
        <v>407</v>
      </c>
    </row>
    <row r="2784" spans="6:25" x14ac:dyDescent="0.25">
      <c r="F2784" s="76" t="s">
        <v>150</v>
      </c>
      <c r="G2784" s="77" t="s">
        <v>168</v>
      </c>
      <c r="H2784" s="77" t="s">
        <v>153</v>
      </c>
      <c r="I2784" s="86">
        <v>41920</v>
      </c>
      <c r="J2784" s="78">
        <v>937</v>
      </c>
      <c r="U2784" s="132" t="s">
        <v>154</v>
      </c>
      <c r="V2784" s="132" t="s">
        <v>294</v>
      </c>
      <c r="W2784" s="132" t="s">
        <v>267</v>
      </c>
      <c r="X2784" s="133">
        <v>41968</v>
      </c>
      <c r="Y2784" s="134">
        <v>495</v>
      </c>
    </row>
    <row r="2785" spans="6:25" x14ac:dyDescent="0.25">
      <c r="F2785" s="76" t="s">
        <v>150</v>
      </c>
      <c r="G2785" s="77" t="s">
        <v>168</v>
      </c>
      <c r="H2785" s="77" t="s">
        <v>153</v>
      </c>
      <c r="I2785" s="86">
        <v>41921</v>
      </c>
      <c r="J2785" s="78">
        <v>939</v>
      </c>
      <c r="U2785" s="132" t="s">
        <v>154</v>
      </c>
      <c r="V2785" s="132" t="s">
        <v>294</v>
      </c>
      <c r="W2785" s="132" t="s">
        <v>267</v>
      </c>
      <c r="X2785" s="133">
        <v>41969</v>
      </c>
      <c r="Y2785" s="134">
        <v>706</v>
      </c>
    </row>
    <row r="2786" spans="6:25" x14ac:dyDescent="0.25">
      <c r="F2786" s="76" t="s">
        <v>150</v>
      </c>
      <c r="G2786" s="77" t="s">
        <v>168</v>
      </c>
      <c r="H2786" s="77" t="s">
        <v>153</v>
      </c>
      <c r="I2786" s="86">
        <v>41922</v>
      </c>
      <c r="J2786" s="78">
        <v>890</v>
      </c>
      <c r="U2786" s="132" t="s">
        <v>154</v>
      </c>
      <c r="V2786" s="132" t="s">
        <v>294</v>
      </c>
      <c r="W2786" s="132" t="s">
        <v>267</v>
      </c>
      <c r="X2786" s="133">
        <v>41970</v>
      </c>
      <c r="Y2786" s="134">
        <v>600</v>
      </c>
    </row>
    <row r="2787" spans="6:25" x14ac:dyDescent="0.25">
      <c r="F2787" s="76" t="s">
        <v>150</v>
      </c>
      <c r="G2787" s="77" t="s">
        <v>168</v>
      </c>
      <c r="H2787" s="77" t="s">
        <v>153</v>
      </c>
      <c r="I2787" s="86">
        <v>41923</v>
      </c>
      <c r="J2787" s="78">
        <v>690</v>
      </c>
      <c r="U2787" s="132" t="s">
        <v>154</v>
      </c>
      <c r="V2787" s="132" t="s">
        <v>294</v>
      </c>
      <c r="W2787" s="132" t="s">
        <v>267</v>
      </c>
      <c r="X2787" s="133">
        <v>41970</v>
      </c>
      <c r="Y2787" s="134">
        <v>732</v>
      </c>
    </row>
    <row r="2788" spans="6:25" x14ac:dyDescent="0.25">
      <c r="F2788" s="76" t="s">
        <v>150</v>
      </c>
      <c r="G2788" s="77" t="s">
        <v>168</v>
      </c>
      <c r="H2788" s="77" t="s">
        <v>153</v>
      </c>
      <c r="I2788" s="86">
        <v>41924</v>
      </c>
      <c r="J2788" s="78">
        <v>848</v>
      </c>
      <c r="U2788" s="132" t="s">
        <v>154</v>
      </c>
      <c r="V2788" s="132" t="s">
        <v>294</v>
      </c>
      <c r="W2788" s="132" t="s">
        <v>267</v>
      </c>
      <c r="X2788" s="133">
        <v>41971</v>
      </c>
      <c r="Y2788" s="134">
        <v>663</v>
      </c>
    </row>
    <row r="2789" spans="6:25" x14ac:dyDescent="0.25">
      <c r="F2789" s="76" t="s">
        <v>150</v>
      </c>
      <c r="G2789" s="77" t="s">
        <v>168</v>
      </c>
      <c r="H2789" s="77" t="s">
        <v>153</v>
      </c>
      <c r="I2789" s="86">
        <v>41925</v>
      </c>
      <c r="J2789" s="78">
        <v>1362</v>
      </c>
      <c r="U2789" s="132" t="s">
        <v>154</v>
      </c>
      <c r="V2789" s="132" t="s">
        <v>294</v>
      </c>
      <c r="W2789" s="132" t="s">
        <v>267</v>
      </c>
      <c r="X2789" s="133">
        <v>41972</v>
      </c>
      <c r="Y2789" s="134">
        <v>622</v>
      </c>
    </row>
    <row r="2790" spans="6:25" x14ac:dyDescent="0.25">
      <c r="F2790" s="76" t="s">
        <v>150</v>
      </c>
      <c r="G2790" s="77" t="s">
        <v>168</v>
      </c>
      <c r="H2790" s="77" t="s">
        <v>153</v>
      </c>
      <c r="I2790" s="86">
        <v>41927</v>
      </c>
      <c r="J2790" s="78">
        <v>1233</v>
      </c>
      <c r="U2790" s="132" t="s">
        <v>154</v>
      </c>
      <c r="V2790" s="132" t="s">
        <v>294</v>
      </c>
      <c r="W2790" s="132" t="s">
        <v>267</v>
      </c>
      <c r="X2790" s="133">
        <v>41972</v>
      </c>
      <c r="Y2790" s="134">
        <v>671</v>
      </c>
    </row>
    <row r="2791" spans="6:25" x14ac:dyDescent="0.25">
      <c r="F2791" s="76" t="s">
        <v>150</v>
      </c>
      <c r="G2791" s="77" t="s">
        <v>168</v>
      </c>
      <c r="H2791" s="77" t="s">
        <v>153</v>
      </c>
      <c r="I2791" s="86">
        <v>41929</v>
      </c>
      <c r="J2791" s="78">
        <v>1245</v>
      </c>
      <c r="U2791" s="132" t="s">
        <v>154</v>
      </c>
      <c r="V2791" s="132" t="s">
        <v>294</v>
      </c>
      <c r="W2791" s="132" t="s">
        <v>267</v>
      </c>
      <c r="X2791" s="133">
        <v>41973</v>
      </c>
      <c r="Y2791" s="134">
        <v>654</v>
      </c>
    </row>
    <row r="2792" spans="6:25" x14ac:dyDescent="0.25">
      <c r="F2792" s="76" t="s">
        <v>150</v>
      </c>
      <c r="G2792" s="77" t="s">
        <v>168</v>
      </c>
      <c r="H2792" s="77" t="s">
        <v>153</v>
      </c>
      <c r="I2792" s="86">
        <v>41930</v>
      </c>
      <c r="J2792" s="78">
        <v>541</v>
      </c>
      <c r="U2792" s="132" t="s">
        <v>154</v>
      </c>
      <c r="V2792" s="132" t="s">
        <v>294</v>
      </c>
      <c r="W2792" s="132" t="s">
        <v>267</v>
      </c>
      <c r="X2792" s="133">
        <v>41973</v>
      </c>
      <c r="Y2792" s="134">
        <v>652</v>
      </c>
    </row>
    <row r="2793" spans="6:25" x14ac:dyDescent="0.25">
      <c r="F2793" s="76" t="s">
        <v>150</v>
      </c>
      <c r="G2793" s="77" t="s">
        <v>168</v>
      </c>
      <c r="H2793" s="77" t="s">
        <v>153</v>
      </c>
      <c r="I2793" s="86">
        <v>41931</v>
      </c>
      <c r="J2793" s="78">
        <v>592</v>
      </c>
      <c r="U2793" s="132" t="s">
        <v>154</v>
      </c>
      <c r="V2793" s="132" t="s">
        <v>294</v>
      </c>
      <c r="W2793" s="132" t="s">
        <v>267</v>
      </c>
      <c r="X2793" s="133">
        <v>41974</v>
      </c>
      <c r="Y2793" s="134">
        <v>686</v>
      </c>
    </row>
    <row r="2794" spans="6:25" x14ac:dyDescent="0.25">
      <c r="F2794" s="76" t="s">
        <v>150</v>
      </c>
      <c r="G2794" s="77" t="s">
        <v>168</v>
      </c>
      <c r="H2794" s="77" t="s">
        <v>153</v>
      </c>
      <c r="I2794" s="86">
        <v>41931</v>
      </c>
      <c r="J2794" s="78">
        <v>1204</v>
      </c>
      <c r="U2794" s="132" t="s">
        <v>154</v>
      </c>
      <c r="V2794" s="132" t="s">
        <v>294</v>
      </c>
      <c r="W2794" s="132" t="s">
        <v>267</v>
      </c>
      <c r="X2794" s="133">
        <v>41975</v>
      </c>
      <c r="Y2794" s="134">
        <v>706</v>
      </c>
    </row>
    <row r="2795" spans="6:25" x14ac:dyDescent="0.25">
      <c r="F2795" s="76" t="s">
        <v>150</v>
      </c>
      <c r="G2795" s="77" t="s">
        <v>168</v>
      </c>
      <c r="H2795" s="77" t="s">
        <v>153</v>
      </c>
      <c r="I2795" s="86">
        <v>41932</v>
      </c>
      <c r="J2795" s="78">
        <v>843</v>
      </c>
      <c r="U2795" s="132" t="s">
        <v>154</v>
      </c>
      <c r="V2795" s="132" t="s">
        <v>294</v>
      </c>
      <c r="W2795" s="132" t="s">
        <v>267</v>
      </c>
      <c r="X2795" s="133">
        <v>41976</v>
      </c>
      <c r="Y2795" s="134">
        <v>810</v>
      </c>
    </row>
    <row r="2796" spans="6:25" x14ac:dyDescent="0.25">
      <c r="F2796" s="76" t="s">
        <v>150</v>
      </c>
      <c r="G2796" s="77" t="s">
        <v>168</v>
      </c>
      <c r="H2796" s="77" t="s">
        <v>153</v>
      </c>
      <c r="I2796" s="86">
        <v>41934</v>
      </c>
      <c r="J2796" s="78">
        <v>964</v>
      </c>
      <c r="U2796" s="132" t="s">
        <v>154</v>
      </c>
      <c r="V2796" s="132" t="s">
        <v>294</v>
      </c>
      <c r="W2796" s="132" t="s">
        <v>267</v>
      </c>
      <c r="X2796" s="133">
        <v>41977</v>
      </c>
      <c r="Y2796" s="134">
        <v>788</v>
      </c>
    </row>
    <row r="2797" spans="6:25" x14ac:dyDescent="0.25">
      <c r="F2797" s="76" t="s">
        <v>150</v>
      </c>
      <c r="G2797" s="77" t="s">
        <v>168</v>
      </c>
      <c r="H2797" s="77" t="s">
        <v>153</v>
      </c>
      <c r="I2797" s="86">
        <v>41934</v>
      </c>
      <c r="J2797" s="78">
        <v>1187</v>
      </c>
      <c r="U2797" s="132" t="s">
        <v>154</v>
      </c>
      <c r="V2797" s="132" t="s">
        <v>294</v>
      </c>
      <c r="W2797" s="132" t="s">
        <v>267</v>
      </c>
      <c r="X2797" s="133">
        <v>41978</v>
      </c>
      <c r="Y2797" s="134">
        <v>864</v>
      </c>
    </row>
    <row r="2798" spans="6:25" x14ac:dyDescent="0.25">
      <c r="F2798" s="76" t="s">
        <v>150</v>
      </c>
      <c r="G2798" s="77" t="s">
        <v>168</v>
      </c>
      <c r="H2798" s="77" t="s">
        <v>153</v>
      </c>
      <c r="I2798" s="86">
        <v>41936</v>
      </c>
      <c r="J2798" s="78">
        <v>1191</v>
      </c>
      <c r="U2798" s="132" t="s">
        <v>154</v>
      </c>
      <c r="V2798" s="132" t="s">
        <v>294</v>
      </c>
      <c r="W2798" s="132" t="s">
        <v>267</v>
      </c>
      <c r="X2798" s="133">
        <v>41979</v>
      </c>
      <c r="Y2798" s="134">
        <v>427</v>
      </c>
    </row>
    <row r="2799" spans="6:25" x14ac:dyDescent="0.25">
      <c r="F2799" s="76" t="s">
        <v>150</v>
      </c>
      <c r="G2799" s="77" t="s">
        <v>168</v>
      </c>
      <c r="H2799" s="77" t="s">
        <v>153</v>
      </c>
      <c r="I2799" s="86">
        <v>41936</v>
      </c>
      <c r="J2799" s="78">
        <v>825</v>
      </c>
      <c r="U2799" s="132" t="s">
        <v>154</v>
      </c>
      <c r="V2799" s="132" t="s">
        <v>294</v>
      </c>
      <c r="W2799" s="132" t="s">
        <v>267</v>
      </c>
      <c r="X2799" s="133">
        <v>41979</v>
      </c>
      <c r="Y2799" s="134">
        <v>626</v>
      </c>
    </row>
    <row r="2800" spans="6:25" x14ac:dyDescent="0.25">
      <c r="F2800" s="76" t="s">
        <v>150</v>
      </c>
      <c r="G2800" s="77" t="s">
        <v>168</v>
      </c>
      <c r="H2800" s="77" t="s">
        <v>153</v>
      </c>
      <c r="I2800" s="86">
        <v>41940</v>
      </c>
      <c r="J2800" s="78">
        <v>1273</v>
      </c>
      <c r="U2800" s="132" t="s">
        <v>154</v>
      </c>
      <c r="V2800" s="132" t="s">
        <v>294</v>
      </c>
      <c r="W2800" s="132" t="s">
        <v>267</v>
      </c>
      <c r="X2800" s="133">
        <v>41980</v>
      </c>
      <c r="Y2800" s="134">
        <v>596</v>
      </c>
    </row>
    <row r="2801" spans="6:25" x14ac:dyDescent="0.25">
      <c r="F2801" s="76" t="s">
        <v>150</v>
      </c>
      <c r="G2801" s="77" t="s">
        <v>168</v>
      </c>
      <c r="H2801" s="77" t="s">
        <v>153</v>
      </c>
      <c r="I2801" s="86">
        <v>41940</v>
      </c>
      <c r="J2801" s="78">
        <v>873</v>
      </c>
      <c r="U2801" s="132" t="s">
        <v>154</v>
      </c>
      <c r="V2801" s="132" t="s">
        <v>294</v>
      </c>
      <c r="W2801" s="132" t="s">
        <v>267</v>
      </c>
      <c r="X2801" s="133">
        <v>41981</v>
      </c>
      <c r="Y2801" s="134">
        <v>755</v>
      </c>
    </row>
    <row r="2802" spans="6:25" x14ac:dyDescent="0.25">
      <c r="F2802" s="76" t="s">
        <v>150</v>
      </c>
      <c r="G2802" s="77" t="s">
        <v>168</v>
      </c>
      <c r="H2802" s="77" t="s">
        <v>153</v>
      </c>
      <c r="I2802" s="86">
        <v>41942</v>
      </c>
      <c r="J2802" s="78">
        <v>1146</v>
      </c>
      <c r="U2802" s="132" t="s">
        <v>154</v>
      </c>
      <c r="V2802" s="132" t="s">
        <v>294</v>
      </c>
      <c r="W2802" s="132" t="s">
        <v>267</v>
      </c>
      <c r="X2802" s="133">
        <v>41982</v>
      </c>
      <c r="Y2802" s="134">
        <v>1015</v>
      </c>
    </row>
    <row r="2803" spans="6:25" x14ac:dyDescent="0.25">
      <c r="F2803" s="76" t="s">
        <v>150</v>
      </c>
      <c r="G2803" s="77" t="s">
        <v>168</v>
      </c>
      <c r="H2803" s="77" t="s">
        <v>153</v>
      </c>
      <c r="I2803" s="86">
        <v>41942</v>
      </c>
      <c r="J2803" s="78">
        <v>1153</v>
      </c>
      <c r="U2803" s="132" t="s">
        <v>154</v>
      </c>
      <c r="V2803" s="132" t="s">
        <v>294</v>
      </c>
      <c r="W2803" s="132" t="s">
        <v>267</v>
      </c>
      <c r="X2803" s="133">
        <v>41983</v>
      </c>
      <c r="Y2803" s="134">
        <v>647</v>
      </c>
    </row>
    <row r="2804" spans="6:25" x14ac:dyDescent="0.25">
      <c r="F2804" s="76" t="s">
        <v>150</v>
      </c>
      <c r="G2804" s="77" t="s">
        <v>168</v>
      </c>
      <c r="H2804" s="77" t="s">
        <v>153</v>
      </c>
      <c r="I2804" s="86">
        <v>41943</v>
      </c>
      <c r="J2804" s="78">
        <v>858</v>
      </c>
      <c r="U2804" s="132" t="s">
        <v>154</v>
      </c>
      <c r="V2804" s="132" t="s">
        <v>294</v>
      </c>
      <c r="W2804" s="132" t="s">
        <v>267</v>
      </c>
      <c r="X2804" s="133">
        <v>41983</v>
      </c>
      <c r="Y2804" s="134">
        <v>300</v>
      </c>
    </row>
    <row r="2805" spans="6:25" x14ac:dyDescent="0.25">
      <c r="F2805" s="76" t="s">
        <v>150</v>
      </c>
      <c r="G2805" s="77" t="s">
        <v>168</v>
      </c>
      <c r="H2805" s="77" t="s">
        <v>153</v>
      </c>
      <c r="I2805" s="86">
        <v>41947</v>
      </c>
      <c r="J2805" s="78">
        <v>1042</v>
      </c>
      <c r="U2805" s="132" t="s">
        <v>154</v>
      </c>
      <c r="V2805" s="132" t="s">
        <v>294</v>
      </c>
      <c r="W2805" s="132" t="s">
        <v>267</v>
      </c>
      <c r="X2805" s="133">
        <v>41984</v>
      </c>
      <c r="Y2805" s="134">
        <v>721</v>
      </c>
    </row>
    <row r="2806" spans="6:25" x14ac:dyDescent="0.25">
      <c r="F2806" s="76" t="s">
        <v>150</v>
      </c>
      <c r="G2806" s="77" t="s">
        <v>168</v>
      </c>
      <c r="H2806" s="77" t="s">
        <v>153</v>
      </c>
      <c r="I2806" s="86">
        <v>41947</v>
      </c>
      <c r="J2806" s="78">
        <v>1150</v>
      </c>
      <c r="U2806" s="132" t="s">
        <v>154</v>
      </c>
      <c r="V2806" s="132" t="s">
        <v>294</v>
      </c>
      <c r="W2806" s="132" t="s">
        <v>267</v>
      </c>
      <c r="X2806" s="133">
        <v>41984</v>
      </c>
      <c r="Y2806" s="134">
        <v>287</v>
      </c>
    </row>
    <row r="2807" spans="6:25" x14ac:dyDescent="0.25">
      <c r="F2807" s="76" t="s">
        <v>150</v>
      </c>
      <c r="G2807" s="77" t="s">
        <v>168</v>
      </c>
      <c r="H2807" s="77" t="s">
        <v>153</v>
      </c>
      <c r="I2807" s="86">
        <v>41949</v>
      </c>
      <c r="J2807" s="78">
        <v>867</v>
      </c>
      <c r="U2807" s="132" t="s">
        <v>154</v>
      </c>
      <c r="V2807" s="132" t="s">
        <v>294</v>
      </c>
      <c r="W2807" s="132" t="s">
        <v>267</v>
      </c>
      <c r="X2807" s="133">
        <v>41985</v>
      </c>
      <c r="Y2807" s="134">
        <v>492</v>
      </c>
    </row>
    <row r="2808" spans="6:25" x14ac:dyDescent="0.25">
      <c r="F2808" s="76" t="s">
        <v>150</v>
      </c>
      <c r="G2808" s="77" t="s">
        <v>168</v>
      </c>
      <c r="H2808" s="77" t="s">
        <v>153</v>
      </c>
      <c r="I2808" s="86">
        <v>41949</v>
      </c>
      <c r="J2808" s="78">
        <v>1073</v>
      </c>
      <c r="U2808" s="132" t="s">
        <v>154</v>
      </c>
      <c r="V2808" s="132" t="s">
        <v>294</v>
      </c>
      <c r="W2808" s="132" t="s">
        <v>267</v>
      </c>
      <c r="X2808" s="133">
        <v>41987</v>
      </c>
      <c r="Y2808" s="134">
        <v>582</v>
      </c>
    </row>
    <row r="2809" spans="6:25" x14ac:dyDescent="0.25">
      <c r="F2809" s="76" t="s">
        <v>150</v>
      </c>
      <c r="G2809" s="77" t="s">
        <v>168</v>
      </c>
      <c r="H2809" s="77" t="s">
        <v>153</v>
      </c>
      <c r="I2809" s="86">
        <v>41950</v>
      </c>
      <c r="J2809" s="78">
        <v>343</v>
      </c>
      <c r="U2809" s="132" t="s">
        <v>154</v>
      </c>
      <c r="V2809" s="132" t="s">
        <v>294</v>
      </c>
      <c r="W2809" s="132" t="s">
        <v>267</v>
      </c>
      <c r="X2809" s="133">
        <v>41988</v>
      </c>
      <c r="Y2809" s="134">
        <v>669</v>
      </c>
    </row>
    <row r="2810" spans="6:25" x14ac:dyDescent="0.25">
      <c r="F2810" s="76" t="s">
        <v>150</v>
      </c>
      <c r="G2810" s="77" t="s">
        <v>168</v>
      </c>
      <c r="H2810" s="77" t="s">
        <v>153</v>
      </c>
      <c r="I2810" s="86">
        <v>41953</v>
      </c>
      <c r="J2810" s="78">
        <v>1311</v>
      </c>
      <c r="U2810" s="132" t="s">
        <v>154</v>
      </c>
      <c r="V2810" s="132" t="s">
        <v>294</v>
      </c>
      <c r="W2810" s="132" t="s">
        <v>267</v>
      </c>
      <c r="X2810" s="133">
        <v>41989</v>
      </c>
      <c r="Y2810" s="134">
        <v>664</v>
      </c>
    </row>
    <row r="2811" spans="6:25" x14ac:dyDescent="0.25">
      <c r="F2811" s="76" t="s">
        <v>150</v>
      </c>
      <c r="G2811" s="77" t="s">
        <v>168</v>
      </c>
      <c r="H2811" s="77" t="s">
        <v>153</v>
      </c>
      <c r="I2811" s="86">
        <v>41955</v>
      </c>
      <c r="J2811" s="78">
        <v>600</v>
      </c>
      <c r="U2811" s="132" t="s">
        <v>154</v>
      </c>
      <c r="V2811" s="132" t="s">
        <v>294</v>
      </c>
      <c r="W2811" s="132" t="s">
        <v>267</v>
      </c>
      <c r="X2811" s="133">
        <v>41990</v>
      </c>
      <c r="Y2811" s="134">
        <v>872</v>
      </c>
    </row>
    <row r="2812" spans="6:25" x14ac:dyDescent="0.25">
      <c r="F2812" s="76" t="s">
        <v>150</v>
      </c>
      <c r="G2812" s="77" t="s">
        <v>168</v>
      </c>
      <c r="H2812" s="77" t="s">
        <v>153</v>
      </c>
      <c r="I2812" s="86">
        <v>41957</v>
      </c>
      <c r="J2812" s="78">
        <v>982</v>
      </c>
      <c r="U2812" s="132" t="s">
        <v>154</v>
      </c>
      <c r="V2812" s="132" t="s">
        <v>294</v>
      </c>
      <c r="W2812" s="132" t="s">
        <v>267</v>
      </c>
      <c r="X2812" s="133">
        <v>41991</v>
      </c>
      <c r="Y2812" s="134">
        <v>546</v>
      </c>
    </row>
    <row r="2813" spans="6:25" x14ac:dyDescent="0.25">
      <c r="F2813" s="76" t="s">
        <v>150</v>
      </c>
      <c r="G2813" s="77" t="s">
        <v>168</v>
      </c>
      <c r="H2813" s="77" t="s">
        <v>153</v>
      </c>
      <c r="I2813" s="86">
        <v>41959</v>
      </c>
      <c r="J2813" s="78">
        <v>770</v>
      </c>
      <c r="U2813" s="132" t="s">
        <v>154</v>
      </c>
      <c r="V2813" s="132" t="s">
        <v>294</v>
      </c>
      <c r="W2813" s="132" t="s">
        <v>267</v>
      </c>
      <c r="X2813" s="133">
        <v>41992</v>
      </c>
      <c r="Y2813" s="134">
        <v>527</v>
      </c>
    </row>
    <row r="2814" spans="6:25" x14ac:dyDescent="0.25">
      <c r="F2814" s="76" t="s">
        <v>150</v>
      </c>
      <c r="G2814" s="77" t="s">
        <v>168</v>
      </c>
      <c r="H2814" s="77" t="s">
        <v>153</v>
      </c>
      <c r="I2814" s="86">
        <v>41960</v>
      </c>
      <c r="J2814" s="78">
        <v>916</v>
      </c>
      <c r="U2814" s="132" t="s">
        <v>154</v>
      </c>
      <c r="V2814" s="132" t="s">
        <v>294</v>
      </c>
      <c r="W2814" s="132" t="s">
        <v>267</v>
      </c>
      <c r="X2814" s="133">
        <v>41995</v>
      </c>
      <c r="Y2814" s="134">
        <v>490</v>
      </c>
    </row>
    <row r="2815" spans="6:25" x14ac:dyDescent="0.25">
      <c r="F2815" s="76" t="s">
        <v>150</v>
      </c>
      <c r="G2815" s="77" t="s">
        <v>168</v>
      </c>
      <c r="H2815" s="77" t="s">
        <v>153</v>
      </c>
      <c r="I2815" s="86">
        <v>41962</v>
      </c>
      <c r="J2815" s="78">
        <v>686</v>
      </c>
      <c r="U2815" s="132" t="s">
        <v>154</v>
      </c>
      <c r="V2815" s="132" t="s">
        <v>294</v>
      </c>
      <c r="W2815" s="132" t="s">
        <v>267</v>
      </c>
      <c r="X2815" s="133">
        <v>41996</v>
      </c>
      <c r="Y2815" s="134">
        <v>668</v>
      </c>
    </row>
    <row r="2816" spans="6:25" x14ac:dyDescent="0.25">
      <c r="F2816" s="76" t="s">
        <v>150</v>
      </c>
      <c r="G2816" s="77" t="s">
        <v>168</v>
      </c>
      <c r="H2816" s="77" t="s">
        <v>153</v>
      </c>
      <c r="I2816" s="86">
        <v>41963</v>
      </c>
      <c r="J2816" s="78">
        <v>719</v>
      </c>
      <c r="U2816" s="132" t="s">
        <v>154</v>
      </c>
      <c r="V2816" s="132" t="s">
        <v>294</v>
      </c>
      <c r="W2816" s="132" t="s">
        <v>267</v>
      </c>
      <c r="X2816" s="133">
        <v>41997</v>
      </c>
      <c r="Y2816" s="134">
        <v>711</v>
      </c>
    </row>
    <row r="2817" spans="6:25" x14ac:dyDescent="0.25">
      <c r="F2817" s="76" t="s">
        <v>150</v>
      </c>
      <c r="G2817" s="77" t="s">
        <v>168</v>
      </c>
      <c r="H2817" s="77" t="s">
        <v>153</v>
      </c>
      <c r="I2817" s="86">
        <v>41965</v>
      </c>
      <c r="J2817" s="78">
        <v>997</v>
      </c>
      <c r="U2817" s="132" t="s">
        <v>154</v>
      </c>
      <c r="V2817" s="132" t="s">
        <v>294</v>
      </c>
      <c r="W2817" s="132" t="s">
        <v>267</v>
      </c>
      <c r="X2817" s="133">
        <v>41999</v>
      </c>
      <c r="Y2817" s="134">
        <v>659</v>
      </c>
    </row>
    <row r="2818" spans="6:25" x14ac:dyDescent="0.25">
      <c r="F2818" s="76" t="s">
        <v>150</v>
      </c>
      <c r="G2818" s="77" t="s">
        <v>168</v>
      </c>
      <c r="H2818" s="77" t="s">
        <v>153</v>
      </c>
      <c r="I2818" s="86">
        <v>41967</v>
      </c>
      <c r="J2818" s="78">
        <v>1092</v>
      </c>
      <c r="U2818" s="132" t="s">
        <v>154</v>
      </c>
      <c r="V2818" s="132" t="s">
        <v>294</v>
      </c>
      <c r="W2818" s="132" t="s">
        <v>267</v>
      </c>
      <c r="X2818" s="133">
        <v>42001</v>
      </c>
      <c r="Y2818" s="134">
        <v>829</v>
      </c>
    </row>
    <row r="2819" spans="6:25" x14ac:dyDescent="0.25">
      <c r="F2819" s="76" t="s">
        <v>150</v>
      </c>
      <c r="G2819" s="77" t="s">
        <v>168</v>
      </c>
      <c r="H2819" s="77" t="s">
        <v>153</v>
      </c>
      <c r="I2819" s="86">
        <v>41969</v>
      </c>
      <c r="J2819" s="78">
        <v>758</v>
      </c>
      <c r="U2819" s="132" t="s">
        <v>154</v>
      </c>
      <c r="V2819" s="132" t="s">
        <v>294</v>
      </c>
      <c r="W2819" s="132" t="s">
        <v>267</v>
      </c>
      <c r="X2819" s="133">
        <v>42002</v>
      </c>
      <c r="Y2819" s="134">
        <v>506</v>
      </c>
    </row>
    <row r="2820" spans="6:25" x14ac:dyDescent="0.25">
      <c r="F2820" s="76" t="s">
        <v>150</v>
      </c>
      <c r="G2820" s="77" t="s">
        <v>168</v>
      </c>
      <c r="H2820" s="77" t="s">
        <v>153</v>
      </c>
      <c r="I2820" s="86">
        <v>41971</v>
      </c>
      <c r="J2820" s="78">
        <v>999</v>
      </c>
      <c r="U2820" s="132" t="s">
        <v>154</v>
      </c>
      <c r="V2820" s="132" t="s">
        <v>294</v>
      </c>
      <c r="W2820" s="132" t="s">
        <v>267</v>
      </c>
      <c r="X2820" s="133">
        <v>42002</v>
      </c>
      <c r="Y2820" s="134">
        <v>549</v>
      </c>
    </row>
    <row r="2821" spans="6:25" x14ac:dyDescent="0.25">
      <c r="F2821" s="76" t="s">
        <v>150</v>
      </c>
      <c r="G2821" s="77" t="s">
        <v>168</v>
      </c>
      <c r="H2821" s="77" t="s">
        <v>153</v>
      </c>
      <c r="I2821" s="86">
        <v>41974</v>
      </c>
      <c r="J2821" s="78">
        <v>1107</v>
      </c>
      <c r="U2821" s="132" t="s">
        <v>154</v>
      </c>
      <c r="V2821" s="132" t="s">
        <v>295</v>
      </c>
      <c r="W2821" s="132" t="s">
        <v>267</v>
      </c>
      <c r="X2821" s="133">
        <v>41703</v>
      </c>
      <c r="Y2821" s="134">
        <v>746</v>
      </c>
    </row>
    <row r="2822" spans="6:25" x14ac:dyDescent="0.25">
      <c r="F2822" s="76" t="s">
        <v>150</v>
      </c>
      <c r="G2822" s="77" t="s">
        <v>168</v>
      </c>
      <c r="H2822" s="77" t="s">
        <v>153</v>
      </c>
      <c r="I2822" s="86">
        <v>41975</v>
      </c>
      <c r="J2822" s="78">
        <v>637</v>
      </c>
      <c r="U2822" s="132" t="s">
        <v>154</v>
      </c>
      <c r="V2822" s="132" t="s">
        <v>295</v>
      </c>
      <c r="W2822" s="132" t="s">
        <v>267</v>
      </c>
      <c r="X2822" s="133">
        <v>41916</v>
      </c>
      <c r="Y2822" s="134">
        <v>730</v>
      </c>
    </row>
    <row r="2823" spans="6:25" x14ac:dyDescent="0.25">
      <c r="F2823" s="76" t="s">
        <v>150</v>
      </c>
      <c r="G2823" s="77" t="s">
        <v>168</v>
      </c>
      <c r="H2823" s="77" t="s">
        <v>153</v>
      </c>
      <c r="I2823" s="86">
        <v>41980</v>
      </c>
      <c r="J2823" s="78">
        <v>492</v>
      </c>
      <c r="U2823" s="132" t="s">
        <v>154</v>
      </c>
      <c r="V2823" s="132" t="s">
        <v>296</v>
      </c>
      <c r="W2823" s="132" t="s">
        <v>267</v>
      </c>
      <c r="X2823" s="133">
        <v>41719</v>
      </c>
      <c r="Y2823" s="134">
        <v>493</v>
      </c>
    </row>
    <row r="2824" spans="6:25" x14ac:dyDescent="0.25">
      <c r="F2824" s="76" t="s">
        <v>150</v>
      </c>
      <c r="G2824" s="77" t="s">
        <v>168</v>
      </c>
      <c r="H2824" s="77" t="s">
        <v>153</v>
      </c>
      <c r="I2824" s="86">
        <v>41982</v>
      </c>
      <c r="J2824" s="78">
        <v>1246</v>
      </c>
      <c r="U2824" s="132" t="s">
        <v>154</v>
      </c>
      <c r="V2824" s="132" t="s">
        <v>296</v>
      </c>
      <c r="W2824" s="132" t="s">
        <v>267</v>
      </c>
      <c r="X2824" s="133">
        <v>41720</v>
      </c>
      <c r="Y2824" s="134">
        <v>673</v>
      </c>
    </row>
    <row r="2825" spans="6:25" x14ac:dyDescent="0.25">
      <c r="F2825" s="76" t="s">
        <v>150</v>
      </c>
      <c r="G2825" s="77" t="s">
        <v>168</v>
      </c>
      <c r="H2825" s="77" t="s">
        <v>153</v>
      </c>
      <c r="I2825" s="86">
        <v>41984</v>
      </c>
      <c r="J2825" s="78">
        <v>481</v>
      </c>
      <c r="U2825" s="132" t="s">
        <v>154</v>
      </c>
      <c r="V2825" s="132" t="s">
        <v>296</v>
      </c>
      <c r="W2825" s="132" t="s">
        <v>267</v>
      </c>
      <c r="X2825" s="133">
        <v>41720</v>
      </c>
      <c r="Y2825" s="134">
        <v>229</v>
      </c>
    </row>
    <row r="2826" spans="6:25" x14ac:dyDescent="0.25">
      <c r="F2826" s="76" t="s">
        <v>150</v>
      </c>
      <c r="G2826" s="77" t="s">
        <v>168</v>
      </c>
      <c r="H2826" s="77" t="s">
        <v>153</v>
      </c>
      <c r="I2826" s="86">
        <v>41988</v>
      </c>
      <c r="J2826" s="78">
        <v>985</v>
      </c>
      <c r="U2826" s="132" t="s">
        <v>154</v>
      </c>
      <c r="V2826" s="132" t="s">
        <v>296</v>
      </c>
      <c r="W2826" s="132" t="s">
        <v>267</v>
      </c>
      <c r="X2826" s="133">
        <v>41720</v>
      </c>
      <c r="Y2826" s="134">
        <v>255</v>
      </c>
    </row>
    <row r="2827" spans="6:25" x14ac:dyDescent="0.25">
      <c r="F2827" s="76" t="s">
        <v>150</v>
      </c>
      <c r="G2827" s="77" t="s">
        <v>168</v>
      </c>
      <c r="H2827" s="77" t="s">
        <v>153</v>
      </c>
      <c r="I2827" s="86">
        <v>41989</v>
      </c>
      <c r="J2827" s="78">
        <v>482</v>
      </c>
      <c r="U2827" s="132" t="s">
        <v>154</v>
      </c>
      <c r="V2827" s="132" t="s">
        <v>296</v>
      </c>
      <c r="W2827" s="132" t="s">
        <v>267</v>
      </c>
      <c r="X2827" s="133">
        <v>41721</v>
      </c>
      <c r="Y2827" s="134">
        <v>791</v>
      </c>
    </row>
    <row r="2828" spans="6:25" x14ac:dyDescent="0.25">
      <c r="F2828" s="76" t="s">
        <v>150</v>
      </c>
      <c r="G2828" s="77" t="s">
        <v>168</v>
      </c>
      <c r="H2828" s="77" t="s">
        <v>153</v>
      </c>
      <c r="I2828" s="86">
        <v>41989</v>
      </c>
      <c r="J2828" s="78">
        <v>605</v>
      </c>
      <c r="U2828" s="132" t="s">
        <v>154</v>
      </c>
      <c r="V2828" s="132" t="s">
        <v>296</v>
      </c>
      <c r="W2828" s="132" t="s">
        <v>267</v>
      </c>
      <c r="X2828" s="133">
        <v>41721</v>
      </c>
      <c r="Y2828" s="134">
        <v>449</v>
      </c>
    </row>
    <row r="2829" spans="6:25" x14ac:dyDescent="0.25">
      <c r="F2829" s="76" t="s">
        <v>150</v>
      </c>
      <c r="G2829" s="77" t="s">
        <v>168</v>
      </c>
      <c r="H2829" s="77" t="s">
        <v>153</v>
      </c>
      <c r="I2829" s="86">
        <v>41990</v>
      </c>
      <c r="J2829" s="78">
        <v>856</v>
      </c>
      <c r="U2829" s="132" t="s">
        <v>154</v>
      </c>
      <c r="V2829" s="132" t="s">
        <v>296</v>
      </c>
      <c r="W2829" s="132" t="s">
        <v>267</v>
      </c>
      <c r="X2829" s="133">
        <v>41721</v>
      </c>
      <c r="Y2829" s="134">
        <v>224</v>
      </c>
    </row>
    <row r="2830" spans="6:25" x14ac:dyDescent="0.25">
      <c r="F2830" s="76" t="s">
        <v>150</v>
      </c>
      <c r="G2830" s="77" t="s">
        <v>168</v>
      </c>
      <c r="H2830" s="77" t="s">
        <v>153</v>
      </c>
      <c r="I2830" s="86">
        <v>41992</v>
      </c>
      <c r="J2830" s="78">
        <v>709</v>
      </c>
      <c r="U2830" s="132" t="s">
        <v>154</v>
      </c>
      <c r="V2830" s="132" t="s">
        <v>296</v>
      </c>
      <c r="W2830" s="132" t="s">
        <v>267</v>
      </c>
      <c r="X2830" s="133">
        <v>41722</v>
      </c>
      <c r="Y2830" s="134">
        <v>685</v>
      </c>
    </row>
    <row r="2831" spans="6:25" x14ac:dyDescent="0.25">
      <c r="F2831" s="76" t="s">
        <v>150</v>
      </c>
      <c r="G2831" s="77" t="s">
        <v>168</v>
      </c>
      <c r="H2831" s="77" t="s">
        <v>153</v>
      </c>
      <c r="I2831" s="86">
        <v>41995</v>
      </c>
      <c r="J2831" s="78">
        <v>445</v>
      </c>
      <c r="U2831" s="132" t="s">
        <v>154</v>
      </c>
      <c r="V2831" s="132" t="s">
        <v>296</v>
      </c>
      <c r="W2831" s="132" t="s">
        <v>267</v>
      </c>
      <c r="X2831" s="133">
        <v>41723</v>
      </c>
      <c r="Y2831" s="134">
        <v>1009</v>
      </c>
    </row>
    <row r="2832" spans="6:25" x14ac:dyDescent="0.25">
      <c r="F2832" s="76" t="s">
        <v>150</v>
      </c>
      <c r="G2832" s="77" t="s">
        <v>168</v>
      </c>
      <c r="H2832" s="77" t="s">
        <v>153</v>
      </c>
      <c r="I2832" s="86">
        <v>41996</v>
      </c>
      <c r="J2832" s="78">
        <v>721</v>
      </c>
      <c r="U2832" s="132" t="s">
        <v>154</v>
      </c>
      <c r="V2832" s="132" t="s">
        <v>296</v>
      </c>
      <c r="W2832" s="132" t="s">
        <v>267</v>
      </c>
      <c r="X2832" s="133">
        <v>41724</v>
      </c>
      <c r="Y2832" s="134">
        <v>785</v>
      </c>
    </row>
    <row r="2833" spans="6:25" x14ac:dyDescent="0.25">
      <c r="F2833" s="76" t="s">
        <v>150</v>
      </c>
      <c r="G2833" s="77" t="s">
        <v>168</v>
      </c>
      <c r="H2833" s="77" t="s">
        <v>153</v>
      </c>
      <c r="I2833" s="86">
        <v>41997</v>
      </c>
      <c r="J2833" s="78">
        <v>546</v>
      </c>
      <c r="U2833" s="132" t="s">
        <v>154</v>
      </c>
      <c r="V2833" s="132" t="s">
        <v>296</v>
      </c>
      <c r="W2833" s="132" t="s">
        <v>267</v>
      </c>
      <c r="X2833" s="133">
        <v>41725</v>
      </c>
      <c r="Y2833" s="134">
        <v>380</v>
      </c>
    </row>
    <row r="2834" spans="6:25" x14ac:dyDescent="0.25">
      <c r="F2834" s="76" t="s">
        <v>150</v>
      </c>
      <c r="G2834" s="77" t="s">
        <v>168</v>
      </c>
      <c r="H2834" s="77" t="s">
        <v>153</v>
      </c>
      <c r="I2834" s="86">
        <v>42002</v>
      </c>
      <c r="J2834" s="78">
        <v>1029</v>
      </c>
      <c r="U2834" s="132" t="s">
        <v>154</v>
      </c>
      <c r="V2834" s="132" t="s">
        <v>296</v>
      </c>
      <c r="W2834" s="132" t="s">
        <v>267</v>
      </c>
      <c r="X2834" s="133">
        <v>41725</v>
      </c>
      <c r="Y2834" s="134">
        <v>661</v>
      </c>
    </row>
    <row r="2835" spans="6:25" x14ac:dyDescent="0.25">
      <c r="F2835" s="76" t="s">
        <v>150</v>
      </c>
      <c r="G2835" s="77" t="s">
        <v>194</v>
      </c>
      <c r="H2835" s="77" t="s">
        <v>153</v>
      </c>
      <c r="I2835" s="86">
        <v>41635</v>
      </c>
      <c r="J2835" s="78">
        <v>1022</v>
      </c>
      <c r="U2835" s="132" t="s">
        <v>154</v>
      </c>
      <c r="V2835" s="132" t="s">
        <v>296</v>
      </c>
      <c r="W2835" s="132" t="s">
        <v>267</v>
      </c>
      <c r="X2835" s="133">
        <v>41726</v>
      </c>
      <c r="Y2835" s="134">
        <v>529</v>
      </c>
    </row>
    <row r="2836" spans="6:25" x14ac:dyDescent="0.25">
      <c r="F2836" s="76" t="s">
        <v>150</v>
      </c>
      <c r="G2836" s="77" t="s">
        <v>194</v>
      </c>
      <c r="H2836" s="77" t="s">
        <v>153</v>
      </c>
      <c r="I2836" s="86">
        <v>41637</v>
      </c>
      <c r="J2836" s="78">
        <v>262</v>
      </c>
      <c r="U2836" s="132" t="s">
        <v>154</v>
      </c>
      <c r="V2836" s="132" t="s">
        <v>296</v>
      </c>
      <c r="W2836" s="132" t="s">
        <v>267</v>
      </c>
      <c r="X2836" s="133">
        <v>41727</v>
      </c>
      <c r="Y2836" s="134">
        <v>751</v>
      </c>
    </row>
    <row r="2837" spans="6:25" x14ac:dyDescent="0.25">
      <c r="F2837" s="76" t="s">
        <v>150</v>
      </c>
      <c r="G2837" s="77" t="s">
        <v>194</v>
      </c>
      <c r="H2837" s="77" t="s">
        <v>153</v>
      </c>
      <c r="I2837" s="86">
        <v>41637</v>
      </c>
      <c r="J2837" s="78">
        <v>938</v>
      </c>
      <c r="U2837" s="132" t="s">
        <v>154</v>
      </c>
      <c r="V2837" s="132" t="s">
        <v>296</v>
      </c>
      <c r="W2837" s="132" t="s">
        <v>267</v>
      </c>
      <c r="X2837" s="133">
        <v>41728</v>
      </c>
      <c r="Y2837" s="134">
        <v>227</v>
      </c>
    </row>
    <row r="2838" spans="6:25" x14ac:dyDescent="0.25">
      <c r="F2838" s="76" t="s">
        <v>150</v>
      </c>
      <c r="G2838" s="77" t="s">
        <v>194</v>
      </c>
      <c r="H2838" s="77" t="s">
        <v>153</v>
      </c>
      <c r="I2838" s="86">
        <v>41638</v>
      </c>
      <c r="J2838" s="78">
        <v>1098</v>
      </c>
      <c r="U2838" s="132" t="s">
        <v>154</v>
      </c>
      <c r="V2838" s="132" t="s">
        <v>296</v>
      </c>
      <c r="W2838" s="132" t="s">
        <v>267</v>
      </c>
      <c r="X2838" s="133">
        <v>41728</v>
      </c>
      <c r="Y2838" s="134">
        <v>481</v>
      </c>
    </row>
    <row r="2839" spans="6:25" x14ac:dyDescent="0.25">
      <c r="F2839" s="76" t="s">
        <v>150</v>
      </c>
      <c r="G2839" s="77" t="s">
        <v>194</v>
      </c>
      <c r="H2839" s="77" t="s">
        <v>153</v>
      </c>
      <c r="I2839" s="86">
        <v>41639</v>
      </c>
      <c r="J2839" s="78">
        <v>1046</v>
      </c>
      <c r="U2839" s="132" t="s">
        <v>154</v>
      </c>
      <c r="V2839" s="132" t="s">
        <v>296</v>
      </c>
      <c r="W2839" s="132" t="s">
        <v>267</v>
      </c>
      <c r="X2839" s="133">
        <v>41728</v>
      </c>
      <c r="Y2839" s="134">
        <v>732</v>
      </c>
    </row>
    <row r="2840" spans="6:25" x14ac:dyDescent="0.25">
      <c r="F2840" s="76" t="s">
        <v>150</v>
      </c>
      <c r="G2840" s="77" t="s">
        <v>194</v>
      </c>
      <c r="H2840" s="77" t="s">
        <v>153</v>
      </c>
      <c r="I2840" s="86">
        <v>41640</v>
      </c>
      <c r="J2840" s="78">
        <v>976</v>
      </c>
      <c r="U2840" s="132" t="s">
        <v>154</v>
      </c>
      <c r="V2840" s="132" t="s">
        <v>296</v>
      </c>
      <c r="W2840" s="132" t="s">
        <v>267</v>
      </c>
      <c r="X2840" s="133">
        <v>41729</v>
      </c>
      <c r="Y2840" s="134">
        <v>947</v>
      </c>
    </row>
    <row r="2841" spans="6:25" x14ac:dyDescent="0.25">
      <c r="F2841" s="76" t="s">
        <v>150</v>
      </c>
      <c r="G2841" s="77" t="s">
        <v>194</v>
      </c>
      <c r="H2841" s="77" t="s">
        <v>153</v>
      </c>
      <c r="I2841" s="86">
        <v>41641</v>
      </c>
      <c r="J2841" s="78">
        <v>864</v>
      </c>
      <c r="U2841" s="132" t="s">
        <v>154</v>
      </c>
      <c r="V2841" s="132" t="s">
        <v>296</v>
      </c>
      <c r="W2841" s="132" t="s">
        <v>267</v>
      </c>
      <c r="X2841" s="133">
        <v>41730</v>
      </c>
      <c r="Y2841" s="134">
        <v>924</v>
      </c>
    </row>
    <row r="2842" spans="6:25" x14ac:dyDescent="0.25">
      <c r="F2842" s="76" t="s">
        <v>150</v>
      </c>
      <c r="G2842" s="77" t="s">
        <v>194</v>
      </c>
      <c r="H2842" s="77" t="s">
        <v>153</v>
      </c>
      <c r="I2842" s="86">
        <v>41645</v>
      </c>
      <c r="J2842" s="78">
        <v>506</v>
      </c>
      <c r="U2842" s="132" t="s">
        <v>154</v>
      </c>
      <c r="V2842" s="132" t="s">
        <v>296</v>
      </c>
      <c r="W2842" s="132" t="s">
        <v>267</v>
      </c>
      <c r="X2842" s="133">
        <v>41731</v>
      </c>
      <c r="Y2842" s="134">
        <v>785</v>
      </c>
    </row>
    <row r="2843" spans="6:25" x14ac:dyDescent="0.25">
      <c r="F2843" s="76" t="s">
        <v>150</v>
      </c>
      <c r="G2843" s="77" t="s">
        <v>194</v>
      </c>
      <c r="H2843" s="77" t="s">
        <v>153</v>
      </c>
      <c r="I2843" s="86">
        <v>41645</v>
      </c>
      <c r="J2843" s="78">
        <v>1405</v>
      </c>
      <c r="U2843" s="132" t="s">
        <v>154</v>
      </c>
      <c r="V2843" s="132" t="s">
        <v>296</v>
      </c>
      <c r="W2843" s="132" t="s">
        <v>267</v>
      </c>
      <c r="X2843" s="133">
        <v>41732</v>
      </c>
      <c r="Y2843" s="134">
        <v>1037</v>
      </c>
    </row>
    <row r="2844" spans="6:25" x14ac:dyDescent="0.25">
      <c r="F2844" s="76" t="s">
        <v>150</v>
      </c>
      <c r="G2844" s="77" t="s">
        <v>194</v>
      </c>
      <c r="H2844" s="77" t="s">
        <v>153</v>
      </c>
      <c r="I2844" s="86">
        <v>41646</v>
      </c>
      <c r="J2844" s="78">
        <v>1227</v>
      </c>
      <c r="U2844" s="132" t="s">
        <v>154</v>
      </c>
      <c r="V2844" s="132" t="s">
        <v>296</v>
      </c>
      <c r="W2844" s="132" t="s">
        <v>267</v>
      </c>
      <c r="X2844" s="133">
        <v>41733</v>
      </c>
      <c r="Y2844" s="134">
        <v>604</v>
      </c>
    </row>
    <row r="2845" spans="6:25" x14ac:dyDescent="0.25">
      <c r="F2845" s="76" t="s">
        <v>150</v>
      </c>
      <c r="G2845" s="77" t="s">
        <v>194</v>
      </c>
      <c r="H2845" s="77" t="s">
        <v>153</v>
      </c>
      <c r="I2845" s="86">
        <v>41648</v>
      </c>
      <c r="J2845" s="78">
        <v>1414</v>
      </c>
      <c r="U2845" s="132" t="s">
        <v>154</v>
      </c>
      <c r="V2845" s="132" t="s">
        <v>296</v>
      </c>
      <c r="W2845" s="132" t="s">
        <v>267</v>
      </c>
      <c r="X2845" s="133">
        <v>41734</v>
      </c>
      <c r="Y2845" s="134">
        <v>803</v>
      </c>
    </row>
    <row r="2846" spans="6:25" x14ac:dyDescent="0.25">
      <c r="F2846" s="76" t="s">
        <v>150</v>
      </c>
      <c r="G2846" s="77" t="s">
        <v>194</v>
      </c>
      <c r="H2846" s="77" t="s">
        <v>153</v>
      </c>
      <c r="I2846" s="86">
        <v>41649</v>
      </c>
      <c r="J2846" s="78">
        <v>646</v>
      </c>
      <c r="U2846" s="132" t="s">
        <v>154</v>
      </c>
      <c r="V2846" s="132" t="s">
        <v>296</v>
      </c>
      <c r="W2846" s="132" t="s">
        <v>267</v>
      </c>
      <c r="X2846" s="133">
        <v>41734</v>
      </c>
      <c r="Y2846" s="134">
        <v>492</v>
      </c>
    </row>
    <row r="2847" spans="6:25" x14ac:dyDescent="0.25">
      <c r="F2847" s="76" t="s">
        <v>150</v>
      </c>
      <c r="G2847" s="77" t="s">
        <v>194</v>
      </c>
      <c r="H2847" s="77" t="s">
        <v>153</v>
      </c>
      <c r="I2847" s="86">
        <v>41653</v>
      </c>
      <c r="J2847" s="78">
        <v>1061</v>
      </c>
      <c r="U2847" s="132" t="s">
        <v>154</v>
      </c>
      <c r="V2847" s="132" t="s">
        <v>296</v>
      </c>
      <c r="W2847" s="132" t="s">
        <v>267</v>
      </c>
      <c r="X2847" s="133">
        <v>41735</v>
      </c>
      <c r="Y2847" s="134">
        <v>741</v>
      </c>
    </row>
    <row r="2848" spans="6:25" x14ac:dyDescent="0.25">
      <c r="F2848" s="76" t="s">
        <v>150</v>
      </c>
      <c r="G2848" s="77" t="s">
        <v>194</v>
      </c>
      <c r="H2848" s="77" t="s">
        <v>153</v>
      </c>
      <c r="I2848" s="86">
        <v>41655</v>
      </c>
      <c r="J2848" s="78">
        <v>913</v>
      </c>
      <c r="U2848" s="132" t="s">
        <v>154</v>
      </c>
      <c r="V2848" s="132" t="s">
        <v>296</v>
      </c>
      <c r="W2848" s="132" t="s">
        <v>267</v>
      </c>
      <c r="X2848" s="133">
        <v>41735</v>
      </c>
      <c r="Y2848" s="134">
        <v>736</v>
      </c>
    </row>
    <row r="2849" spans="6:25" x14ac:dyDescent="0.25">
      <c r="F2849" s="76" t="s">
        <v>150</v>
      </c>
      <c r="G2849" s="77" t="s">
        <v>194</v>
      </c>
      <c r="H2849" s="77" t="s">
        <v>153</v>
      </c>
      <c r="I2849" s="86">
        <v>41656</v>
      </c>
      <c r="J2849" s="78">
        <v>665</v>
      </c>
      <c r="U2849" s="132" t="s">
        <v>154</v>
      </c>
      <c r="V2849" s="132" t="s">
        <v>296</v>
      </c>
      <c r="W2849" s="132" t="s">
        <v>267</v>
      </c>
      <c r="X2849" s="133">
        <v>41736</v>
      </c>
      <c r="Y2849" s="134">
        <v>623</v>
      </c>
    </row>
    <row r="2850" spans="6:25" x14ac:dyDescent="0.25">
      <c r="F2850" s="76" t="s">
        <v>150</v>
      </c>
      <c r="G2850" s="77" t="s">
        <v>194</v>
      </c>
      <c r="H2850" s="77" t="s">
        <v>153</v>
      </c>
      <c r="I2850" s="86">
        <v>41660</v>
      </c>
      <c r="J2850" s="78">
        <v>914</v>
      </c>
      <c r="U2850" s="132" t="s">
        <v>154</v>
      </c>
      <c r="V2850" s="132" t="s">
        <v>296</v>
      </c>
      <c r="W2850" s="132" t="s">
        <v>267</v>
      </c>
      <c r="X2850" s="133">
        <v>41737</v>
      </c>
      <c r="Y2850" s="134">
        <v>584</v>
      </c>
    </row>
    <row r="2851" spans="6:25" x14ac:dyDescent="0.25">
      <c r="F2851" s="76" t="s">
        <v>150</v>
      </c>
      <c r="G2851" s="77" t="s">
        <v>194</v>
      </c>
      <c r="H2851" s="77" t="s">
        <v>153</v>
      </c>
      <c r="I2851" s="86">
        <v>41661</v>
      </c>
      <c r="J2851" s="78">
        <v>464</v>
      </c>
      <c r="U2851" s="132" t="s">
        <v>154</v>
      </c>
      <c r="V2851" s="132" t="s">
        <v>296</v>
      </c>
      <c r="W2851" s="132" t="s">
        <v>267</v>
      </c>
      <c r="X2851" s="133">
        <v>41738</v>
      </c>
      <c r="Y2851" s="134">
        <v>892</v>
      </c>
    </row>
    <row r="2852" spans="6:25" x14ac:dyDescent="0.25">
      <c r="F2852" s="76" t="s">
        <v>150</v>
      </c>
      <c r="G2852" s="77" t="s">
        <v>194</v>
      </c>
      <c r="H2852" s="77" t="s">
        <v>153</v>
      </c>
      <c r="I2852" s="86">
        <v>41661</v>
      </c>
      <c r="J2852" s="78">
        <v>948</v>
      </c>
      <c r="U2852" s="132" t="s">
        <v>154</v>
      </c>
      <c r="V2852" s="132" t="s">
        <v>296</v>
      </c>
      <c r="W2852" s="132" t="s">
        <v>267</v>
      </c>
      <c r="X2852" s="133">
        <v>41738</v>
      </c>
      <c r="Y2852" s="134">
        <v>703</v>
      </c>
    </row>
    <row r="2853" spans="6:25" x14ac:dyDescent="0.25">
      <c r="F2853" s="76" t="s">
        <v>150</v>
      </c>
      <c r="G2853" s="77" t="s">
        <v>194</v>
      </c>
      <c r="H2853" s="77" t="s">
        <v>153</v>
      </c>
      <c r="I2853" s="86">
        <v>41663</v>
      </c>
      <c r="J2853" s="78">
        <v>1122</v>
      </c>
      <c r="U2853" s="132" t="s">
        <v>154</v>
      </c>
      <c r="V2853" s="132" t="s">
        <v>296</v>
      </c>
      <c r="W2853" s="132" t="s">
        <v>267</v>
      </c>
      <c r="X2853" s="133">
        <v>41739</v>
      </c>
      <c r="Y2853" s="134">
        <v>380</v>
      </c>
    </row>
    <row r="2854" spans="6:25" x14ac:dyDescent="0.25">
      <c r="F2854" s="76" t="s">
        <v>150</v>
      </c>
      <c r="G2854" s="77" t="s">
        <v>194</v>
      </c>
      <c r="H2854" s="77" t="s">
        <v>153</v>
      </c>
      <c r="I2854" s="86">
        <v>41664</v>
      </c>
      <c r="J2854" s="78">
        <v>1034</v>
      </c>
      <c r="U2854" s="132" t="s">
        <v>154</v>
      </c>
      <c r="V2854" s="132" t="s">
        <v>296</v>
      </c>
      <c r="W2854" s="132" t="s">
        <v>267</v>
      </c>
      <c r="X2854" s="133">
        <v>41739</v>
      </c>
      <c r="Y2854" s="134">
        <v>649</v>
      </c>
    </row>
    <row r="2855" spans="6:25" x14ac:dyDescent="0.25">
      <c r="F2855" s="76" t="s">
        <v>150</v>
      </c>
      <c r="G2855" s="77" t="s">
        <v>194</v>
      </c>
      <c r="H2855" s="77" t="s">
        <v>153</v>
      </c>
      <c r="I2855" s="86">
        <v>41664</v>
      </c>
      <c r="J2855" s="78">
        <v>534</v>
      </c>
      <c r="U2855" s="132" t="s">
        <v>154</v>
      </c>
      <c r="V2855" s="132" t="s">
        <v>296</v>
      </c>
      <c r="W2855" s="132" t="s">
        <v>267</v>
      </c>
      <c r="X2855" s="133">
        <v>41740</v>
      </c>
      <c r="Y2855" s="134">
        <v>687</v>
      </c>
    </row>
    <row r="2856" spans="6:25" x14ac:dyDescent="0.25">
      <c r="F2856" s="76" t="s">
        <v>150</v>
      </c>
      <c r="G2856" s="77" t="s">
        <v>194</v>
      </c>
      <c r="H2856" s="77" t="s">
        <v>153</v>
      </c>
      <c r="I2856" s="86">
        <v>41665</v>
      </c>
      <c r="J2856" s="78">
        <v>471</v>
      </c>
      <c r="U2856" s="132" t="s">
        <v>154</v>
      </c>
      <c r="V2856" s="132" t="s">
        <v>296</v>
      </c>
      <c r="W2856" s="132" t="s">
        <v>267</v>
      </c>
      <c r="X2856" s="133">
        <v>41740</v>
      </c>
      <c r="Y2856" s="134">
        <v>675</v>
      </c>
    </row>
    <row r="2857" spans="6:25" x14ac:dyDescent="0.25">
      <c r="F2857" s="76" t="s">
        <v>150</v>
      </c>
      <c r="G2857" s="77" t="s">
        <v>194</v>
      </c>
      <c r="H2857" s="77" t="s">
        <v>153</v>
      </c>
      <c r="I2857" s="86">
        <v>41665</v>
      </c>
      <c r="J2857" s="78">
        <v>698</v>
      </c>
      <c r="U2857" s="132" t="s">
        <v>154</v>
      </c>
      <c r="V2857" s="132" t="s">
        <v>296</v>
      </c>
      <c r="W2857" s="132" t="s">
        <v>267</v>
      </c>
      <c r="X2857" s="133">
        <v>41743</v>
      </c>
      <c r="Y2857" s="134">
        <v>1065</v>
      </c>
    </row>
    <row r="2858" spans="6:25" x14ac:dyDescent="0.25">
      <c r="F2858" s="76" t="s">
        <v>150</v>
      </c>
      <c r="G2858" s="77" t="s">
        <v>194</v>
      </c>
      <c r="H2858" s="77" t="s">
        <v>153</v>
      </c>
      <c r="I2858" s="86">
        <v>41667</v>
      </c>
      <c r="J2858" s="78">
        <v>1452</v>
      </c>
      <c r="U2858" s="132" t="s">
        <v>154</v>
      </c>
      <c r="V2858" s="132" t="s">
        <v>296</v>
      </c>
      <c r="W2858" s="132" t="s">
        <v>267</v>
      </c>
      <c r="X2858" s="133">
        <v>41744</v>
      </c>
      <c r="Y2858" s="134">
        <v>644</v>
      </c>
    </row>
    <row r="2859" spans="6:25" x14ac:dyDescent="0.25">
      <c r="F2859" s="76" t="s">
        <v>150</v>
      </c>
      <c r="G2859" s="77" t="s">
        <v>194</v>
      </c>
      <c r="H2859" s="77" t="s">
        <v>153</v>
      </c>
      <c r="I2859" s="86">
        <v>41668</v>
      </c>
      <c r="J2859" s="78">
        <v>665</v>
      </c>
      <c r="U2859" s="132" t="s">
        <v>154</v>
      </c>
      <c r="V2859" s="132" t="s">
        <v>296</v>
      </c>
      <c r="W2859" s="132" t="s">
        <v>267</v>
      </c>
      <c r="X2859" s="133">
        <v>41745</v>
      </c>
      <c r="Y2859" s="134">
        <v>540</v>
      </c>
    </row>
    <row r="2860" spans="6:25" x14ac:dyDescent="0.25">
      <c r="F2860" s="76" t="s">
        <v>150</v>
      </c>
      <c r="G2860" s="77" t="s">
        <v>194</v>
      </c>
      <c r="H2860" s="77" t="s">
        <v>153</v>
      </c>
      <c r="I2860" s="86">
        <v>41669</v>
      </c>
      <c r="J2860" s="78">
        <v>1155</v>
      </c>
      <c r="U2860" s="132" t="s">
        <v>154</v>
      </c>
      <c r="V2860" s="132" t="s">
        <v>296</v>
      </c>
      <c r="W2860" s="132" t="s">
        <v>267</v>
      </c>
      <c r="X2860" s="133">
        <v>41745</v>
      </c>
      <c r="Y2860" s="134">
        <v>705</v>
      </c>
    </row>
    <row r="2861" spans="6:25" x14ac:dyDescent="0.25">
      <c r="F2861" s="76" t="s">
        <v>150</v>
      </c>
      <c r="G2861" s="77" t="s">
        <v>194</v>
      </c>
      <c r="H2861" s="77" t="s">
        <v>153</v>
      </c>
      <c r="I2861" s="86">
        <v>41670</v>
      </c>
      <c r="J2861" s="78">
        <v>734</v>
      </c>
      <c r="U2861" s="132" t="s">
        <v>154</v>
      </c>
      <c r="V2861" s="132" t="s">
        <v>296</v>
      </c>
      <c r="W2861" s="132" t="s">
        <v>267</v>
      </c>
      <c r="X2861" s="133">
        <v>41746</v>
      </c>
      <c r="Y2861" s="134">
        <v>880</v>
      </c>
    </row>
    <row r="2862" spans="6:25" x14ac:dyDescent="0.25">
      <c r="F2862" s="76" t="s">
        <v>150</v>
      </c>
      <c r="G2862" s="77" t="s">
        <v>194</v>
      </c>
      <c r="H2862" s="77" t="s">
        <v>153</v>
      </c>
      <c r="I2862" s="86">
        <v>41673</v>
      </c>
      <c r="J2862" s="78">
        <v>1357</v>
      </c>
      <c r="U2862" s="132" t="s">
        <v>154</v>
      </c>
      <c r="V2862" s="132" t="s">
        <v>296</v>
      </c>
      <c r="W2862" s="132" t="s">
        <v>267</v>
      </c>
      <c r="X2862" s="133">
        <v>41747</v>
      </c>
      <c r="Y2862" s="134">
        <v>830</v>
      </c>
    </row>
    <row r="2863" spans="6:25" x14ac:dyDescent="0.25">
      <c r="F2863" s="76" t="s">
        <v>150</v>
      </c>
      <c r="G2863" s="77" t="s">
        <v>194</v>
      </c>
      <c r="H2863" s="77" t="s">
        <v>153</v>
      </c>
      <c r="I2863" s="86">
        <v>41678</v>
      </c>
      <c r="J2863" s="78">
        <v>903</v>
      </c>
      <c r="U2863" s="132" t="s">
        <v>154</v>
      </c>
      <c r="V2863" s="132" t="s">
        <v>296</v>
      </c>
      <c r="W2863" s="132" t="s">
        <v>267</v>
      </c>
      <c r="X2863" s="133">
        <v>41753</v>
      </c>
      <c r="Y2863" s="134">
        <v>466</v>
      </c>
    </row>
    <row r="2864" spans="6:25" x14ac:dyDescent="0.25">
      <c r="F2864" s="76" t="s">
        <v>150</v>
      </c>
      <c r="G2864" s="77" t="s">
        <v>194</v>
      </c>
      <c r="H2864" s="77" t="s">
        <v>153</v>
      </c>
      <c r="I2864" s="86">
        <v>41679</v>
      </c>
      <c r="J2864" s="78">
        <v>849</v>
      </c>
      <c r="U2864" s="132" t="s">
        <v>154</v>
      </c>
      <c r="V2864" s="132" t="s">
        <v>296</v>
      </c>
      <c r="W2864" s="132" t="s">
        <v>267</v>
      </c>
      <c r="X2864" s="133">
        <v>41753</v>
      </c>
      <c r="Y2864" s="134">
        <v>675</v>
      </c>
    </row>
    <row r="2865" spans="6:25" x14ac:dyDescent="0.25">
      <c r="F2865" s="76" t="s">
        <v>150</v>
      </c>
      <c r="G2865" s="77" t="s">
        <v>194</v>
      </c>
      <c r="H2865" s="77" t="s">
        <v>153</v>
      </c>
      <c r="I2865" s="86">
        <v>41679</v>
      </c>
      <c r="J2865" s="78">
        <v>683</v>
      </c>
      <c r="U2865" s="132" t="s">
        <v>154</v>
      </c>
      <c r="V2865" s="132" t="s">
        <v>296</v>
      </c>
      <c r="W2865" s="132" t="s">
        <v>267</v>
      </c>
      <c r="X2865" s="133">
        <v>41754</v>
      </c>
      <c r="Y2865" s="134">
        <v>625</v>
      </c>
    </row>
    <row r="2866" spans="6:25" x14ac:dyDescent="0.25">
      <c r="F2866" s="76" t="s">
        <v>150</v>
      </c>
      <c r="G2866" s="77" t="s">
        <v>194</v>
      </c>
      <c r="H2866" s="77" t="s">
        <v>153</v>
      </c>
      <c r="I2866" s="86">
        <v>41681</v>
      </c>
      <c r="J2866" s="78">
        <v>1245</v>
      </c>
      <c r="U2866" s="132" t="s">
        <v>154</v>
      </c>
      <c r="V2866" s="132" t="s">
        <v>296</v>
      </c>
      <c r="W2866" s="132" t="s">
        <v>267</v>
      </c>
      <c r="X2866" s="133">
        <v>41754</v>
      </c>
      <c r="Y2866" s="134">
        <v>645</v>
      </c>
    </row>
    <row r="2867" spans="6:25" x14ac:dyDescent="0.25">
      <c r="F2867" s="76" t="s">
        <v>150</v>
      </c>
      <c r="G2867" s="77" t="s">
        <v>194</v>
      </c>
      <c r="H2867" s="77" t="s">
        <v>153</v>
      </c>
      <c r="I2867" s="86">
        <v>41682</v>
      </c>
      <c r="J2867" s="78">
        <v>645</v>
      </c>
      <c r="U2867" s="132" t="s">
        <v>154</v>
      </c>
      <c r="V2867" s="132" t="s">
        <v>296</v>
      </c>
      <c r="W2867" s="132" t="s">
        <v>267</v>
      </c>
      <c r="X2867" s="133">
        <v>41755</v>
      </c>
      <c r="Y2867" s="134">
        <v>610</v>
      </c>
    </row>
    <row r="2868" spans="6:25" x14ac:dyDescent="0.25">
      <c r="F2868" s="76" t="s">
        <v>150</v>
      </c>
      <c r="G2868" s="77" t="s">
        <v>194</v>
      </c>
      <c r="H2868" s="77" t="s">
        <v>153</v>
      </c>
      <c r="I2868" s="86">
        <v>41682</v>
      </c>
      <c r="J2868" s="78">
        <v>412</v>
      </c>
      <c r="U2868" s="132" t="s">
        <v>154</v>
      </c>
      <c r="V2868" s="132" t="s">
        <v>296</v>
      </c>
      <c r="W2868" s="132" t="s">
        <v>267</v>
      </c>
      <c r="X2868" s="133">
        <v>41757</v>
      </c>
      <c r="Y2868" s="134">
        <v>707</v>
      </c>
    </row>
    <row r="2869" spans="6:25" x14ac:dyDescent="0.25">
      <c r="F2869" s="76" t="s">
        <v>150</v>
      </c>
      <c r="G2869" s="77" t="s">
        <v>194</v>
      </c>
      <c r="H2869" s="77" t="s">
        <v>153</v>
      </c>
      <c r="I2869" s="86">
        <v>41691</v>
      </c>
      <c r="J2869" s="78">
        <v>1000</v>
      </c>
      <c r="U2869" s="132" t="s">
        <v>154</v>
      </c>
      <c r="V2869" s="132" t="s">
        <v>296</v>
      </c>
      <c r="W2869" s="132" t="s">
        <v>267</v>
      </c>
      <c r="X2869" s="133">
        <v>41758</v>
      </c>
      <c r="Y2869" s="134">
        <v>840</v>
      </c>
    </row>
    <row r="2870" spans="6:25" x14ac:dyDescent="0.25">
      <c r="F2870" s="76" t="s">
        <v>150</v>
      </c>
      <c r="G2870" s="77" t="s">
        <v>194</v>
      </c>
      <c r="H2870" s="77" t="s">
        <v>153</v>
      </c>
      <c r="I2870" s="86">
        <v>41695</v>
      </c>
      <c r="J2870" s="78">
        <v>1090</v>
      </c>
      <c r="U2870" s="132" t="s">
        <v>154</v>
      </c>
      <c r="V2870" s="132" t="s">
        <v>296</v>
      </c>
      <c r="W2870" s="132" t="s">
        <v>267</v>
      </c>
      <c r="X2870" s="133">
        <v>41759</v>
      </c>
      <c r="Y2870" s="134">
        <v>624</v>
      </c>
    </row>
    <row r="2871" spans="6:25" x14ac:dyDescent="0.25">
      <c r="F2871" s="76" t="s">
        <v>150</v>
      </c>
      <c r="G2871" s="77" t="s">
        <v>194</v>
      </c>
      <c r="H2871" s="77" t="s">
        <v>153</v>
      </c>
      <c r="I2871" s="86">
        <v>41696</v>
      </c>
      <c r="J2871" s="78">
        <v>892</v>
      </c>
      <c r="U2871" s="132" t="s">
        <v>154</v>
      </c>
      <c r="V2871" s="132" t="s">
        <v>296</v>
      </c>
      <c r="W2871" s="132" t="s">
        <v>267</v>
      </c>
      <c r="X2871" s="133">
        <v>41759</v>
      </c>
      <c r="Y2871" s="134">
        <v>653</v>
      </c>
    </row>
    <row r="2872" spans="6:25" x14ac:dyDescent="0.25">
      <c r="F2872" s="76" t="s">
        <v>150</v>
      </c>
      <c r="G2872" s="77" t="s">
        <v>194</v>
      </c>
      <c r="H2872" s="77" t="s">
        <v>153</v>
      </c>
      <c r="I2872" s="86">
        <v>41697</v>
      </c>
      <c r="J2872" s="78">
        <v>1088</v>
      </c>
      <c r="U2872" s="132" t="s">
        <v>154</v>
      </c>
      <c r="V2872" s="132" t="s">
        <v>296</v>
      </c>
      <c r="W2872" s="132" t="s">
        <v>267</v>
      </c>
      <c r="X2872" s="133">
        <v>41760</v>
      </c>
      <c r="Y2872" s="134">
        <v>1305</v>
      </c>
    </row>
    <row r="2873" spans="6:25" x14ac:dyDescent="0.25">
      <c r="F2873" s="76" t="s">
        <v>150</v>
      </c>
      <c r="G2873" s="77" t="s">
        <v>194</v>
      </c>
      <c r="H2873" s="77" t="s">
        <v>153</v>
      </c>
      <c r="I2873" s="86">
        <v>41701</v>
      </c>
      <c r="J2873" s="78">
        <v>1455</v>
      </c>
      <c r="U2873" s="132" t="s">
        <v>154</v>
      </c>
      <c r="V2873" s="132" t="s">
        <v>296</v>
      </c>
      <c r="W2873" s="132" t="s">
        <v>267</v>
      </c>
      <c r="X2873" s="133">
        <v>41761</v>
      </c>
      <c r="Y2873" s="134">
        <v>932</v>
      </c>
    </row>
    <row r="2874" spans="6:25" x14ac:dyDescent="0.25">
      <c r="F2874" s="76" t="s">
        <v>150</v>
      </c>
      <c r="G2874" s="77" t="s">
        <v>194</v>
      </c>
      <c r="H2874" s="77" t="s">
        <v>153</v>
      </c>
      <c r="I2874" s="86">
        <v>41702</v>
      </c>
      <c r="J2874" s="78">
        <v>529</v>
      </c>
      <c r="U2874" s="132" t="s">
        <v>154</v>
      </c>
      <c r="V2874" s="132" t="s">
        <v>296</v>
      </c>
      <c r="W2874" s="132" t="s">
        <v>267</v>
      </c>
      <c r="X2874" s="133">
        <v>41764</v>
      </c>
      <c r="Y2874" s="134">
        <v>802</v>
      </c>
    </row>
    <row r="2875" spans="6:25" x14ac:dyDescent="0.25">
      <c r="F2875" s="76" t="s">
        <v>150</v>
      </c>
      <c r="G2875" s="77" t="s">
        <v>194</v>
      </c>
      <c r="H2875" s="77" t="s">
        <v>153</v>
      </c>
      <c r="I2875" s="86">
        <v>41703</v>
      </c>
      <c r="J2875" s="78">
        <v>807</v>
      </c>
      <c r="U2875" s="132" t="s">
        <v>154</v>
      </c>
      <c r="V2875" s="132" t="s">
        <v>296</v>
      </c>
      <c r="W2875" s="132" t="s">
        <v>267</v>
      </c>
      <c r="X2875" s="133">
        <v>41765</v>
      </c>
      <c r="Y2875" s="134">
        <v>611</v>
      </c>
    </row>
    <row r="2876" spans="6:25" x14ac:dyDescent="0.25">
      <c r="F2876" s="76" t="s">
        <v>150</v>
      </c>
      <c r="G2876" s="77" t="s">
        <v>194</v>
      </c>
      <c r="H2876" s="77" t="s">
        <v>153</v>
      </c>
      <c r="I2876" s="86">
        <v>41704</v>
      </c>
      <c r="J2876" s="78">
        <v>521</v>
      </c>
      <c r="U2876" s="132" t="s">
        <v>154</v>
      </c>
      <c r="V2876" s="132" t="s">
        <v>296</v>
      </c>
      <c r="W2876" s="132" t="s">
        <v>267</v>
      </c>
      <c r="X2876" s="133">
        <v>41765</v>
      </c>
      <c r="Y2876" s="134">
        <v>705</v>
      </c>
    </row>
    <row r="2877" spans="6:25" x14ac:dyDescent="0.25">
      <c r="F2877" s="76" t="s">
        <v>150</v>
      </c>
      <c r="G2877" s="77" t="s">
        <v>194</v>
      </c>
      <c r="H2877" s="77" t="s">
        <v>153</v>
      </c>
      <c r="I2877" s="86">
        <v>41705</v>
      </c>
      <c r="J2877" s="78">
        <v>717</v>
      </c>
      <c r="U2877" s="132" t="s">
        <v>154</v>
      </c>
      <c r="V2877" s="132" t="s">
        <v>296</v>
      </c>
      <c r="W2877" s="132" t="s">
        <v>267</v>
      </c>
      <c r="X2877" s="133">
        <v>41766</v>
      </c>
      <c r="Y2877" s="134">
        <v>859</v>
      </c>
    </row>
    <row r="2878" spans="6:25" x14ac:dyDescent="0.25">
      <c r="F2878" s="76" t="s">
        <v>150</v>
      </c>
      <c r="G2878" s="77" t="s">
        <v>194</v>
      </c>
      <c r="H2878" s="77" t="s">
        <v>153</v>
      </c>
      <c r="I2878" s="86">
        <v>41706</v>
      </c>
      <c r="J2878" s="78">
        <v>551</v>
      </c>
      <c r="U2878" s="132" t="s">
        <v>154</v>
      </c>
      <c r="V2878" s="132" t="s">
        <v>296</v>
      </c>
      <c r="W2878" s="132" t="s">
        <v>267</v>
      </c>
      <c r="X2878" s="133">
        <v>41767</v>
      </c>
      <c r="Y2878" s="134">
        <v>889</v>
      </c>
    </row>
    <row r="2879" spans="6:25" x14ac:dyDescent="0.25">
      <c r="F2879" s="76" t="s">
        <v>150</v>
      </c>
      <c r="G2879" s="77" t="s">
        <v>194</v>
      </c>
      <c r="H2879" s="77" t="s">
        <v>153</v>
      </c>
      <c r="I2879" s="86">
        <v>41707</v>
      </c>
      <c r="J2879" s="78">
        <v>511</v>
      </c>
      <c r="U2879" s="132" t="s">
        <v>154</v>
      </c>
      <c r="V2879" s="132" t="s">
        <v>296</v>
      </c>
      <c r="W2879" s="132" t="s">
        <v>267</v>
      </c>
      <c r="X2879" s="133">
        <v>41768</v>
      </c>
      <c r="Y2879" s="134">
        <v>945</v>
      </c>
    </row>
    <row r="2880" spans="6:25" x14ac:dyDescent="0.25">
      <c r="F2880" s="76" t="s">
        <v>150</v>
      </c>
      <c r="G2880" s="77" t="s">
        <v>194</v>
      </c>
      <c r="H2880" s="77" t="s">
        <v>153</v>
      </c>
      <c r="I2880" s="86">
        <v>41708</v>
      </c>
      <c r="J2880" s="78">
        <v>855</v>
      </c>
      <c r="U2880" s="132" t="s">
        <v>154</v>
      </c>
      <c r="V2880" s="132" t="s">
        <v>296</v>
      </c>
      <c r="W2880" s="132" t="s">
        <v>267</v>
      </c>
      <c r="X2880" s="133">
        <v>41771</v>
      </c>
      <c r="Y2880" s="134">
        <v>695</v>
      </c>
    </row>
    <row r="2881" spans="6:25" x14ac:dyDescent="0.25">
      <c r="F2881" s="76" t="s">
        <v>150</v>
      </c>
      <c r="G2881" s="77" t="s">
        <v>194</v>
      </c>
      <c r="H2881" s="77" t="s">
        <v>153</v>
      </c>
      <c r="I2881" s="86">
        <v>41709</v>
      </c>
      <c r="J2881" s="78">
        <v>751</v>
      </c>
      <c r="U2881" s="132" t="s">
        <v>154</v>
      </c>
      <c r="V2881" s="132" t="s">
        <v>296</v>
      </c>
      <c r="W2881" s="132" t="s">
        <v>267</v>
      </c>
      <c r="X2881" s="133">
        <v>41772</v>
      </c>
      <c r="Y2881" s="134">
        <v>954</v>
      </c>
    </row>
    <row r="2882" spans="6:25" x14ac:dyDescent="0.25">
      <c r="F2882" s="76" t="s">
        <v>150</v>
      </c>
      <c r="G2882" s="77" t="s">
        <v>194</v>
      </c>
      <c r="H2882" s="77" t="s">
        <v>153</v>
      </c>
      <c r="I2882" s="86">
        <v>41711</v>
      </c>
      <c r="J2882" s="78">
        <v>487</v>
      </c>
      <c r="U2882" s="132" t="s">
        <v>154</v>
      </c>
      <c r="V2882" s="132" t="s">
        <v>296</v>
      </c>
      <c r="W2882" s="132" t="s">
        <v>267</v>
      </c>
      <c r="X2882" s="133">
        <v>41772</v>
      </c>
      <c r="Y2882" s="134">
        <v>721</v>
      </c>
    </row>
    <row r="2883" spans="6:25" x14ac:dyDescent="0.25">
      <c r="F2883" s="76" t="s">
        <v>150</v>
      </c>
      <c r="G2883" s="77" t="s">
        <v>194</v>
      </c>
      <c r="H2883" s="77" t="s">
        <v>153</v>
      </c>
      <c r="I2883" s="86">
        <v>41711</v>
      </c>
      <c r="J2883" s="78">
        <v>774</v>
      </c>
      <c r="U2883" s="132" t="s">
        <v>154</v>
      </c>
      <c r="V2883" s="132" t="s">
        <v>296</v>
      </c>
      <c r="W2883" s="132" t="s">
        <v>267</v>
      </c>
      <c r="X2883" s="133">
        <v>41773</v>
      </c>
      <c r="Y2883" s="134">
        <v>1005</v>
      </c>
    </row>
    <row r="2884" spans="6:25" x14ac:dyDescent="0.25">
      <c r="F2884" s="76" t="s">
        <v>150</v>
      </c>
      <c r="G2884" s="77" t="s">
        <v>194</v>
      </c>
      <c r="H2884" s="77" t="s">
        <v>153</v>
      </c>
      <c r="I2884" s="86">
        <v>41712</v>
      </c>
      <c r="J2884" s="78">
        <v>761</v>
      </c>
      <c r="U2884" s="132" t="s">
        <v>154</v>
      </c>
      <c r="V2884" s="132" t="s">
        <v>296</v>
      </c>
      <c r="W2884" s="132" t="s">
        <v>267</v>
      </c>
      <c r="X2884" s="133">
        <v>41774</v>
      </c>
      <c r="Y2884" s="134">
        <v>1153</v>
      </c>
    </row>
    <row r="2885" spans="6:25" x14ac:dyDescent="0.25">
      <c r="F2885" s="76" t="s">
        <v>150</v>
      </c>
      <c r="G2885" s="77" t="s">
        <v>194</v>
      </c>
      <c r="H2885" s="77" t="s">
        <v>153</v>
      </c>
      <c r="I2885" s="86">
        <v>41713</v>
      </c>
      <c r="J2885" s="78">
        <v>493</v>
      </c>
      <c r="U2885" s="132" t="s">
        <v>154</v>
      </c>
      <c r="V2885" s="132" t="s">
        <v>296</v>
      </c>
      <c r="W2885" s="132" t="s">
        <v>267</v>
      </c>
      <c r="X2885" s="133">
        <v>41775</v>
      </c>
      <c r="Y2885" s="134">
        <v>566</v>
      </c>
    </row>
    <row r="2886" spans="6:25" x14ac:dyDescent="0.25">
      <c r="F2886" s="76" t="s">
        <v>150</v>
      </c>
      <c r="G2886" s="77" t="s">
        <v>194</v>
      </c>
      <c r="H2886" s="77" t="s">
        <v>153</v>
      </c>
      <c r="I2886" s="86">
        <v>41714</v>
      </c>
      <c r="J2886" s="78">
        <v>548</v>
      </c>
      <c r="U2886" s="132" t="s">
        <v>154</v>
      </c>
      <c r="V2886" s="132" t="s">
        <v>296</v>
      </c>
      <c r="W2886" s="132" t="s">
        <v>267</v>
      </c>
      <c r="X2886" s="133">
        <v>41775</v>
      </c>
      <c r="Y2886" s="134">
        <v>721</v>
      </c>
    </row>
    <row r="2887" spans="6:25" x14ac:dyDescent="0.25">
      <c r="F2887" s="76" t="s">
        <v>150</v>
      </c>
      <c r="G2887" s="77" t="s">
        <v>194</v>
      </c>
      <c r="H2887" s="77" t="s">
        <v>153</v>
      </c>
      <c r="I2887" s="86">
        <v>41715</v>
      </c>
      <c r="J2887" s="78">
        <v>817</v>
      </c>
      <c r="U2887" s="132" t="s">
        <v>154</v>
      </c>
      <c r="V2887" s="132" t="s">
        <v>296</v>
      </c>
      <c r="W2887" s="132" t="s">
        <v>267</v>
      </c>
      <c r="X2887" s="133">
        <v>41776</v>
      </c>
      <c r="Y2887" s="134">
        <v>470</v>
      </c>
    </row>
    <row r="2888" spans="6:25" x14ac:dyDescent="0.25">
      <c r="F2888" s="76" t="s">
        <v>150</v>
      </c>
      <c r="G2888" s="77" t="s">
        <v>194</v>
      </c>
      <c r="H2888" s="77" t="s">
        <v>153</v>
      </c>
      <c r="I2888" s="86">
        <v>41716</v>
      </c>
      <c r="J2888" s="78">
        <v>612</v>
      </c>
      <c r="U2888" s="132" t="s">
        <v>154</v>
      </c>
      <c r="V2888" s="132" t="s">
        <v>296</v>
      </c>
      <c r="W2888" s="132" t="s">
        <v>267</v>
      </c>
      <c r="X2888" s="133">
        <v>41777</v>
      </c>
      <c r="Y2888" s="134">
        <v>818</v>
      </c>
    </row>
    <row r="2889" spans="6:25" x14ac:dyDescent="0.25">
      <c r="F2889" s="76" t="s">
        <v>150</v>
      </c>
      <c r="G2889" s="77" t="s">
        <v>194</v>
      </c>
      <c r="H2889" s="77" t="s">
        <v>153</v>
      </c>
      <c r="I2889" s="86">
        <v>41717</v>
      </c>
      <c r="J2889" s="78">
        <v>672</v>
      </c>
      <c r="U2889" s="132" t="s">
        <v>154</v>
      </c>
      <c r="V2889" s="132" t="s">
        <v>296</v>
      </c>
      <c r="W2889" s="132" t="s">
        <v>267</v>
      </c>
      <c r="X2889" s="133">
        <v>41777</v>
      </c>
      <c r="Y2889" s="134">
        <v>513</v>
      </c>
    </row>
    <row r="2890" spans="6:25" x14ac:dyDescent="0.25">
      <c r="F2890" s="76" t="s">
        <v>150</v>
      </c>
      <c r="G2890" s="77" t="s">
        <v>194</v>
      </c>
      <c r="H2890" s="77" t="s">
        <v>153</v>
      </c>
      <c r="I2890" s="86">
        <v>41718</v>
      </c>
      <c r="J2890" s="78">
        <v>662</v>
      </c>
      <c r="U2890" s="132" t="s">
        <v>154</v>
      </c>
      <c r="V2890" s="132" t="s">
        <v>296</v>
      </c>
      <c r="W2890" s="132" t="s">
        <v>267</v>
      </c>
      <c r="X2890" s="133">
        <v>41777</v>
      </c>
      <c r="Y2890" s="134">
        <v>261</v>
      </c>
    </row>
    <row r="2891" spans="6:25" x14ac:dyDescent="0.25">
      <c r="F2891" s="76" t="s">
        <v>150</v>
      </c>
      <c r="G2891" s="77" t="s">
        <v>194</v>
      </c>
      <c r="H2891" s="77" t="s">
        <v>153</v>
      </c>
      <c r="I2891" s="86">
        <v>41719</v>
      </c>
      <c r="J2891" s="78">
        <v>865</v>
      </c>
      <c r="U2891" s="132" t="s">
        <v>154</v>
      </c>
      <c r="V2891" s="132" t="s">
        <v>296</v>
      </c>
      <c r="W2891" s="132" t="s">
        <v>267</v>
      </c>
      <c r="X2891" s="133">
        <v>41778</v>
      </c>
      <c r="Y2891" s="134">
        <v>685</v>
      </c>
    </row>
    <row r="2892" spans="6:25" x14ac:dyDescent="0.25">
      <c r="F2892" s="76" t="s">
        <v>150</v>
      </c>
      <c r="G2892" s="77" t="s">
        <v>194</v>
      </c>
      <c r="H2892" s="77" t="s">
        <v>153</v>
      </c>
      <c r="I2892" s="86">
        <v>41720</v>
      </c>
      <c r="J2892" s="78">
        <v>300</v>
      </c>
      <c r="U2892" s="132" t="s">
        <v>154</v>
      </c>
      <c r="V2892" s="132" t="s">
        <v>296</v>
      </c>
      <c r="W2892" s="132" t="s">
        <v>267</v>
      </c>
      <c r="X2892" s="133">
        <v>41778</v>
      </c>
      <c r="Y2892" s="134">
        <v>646</v>
      </c>
    </row>
    <row r="2893" spans="6:25" x14ac:dyDescent="0.25">
      <c r="F2893" s="76" t="s">
        <v>150</v>
      </c>
      <c r="G2893" s="77" t="s">
        <v>194</v>
      </c>
      <c r="H2893" s="77" t="s">
        <v>153</v>
      </c>
      <c r="I2893" s="86">
        <v>41722</v>
      </c>
      <c r="J2893" s="78">
        <v>1209</v>
      </c>
      <c r="U2893" s="132" t="s">
        <v>154</v>
      </c>
      <c r="V2893" s="132" t="s">
        <v>296</v>
      </c>
      <c r="W2893" s="132" t="s">
        <v>267</v>
      </c>
      <c r="X2893" s="133">
        <v>41779</v>
      </c>
      <c r="Y2893" s="134">
        <v>684</v>
      </c>
    </row>
    <row r="2894" spans="6:25" x14ac:dyDescent="0.25">
      <c r="F2894" s="76" t="s">
        <v>150</v>
      </c>
      <c r="G2894" s="77" t="s">
        <v>194</v>
      </c>
      <c r="H2894" s="77" t="s">
        <v>153</v>
      </c>
      <c r="I2894" s="86">
        <v>41723</v>
      </c>
      <c r="J2894" s="78">
        <v>591</v>
      </c>
      <c r="U2894" s="132" t="s">
        <v>154</v>
      </c>
      <c r="V2894" s="132" t="s">
        <v>296</v>
      </c>
      <c r="W2894" s="132" t="s">
        <v>267</v>
      </c>
      <c r="X2894" s="133">
        <v>41780</v>
      </c>
      <c r="Y2894" s="134">
        <v>330</v>
      </c>
    </row>
    <row r="2895" spans="6:25" x14ac:dyDescent="0.25">
      <c r="F2895" s="76" t="s">
        <v>150</v>
      </c>
      <c r="G2895" s="77" t="s">
        <v>194</v>
      </c>
      <c r="H2895" s="77" t="s">
        <v>153</v>
      </c>
      <c r="I2895" s="86">
        <v>41724</v>
      </c>
      <c r="J2895" s="78">
        <v>831</v>
      </c>
      <c r="U2895" s="132" t="s">
        <v>154</v>
      </c>
      <c r="V2895" s="132" t="s">
        <v>296</v>
      </c>
      <c r="W2895" s="132" t="s">
        <v>267</v>
      </c>
      <c r="X2895" s="133">
        <v>41780</v>
      </c>
      <c r="Y2895" s="134">
        <v>665</v>
      </c>
    </row>
    <row r="2896" spans="6:25" x14ac:dyDescent="0.25">
      <c r="F2896" s="76" t="s">
        <v>150</v>
      </c>
      <c r="G2896" s="77" t="s">
        <v>194</v>
      </c>
      <c r="H2896" s="77" t="s">
        <v>153</v>
      </c>
      <c r="I2896" s="86">
        <v>41725</v>
      </c>
      <c r="J2896" s="78">
        <v>609</v>
      </c>
      <c r="U2896" s="132" t="s">
        <v>154</v>
      </c>
      <c r="V2896" s="132" t="s">
        <v>296</v>
      </c>
      <c r="W2896" s="132" t="s">
        <v>267</v>
      </c>
      <c r="X2896" s="133">
        <v>41781</v>
      </c>
      <c r="Y2896" s="134">
        <v>333</v>
      </c>
    </row>
    <row r="2897" spans="6:25" x14ac:dyDescent="0.25">
      <c r="F2897" s="76" t="s">
        <v>150</v>
      </c>
      <c r="G2897" s="77" t="s">
        <v>194</v>
      </c>
      <c r="H2897" s="77" t="s">
        <v>153</v>
      </c>
      <c r="I2897" s="86">
        <v>41726</v>
      </c>
      <c r="J2897" s="78">
        <v>718</v>
      </c>
      <c r="U2897" s="132" t="s">
        <v>154</v>
      </c>
      <c r="V2897" s="132" t="s">
        <v>296</v>
      </c>
      <c r="W2897" s="132" t="s">
        <v>267</v>
      </c>
      <c r="X2897" s="133">
        <v>41781</v>
      </c>
      <c r="Y2897" s="134">
        <v>685</v>
      </c>
    </row>
    <row r="2898" spans="6:25" x14ac:dyDescent="0.25">
      <c r="F2898" s="76" t="s">
        <v>150</v>
      </c>
      <c r="G2898" s="77" t="s">
        <v>194</v>
      </c>
      <c r="H2898" s="77" t="s">
        <v>153</v>
      </c>
      <c r="I2898" s="86">
        <v>41727</v>
      </c>
      <c r="J2898" s="78">
        <v>534</v>
      </c>
      <c r="U2898" s="132" t="s">
        <v>154</v>
      </c>
      <c r="V2898" s="132" t="s">
        <v>296</v>
      </c>
      <c r="W2898" s="132" t="s">
        <v>267</v>
      </c>
      <c r="X2898" s="133">
        <v>41782</v>
      </c>
      <c r="Y2898" s="134">
        <v>683</v>
      </c>
    </row>
    <row r="2899" spans="6:25" x14ac:dyDescent="0.25">
      <c r="F2899" s="76" t="s">
        <v>150</v>
      </c>
      <c r="G2899" s="77" t="s">
        <v>194</v>
      </c>
      <c r="H2899" s="77" t="s">
        <v>153</v>
      </c>
      <c r="I2899" s="86">
        <v>41728</v>
      </c>
      <c r="J2899" s="78">
        <v>421</v>
      </c>
      <c r="U2899" s="132" t="s">
        <v>154</v>
      </c>
      <c r="V2899" s="132" t="s">
        <v>296</v>
      </c>
      <c r="W2899" s="132" t="s">
        <v>267</v>
      </c>
      <c r="X2899" s="133">
        <v>41784</v>
      </c>
      <c r="Y2899" s="134">
        <v>625</v>
      </c>
    </row>
    <row r="2900" spans="6:25" x14ac:dyDescent="0.25">
      <c r="F2900" s="76" t="s">
        <v>150</v>
      </c>
      <c r="G2900" s="77" t="s">
        <v>194</v>
      </c>
      <c r="H2900" s="77" t="s">
        <v>153</v>
      </c>
      <c r="I2900" s="86">
        <v>41733</v>
      </c>
      <c r="J2900" s="78">
        <v>1041</v>
      </c>
      <c r="U2900" s="132" t="s">
        <v>154</v>
      </c>
      <c r="V2900" s="132" t="s">
        <v>296</v>
      </c>
      <c r="W2900" s="132" t="s">
        <v>267</v>
      </c>
      <c r="X2900" s="133">
        <v>41785</v>
      </c>
      <c r="Y2900" s="134">
        <v>775</v>
      </c>
    </row>
    <row r="2901" spans="6:25" x14ac:dyDescent="0.25">
      <c r="F2901" s="76" t="s">
        <v>150</v>
      </c>
      <c r="G2901" s="77" t="s">
        <v>194</v>
      </c>
      <c r="H2901" s="77" t="s">
        <v>153</v>
      </c>
      <c r="I2901" s="86">
        <v>41738</v>
      </c>
      <c r="J2901" s="78">
        <v>228</v>
      </c>
      <c r="U2901" s="132" t="s">
        <v>154</v>
      </c>
      <c r="V2901" s="132" t="s">
        <v>296</v>
      </c>
      <c r="W2901" s="132" t="s">
        <v>267</v>
      </c>
      <c r="X2901" s="133">
        <v>41786</v>
      </c>
      <c r="Y2901" s="134">
        <v>876</v>
      </c>
    </row>
    <row r="2902" spans="6:25" x14ac:dyDescent="0.25">
      <c r="F2902" s="76" t="s">
        <v>150</v>
      </c>
      <c r="G2902" s="77" t="s">
        <v>194</v>
      </c>
      <c r="H2902" s="77" t="s">
        <v>153</v>
      </c>
      <c r="I2902" s="86">
        <v>41738</v>
      </c>
      <c r="J2902" s="78">
        <v>1045</v>
      </c>
      <c r="U2902" s="132" t="s">
        <v>154</v>
      </c>
      <c r="V2902" s="132" t="s">
        <v>296</v>
      </c>
      <c r="W2902" s="132" t="s">
        <v>267</v>
      </c>
      <c r="X2902" s="133">
        <v>41786</v>
      </c>
      <c r="Y2902" s="134">
        <v>755</v>
      </c>
    </row>
    <row r="2903" spans="6:25" x14ac:dyDescent="0.25">
      <c r="F2903" s="76" t="s">
        <v>150</v>
      </c>
      <c r="G2903" s="77" t="s">
        <v>194</v>
      </c>
      <c r="H2903" s="77" t="s">
        <v>153</v>
      </c>
      <c r="I2903" s="86">
        <v>41739</v>
      </c>
      <c r="J2903" s="78">
        <v>614</v>
      </c>
      <c r="U2903" s="132" t="s">
        <v>154</v>
      </c>
      <c r="V2903" s="132" t="s">
        <v>296</v>
      </c>
      <c r="W2903" s="132" t="s">
        <v>267</v>
      </c>
      <c r="X2903" s="133">
        <v>41787</v>
      </c>
      <c r="Y2903" s="134">
        <v>801</v>
      </c>
    </row>
    <row r="2904" spans="6:25" x14ac:dyDescent="0.25">
      <c r="F2904" s="76" t="s">
        <v>150</v>
      </c>
      <c r="G2904" s="77" t="s">
        <v>194</v>
      </c>
      <c r="H2904" s="77" t="s">
        <v>153</v>
      </c>
      <c r="I2904" s="86">
        <v>41740</v>
      </c>
      <c r="J2904" s="78">
        <v>683</v>
      </c>
      <c r="U2904" s="132" t="s">
        <v>154</v>
      </c>
      <c r="V2904" s="132" t="s">
        <v>296</v>
      </c>
      <c r="W2904" s="132" t="s">
        <v>267</v>
      </c>
      <c r="X2904" s="133">
        <v>41788</v>
      </c>
      <c r="Y2904" s="134">
        <v>836</v>
      </c>
    </row>
    <row r="2905" spans="6:25" x14ac:dyDescent="0.25">
      <c r="F2905" s="76" t="s">
        <v>150</v>
      </c>
      <c r="G2905" s="77" t="s">
        <v>194</v>
      </c>
      <c r="H2905" s="77" t="s">
        <v>153</v>
      </c>
      <c r="I2905" s="86">
        <v>41746</v>
      </c>
      <c r="J2905" s="78">
        <v>998</v>
      </c>
      <c r="U2905" s="132" t="s">
        <v>154</v>
      </c>
      <c r="V2905" s="132" t="s">
        <v>296</v>
      </c>
      <c r="W2905" s="132" t="s">
        <v>267</v>
      </c>
      <c r="X2905" s="133">
        <v>41789</v>
      </c>
      <c r="Y2905" s="134">
        <v>797</v>
      </c>
    </row>
    <row r="2906" spans="6:25" x14ac:dyDescent="0.25">
      <c r="F2906" s="76" t="s">
        <v>150</v>
      </c>
      <c r="G2906" s="77" t="s">
        <v>194</v>
      </c>
      <c r="H2906" s="77" t="s">
        <v>153</v>
      </c>
      <c r="I2906" s="86">
        <v>41750</v>
      </c>
      <c r="J2906" s="78">
        <v>792</v>
      </c>
      <c r="U2906" s="132" t="s">
        <v>154</v>
      </c>
      <c r="V2906" s="132" t="s">
        <v>296</v>
      </c>
      <c r="W2906" s="132" t="s">
        <v>267</v>
      </c>
      <c r="X2906" s="133">
        <v>41792</v>
      </c>
      <c r="Y2906" s="134">
        <v>820</v>
      </c>
    </row>
    <row r="2907" spans="6:25" x14ac:dyDescent="0.25">
      <c r="F2907" s="76" t="s">
        <v>150</v>
      </c>
      <c r="G2907" s="77" t="s">
        <v>194</v>
      </c>
      <c r="H2907" s="77" t="s">
        <v>153</v>
      </c>
      <c r="I2907" s="86">
        <v>41752</v>
      </c>
      <c r="J2907" s="78">
        <v>917</v>
      </c>
      <c r="U2907" s="132" t="s">
        <v>154</v>
      </c>
      <c r="V2907" s="132" t="s">
        <v>296</v>
      </c>
      <c r="W2907" s="132" t="s">
        <v>267</v>
      </c>
      <c r="X2907" s="133">
        <v>41821</v>
      </c>
      <c r="Y2907" s="134">
        <v>604</v>
      </c>
    </row>
    <row r="2908" spans="6:25" x14ac:dyDescent="0.25">
      <c r="F2908" s="76" t="s">
        <v>150</v>
      </c>
      <c r="G2908" s="77" t="s">
        <v>194</v>
      </c>
      <c r="H2908" s="77" t="s">
        <v>153</v>
      </c>
      <c r="I2908" s="86">
        <v>41754</v>
      </c>
      <c r="J2908" s="78">
        <v>1007</v>
      </c>
      <c r="U2908" s="132" t="s">
        <v>154</v>
      </c>
      <c r="V2908" s="132" t="s">
        <v>296</v>
      </c>
      <c r="W2908" s="132" t="s">
        <v>267</v>
      </c>
      <c r="X2908" s="133">
        <v>41911</v>
      </c>
      <c r="Y2908" s="134">
        <v>538</v>
      </c>
    </row>
    <row r="2909" spans="6:25" x14ac:dyDescent="0.25">
      <c r="F2909" s="76" t="s">
        <v>150</v>
      </c>
      <c r="G2909" s="77" t="s">
        <v>194</v>
      </c>
      <c r="H2909" s="77" t="s">
        <v>153</v>
      </c>
      <c r="I2909" s="86">
        <v>41757</v>
      </c>
      <c r="J2909" s="78">
        <v>1027</v>
      </c>
      <c r="U2909" s="132" t="s">
        <v>154</v>
      </c>
      <c r="V2909" s="132" t="s">
        <v>296</v>
      </c>
      <c r="W2909" s="132" t="s">
        <v>267</v>
      </c>
      <c r="X2909" s="133">
        <v>41912</v>
      </c>
      <c r="Y2909" s="134">
        <v>676</v>
      </c>
    </row>
    <row r="2910" spans="6:25" x14ac:dyDescent="0.25">
      <c r="F2910" s="76" t="s">
        <v>150</v>
      </c>
      <c r="G2910" s="77" t="s">
        <v>194</v>
      </c>
      <c r="H2910" s="77" t="s">
        <v>153</v>
      </c>
      <c r="I2910" s="86">
        <v>41758</v>
      </c>
      <c r="J2910" s="78">
        <v>635</v>
      </c>
      <c r="U2910" s="132" t="s">
        <v>154</v>
      </c>
      <c r="V2910" s="132" t="s">
        <v>296</v>
      </c>
      <c r="W2910" s="132" t="s">
        <v>267</v>
      </c>
      <c r="X2910" s="133">
        <v>41913</v>
      </c>
      <c r="Y2910" s="134">
        <v>595</v>
      </c>
    </row>
    <row r="2911" spans="6:25" x14ac:dyDescent="0.25">
      <c r="F2911" s="76" t="s">
        <v>150</v>
      </c>
      <c r="G2911" s="77" t="s">
        <v>194</v>
      </c>
      <c r="H2911" s="77" t="s">
        <v>153</v>
      </c>
      <c r="I2911" s="86">
        <v>41758</v>
      </c>
      <c r="J2911" s="78">
        <v>367</v>
      </c>
      <c r="U2911" s="132" t="s">
        <v>154</v>
      </c>
      <c r="V2911" s="132" t="s">
        <v>296</v>
      </c>
      <c r="W2911" s="132" t="s">
        <v>267</v>
      </c>
      <c r="X2911" s="133">
        <v>41913</v>
      </c>
      <c r="Y2911" s="134">
        <v>639</v>
      </c>
    </row>
    <row r="2912" spans="6:25" x14ac:dyDescent="0.25">
      <c r="F2912" s="76" t="s">
        <v>150</v>
      </c>
      <c r="G2912" s="77" t="s">
        <v>194</v>
      </c>
      <c r="H2912" s="77" t="s">
        <v>153</v>
      </c>
      <c r="I2912" s="86">
        <v>41811</v>
      </c>
      <c r="J2912" s="78">
        <v>501</v>
      </c>
      <c r="U2912" s="132" t="s">
        <v>154</v>
      </c>
      <c r="V2912" s="132" t="s">
        <v>296</v>
      </c>
      <c r="W2912" s="132" t="s">
        <v>267</v>
      </c>
      <c r="X2912" s="133">
        <v>41914</v>
      </c>
      <c r="Y2912" s="134">
        <v>814</v>
      </c>
    </row>
    <row r="2913" spans="6:25" x14ac:dyDescent="0.25">
      <c r="F2913" s="76" t="s">
        <v>150</v>
      </c>
      <c r="G2913" s="77" t="s">
        <v>194</v>
      </c>
      <c r="H2913" s="77" t="s">
        <v>153</v>
      </c>
      <c r="I2913" s="86">
        <v>41823</v>
      </c>
      <c r="J2913" s="78">
        <v>1351</v>
      </c>
      <c r="U2913" s="132" t="s">
        <v>154</v>
      </c>
      <c r="V2913" s="132" t="s">
        <v>297</v>
      </c>
      <c r="W2913" s="132" t="s">
        <v>267</v>
      </c>
      <c r="X2913" s="133">
        <v>41795</v>
      </c>
      <c r="Y2913" s="134">
        <v>448</v>
      </c>
    </row>
    <row r="2914" spans="6:25" x14ac:dyDescent="0.25">
      <c r="F2914" s="76" t="s">
        <v>150</v>
      </c>
      <c r="G2914" s="77" t="s">
        <v>194</v>
      </c>
      <c r="H2914" s="77" t="s">
        <v>153</v>
      </c>
      <c r="I2914" s="86">
        <v>41823</v>
      </c>
      <c r="J2914" s="78">
        <v>1170</v>
      </c>
      <c r="U2914" s="132" t="s">
        <v>154</v>
      </c>
      <c r="V2914" s="132" t="s">
        <v>297</v>
      </c>
      <c r="W2914" s="132" t="s">
        <v>267</v>
      </c>
      <c r="X2914" s="133">
        <v>41795</v>
      </c>
      <c r="Y2914" s="134">
        <v>791</v>
      </c>
    </row>
    <row r="2915" spans="6:25" x14ac:dyDescent="0.25">
      <c r="F2915" s="76" t="s">
        <v>150</v>
      </c>
      <c r="G2915" s="77" t="s">
        <v>194</v>
      </c>
      <c r="H2915" s="77" t="s">
        <v>153</v>
      </c>
      <c r="I2915" s="86">
        <v>41824</v>
      </c>
      <c r="J2915" s="78">
        <v>984</v>
      </c>
      <c r="U2915" s="132" t="s">
        <v>154</v>
      </c>
      <c r="V2915" s="132" t="s">
        <v>297</v>
      </c>
      <c r="W2915" s="132" t="s">
        <v>267</v>
      </c>
      <c r="X2915" s="133">
        <v>41796</v>
      </c>
      <c r="Y2915" s="134">
        <v>1035</v>
      </c>
    </row>
    <row r="2916" spans="6:25" x14ac:dyDescent="0.25">
      <c r="F2916" s="76" t="s">
        <v>150</v>
      </c>
      <c r="G2916" s="77" t="s">
        <v>194</v>
      </c>
      <c r="H2916" s="77" t="s">
        <v>153</v>
      </c>
      <c r="I2916" s="86">
        <v>41825</v>
      </c>
      <c r="J2916" s="78">
        <v>1345</v>
      </c>
      <c r="U2916" s="132" t="s">
        <v>154</v>
      </c>
      <c r="V2916" s="132" t="s">
        <v>297</v>
      </c>
      <c r="W2916" s="132" t="s">
        <v>267</v>
      </c>
      <c r="X2916" s="133">
        <v>41797</v>
      </c>
      <c r="Y2916" s="134">
        <v>529</v>
      </c>
    </row>
    <row r="2917" spans="6:25" x14ac:dyDescent="0.25">
      <c r="F2917" s="76" t="s">
        <v>150</v>
      </c>
      <c r="G2917" s="77" t="s">
        <v>194</v>
      </c>
      <c r="H2917" s="77" t="s">
        <v>153</v>
      </c>
      <c r="I2917" s="86">
        <v>41826</v>
      </c>
      <c r="J2917" s="78">
        <v>1273</v>
      </c>
      <c r="U2917" s="132" t="s">
        <v>154</v>
      </c>
      <c r="V2917" s="132" t="s">
        <v>297</v>
      </c>
      <c r="W2917" s="132" t="s">
        <v>267</v>
      </c>
      <c r="X2917" s="133">
        <v>41797</v>
      </c>
      <c r="Y2917" s="134">
        <v>826</v>
      </c>
    </row>
    <row r="2918" spans="6:25" x14ac:dyDescent="0.25">
      <c r="F2918" s="76" t="s">
        <v>150</v>
      </c>
      <c r="G2918" s="77" t="s">
        <v>194</v>
      </c>
      <c r="H2918" s="77" t="s">
        <v>153</v>
      </c>
      <c r="I2918" s="86">
        <v>41828</v>
      </c>
      <c r="J2918" s="78">
        <v>1248</v>
      </c>
      <c r="U2918" s="132" t="s">
        <v>154</v>
      </c>
      <c r="V2918" s="132" t="s">
        <v>297</v>
      </c>
      <c r="W2918" s="132" t="s">
        <v>267</v>
      </c>
      <c r="X2918" s="133">
        <v>41798</v>
      </c>
      <c r="Y2918" s="134">
        <v>794</v>
      </c>
    </row>
    <row r="2919" spans="6:25" x14ac:dyDescent="0.25">
      <c r="F2919" s="76" t="s">
        <v>150</v>
      </c>
      <c r="G2919" s="77" t="s">
        <v>194</v>
      </c>
      <c r="H2919" s="77" t="s">
        <v>153</v>
      </c>
      <c r="I2919" s="86">
        <v>41833</v>
      </c>
      <c r="J2919" s="78">
        <v>955</v>
      </c>
      <c r="U2919" s="132" t="s">
        <v>154</v>
      </c>
      <c r="V2919" s="132" t="s">
        <v>297</v>
      </c>
      <c r="W2919" s="132" t="s">
        <v>267</v>
      </c>
      <c r="X2919" s="133">
        <v>41798</v>
      </c>
      <c r="Y2919" s="134">
        <v>830</v>
      </c>
    </row>
    <row r="2920" spans="6:25" x14ac:dyDescent="0.25">
      <c r="F2920" s="76" t="s">
        <v>150</v>
      </c>
      <c r="G2920" s="77" t="s">
        <v>194</v>
      </c>
      <c r="H2920" s="77" t="s">
        <v>153</v>
      </c>
      <c r="I2920" s="86">
        <v>41834</v>
      </c>
      <c r="J2920" s="78">
        <v>608</v>
      </c>
      <c r="U2920" s="132" t="s">
        <v>154</v>
      </c>
      <c r="V2920" s="132" t="s">
        <v>297</v>
      </c>
      <c r="W2920" s="132" t="s">
        <v>267</v>
      </c>
      <c r="X2920" s="133">
        <v>41799</v>
      </c>
      <c r="Y2920" s="134">
        <v>995</v>
      </c>
    </row>
    <row r="2921" spans="6:25" x14ac:dyDescent="0.25">
      <c r="F2921" s="76" t="s">
        <v>150</v>
      </c>
      <c r="G2921" s="77" t="s">
        <v>194</v>
      </c>
      <c r="H2921" s="77" t="s">
        <v>153</v>
      </c>
      <c r="I2921" s="86">
        <v>41836</v>
      </c>
      <c r="J2921" s="78">
        <v>1362</v>
      </c>
      <c r="U2921" s="132" t="s">
        <v>154</v>
      </c>
      <c r="V2921" s="132" t="s">
        <v>297</v>
      </c>
      <c r="W2921" s="132" t="s">
        <v>267</v>
      </c>
      <c r="X2921" s="133">
        <v>41800</v>
      </c>
      <c r="Y2921" s="134">
        <v>821</v>
      </c>
    </row>
    <row r="2922" spans="6:25" x14ac:dyDescent="0.25">
      <c r="F2922" s="76" t="s">
        <v>150</v>
      </c>
      <c r="G2922" s="77" t="s">
        <v>194</v>
      </c>
      <c r="H2922" s="77" t="s">
        <v>153</v>
      </c>
      <c r="I2922" s="86">
        <v>41837</v>
      </c>
      <c r="J2922" s="78">
        <v>481</v>
      </c>
      <c r="U2922" s="132" t="s">
        <v>154</v>
      </c>
      <c r="V2922" s="132" t="s">
        <v>297</v>
      </c>
      <c r="W2922" s="132" t="s">
        <v>267</v>
      </c>
      <c r="X2922" s="133">
        <v>41801</v>
      </c>
      <c r="Y2922" s="134">
        <v>1080</v>
      </c>
    </row>
    <row r="2923" spans="6:25" x14ac:dyDescent="0.25">
      <c r="F2923" s="76" t="s">
        <v>150</v>
      </c>
      <c r="G2923" s="77" t="s">
        <v>194</v>
      </c>
      <c r="H2923" s="77" t="s">
        <v>153</v>
      </c>
      <c r="I2923" s="86">
        <v>41839</v>
      </c>
      <c r="J2923" s="78">
        <v>1189</v>
      </c>
      <c r="U2923" s="132" t="s">
        <v>154</v>
      </c>
      <c r="V2923" s="132" t="s">
        <v>297</v>
      </c>
      <c r="W2923" s="132" t="s">
        <v>267</v>
      </c>
      <c r="X2923" s="133">
        <v>41802</v>
      </c>
      <c r="Y2923" s="134">
        <v>551</v>
      </c>
    </row>
    <row r="2924" spans="6:25" x14ac:dyDescent="0.25">
      <c r="F2924" s="76" t="s">
        <v>150</v>
      </c>
      <c r="G2924" s="77" t="s">
        <v>194</v>
      </c>
      <c r="H2924" s="77" t="s">
        <v>153</v>
      </c>
      <c r="I2924" s="86">
        <v>41840</v>
      </c>
      <c r="J2924" s="78">
        <v>732</v>
      </c>
      <c r="U2924" s="132" t="s">
        <v>154</v>
      </c>
      <c r="V2924" s="132" t="s">
        <v>297</v>
      </c>
      <c r="W2924" s="132" t="s">
        <v>267</v>
      </c>
      <c r="X2924" s="133">
        <v>41803</v>
      </c>
      <c r="Y2924" s="134">
        <v>602</v>
      </c>
    </row>
    <row r="2925" spans="6:25" x14ac:dyDescent="0.25">
      <c r="F2925" s="76" t="s">
        <v>150</v>
      </c>
      <c r="G2925" s="77" t="s">
        <v>194</v>
      </c>
      <c r="H2925" s="77" t="s">
        <v>153</v>
      </c>
      <c r="I2925" s="86">
        <v>41840</v>
      </c>
      <c r="J2925" s="78">
        <v>946</v>
      </c>
      <c r="U2925" s="132" t="s">
        <v>154</v>
      </c>
      <c r="V2925" s="132" t="s">
        <v>297</v>
      </c>
      <c r="W2925" s="132" t="s">
        <v>267</v>
      </c>
      <c r="X2925" s="133">
        <v>41803</v>
      </c>
      <c r="Y2925" s="134">
        <v>766</v>
      </c>
    </row>
    <row r="2926" spans="6:25" x14ac:dyDescent="0.25">
      <c r="F2926" s="76" t="s">
        <v>150</v>
      </c>
      <c r="G2926" s="77" t="s">
        <v>194</v>
      </c>
      <c r="H2926" s="77" t="s">
        <v>153</v>
      </c>
      <c r="I2926" s="86">
        <v>41841</v>
      </c>
      <c r="J2926" s="78">
        <v>1212</v>
      </c>
      <c r="U2926" s="132" t="s">
        <v>154</v>
      </c>
      <c r="V2926" s="132" t="s">
        <v>297</v>
      </c>
      <c r="W2926" s="132" t="s">
        <v>267</v>
      </c>
      <c r="X2926" s="133">
        <v>41806</v>
      </c>
      <c r="Y2926" s="134">
        <v>520</v>
      </c>
    </row>
    <row r="2927" spans="6:25" x14ac:dyDescent="0.25">
      <c r="F2927" s="76" t="s">
        <v>150</v>
      </c>
      <c r="G2927" s="77" t="s">
        <v>194</v>
      </c>
      <c r="H2927" s="77" t="s">
        <v>153</v>
      </c>
      <c r="I2927" s="86">
        <v>41842</v>
      </c>
      <c r="J2927" s="78">
        <v>1232</v>
      </c>
      <c r="U2927" s="132" t="s">
        <v>154</v>
      </c>
      <c r="V2927" s="132" t="s">
        <v>297</v>
      </c>
      <c r="W2927" s="132" t="s">
        <v>267</v>
      </c>
      <c r="X2927" s="133">
        <v>41807</v>
      </c>
      <c r="Y2927" s="134">
        <v>810</v>
      </c>
    </row>
    <row r="2928" spans="6:25" x14ac:dyDescent="0.25">
      <c r="F2928" s="76" t="s">
        <v>150</v>
      </c>
      <c r="G2928" s="77" t="s">
        <v>194</v>
      </c>
      <c r="H2928" s="77" t="s">
        <v>153</v>
      </c>
      <c r="I2928" s="86">
        <v>41844</v>
      </c>
      <c r="J2928" s="78">
        <v>1311</v>
      </c>
      <c r="U2928" s="132" t="s">
        <v>154</v>
      </c>
      <c r="V2928" s="132" t="s">
        <v>297</v>
      </c>
      <c r="W2928" s="132" t="s">
        <v>267</v>
      </c>
      <c r="X2928" s="133">
        <v>41808</v>
      </c>
      <c r="Y2928" s="134">
        <v>872</v>
      </c>
    </row>
    <row r="2929" spans="6:25" x14ac:dyDescent="0.25">
      <c r="F2929" s="76" t="s">
        <v>150</v>
      </c>
      <c r="G2929" s="77" t="s">
        <v>194</v>
      </c>
      <c r="H2929" s="77" t="s">
        <v>153</v>
      </c>
      <c r="I2929" s="86">
        <v>41845</v>
      </c>
      <c r="J2929" s="78">
        <v>877</v>
      </c>
      <c r="U2929" s="132" t="s">
        <v>154</v>
      </c>
      <c r="V2929" s="132" t="s">
        <v>297</v>
      </c>
      <c r="W2929" s="132" t="s">
        <v>267</v>
      </c>
      <c r="X2929" s="133">
        <v>41808</v>
      </c>
      <c r="Y2929" s="134">
        <v>715</v>
      </c>
    </row>
    <row r="2930" spans="6:25" x14ac:dyDescent="0.25">
      <c r="F2930" s="76" t="s">
        <v>150</v>
      </c>
      <c r="G2930" s="77" t="s">
        <v>194</v>
      </c>
      <c r="H2930" s="77" t="s">
        <v>153</v>
      </c>
      <c r="I2930" s="86">
        <v>41846</v>
      </c>
      <c r="J2930" s="78">
        <v>988</v>
      </c>
      <c r="U2930" s="132" t="s">
        <v>154</v>
      </c>
      <c r="V2930" s="132" t="s">
        <v>297</v>
      </c>
      <c r="W2930" s="132" t="s">
        <v>267</v>
      </c>
      <c r="X2930" s="133">
        <v>41809</v>
      </c>
      <c r="Y2930" s="134">
        <v>482</v>
      </c>
    </row>
    <row r="2931" spans="6:25" x14ac:dyDescent="0.25">
      <c r="F2931" s="76" t="s">
        <v>150</v>
      </c>
      <c r="G2931" s="77" t="s">
        <v>194</v>
      </c>
      <c r="H2931" s="77" t="s">
        <v>153</v>
      </c>
      <c r="I2931" s="86">
        <v>41846</v>
      </c>
      <c r="J2931" s="78">
        <v>527</v>
      </c>
      <c r="U2931" s="132" t="s">
        <v>154</v>
      </c>
      <c r="V2931" s="132" t="s">
        <v>297</v>
      </c>
      <c r="W2931" s="132" t="s">
        <v>267</v>
      </c>
      <c r="X2931" s="133">
        <v>41810</v>
      </c>
      <c r="Y2931" s="134">
        <v>877</v>
      </c>
    </row>
    <row r="2932" spans="6:25" x14ac:dyDescent="0.25">
      <c r="F2932" s="76" t="s">
        <v>150</v>
      </c>
      <c r="G2932" s="77" t="s">
        <v>194</v>
      </c>
      <c r="H2932" s="77" t="s">
        <v>153</v>
      </c>
      <c r="I2932" s="86">
        <v>41847</v>
      </c>
      <c r="J2932" s="78">
        <v>969</v>
      </c>
      <c r="U2932" s="132" t="s">
        <v>154</v>
      </c>
      <c r="V2932" s="132" t="s">
        <v>297</v>
      </c>
      <c r="W2932" s="132" t="s">
        <v>267</v>
      </c>
      <c r="X2932" s="133">
        <v>41810</v>
      </c>
      <c r="Y2932" s="134">
        <v>701</v>
      </c>
    </row>
    <row r="2933" spans="6:25" x14ac:dyDescent="0.25">
      <c r="F2933" s="76" t="s">
        <v>150</v>
      </c>
      <c r="G2933" s="77" t="s">
        <v>194</v>
      </c>
      <c r="H2933" s="77" t="s">
        <v>153</v>
      </c>
      <c r="I2933" s="86">
        <v>41848</v>
      </c>
      <c r="J2933" s="78">
        <v>961</v>
      </c>
      <c r="U2933" s="132" t="s">
        <v>154</v>
      </c>
      <c r="V2933" s="132" t="s">
        <v>297</v>
      </c>
      <c r="W2933" s="132" t="s">
        <v>267</v>
      </c>
      <c r="X2933" s="133">
        <v>41812</v>
      </c>
      <c r="Y2933" s="134">
        <v>566</v>
      </c>
    </row>
    <row r="2934" spans="6:25" x14ac:dyDescent="0.25">
      <c r="F2934" s="76" t="s">
        <v>150</v>
      </c>
      <c r="G2934" s="77" t="s">
        <v>194</v>
      </c>
      <c r="H2934" s="77" t="s">
        <v>153</v>
      </c>
      <c r="I2934" s="86">
        <v>41849</v>
      </c>
      <c r="J2934" s="78">
        <v>787</v>
      </c>
      <c r="U2934" s="132" t="s">
        <v>154</v>
      </c>
      <c r="V2934" s="132" t="s">
        <v>297</v>
      </c>
      <c r="W2934" s="132" t="s">
        <v>267</v>
      </c>
      <c r="X2934" s="133">
        <v>41813</v>
      </c>
      <c r="Y2934" s="134">
        <v>855</v>
      </c>
    </row>
    <row r="2935" spans="6:25" x14ac:dyDescent="0.25">
      <c r="F2935" s="76" t="s">
        <v>150</v>
      </c>
      <c r="G2935" s="77" t="s">
        <v>194</v>
      </c>
      <c r="H2935" s="77" t="s">
        <v>153</v>
      </c>
      <c r="I2935" s="86">
        <v>41851</v>
      </c>
      <c r="J2935" s="78">
        <v>1054</v>
      </c>
      <c r="U2935" s="132" t="s">
        <v>154</v>
      </c>
      <c r="V2935" s="132" t="s">
        <v>297</v>
      </c>
      <c r="W2935" s="132" t="s">
        <v>267</v>
      </c>
      <c r="X2935" s="133">
        <v>41814</v>
      </c>
      <c r="Y2935" s="134">
        <v>1146</v>
      </c>
    </row>
    <row r="2936" spans="6:25" x14ac:dyDescent="0.25">
      <c r="F2936" s="76" t="s">
        <v>150</v>
      </c>
      <c r="G2936" s="77" t="s">
        <v>194</v>
      </c>
      <c r="H2936" s="77" t="s">
        <v>153</v>
      </c>
      <c r="I2936" s="86">
        <v>41852</v>
      </c>
      <c r="J2936" s="78">
        <v>959</v>
      </c>
      <c r="U2936" s="132" t="s">
        <v>154</v>
      </c>
      <c r="V2936" s="132" t="s">
        <v>297</v>
      </c>
      <c r="W2936" s="132" t="s">
        <v>267</v>
      </c>
      <c r="X2936" s="133">
        <v>41815</v>
      </c>
      <c r="Y2936" s="134">
        <v>915</v>
      </c>
    </row>
    <row r="2937" spans="6:25" x14ac:dyDescent="0.25">
      <c r="F2937" s="76" t="s">
        <v>150</v>
      </c>
      <c r="G2937" s="77" t="s">
        <v>194</v>
      </c>
      <c r="H2937" s="77" t="s">
        <v>153</v>
      </c>
      <c r="I2937" s="86">
        <v>41856</v>
      </c>
      <c r="J2937" s="78">
        <v>1092</v>
      </c>
      <c r="U2937" s="132" t="s">
        <v>154</v>
      </c>
      <c r="V2937" s="132" t="s">
        <v>297</v>
      </c>
      <c r="W2937" s="132" t="s">
        <v>267</v>
      </c>
      <c r="X2937" s="133">
        <v>41824</v>
      </c>
      <c r="Y2937" s="134">
        <v>886</v>
      </c>
    </row>
    <row r="2938" spans="6:25" x14ac:dyDescent="0.25">
      <c r="F2938" s="76" t="s">
        <v>150</v>
      </c>
      <c r="G2938" s="77" t="s">
        <v>194</v>
      </c>
      <c r="H2938" s="77" t="s">
        <v>153</v>
      </c>
      <c r="I2938" s="86">
        <v>41864</v>
      </c>
      <c r="J2938" s="78">
        <v>1171</v>
      </c>
      <c r="U2938" s="132" t="s">
        <v>154</v>
      </c>
      <c r="V2938" s="132" t="s">
        <v>297</v>
      </c>
      <c r="W2938" s="132" t="s">
        <v>267</v>
      </c>
      <c r="X2938" s="133">
        <v>41827</v>
      </c>
      <c r="Y2938" s="134">
        <v>845</v>
      </c>
    </row>
    <row r="2939" spans="6:25" x14ac:dyDescent="0.25">
      <c r="F2939" s="76" t="s">
        <v>150</v>
      </c>
      <c r="G2939" s="77" t="s">
        <v>194</v>
      </c>
      <c r="H2939" s="77" t="s">
        <v>153</v>
      </c>
      <c r="I2939" s="86">
        <v>41865</v>
      </c>
      <c r="J2939" s="78">
        <v>676</v>
      </c>
      <c r="U2939" s="132" t="s">
        <v>154</v>
      </c>
      <c r="V2939" s="132" t="s">
        <v>297</v>
      </c>
      <c r="W2939" s="132" t="s">
        <v>267</v>
      </c>
      <c r="X2939" s="133">
        <v>41827</v>
      </c>
      <c r="Y2939" s="134">
        <v>294</v>
      </c>
    </row>
    <row r="2940" spans="6:25" x14ac:dyDescent="0.25">
      <c r="F2940" s="76" t="s">
        <v>150</v>
      </c>
      <c r="G2940" s="77" t="s">
        <v>194</v>
      </c>
      <c r="H2940" s="77" t="s">
        <v>153</v>
      </c>
      <c r="I2940" s="86">
        <v>41865</v>
      </c>
      <c r="J2940" s="78">
        <v>461</v>
      </c>
      <c r="U2940" s="132" t="s">
        <v>154</v>
      </c>
      <c r="V2940" s="132" t="s">
        <v>297</v>
      </c>
      <c r="W2940" s="132" t="s">
        <v>267</v>
      </c>
      <c r="X2940" s="133">
        <v>41828</v>
      </c>
      <c r="Y2940" s="134">
        <v>287</v>
      </c>
    </row>
    <row r="2941" spans="6:25" x14ac:dyDescent="0.25">
      <c r="F2941" s="76" t="s">
        <v>150</v>
      </c>
      <c r="G2941" s="77" t="s">
        <v>194</v>
      </c>
      <c r="H2941" s="77" t="s">
        <v>153</v>
      </c>
      <c r="I2941" s="86">
        <v>41880</v>
      </c>
      <c r="J2941" s="78">
        <v>817</v>
      </c>
      <c r="U2941" s="132" t="s">
        <v>154</v>
      </c>
      <c r="V2941" s="132" t="s">
        <v>297</v>
      </c>
      <c r="W2941" s="132" t="s">
        <v>267</v>
      </c>
      <c r="X2941" s="133">
        <v>41828</v>
      </c>
      <c r="Y2941" s="134">
        <v>790</v>
      </c>
    </row>
    <row r="2942" spans="6:25" x14ac:dyDescent="0.25">
      <c r="F2942" s="76" t="s">
        <v>150</v>
      </c>
      <c r="G2942" s="77" t="s">
        <v>194</v>
      </c>
      <c r="H2942" s="77" t="s">
        <v>153</v>
      </c>
      <c r="I2942" s="86">
        <v>41881</v>
      </c>
      <c r="J2942" s="78">
        <v>946</v>
      </c>
      <c r="U2942" s="132" t="s">
        <v>154</v>
      </c>
      <c r="V2942" s="132" t="s">
        <v>297</v>
      </c>
      <c r="W2942" s="132" t="s">
        <v>267</v>
      </c>
      <c r="X2942" s="133">
        <v>41829</v>
      </c>
      <c r="Y2942" s="134">
        <v>695</v>
      </c>
    </row>
    <row r="2943" spans="6:25" x14ac:dyDescent="0.25">
      <c r="F2943" s="76" t="s">
        <v>150</v>
      </c>
      <c r="G2943" s="77" t="s">
        <v>194</v>
      </c>
      <c r="H2943" s="77" t="s">
        <v>153</v>
      </c>
      <c r="I2943" s="86">
        <v>41914</v>
      </c>
      <c r="J2943" s="78">
        <v>637</v>
      </c>
      <c r="U2943" s="132" t="s">
        <v>154</v>
      </c>
      <c r="V2943" s="132" t="s">
        <v>297</v>
      </c>
      <c r="W2943" s="132" t="s">
        <v>267</v>
      </c>
      <c r="X2943" s="133">
        <v>41830</v>
      </c>
      <c r="Y2943" s="134">
        <v>541</v>
      </c>
    </row>
    <row r="2944" spans="6:25" x14ac:dyDescent="0.25">
      <c r="F2944" s="76" t="s">
        <v>150</v>
      </c>
      <c r="G2944" s="77" t="s">
        <v>194</v>
      </c>
      <c r="H2944" s="77" t="s">
        <v>153</v>
      </c>
      <c r="I2944" s="86">
        <v>41919</v>
      </c>
      <c r="J2944" s="78">
        <v>439</v>
      </c>
      <c r="U2944" s="132" t="s">
        <v>154</v>
      </c>
      <c r="V2944" s="132" t="s">
        <v>297</v>
      </c>
      <c r="W2944" s="132" t="s">
        <v>267</v>
      </c>
      <c r="X2944" s="133">
        <v>41831</v>
      </c>
      <c r="Y2944" s="134">
        <v>902</v>
      </c>
    </row>
    <row r="2945" spans="6:25" x14ac:dyDescent="0.25">
      <c r="F2945" s="76" t="s">
        <v>150</v>
      </c>
      <c r="G2945" s="77" t="s">
        <v>194</v>
      </c>
      <c r="H2945" s="77" t="s">
        <v>153</v>
      </c>
      <c r="I2945" s="86">
        <v>41921</v>
      </c>
      <c r="J2945" s="78">
        <v>980</v>
      </c>
      <c r="U2945" s="132" t="s">
        <v>154</v>
      </c>
      <c r="V2945" s="132" t="s">
        <v>297</v>
      </c>
      <c r="W2945" s="132" t="s">
        <v>267</v>
      </c>
      <c r="X2945" s="133">
        <v>41862</v>
      </c>
      <c r="Y2945" s="134">
        <v>1206</v>
      </c>
    </row>
    <row r="2946" spans="6:25" x14ac:dyDescent="0.25">
      <c r="F2946" s="76" t="s">
        <v>150</v>
      </c>
      <c r="G2946" s="77" t="s">
        <v>194</v>
      </c>
      <c r="H2946" s="77" t="s">
        <v>153</v>
      </c>
      <c r="I2946" s="86">
        <v>41924</v>
      </c>
      <c r="J2946" s="78">
        <v>585</v>
      </c>
      <c r="U2946" s="132" t="s">
        <v>154</v>
      </c>
      <c r="V2946" s="132" t="s">
        <v>297</v>
      </c>
      <c r="W2946" s="132" t="s">
        <v>267</v>
      </c>
      <c r="X2946" s="133">
        <v>41863</v>
      </c>
      <c r="Y2946" s="134">
        <v>1299</v>
      </c>
    </row>
    <row r="2947" spans="6:25" x14ac:dyDescent="0.25">
      <c r="F2947" s="76" t="s">
        <v>150</v>
      </c>
      <c r="G2947" s="77" t="s">
        <v>194</v>
      </c>
      <c r="H2947" s="77" t="s">
        <v>153</v>
      </c>
      <c r="I2947" s="86">
        <v>41924</v>
      </c>
      <c r="J2947" s="78">
        <v>1145</v>
      </c>
      <c r="U2947" s="132" t="s">
        <v>154</v>
      </c>
      <c r="V2947" s="132" t="s">
        <v>298</v>
      </c>
      <c r="W2947" s="132" t="s">
        <v>267</v>
      </c>
      <c r="X2947" s="133">
        <v>41680</v>
      </c>
      <c r="Y2947" s="134">
        <v>378</v>
      </c>
    </row>
    <row r="2948" spans="6:25" x14ac:dyDescent="0.25">
      <c r="F2948" s="76" t="s">
        <v>150</v>
      </c>
      <c r="G2948" s="77" t="s">
        <v>194</v>
      </c>
      <c r="H2948" s="77" t="s">
        <v>153</v>
      </c>
      <c r="I2948" s="86">
        <v>41925</v>
      </c>
      <c r="J2948" s="78">
        <v>832</v>
      </c>
      <c r="U2948" s="132" t="s">
        <v>154</v>
      </c>
      <c r="V2948" s="132" t="s">
        <v>298</v>
      </c>
      <c r="W2948" s="132" t="s">
        <v>267</v>
      </c>
      <c r="X2948" s="133">
        <v>41681</v>
      </c>
      <c r="Y2948" s="134">
        <v>1145</v>
      </c>
    </row>
    <row r="2949" spans="6:25" x14ac:dyDescent="0.25">
      <c r="F2949" s="76" t="s">
        <v>150</v>
      </c>
      <c r="G2949" s="77" t="s">
        <v>194</v>
      </c>
      <c r="H2949" s="77" t="s">
        <v>153</v>
      </c>
      <c r="I2949" s="86">
        <v>41927</v>
      </c>
      <c r="J2949" s="78">
        <v>1104</v>
      </c>
      <c r="U2949" s="132" t="s">
        <v>154</v>
      </c>
      <c r="V2949" s="132" t="s">
        <v>298</v>
      </c>
      <c r="W2949" s="132" t="s">
        <v>267</v>
      </c>
      <c r="X2949" s="133">
        <v>41682</v>
      </c>
      <c r="Y2949" s="134">
        <v>945</v>
      </c>
    </row>
    <row r="2950" spans="6:25" x14ac:dyDescent="0.25">
      <c r="F2950" s="76" t="s">
        <v>150</v>
      </c>
      <c r="G2950" s="77" t="s">
        <v>194</v>
      </c>
      <c r="H2950" s="77" t="s">
        <v>153</v>
      </c>
      <c r="I2950" s="86">
        <v>41927</v>
      </c>
      <c r="J2950" s="78">
        <v>1207</v>
      </c>
      <c r="U2950" s="132" t="s">
        <v>154</v>
      </c>
      <c r="V2950" s="132" t="s">
        <v>298</v>
      </c>
      <c r="W2950" s="132" t="s">
        <v>267</v>
      </c>
      <c r="X2950" s="133">
        <v>41683</v>
      </c>
      <c r="Y2950" s="134">
        <v>325</v>
      </c>
    </row>
    <row r="2951" spans="6:25" x14ac:dyDescent="0.25">
      <c r="F2951" s="76" t="s">
        <v>150</v>
      </c>
      <c r="G2951" s="77" t="s">
        <v>194</v>
      </c>
      <c r="H2951" s="77" t="s">
        <v>153</v>
      </c>
      <c r="I2951" s="86">
        <v>41928</v>
      </c>
      <c r="J2951" s="78">
        <v>843</v>
      </c>
      <c r="U2951" s="132" t="s">
        <v>154</v>
      </c>
      <c r="V2951" s="132" t="s">
        <v>298</v>
      </c>
      <c r="W2951" s="132" t="s">
        <v>267</v>
      </c>
      <c r="X2951" s="133">
        <v>41683</v>
      </c>
      <c r="Y2951" s="134">
        <v>334</v>
      </c>
    </row>
    <row r="2952" spans="6:25" x14ac:dyDescent="0.25">
      <c r="F2952" s="76" t="s">
        <v>150</v>
      </c>
      <c r="G2952" s="77" t="s">
        <v>194</v>
      </c>
      <c r="H2952" s="77" t="s">
        <v>153</v>
      </c>
      <c r="I2952" s="86">
        <v>41929</v>
      </c>
      <c r="J2952" s="78">
        <v>1065</v>
      </c>
      <c r="U2952" s="132" t="s">
        <v>154</v>
      </c>
      <c r="V2952" s="132" t="s">
        <v>298</v>
      </c>
      <c r="W2952" s="132" t="s">
        <v>267</v>
      </c>
      <c r="X2952" s="133">
        <v>41683</v>
      </c>
      <c r="Y2952" s="134">
        <v>593</v>
      </c>
    </row>
    <row r="2953" spans="6:25" x14ac:dyDescent="0.25">
      <c r="F2953" s="76" t="s">
        <v>150</v>
      </c>
      <c r="G2953" s="77" t="s">
        <v>194</v>
      </c>
      <c r="H2953" s="77" t="s">
        <v>153</v>
      </c>
      <c r="I2953" s="86">
        <v>41933</v>
      </c>
      <c r="J2953" s="78">
        <v>1232</v>
      </c>
      <c r="U2953" s="132" t="s">
        <v>154</v>
      </c>
      <c r="V2953" s="132" t="s">
        <v>298</v>
      </c>
      <c r="W2953" s="132" t="s">
        <v>267</v>
      </c>
      <c r="X2953" s="133">
        <v>41684</v>
      </c>
      <c r="Y2953" s="134">
        <v>1000</v>
      </c>
    </row>
    <row r="2954" spans="6:25" x14ac:dyDescent="0.25">
      <c r="F2954" s="76" t="s">
        <v>150</v>
      </c>
      <c r="G2954" s="77" t="s">
        <v>194</v>
      </c>
      <c r="H2954" s="77" t="s">
        <v>153</v>
      </c>
      <c r="I2954" s="86">
        <v>41933</v>
      </c>
      <c r="J2954" s="78">
        <v>874</v>
      </c>
      <c r="U2954" s="132" t="s">
        <v>154</v>
      </c>
      <c r="V2954" s="132" t="s">
        <v>298</v>
      </c>
      <c r="W2954" s="132" t="s">
        <v>267</v>
      </c>
      <c r="X2954" s="133">
        <v>41687</v>
      </c>
      <c r="Y2954" s="134">
        <v>559</v>
      </c>
    </row>
    <row r="2955" spans="6:25" x14ac:dyDescent="0.25">
      <c r="F2955" s="76" t="s">
        <v>150</v>
      </c>
      <c r="G2955" s="77" t="s">
        <v>194</v>
      </c>
      <c r="H2955" s="77" t="s">
        <v>153</v>
      </c>
      <c r="I2955" s="86">
        <v>41935</v>
      </c>
      <c r="J2955" s="78">
        <v>1000</v>
      </c>
      <c r="U2955" s="132" t="s">
        <v>154</v>
      </c>
      <c r="V2955" s="132" t="s">
        <v>298</v>
      </c>
      <c r="W2955" s="132" t="s">
        <v>267</v>
      </c>
      <c r="X2955" s="133">
        <v>41688</v>
      </c>
      <c r="Y2955" s="134">
        <v>691</v>
      </c>
    </row>
    <row r="2956" spans="6:25" x14ac:dyDescent="0.25">
      <c r="F2956" s="76" t="s">
        <v>150</v>
      </c>
      <c r="G2956" s="77" t="s">
        <v>194</v>
      </c>
      <c r="H2956" s="77" t="s">
        <v>153</v>
      </c>
      <c r="I2956" s="86">
        <v>41935</v>
      </c>
      <c r="J2956" s="78">
        <v>740</v>
      </c>
      <c r="U2956" s="132" t="s">
        <v>154</v>
      </c>
      <c r="V2956" s="132" t="s">
        <v>298</v>
      </c>
      <c r="W2956" s="132" t="s">
        <v>267</v>
      </c>
      <c r="X2956" s="133">
        <v>41688</v>
      </c>
      <c r="Y2956" s="134">
        <v>240</v>
      </c>
    </row>
    <row r="2957" spans="6:25" x14ac:dyDescent="0.25">
      <c r="F2957" s="76" t="s">
        <v>150</v>
      </c>
      <c r="G2957" s="77" t="s">
        <v>194</v>
      </c>
      <c r="H2957" s="77" t="s">
        <v>153</v>
      </c>
      <c r="I2957" s="86">
        <v>41937</v>
      </c>
      <c r="J2957" s="78">
        <v>1144</v>
      </c>
      <c r="U2957" s="132" t="s">
        <v>154</v>
      </c>
      <c r="V2957" s="132" t="s">
        <v>298</v>
      </c>
      <c r="W2957" s="132" t="s">
        <v>267</v>
      </c>
      <c r="X2957" s="133">
        <v>41689</v>
      </c>
      <c r="Y2957" s="134">
        <v>671</v>
      </c>
    </row>
    <row r="2958" spans="6:25" x14ac:dyDescent="0.25">
      <c r="F2958" s="76" t="s">
        <v>150</v>
      </c>
      <c r="G2958" s="77" t="s">
        <v>194</v>
      </c>
      <c r="H2958" s="77" t="s">
        <v>153</v>
      </c>
      <c r="I2958" s="86">
        <v>41937</v>
      </c>
      <c r="J2958" s="78">
        <v>1032</v>
      </c>
      <c r="U2958" s="132" t="s">
        <v>154</v>
      </c>
      <c r="V2958" s="132" t="s">
        <v>298</v>
      </c>
      <c r="W2958" s="132" t="s">
        <v>267</v>
      </c>
      <c r="X2958" s="133">
        <v>41696</v>
      </c>
      <c r="Y2958" s="134">
        <v>695</v>
      </c>
    </row>
    <row r="2959" spans="6:25" x14ac:dyDescent="0.25">
      <c r="F2959" s="76" t="s">
        <v>150</v>
      </c>
      <c r="G2959" s="77" t="s">
        <v>194</v>
      </c>
      <c r="H2959" s="77" t="s">
        <v>153</v>
      </c>
      <c r="I2959" s="86">
        <v>41938</v>
      </c>
      <c r="J2959" s="78">
        <v>767</v>
      </c>
      <c r="U2959" s="132" t="s">
        <v>154</v>
      </c>
      <c r="V2959" s="132" t="s">
        <v>298</v>
      </c>
      <c r="W2959" s="132" t="s">
        <v>267</v>
      </c>
      <c r="X2959" s="133">
        <v>41697</v>
      </c>
      <c r="Y2959" s="134">
        <v>1062</v>
      </c>
    </row>
    <row r="2960" spans="6:25" x14ac:dyDescent="0.25">
      <c r="F2960" s="76" t="s">
        <v>150</v>
      </c>
      <c r="G2960" s="77" t="s">
        <v>169</v>
      </c>
      <c r="H2960" s="77" t="s">
        <v>153</v>
      </c>
      <c r="I2960" s="86">
        <v>41668</v>
      </c>
      <c r="J2960" s="78">
        <v>1127</v>
      </c>
      <c r="U2960" s="132" t="s">
        <v>154</v>
      </c>
      <c r="V2960" s="132" t="s">
        <v>298</v>
      </c>
      <c r="W2960" s="132" t="s">
        <v>267</v>
      </c>
      <c r="X2960" s="133">
        <v>41698</v>
      </c>
      <c r="Y2960" s="134">
        <v>1324</v>
      </c>
    </row>
    <row r="2961" spans="6:25" x14ac:dyDescent="0.25">
      <c r="F2961" s="76" t="s">
        <v>150</v>
      </c>
      <c r="G2961" s="77" t="s">
        <v>169</v>
      </c>
      <c r="H2961" s="77" t="s">
        <v>153</v>
      </c>
      <c r="I2961" s="86">
        <v>41670</v>
      </c>
      <c r="J2961" s="78">
        <v>1200</v>
      </c>
      <c r="U2961" s="132" t="s">
        <v>154</v>
      </c>
      <c r="V2961" s="132" t="s">
        <v>298</v>
      </c>
      <c r="W2961" s="132" t="s">
        <v>267</v>
      </c>
      <c r="X2961" s="133">
        <v>41699</v>
      </c>
      <c r="Y2961" s="134">
        <v>794</v>
      </c>
    </row>
    <row r="2962" spans="6:25" x14ac:dyDescent="0.25">
      <c r="F2962" s="76" t="s">
        <v>150</v>
      </c>
      <c r="G2962" s="77" t="s">
        <v>169</v>
      </c>
      <c r="H2962" s="77" t="s">
        <v>153</v>
      </c>
      <c r="I2962" s="86">
        <v>41671</v>
      </c>
      <c r="J2962" s="78">
        <v>879</v>
      </c>
      <c r="U2962" s="132" t="s">
        <v>154</v>
      </c>
      <c r="V2962" s="132" t="s">
        <v>298</v>
      </c>
      <c r="W2962" s="132" t="s">
        <v>267</v>
      </c>
      <c r="X2962" s="133">
        <v>41700</v>
      </c>
      <c r="Y2962" s="134">
        <v>709</v>
      </c>
    </row>
    <row r="2963" spans="6:25" x14ac:dyDescent="0.25">
      <c r="F2963" s="76" t="s">
        <v>150</v>
      </c>
      <c r="G2963" s="77" t="s">
        <v>169</v>
      </c>
      <c r="H2963" s="77" t="s">
        <v>153</v>
      </c>
      <c r="I2963" s="86">
        <v>41671</v>
      </c>
      <c r="J2963" s="78">
        <v>777</v>
      </c>
      <c r="U2963" s="132" t="s">
        <v>154</v>
      </c>
      <c r="V2963" s="132" t="s">
        <v>298</v>
      </c>
      <c r="W2963" s="132" t="s">
        <v>267</v>
      </c>
      <c r="X2963" s="133">
        <v>41701</v>
      </c>
      <c r="Y2963" s="134">
        <v>601</v>
      </c>
    </row>
    <row r="2964" spans="6:25" x14ac:dyDescent="0.25">
      <c r="F2964" s="76" t="s">
        <v>150</v>
      </c>
      <c r="G2964" s="77" t="s">
        <v>169</v>
      </c>
      <c r="H2964" s="77" t="s">
        <v>153</v>
      </c>
      <c r="I2964" s="86">
        <v>41672</v>
      </c>
      <c r="J2964" s="78">
        <v>768</v>
      </c>
      <c r="U2964" s="132" t="s">
        <v>154</v>
      </c>
      <c r="V2964" s="132" t="s">
        <v>298</v>
      </c>
      <c r="W2964" s="132" t="s">
        <v>267</v>
      </c>
      <c r="X2964" s="133">
        <v>41702</v>
      </c>
      <c r="Y2964" s="134">
        <v>800</v>
      </c>
    </row>
    <row r="2965" spans="6:25" x14ac:dyDescent="0.25">
      <c r="F2965" s="76" t="s">
        <v>150</v>
      </c>
      <c r="G2965" s="77" t="s">
        <v>169</v>
      </c>
      <c r="H2965" s="77" t="s">
        <v>153</v>
      </c>
      <c r="I2965" s="86">
        <v>41674</v>
      </c>
      <c r="J2965" s="78">
        <v>1457</v>
      </c>
      <c r="U2965" s="132" t="s">
        <v>154</v>
      </c>
      <c r="V2965" s="132" t="s">
        <v>298</v>
      </c>
      <c r="W2965" s="132" t="s">
        <v>267</v>
      </c>
      <c r="X2965" s="133">
        <v>41709</v>
      </c>
      <c r="Y2965" s="134">
        <v>769</v>
      </c>
    </row>
    <row r="2966" spans="6:25" x14ac:dyDescent="0.25">
      <c r="F2966" s="76" t="s">
        <v>150</v>
      </c>
      <c r="G2966" s="77" t="s">
        <v>169</v>
      </c>
      <c r="H2966" s="77" t="s">
        <v>153</v>
      </c>
      <c r="I2966" s="86">
        <v>41676</v>
      </c>
      <c r="J2966" s="78">
        <v>782</v>
      </c>
      <c r="U2966" s="132" t="s">
        <v>154</v>
      </c>
      <c r="V2966" s="132" t="s">
        <v>298</v>
      </c>
      <c r="W2966" s="132" t="s">
        <v>267</v>
      </c>
      <c r="X2966" s="133">
        <v>41710</v>
      </c>
      <c r="Y2966" s="134">
        <v>455</v>
      </c>
    </row>
    <row r="2967" spans="6:25" x14ac:dyDescent="0.25">
      <c r="F2967" s="76" t="s">
        <v>150</v>
      </c>
      <c r="G2967" s="77" t="s">
        <v>169</v>
      </c>
      <c r="H2967" s="77" t="s">
        <v>153</v>
      </c>
      <c r="I2967" s="86">
        <v>41677</v>
      </c>
      <c r="J2967" s="78">
        <v>291</v>
      </c>
      <c r="U2967" s="132" t="s">
        <v>154</v>
      </c>
      <c r="V2967" s="132" t="s">
        <v>298</v>
      </c>
      <c r="W2967" s="132" t="s">
        <v>267</v>
      </c>
      <c r="X2967" s="133">
        <v>41711</v>
      </c>
      <c r="Y2967" s="134">
        <v>533</v>
      </c>
    </row>
    <row r="2968" spans="6:25" x14ac:dyDescent="0.25">
      <c r="F2968" s="76" t="s">
        <v>150</v>
      </c>
      <c r="G2968" s="77" t="s">
        <v>169</v>
      </c>
      <c r="H2968" s="77" t="s">
        <v>153</v>
      </c>
      <c r="I2968" s="86">
        <v>41677</v>
      </c>
      <c r="J2968" s="78">
        <v>564</v>
      </c>
      <c r="U2968" s="132" t="s">
        <v>154</v>
      </c>
      <c r="V2968" s="132" t="s">
        <v>298</v>
      </c>
      <c r="W2968" s="132" t="s">
        <v>267</v>
      </c>
      <c r="X2968" s="133">
        <v>41711</v>
      </c>
      <c r="Y2968" s="134">
        <v>440</v>
      </c>
    </row>
    <row r="2969" spans="6:25" x14ac:dyDescent="0.25">
      <c r="F2969" s="76" t="s">
        <v>150</v>
      </c>
      <c r="G2969" s="77" t="s">
        <v>169</v>
      </c>
      <c r="H2969" s="77" t="s">
        <v>153</v>
      </c>
      <c r="I2969" s="86">
        <v>41680</v>
      </c>
      <c r="J2969" s="78">
        <v>621</v>
      </c>
      <c r="U2969" s="132" t="s">
        <v>154</v>
      </c>
      <c r="V2969" s="132" t="s">
        <v>298</v>
      </c>
      <c r="W2969" s="132" t="s">
        <v>267</v>
      </c>
      <c r="X2969" s="133">
        <v>41712</v>
      </c>
      <c r="Y2969" s="134">
        <v>386</v>
      </c>
    </row>
    <row r="2970" spans="6:25" x14ac:dyDescent="0.25">
      <c r="F2970" s="76" t="s">
        <v>150</v>
      </c>
      <c r="G2970" s="77" t="s">
        <v>169</v>
      </c>
      <c r="H2970" s="77" t="s">
        <v>153</v>
      </c>
      <c r="I2970" s="86">
        <v>41681</v>
      </c>
      <c r="J2970" s="78">
        <v>1004</v>
      </c>
      <c r="U2970" s="132" t="s">
        <v>154</v>
      </c>
      <c r="V2970" s="132" t="s">
        <v>298</v>
      </c>
      <c r="W2970" s="132" t="s">
        <v>267</v>
      </c>
      <c r="X2970" s="133">
        <v>41713</v>
      </c>
      <c r="Y2970" s="134">
        <v>813</v>
      </c>
    </row>
    <row r="2971" spans="6:25" x14ac:dyDescent="0.25">
      <c r="F2971" s="76" t="s">
        <v>150</v>
      </c>
      <c r="G2971" s="77" t="s">
        <v>169</v>
      </c>
      <c r="H2971" s="77" t="s">
        <v>153</v>
      </c>
      <c r="I2971" s="86">
        <v>41683</v>
      </c>
      <c r="J2971" s="78">
        <v>917</v>
      </c>
      <c r="U2971" s="132" t="s">
        <v>154</v>
      </c>
      <c r="V2971" s="132" t="s">
        <v>298</v>
      </c>
      <c r="W2971" s="132" t="s">
        <v>267</v>
      </c>
      <c r="X2971" s="133">
        <v>41714</v>
      </c>
      <c r="Y2971" s="134">
        <v>726</v>
      </c>
    </row>
    <row r="2972" spans="6:25" x14ac:dyDescent="0.25">
      <c r="F2972" s="76" t="s">
        <v>150</v>
      </c>
      <c r="G2972" s="77" t="s">
        <v>169</v>
      </c>
      <c r="H2972" s="77" t="s">
        <v>153</v>
      </c>
      <c r="I2972" s="86">
        <v>41687</v>
      </c>
      <c r="J2972" s="78">
        <v>1085</v>
      </c>
      <c r="U2972" s="132" t="s">
        <v>154</v>
      </c>
      <c r="V2972" s="132" t="s">
        <v>298</v>
      </c>
      <c r="W2972" s="132" t="s">
        <v>267</v>
      </c>
      <c r="X2972" s="133">
        <v>41715</v>
      </c>
      <c r="Y2972" s="134">
        <v>589</v>
      </c>
    </row>
    <row r="2973" spans="6:25" x14ac:dyDescent="0.25">
      <c r="F2973" s="76" t="s">
        <v>150</v>
      </c>
      <c r="G2973" s="77" t="s">
        <v>169</v>
      </c>
      <c r="H2973" s="77" t="s">
        <v>153</v>
      </c>
      <c r="I2973" s="86">
        <v>41689</v>
      </c>
      <c r="J2973" s="78">
        <v>601</v>
      </c>
      <c r="U2973" s="132" t="s">
        <v>154</v>
      </c>
      <c r="V2973" s="132" t="s">
        <v>298</v>
      </c>
      <c r="W2973" s="132" t="s">
        <v>267</v>
      </c>
      <c r="X2973" s="133">
        <v>41716</v>
      </c>
      <c r="Y2973" s="134">
        <v>517</v>
      </c>
    </row>
    <row r="2974" spans="6:25" x14ac:dyDescent="0.25">
      <c r="F2974" s="76" t="s">
        <v>150</v>
      </c>
      <c r="G2974" s="77" t="s">
        <v>169</v>
      </c>
      <c r="H2974" s="77" t="s">
        <v>153</v>
      </c>
      <c r="I2974" s="86">
        <v>41691</v>
      </c>
      <c r="J2974" s="78">
        <v>583</v>
      </c>
      <c r="U2974" s="132" t="s">
        <v>154</v>
      </c>
      <c r="V2974" s="132" t="s">
        <v>298</v>
      </c>
      <c r="W2974" s="132" t="s">
        <v>267</v>
      </c>
      <c r="X2974" s="133">
        <v>41716</v>
      </c>
      <c r="Y2974" s="134">
        <v>670</v>
      </c>
    </row>
    <row r="2975" spans="6:25" x14ac:dyDescent="0.25">
      <c r="F2975" s="76" t="s">
        <v>150</v>
      </c>
      <c r="G2975" s="77" t="s">
        <v>169</v>
      </c>
      <c r="H2975" s="77" t="s">
        <v>153</v>
      </c>
      <c r="I2975" s="86">
        <v>41696</v>
      </c>
      <c r="J2975" s="78">
        <v>649</v>
      </c>
      <c r="U2975" s="132" t="s">
        <v>154</v>
      </c>
      <c r="V2975" s="132" t="s">
        <v>298</v>
      </c>
      <c r="W2975" s="132" t="s">
        <v>267</v>
      </c>
      <c r="X2975" s="133">
        <v>41717</v>
      </c>
      <c r="Y2975" s="134">
        <v>533</v>
      </c>
    </row>
    <row r="2976" spans="6:25" x14ac:dyDescent="0.25">
      <c r="F2976" s="76" t="s">
        <v>150</v>
      </c>
      <c r="G2976" s="77" t="s">
        <v>169</v>
      </c>
      <c r="H2976" s="77" t="s">
        <v>153</v>
      </c>
      <c r="I2976" s="86">
        <v>41699</v>
      </c>
      <c r="J2976" s="78">
        <v>769</v>
      </c>
      <c r="U2976" s="132" t="s">
        <v>154</v>
      </c>
      <c r="V2976" s="132" t="s">
        <v>298</v>
      </c>
      <c r="W2976" s="132" t="s">
        <v>267</v>
      </c>
      <c r="X2976" s="133">
        <v>41718</v>
      </c>
      <c r="Y2976" s="134">
        <v>594</v>
      </c>
    </row>
    <row r="2977" spans="6:25" x14ac:dyDescent="0.25">
      <c r="F2977" s="76" t="s">
        <v>150</v>
      </c>
      <c r="G2977" s="77" t="s">
        <v>169</v>
      </c>
      <c r="H2977" s="77" t="s">
        <v>153</v>
      </c>
      <c r="I2977" s="86">
        <v>41703</v>
      </c>
      <c r="J2977" s="78">
        <v>1236</v>
      </c>
      <c r="U2977" s="132" t="s">
        <v>154</v>
      </c>
      <c r="V2977" s="132" t="s">
        <v>298</v>
      </c>
      <c r="W2977" s="132" t="s">
        <v>267</v>
      </c>
      <c r="X2977" s="133">
        <v>41718</v>
      </c>
      <c r="Y2977" s="134">
        <v>670</v>
      </c>
    </row>
    <row r="2978" spans="6:25" x14ac:dyDescent="0.25">
      <c r="F2978" s="76" t="s">
        <v>150</v>
      </c>
      <c r="G2978" s="77" t="s">
        <v>169</v>
      </c>
      <c r="H2978" s="77" t="s">
        <v>153</v>
      </c>
      <c r="I2978" s="86">
        <v>41705</v>
      </c>
      <c r="J2978" s="78">
        <v>601</v>
      </c>
      <c r="U2978" s="132" t="s">
        <v>154</v>
      </c>
      <c r="V2978" s="132" t="s">
        <v>298</v>
      </c>
      <c r="W2978" s="132" t="s">
        <v>267</v>
      </c>
      <c r="X2978" s="133">
        <v>41719</v>
      </c>
      <c r="Y2978" s="134">
        <v>99</v>
      </c>
    </row>
    <row r="2979" spans="6:25" x14ac:dyDescent="0.25">
      <c r="F2979" s="76" t="s">
        <v>150</v>
      </c>
      <c r="G2979" s="77" t="s">
        <v>169</v>
      </c>
      <c r="H2979" s="77" t="s">
        <v>153</v>
      </c>
      <c r="I2979" s="86">
        <v>41709</v>
      </c>
      <c r="J2979" s="78">
        <v>701</v>
      </c>
      <c r="U2979" s="132" t="s">
        <v>154</v>
      </c>
      <c r="V2979" s="132" t="s">
        <v>298</v>
      </c>
      <c r="W2979" s="132" t="s">
        <v>267</v>
      </c>
      <c r="X2979" s="133">
        <v>41721</v>
      </c>
      <c r="Y2979" s="134">
        <v>620</v>
      </c>
    </row>
    <row r="2980" spans="6:25" x14ac:dyDescent="0.25">
      <c r="F2980" s="76" t="s">
        <v>150</v>
      </c>
      <c r="G2980" s="77" t="s">
        <v>169</v>
      </c>
      <c r="H2980" s="77" t="s">
        <v>153</v>
      </c>
      <c r="I2980" s="86">
        <v>41710</v>
      </c>
      <c r="J2980" s="78">
        <v>426</v>
      </c>
      <c r="U2980" s="132" t="s">
        <v>154</v>
      </c>
      <c r="V2980" s="132" t="s">
        <v>298</v>
      </c>
      <c r="W2980" s="132" t="s">
        <v>267</v>
      </c>
      <c r="X2980" s="133">
        <v>41721</v>
      </c>
      <c r="Y2980" s="134">
        <v>207</v>
      </c>
    </row>
    <row r="2981" spans="6:25" x14ac:dyDescent="0.25">
      <c r="F2981" s="76" t="s">
        <v>150</v>
      </c>
      <c r="G2981" s="77" t="s">
        <v>169</v>
      </c>
      <c r="H2981" s="77" t="s">
        <v>153</v>
      </c>
      <c r="I2981" s="86">
        <v>41711</v>
      </c>
      <c r="J2981" s="78">
        <v>868</v>
      </c>
      <c r="U2981" s="132" t="s">
        <v>154</v>
      </c>
      <c r="V2981" s="132" t="s">
        <v>298</v>
      </c>
      <c r="W2981" s="132" t="s">
        <v>267</v>
      </c>
      <c r="X2981" s="133">
        <v>41722</v>
      </c>
      <c r="Y2981" s="134">
        <v>819</v>
      </c>
    </row>
    <row r="2982" spans="6:25" x14ac:dyDescent="0.25">
      <c r="F2982" s="76" t="s">
        <v>150</v>
      </c>
      <c r="G2982" s="77" t="s">
        <v>169</v>
      </c>
      <c r="H2982" s="77" t="s">
        <v>153</v>
      </c>
      <c r="I2982" s="86">
        <v>41713</v>
      </c>
      <c r="J2982" s="78">
        <v>776</v>
      </c>
      <c r="U2982" s="132" t="s">
        <v>154</v>
      </c>
      <c r="V2982" s="132" t="s">
        <v>298</v>
      </c>
      <c r="W2982" s="132" t="s">
        <v>267</v>
      </c>
      <c r="X2982" s="133">
        <v>41723</v>
      </c>
      <c r="Y2982" s="134">
        <v>760</v>
      </c>
    </row>
    <row r="2983" spans="6:25" x14ac:dyDescent="0.25">
      <c r="F2983" s="76" t="s">
        <v>150</v>
      </c>
      <c r="G2983" s="77" t="s">
        <v>169</v>
      </c>
      <c r="H2983" s="77" t="s">
        <v>153</v>
      </c>
      <c r="I2983" s="86">
        <v>41714</v>
      </c>
      <c r="J2983" s="78">
        <v>840</v>
      </c>
      <c r="U2983" s="132" t="s">
        <v>154</v>
      </c>
      <c r="V2983" s="132" t="s">
        <v>298</v>
      </c>
      <c r="W2983" s="132" t="s">
        <v>267</v>
      </c>
      <c r="X2983" s="133">
        <v>41724</v>
      </c>
      <c r="Y2983" s="134">
        <v>933</v>
      </c>
    </row>
    <row r="2984" spans="6:25" x14ac:dyDescent="0.25">
      <c r="F2984" s="76" t="s">
        <v>150</v>
      </c>
      <c r="G2984" s="77" t="s">
        <v>169</v>
      </c>
      <c r="H2984" s="77" t="s">
        <v>153</v>
      </c>
      <c r="I2984" s="86">
        <v>41730</v>
      </c>
      <c r="J2984" s="78">
        <v>943</v>
      </c>
      <c r="U2984" s="132" t="s">
        <v>154</v>
      </c>
      <c r="V2984" s="132" t="s">
        <v>298</v>
      </c>
      <c r="W2984" s="132" t="s">
        <v>267</v>
      </c>
      <c r="X2984" s="133">
        <v>41724</v>
      </c>
      <c r="Y2984" s="134">
        <v>665</v>
      </c>
    </row>
    <row r="2985" spans="6:25" x14ac:dyDescent="0.25">
      <c r="F2985" s="76" t="s">
        <v>150</v>
      </c>
      <c r="G2985" s="77" t="s">
        <v>169</v>
      </c>
      <c r="H2985" s="77" t="s">
        <v>153</v>
      </c>
      <c r="I2985" s="86">
        <v>41738</v>
      </c>
      <c r="J2985" s="78">
        <v>628</v>
      </c>
      <c r="U2985" s="132" t="s">
        <v>154</v>
      </c>
      <c r="V2985" s="132" t="s">
        <v>298</v>
      </c>
      <c r="W2985" s="132" t="s">
        <v>267</v>
      </c>
      <c r="X2985" s="133">
        <v>41725</v>
      </c>
      <c r="Y2985" s="134">
        <v>816</v>
      </c>
    </row>
    <row r="2986" spans="6:25" x14ac:dyDescent="0.25">
      <c r="F2986" s="76" t="s">
        <v>150</v>
      </c>
      <c r="G2986" s="77" t="s">
        <v>169</v>
      </c>
      <c r="H2986" s="77" t="s">
        <v>153</v>
      </c>
      <c r="I2986" s="86">
        <v>41739</v>
      </c>
      <c r="J2986" s="78">
        <v>578</v>
      </c>
      <c r="U2986" s="132" t="s">
        <v>154</v>
      </c>
      <c r="V2986" s="132" t="s">
        <v>298</v>
      </c>
      <c r="W2986" s="132" t="s">
        <v>267</v>
      </c>
      <c r="X2986" s="133">
        <v>41725</v>
      </c>
      <c r="Y2986" s="134">
        <v>1127</v>
      </c>
    </row>
    <row r="2987" spans="6:25" x14ac:dyDescent="0.25">
      <c r="F2987" s="76" t="s">
        <v>150</v>
      </c>
      <c r="G2987" s="77" t="s">
        <v>169</v>
      </c>
      <c r="H2987" s="77" t="s">
        <v>153</v>
      </c>
      <c r="I2987" s="86">
        <v>41740</v>
      </c>
      <c r="J2987" s="78">
        <v>512</v>
      </c>
      <c r="U2987" s="132" t="s">
        <v>154</v>
      </c>
      <c r="V2987" s="132" t="s">
        <v>298</v>
      </c>
      <c r="W2987" s="132" t="s">
        <v>267</v>
      </c>
      <c r="X2987" s="133">
        <v>41726</v>
      </c>
      <c r="Y2987" s="134">
        <v>478</v>
      </c>
    </row>
    <row r="2988" spans="6:25" x14ac:dyDescent="0.25">
      <c r="F2988" s="76" t="s">
        <v>150</v>
      </c>
      <c r="G2988" s="77" t="s">
        <v>169</v>
      </c>
      <c r="H2988" s="77" t="s">
        <v>153</v>
      </c>
      <c r="I2988" s="86">
        <v>41743</v>
      </c>
      <c r="J2988" s="78">
        <v>320</v>
      </c>
      <c r="U2988" s="132" t="s">
        <v>154</v>
      </c>
      <c r="V2988" s="132" t="s">
        <v>298</v>
      </c>
      <c r="W2988" s="132" t="s">
        <v>267</v>
      </c>
      <c r="X2988" s="133">
        <v>41732</v>
      </c>
      <c r="Y2988" s="134">
        <v>740</v>
      </c>
    </row>
    <row r="2989" spans="6:25" x14ac:dyDescent="0.25">
      <c r="F2989" s="76" t="s">
        <v>150</v>
      </c>
      <c r="G2989" s="77" t="s">
        <v>169</v>
      </c>
      <c r="H2989" s="77" t="s">
        <v>153</v>
      </c>
      <c r="I2989" s="86">
        <v>41744</v>
      </c>
      <c r="J2989" s="78">
        <v>550</v>
      </c>
      <c r="U2989" s="132" t="s">
        <v>154</v>
      </c>
      <c r="V2989" s="132" t="s">
        <v>298</v>
      </c>
      <c r="W2989" s="132" t="s">
        <v>267</v>
      </c>
      <c r="X2989" s="133">
        <v>41744</v>
      </c>
      <c r="Y2989" s="134">
        <v>909</v>
      </c>
    </row>
    <row r="2990" spans="6:25" x14ac:dyDescent="0.25">
      <c r="F2990" s="76" t="s">
        <v>150</v>
      </c>
      <c r="G2990" s="77" t="s">
        <v>169</v>
      </c>
      <c r="H2990" s="77" t="s">
        <v>153</v>
      </c>
      <c r="I2990" s="86">
        <v>41746</v>
      </c>
      <c r="J2990" s="78">
        <v>765</v>
      </c>
      <c r="U2990" s="132" t="s">
        <v>154</v>
      </c>
      <c r="V2990" s="132" t="s">
        <v>298</v>
      </c>
      <c r="W2990" s="132" t="s">
        <v>267</v>
      </c>
      <c r="X2990" s="133">
        <v>41745</v>
      </c>
      <c r="Y2990" s="134">
        <v>485</v>
      </c>
    </row>
    <row r="2991" spans="6:25" x14ac:dyDescent="0.25">
      <c r="F2991" s="76" t="s">
        <v>150</v>
      </c>
      <c r="G2991" s="77" t="s">
        <v>169</v>
      </c>
      <c r="H2991" s="77" t="s">
        <v>153</v>
      </c>
      <c r="I2991" s="86">
        <v>41747</v>
      </c>
      <c r="J2991" s="78">
        <v>564</v>
      </c>
      <c r="U2991" s="132" t="s">
        <v>154</v>
      </c>
      <c r="V2991" s="132" t="s">
        <v>298</v>
      </c>
      <c r="W2991" s="132" t="s">
        <v>267</v>
      </c>
      <c r="X2991" s="133">
        <v>41746</v>
      </c>
      <c r="Y2991" s="134">
        <v>581</v>
      </c>
    </row>
    <row r="2992" spans="6:25" x14ac:dyDescent="0.25">
      <c r="F2992" s="76" t="s">
        <v>150</v>
      </c>
      <c r="G2992" s="77" t="s">
        <v>169</v>
      </c>
      <c r="H2992" s="77" t="s">
        <v>153</v>
      </c>
      <c r="I2992" s="86">
        <v>41751</v>
      </c>
      <c r="J2992" s="78">
        <v>778</v>
      </c>
      <c r="U2992" s="132" t="s">
        <v>154</v>
      </c>
      <c r="V2992" s="132" t="s">
        <v>298</v>
      </c>
      <c r="W2992" s="132" t="s">
        <v>267</v>
      </c>
      <c r="X2992" s="133">
        <v>41746</v>
      </c>
      <c r="Y2992" s="134">
        <v>655</v>
      </c>
    </row>
    <row r="2993" spans="6:25" x14ac:dyDescent="0.25">
      <c r="F2993" s="76" t="s">
        <v>150</v>
      </c>
      <c r="G2993" s="77" t="s">
        <v>169</v>
      </c>
      <c r="H2993" s="77" t="s">
        <v>153</v>
      </c>
      <c r="I2993" s="86">
        <v>41752</v>
      </c>
      <c r="J2993" s="78">
        <v>893</v>
      </c>
      <c r="U2993" s="132" t="s">
        <v>154</v>
      </c>
      <c r="V2993" s="132" t="s">
        <v>298</v>
      </c>
      <c r="W2993" s="132" t="s">
        <v>267</v>
      </c>
      <c r="X2993" s="133">
        <v>41747</v>
      </c>
      <c r="Y2993" s="134">
        <v>585</v>
      </c>
    </row>
    <row r="2994" spans="6:25" x14ac:dyDescent="0.25">
      <c r="F2994" s="76" t="s">
        <v>150</v>
      </c>
      <c r="G2994" s="77" t="s">
        <v>169</v>
      </c>
      <c r="H2994" s="77" t="s">
        <v>153</v>
      </c>
      <c r="I2994" s="86">
        <v>41753</v>
      </c>
      <c r="J2994" s="78">
        <v>789</v>
      </c>
      <c r="U2994" s="132" t="s">
        <v>154</v>
      </c>
      <c r="V2994" s="132" t="s">
        <v>298</v>
      </c>
      <c r="W2994" s="132" t="s">
        <v>267</v>
      </c>
      <c r="X2994" s="133">
        <v>41750</v>
      </c>
      <c r="Y2994" s="134">
        <v>803</v>
      </c>
    </row>
    <row r="2995" spans="6:25" x14ac:dyDescent="0.25">
      <c r="F2995" s="76" t="s">
        <v>150</v>
      </c>
      <c r="G2995" s="77" t="s">
        <v>169</v>
      </c>
      <c r="H2995" s="77" t="s">
        <v>153</v>
      </c>
      <c r="I2995" s="86">
        <v>41759</v>
      </c>
      <c r="J2995" s="78">
        <v>795</v>
      </c>
      <c r="U2995" s="132" t="s">
        <v>154</v>
      </c>
      <c r="V2995" s="132" t="s">
        <v>298</v>
      </c>
      <c r="W2995" s="132" t="s">
        <v>267</v>
      </c>
      <c r="X2995" s="133">
        <v>41751</v>
      </c>
      <c r="Y2995" s="134">
        <v>1015</v>
      </c>
    </row>
    <row r="2996" spans="6:25" x14ac:dyDescent="0.25">
      <c r="F2996" s="76" t="s">
        <v>150</v>
      </c>
      <c r="G2996" s="77" t="s">
        <v>169</v>
      </c>
      <c r="H2996" s="77" t="s">
        <v>153</v>
      </c>
      <c r="I2996" s="86">
        <v>41760</v>
      </c>
      <c r="J2996" s="78">
        <v>962</v>
      </c>
      <c r="U2996" s="132" t="s">
        <v>154</v>
      </c>
      <c r="V2996" s="132" t="s">
        <v>298</v>
      </c>
      <c r="W2996" s="132" t="s">
        <v>267</v>
      </c>
      <c r="X2996" s="133">
        <v>41752</v>
      </c>
      <c r="Y2996" s="134">
        <v>935</v>
      </c>
    </row>
    <row r="2997" spans="6:25" x14ac:dyDescent="0.25">
      <c r="F2997" s="76" t="s">
        <v>150</v>
      </c>
      <c r="G2997" s="77" t="s">
        <v>169</v>
      </c>
      <c r="H2997" s="77" t="s">
        <v>153</v>
      </c>
      <c r="I2997" s="86">
        <v>41778</v>
      </c>
      <c r="J2997" s="78">
        <v>988</v>
      </c>
      <c r="U2997" s="132" t="s">
        <v>154</v>
      </c>
      <c r="V2997" s="132" t="s">
        <v>298</v>
      </c>
      <c r="W2997" s="132" t="s">
        <v>267</v>
      </c>
      <c r="X2997" s="133">
        <v>41753</v>
      </c>
      <c r="Y2997" s="134">
        <v>1020</v>
      </c>
    </row>
    <row r="2998" spans="6:25" x14ac:dyDescent="0.25">
      <c r="F2998" s="76" t="s">
        <v>150</v>
      </c>
      <c r="G2998" s="77" t="s">
        <v>169</v>
      </c>
      <c r="H2998" s="77" t="s">
        <v>153</v>
      </c>
      <c r="I2998" s="86">
        <v>41780</v>
      </c>
      <c r="J2998" s="78">
        <v>913</v>
      </c>
      <c r="U2998" s="132" t="s">
        <v>154</v>
      </c>
      <c r="V2998" s="132" t="s">
        <v>298</v>
      </c>
      <c r="W2998" s="132" t="s">
        <v>267</v>
      </c>
      <c r="X2998" s="133">
        <v>41754</v>
      </c>
      <c r="Y2998" s="134">
        <v>900</v>
      </c>
    </row>
    <row r="2999" spans="6:25" x14ac:dyDescent="0.25">
      <c r="F2999" s="76" t="s">
        <v>150</v>
      </c>
      <c r="G2999" s="77" t="s">
        <v>169</v>
      </c>
      <c r="H2999" s="77" t="s">
        <v>153</v>
      </c>
      <c r="I2999" s="86">
        <v>41781</v>
      </c>
      <c r="J2999" s="78">
        <v>930</v>
      </c>
      <c r="U2999" s="132" t="s">
        <v>154</v>
      </c>
      <c r="V2999" s="132" t="s">
        <v>298</v>
      </c>
      <c r="W2999" s="132" t="s">
        <v>267</v>
      </c>
      <c r="X2999" s="133">
        <v>41755</v>
      </c>
      <c r="Y2999" s="134">
        <v>345</v>
      </c>
    </row>
    <row r="3000" spans="6:25" x14ac:dyDescent="0.25">
      <c r="F3000" s="76" t="s">
        <v>150</v>
      </c>
      <c r="G3000" s="77" t="s">
        <v>169</v>
      </c>
      <c r="H3000" s="77" t="s">
        <v>153</v>
      </c>
      <c r="I3000" s="86">
        <v>41783</v>
      </c>
      <c r="J3000" s="78">
        <v>620</v>
      </c>
      <c r="U3000" s="132" t="s">
        <v>154</v>
      </c>
      <c r="V3000" s="132" t="s">
        <v>298</v>
      </c>
      <c r="W3000" s="132" t="s">
        <v>267</v>
      </c>
      <c r="X3000" s="133">
        <v>41756</v>
      </c>
      <c r="Y3000" s="134">
        <v>661</v>
      </c>
    </row>
    <row r="3001" spans="6:25" x14ac:dyDescent="0.25">
      <c r="F3001" s="76" t="s">
        <v>150</v>
      </c>
      <c r="G3001" s="77" t="s">
        <v>169</v>
      </c>
      <c r="H3001" s="77" t="s">
        <v>153</v>
      </c>
      <c r="I3001" s="86">
        <v>41783</v>
      </c>
      <c r="J3001" s="78">
        <v>1039</v>
      </c>
      <c r="U3001" s="132" t="s">
        <v>154</v>
      </c>
      <c r="V3001" s="132" t="s">
        <v>298</v>
      </c>
      <c r="W3001" s="132" t="s">
        <v>267</v>
      </c>
      <c r="X3001" s="133">
        <v>41757</v>
      </c>
      <c r="Y3001" s="134">
        <v>480</v>
      </c>
    </row>
    <row r="3002" spans="6:25" x14ac:dyDescent="0.25">
      <c r="F3002" s="76" t="s">
        <v>150</v>
      </c>
      <c r="G3002" s="77" t="s">
        <v>169</v>
      </c>
      <c r="H3002" s="77" t="s">
        <v>153</v>
      </c>
      <c r="I3002" s="86">
        <v>41784</v>
      </c>
      <c r="J3002" s="78">
        <v>685</v>
      </c>
      <c r="U3002" s="132" t="s">
        <v>154</v>
      </c>
      <c r="V3002" s="132" t="s">
        <v>298</v>
      </c>
      <c r="W3002" s="132" t="s">
        <v>267</v>
      </c>
      <c r="X3002" s="133">
        <v>41758</v>
      </c>
      <c r="Y3002" s="134">
        <v>990</v>
      </c>
    </row>
    <row r="3003" spans="6:25" x14ac:dyDescent="0.25">
      <c r="F3003" s="76" t="s">
        <v>150</v>
      </c>
      <c r="G3003" s="77" t="s">
        <v>169</v>
      </c>
      <c r="H3003" s="77" t="s">
        <v>153</v>
      </c>
      <c r="I3003" s="86">
        <v>41785</v>
      </c>
      <c r="J3003" s="78">
        <v>561</v>
      </c>
      <c r="U3003" s="132" t="s">
        <v>154</v>
      </c>
      <c r="V3003" s="132" t="s">
        <v>298</v>
      </c>
      <c r="W3003" s="132" t="s">
        <v>267</v>
      </c>
      <c r="X3003" s="133">
        <v>41759</v>
      </c>
      <c r="Y3003" s="134">
        <v>959</v>
      </c>
    </row>
    <row r="3004" spans="6:25" x14ac:dyDescent="0.25">
      <c r="F3004" s="76" t="s">
        <v>150</v>
      </c>
      <c r="G3004" s="77" t="s">
        <v>169</v>
      </c>
      <c r="H3004" s="77" t="s">
        <v>153</v>
      </c>
      <c r="I3004" s="86">
        <v>41787</v>
      </c>
      <c r="J3004" s="78">
        <v>938</v>
      </c>
      <c r="U3004" s="132" t="s">
        <v>154</v>
      </c>
      <c r="V3004" s="132" t="s">
        <v>298</v>
      </c>
      <c r="W3004" s="132" t="s">
        <v>267</v>
      </c>
      <c r="X3004" s="133">
        <v>41760</v>
      </c>
      <c r="Y3004" s="134">
        <v>1048</v>
      </c>
    </row>
    <row r="3005" spans="6:25" x14ac:dyDescent="0.25">
      <c r="F3005" s="76" t="s">
        <v>150</v>
      </c>
      <c r="G3005" s="77" t="s">
        <v>169</v>
      </c>
      <c r="H3005" s="77" t="s">
        <v>153</v>
      </c>
      <c r="I3005" s="86">
        <v>41788</v>
      </c>
      <c r="J3005" s="78">
        <v>775</v>
      </c>
      <c r="U3005" s="132" t="s">
        <v>154</v>
      </c>
      <c r="V3005" s="132" t="s">
        <v>298</v>
      </c>
      <c r="W3005" s="132" t="s">
        <v>267</v>
      </c>
      <c r="X3005" s="133">
        <v>41761</v>
      </c>
      <c r="Y3005" s="134">
        <v>1071</v>
      </c>
    </row>
    <row r="3006" spans="6:25" x14ac:dyDescent="0.25">
      <c r="F3006" s="76" t="s">
        <v>150</v>
      </c>
      <c r="G3006" s="77" t="s">
        <v>169</v>
      </c>
      <c r="H3006" s="77" t="s">
        <v>153</v>
      </c>
      <c r="I3006" s="86">
        <v>41789</v>
      </c>
      <c r="J3006" s="78">
        <v>1495</v>
      </c>
      <c r="U3006" s="132" t="s">
        <v>154</v>
      </c>
      <c r="V3006" s="132" t="s">
        <v>298</v>
      </c>
      <c r="W3006" s="132" t="s">
        <v>267</v>
      </c>
      <c r="X3006" s="133">
        <v>41762</v>
      </c>
      <c r="Y3006" s="134">
        <v>466</v>
      </c>
    </row>
    <row r="3007" spans="6:25" x14ac:dyDescent="0.25">
      <c r="F3007" s="76" t="s">
        <v>150</v>
      </c>
      <c r="G3007" s="77" t="s">
        <v>169</v>
      </c>
      <c r="H3007" s="77" t="s">
        <v>153</v>
      </c>
      <c r="I3007" s="86">
        <v>41790</v>
      </c>
      <c r="J3007" s="78">
        <v>1130</v>
      </c>
      <c r="U3007" s="132" t="s">
        <v>154</v>
      </c>
      <c r="V3007" s="132" t="s">
        <v>298</v>
      </c>
      <c r="W3007" s="132" t="s">
        <v>267</v>
      </c>
      <c r="X3007" s="133">
        <v>41764</v>
      </c>
      <c r="Y3007" s="134">
        <v>877</v>
      </c>
    </row>
    <row r="3008" spans="6:25" x14ac:dyDescent="0.25">
      <c r="F3008" s="76" t="s">
        <v>150</v>
      </c>
      <c r="G3008" s="77" t="s">
        <v>169</v>
      </c>
      <c r="H3008" s="77" t="s">
        <v>153</v>
      </c>
      <c r="I3008" s="86">
        <v>41792</v>
      </c>
      <c r="J3008" s="78">
        <v>1040</v>
      </c>
      <c r="U3008" s="132" t="s">
        <v>154</v>
      </c>
      <c r="V3008" s="132" t="s">
        <v>298</v>
      </c>
      <c r="W3008" s="132" t="s">
        <v>267</v>
      </c>
      <c r="X3008" s="133">
        <v>41764</v>
      </c>
      <c r="Y3008" s="134">
        <v>717</v>
      </c>
    </row>
    <row r="3009" spans="6:25" x14ac:dyDescent="0.25">
      <c r="F3009" s="76" t="s">
        <v>150</v>
      </c>
      <c r="G3009" s="77" t="s">
        <v>169</v>
      </c>
      <c r="H3009" s="77" t="s">
        <v>153</v>
      </c>
      <c r="I3009" s="86">
        <v>41793</v>
      </c>
      <c r="J3009" s="78">
        <v>1201</v>
      </c>
      <c r="U3009" s="132" t="s">
        <v>154</v>
      </c>
      <c r="V3009" s="132" t="s">
        <v>298</v>
      </c>
      <c r="W3009" s="132" t="s">
        <v>267</v>
      </c>
      <c r="X3009" s="133">
        <v>41765</v>
      </c>
      <c r="Y3009" s="134">
        <v>989</v>
      </c>
    </row>
    <row r="3010" spans="6:25" x14ac:dyDescent="0.25">
      <c r="F3010" s="76" t="s">
        <v>150</v>
      </c>
      <c r="G3010" s="77" t="s">
        <v>169</v>
      </c>
      <c r="H3010" s="77" t="s">
        <v>153</v>
      </c>
      <c r="I3010" s="86">
        <v>41794</v>
      </c>
      <c r="J3010" s="78">
        <v>865</v>
      </c>
      <c r="U3010" s="132" t="s">
        <v>154</v>
      </c>
      <c r="V3010" s="132" t="s">
        <v>298</v>
      </c>
      <c r="W3010" s="132" t="s">
        <v>267</v>
      </c>
      <c r="X3010" s="133">
        <v>41766</v>
      </c>
      <c r="Y3010" s="134">
        <v>660</v>
      </c>
    </row>
    <row r="3011" spans="6:25" x14ac:dyDescent="0.25">
      <c r="F3011" s="76" t="s">
        <v>150</v>
      </c>
      <c r="G3011" s="77" t="s">
        <v>169</v>
      </c>
      <c r="H3011" s="77" t="s">
        <v>153</v>
      </c>
      <c r="I3011" s="86">
        <v>41795</v>
      </c>
      <c r="J3011" s="78">
        <v>823</v>
      </c>
      <c r="U3011" s="132" t="s">
        <v>154</v>
      </c>
      <c r="V3011" s="132" t="s">
        <v>298</v>
      </c>
      <c r="W3011" s="132" t="s">
        <v>267</v>
      </c>
      <c r="X3011" s="133">
        <v>41767</v>
      </c>
      <c r="Y3011" s="134">
        <v>623</v>
      </c>
    </row>
    <row r="3012" spans="6:25" x14ac:dyDescent="0.25">
      <c r="F3012" s="76" t="s">
        <v>150</v>
      </c>
      <c r="G3012" s="77" t="s">
        <v>169</v>
      </c>
      <c r="H3012" s="77" t="s">
        <v>153</v>
      </c>
      <c r="I3012" s="86">
        <v>41797</v>
      </c>
      <c r="J3012" s="78">
        <v>1209</v>
      </c>
      <c r="U3012" s="132" t="s">
        <v>154</v>
      </c>
      <c r="V3012" s="132" t="s">
        <v>298</v>
      </c>
      <c r="W3012" s="132" t="s">
        <v>267</v>
      </c>
      <c r="X3012" s="133">
        <v>41768</v>
      </c>
      <c r="Y3012" s="134">
        <v>342</v>
      </c>
    </row>
    <row r="3013" spans="6:25" x14ac:dyDescent="0.25">
      <c r="F3013" s="76" t="s">
        <v>150</v>
      </c>
      <c r="G3013" s="77" t="s">
        <v>169</v>
      </c>
      <c r="H3013" s="77" t="s">
        <v>153</v>
      </c>
      <c r="I3013" s="86">
        <v>41797</v>
      </c>
      <c r="J3013" s="78">
        <v>1138</v>
      </c>
      <c r="U3013" s="132" t="s">
        <v>154</v>
      </c>
      <c r="V3013" s="132" t="s">
        <v>298</v>
      </c>
      <c r="W3013" s="132" t="s">
        <v>267</v>
      </c>
      <c r="X3013" s="133">
        <v>41768</v>
      </c>
      <c r="Y3013" s="134">
        <v>711</v>
      </c>
    </row>
    <row r="3014" spans="6:25" x14ac:dyDescent="0.25">
      <c r="F3014" s="76" t="s">
        <v>150</v>
      </c>
      <c r="G3014" s="77" t="s">
        <v>169</v>
      </c>
      <c r="H3014" s="77" t="s">
        <v>153</v>
      </c>
      <c r="I3014" s="86">
        <v>41798</v>
      </c>
      <c r="J3014" s="78">
        <v>1250</v>
      </c>
      <c r="U3014" s="132" t="s">
        <v>154</v>
      </c>
      <c r="V3014" s="132" t="s">
        <v>298</v>
      </c>
      <c r="W3014" s="132" t="s">
        <v>267</v>
      </c>
      <c r="X3014" s="133">
        <v>41771</v>
      </c>
      <c r="Y3014" s="134">
        <v>1215</v>
      </c>
    </row>
    <row r="3015" spans="6:25" x14ac:dyDescent="0.25">
      <c r="F3015" s="76" t="s">
        <v>150</v>
      </c>
      <c r="G3015" s="77" t="s">
        <v>169</v>
      </c>
      <c r="H3015" s="77" t="s">
        <v>153</v>
      </c>
      <c r="I3015" s="86">
        <v>41802</v>
      </c>
      <c r="J3015" s="78">
        <v>717</v>
      </c>
      <c r="U3015" s="132" t="s">
        <v>154</v>
      </c>
      <c r="V3015" s="132" t="s">
        <v>298</v>
      </c>
      <c r="W3015" s="132" t="s">
        <v>267</v>
      </c>
      <c r="X3015" s="133">
        <v>41772</v>
      </c>
      <c r="Y3015" s="134">
        <v>1230</v>
      </c>
    </row>
    <row r="3016" spans="6:25" x14ac:dyDescent="0.25">
      <c r="F3016" s="76" t="s">
        <v>150</v>
      </c>
      <c r="G3016" s="77" t="s">
        <v>169</v>
      </c>
      <c r="H3016" s="77" t="s">
        <v>153</v>
      </c>
      <c r="I3016" s="86">
        <v>41832</v>
      </c>
      <c r="J3016" s="78">
        <v>720</v>
      </c>
      <c r="U3016" s="132" t="s">
        <v>154</v>
      </c>
      <c r="V3016" s="132" t="s">
        <v>298</v>
      </c>
      <c r="W3016" s="132" t="s">
        <v>267</v>
      </c>
      <c r="X3016" s="133">
        <v>41773</v>
      </c>
      <c r="Y3016" s="134">
        <v>970</v>
      </c>
    </row>
    <row r="3017" spans="6:25" x14ac:dyDescent="0.25">
      <c r="F3017" s="76" t="s">
        <v>150</v>
      </c>
      <c r="G3017" s="77" t="s">
        <v>169</v>
      </c>
      <c r="H3017" s="77" t="s">
        <v>153</v>
      </c>
      <c r="I3017" s="86">
        <v>41833</v>
      </c>
      <c r="J3017" s="78">
        <v>682</v>
      </c>
      <c r="U3017" s="132" t="s">
        <v>154</v>
      </c>
      <c r="V3017" s="132" t="s">
        <v>298</v>
      </c>
      <c r="W3017" s="132" t="s">
        <v>267</v>
      </c>
      <c r="X3017" s="133">
        <v>41774</v>
      </c>
      <c r="Y3017" s="134">
        <v>795</v>
      </c>
    </row>
    <row r="3018" spans="6:25" x14ac:dyDescent="0.25">
      <c r="F3018" s="76" t="s">
        <v>150</v>
      </c>
      <c r="G3018" s="77" t="s">
        <v>169</v>
      </c>
      <c r="H3018" s="77" t="s">
        <v>153</v>
      </c>
      <c r="I3018" s="86">
        <v>41834</v>
      </c>
      <c r="J3018" s="78">
        <v>613</v>
      </c>
      <c r="U3018" s="132" t="s">
        <v>154</v>
      </c>
      <c r="V3018" s="132" t="s">
        <v>298</v>
      </c>
      <c r="W3018" s="132" t="s">
        <v>267</v>
      </c>
      <c r="X3018" s="133">
        <v>41775</v>
      </c>
      <c r="Y3018" s="134">
        <v>597</v>
      </c>
    </row>
    <row r="3019" spans="6:25" x14ac:dyDescent="0.25">
      <c r="F3019" s="76" t="s">
        <v>150</v>
      </c>
      <c r="G3019" s="77" t="s">
        <v>169</v>
      </c>
      <c r="H3019" s="77" t="s">
        <v>153</v>
      </c>
      <c r="I3019" s="86">
        <v>41835</v>
      </c>
      <c r="J3019" s="78">
        <v>896</v>
      </c>
      <c r="U3019" s="132" t="s">
        <v>154</v>
      </c>
      <c r="V3019" s="132" t="s">
        <v>298</v>
      </c>
      <c r="W3019" s="132" t="s">
        <v>267</v>
      </c>
      <c r="X3019" s="133">
        <v>41777</v>
      </c>
      <c r="Y3019" s="134">
        <v>833</v>
      </c>
    </row>
    <row r="3020" spans="6:25" x14ac:dyDescent="0.25">
      <c r="F3020" s="76" t="s">
        <v>150</v>
      </c>
      <c r="G3020" s="77" t="s">
        <v>169</v>
      </c>
      <c r="H3020" s="77" t="s">
        <v>153</v>
      </c>
      <c r="I3020" s="86">
        <v>41838</v>
      </c>
      <c r="J3020" s="78">
        <v>1089</v>
      </c>
      <c r="U3020" s="132" t="s">
        <v>154</v>
      </c>
      <c r="V3020" s="132" t="s">
        <v>298</v>
      </c>
      <c r="W3020" s="132" t="s">
        <v>267</v>
      </c>
      <c r="X3020" s="133">
        <v>41778</v>
      </c>
      <c r="Y3020" s="134">
        <v>890</v>
      </c>
    </row>
    <row r="3021" spans="6:25" x14ac:dyDescent="0.25">
      <c r="F3021" s="76" t="s">
        <v>150</v>
      </c>
      <c r="G3021" s="77" t="s">
        <v>169</v>
      </c>
      <c r="H3021" s="77" t="s">
        <v>153</v>
      </c>
      <c r="I3021" s="86">
        <v>41841</v>
      </c>
      <c r="J3021" s="78">
        <v>437</v>
      </c>
      <c r="U3021" s="132" t="s">
        <v>154</v>
      </c>
      <c r="V3021" s="132" t="s">
        <v>298</v>
      </c>
      <c r="W3021" s="132" t="s">
        <v>267</v>
      </c>
      <c r="X3021" s="133">
        <v>41779</v>
      </c>
      <c r="Y3021" s="134">
        <v>684</v>
      </c>
    </row>
    <row r="3022" spans="6:25" x14ac:dyDescent="0.25">
      <c r="F3022" s="76" t="s">
        <v>150</v>
      </c>
      <c r="G3022" s="77" t="s">
        <v>169</v>
      </c>
      <c r="H3022" s="77" t="s">
        <v>153</v>
      </c>
      <c r="I3022" s="86">
        <v>41843</v>
      </c>
      <c r="J3022" s="78">
        <v>675</v>
      </c>
      <c r="U3022" s="132" t="s">
        <v>154</v>
      </c>
      <c r="V3022" s="132" t="s">
        <v>298</v>
      </c>
      <c r="W3022" s="132" t="s">
        <v>267</v>
      </c>
      <c r="X3022" s="133">
        <v>41779</v>
      </c>
      <c r="Y3022" s="134">
        <v>757</v>
      </c>
    </row>
    <row r="3023" spans="6:25" x14ac:dyDescent="0.25">
      <c r="F3023" s="76" t="s">
        <v>150</v>
      </c>
      <c r="G3023" s="77" t="s">
        <v>169</v>
      </c>
      <c r="H3023" s="77" t="s">
        <v>153</v>
      </c>
      <c r="I3023" s="86">
        <v>41844</v>
      </c>
      <c r="J3023" s="78">
        <v>882</v>
      </c>
      <c r="U3023" s="132" t="s">
        <v>154</v>
      </c>
      <c r="V3023" s="132" t="s">
        <v>298</v>
      </c>
      <c r="W3023" s="132" t="s">
        <v>267</v>
      </c>
      <c r="X3023" s="133">
        <v>41780</v>
      </c>
      <c r="Y3023" s="134">
        <v>905</v>
      </c>
    </row>
    <row r="3024" spans="6:25" x14ac:dyDescent="0.25">
      <c r="F3024" s="76" t="s">
        <v>150</v>
      </c>
      <c r="G3024" s="77" t="s">
        <v>169</v>
      </c>
      <c r="H3024" s="77" t="s">
        <v>153</v>
      </c>
      <c r="I3024" s="86">
        <v>41849</v>
      </c>
      <c r="J3024" s="78">
        <v>1040</v>
      </c>
      <c r="U3024" s="132" t="s">
        <v>154</v>
      </c>
      <c r="V3024" s="132" t="s">
        <v>298</v>
      </c>
      <c r="W3024" s="132" t="s">
        <v>267</v>
      </c>
      <c r="X3024" s="133">
        <v>41781</v>
      </c>
      <c r="Y3024" s="134">
        <v>903</v>
      </c>
    </row>
    <row r="3025" spans="6:25" x14ac:dyDescent="0.25">
      <c r="F3025" s="76" t="s">
        <v>150</v>
      </c>
      <c r="G3025" s="77" t="s">
        <v>169</v>
      </c>
      <c r="H3025" s="77" t="s">
        <v>153</v>
      </c>
      <c r="I3025" s="86">
        <v>41850</v>
      </c>
      <c r="J3025" s="78">
        <v>908</v>
      </c>
      <c r="U3025" s="132" t="s">
        <v>154</v>
      </c>
      <c r="V3025" s="132" t="s">
        <v>298</v>
      </c>
      <c r="W3025" s="132" t="s">
        <v>267</v>
      </c>
      <c r="X3025" s="133">
        <v>41781</v>
      </c>
      <c r="Y3025" s="134">
        <v>716</v>
      </c>
    </row>
    <row r="3026" spans="6:25" x14ac:dyDescent="0.25">
      <c r="F3026" s="76" t="s">
        <v>150</v>
      </c>
      <c r="G3026" s="77" t="s">
        <v>169</v>
      </c>
      <c r="H3026" s="77" t="s">
        <v>153</v>
      </c>
      <c r="I3026" s="86">
        <v>41852</v>
      </c>
      <c r="J3026" s="78">
        <v>1165</v>
      </c>
      <c r="U3026" s="132" t="s">
        <v>154</v>
      </c>
      <c r="V3026" s="132" t="s">
        <v>298</v>
      </c>
      <c r="W3026" s="132" t="s">
        <v>267</v>
      </c>
      <c r="X3026" s="133">
        <v>41782</v>
      </c>
      <c r="Y3026" s="134">
        <v>915</v>
      </c>
    </row>
    <row r="3027" spans="6:25" x14ac:dyDescent="0.25">
      <c r="F3027" s="76" t="s">
        <v>150</v>
      </c>
      <c r="G3027" s="77" t="s">
        <v>169</v>
      </c>
      <c r="H3027" s="77" t="s">
        <v>153</v>
      </c>
      <c r="I3027" s="86">
        <v>41852</v>
      </c>
      <c r="J3027" s="78">
        <v>1115</v>
      </c>
      <c r="U3027" s="132" t="s">
        <v>154</v>
      </c>
      <c r="V3027" s="132" t="s">
        <v>298</v>
      </c>
      <c r="W3027" s="132" t="s">
        <v>267</v>
      </c>
      <c r="X3027" s="133">
        <v>41785</v>
      </c>
      <c r="Y3027" s="134">
        <v>1200</v>
      </c>
    </row>
    <row r="3028" spans="6:25" x14ac:dyDescent="0.25">
      <c r="F3028" s="76" t="s">
        <v>150</v>
      </c>
      <c r="G3028" s="77" t="s">
        <v>169</v>
      </c>
      <c r="H3028" s="77" t="s">
        <v>153</v>
      </c>
      <c r="I3028" s="86">
        <v>41853</v>
      </c>
      <c r="J3028" s="78">
        <v>1164</v>
      </c>
      <c r="U3028" s="132" t="s">
        <v>154</v>
      </c>
      <c r="V3028" s="132" t="s">
        <v>298</v>
      </c>
      <c r="W3028" s="132" t="s">
        <v>267</v>
      </c>
      <c r="X3028" s="133">
        <v>41786</v>
      </c>
      <c r="Y3028" s="134">
        <v>520</v>
      </c>
    </row>
    <row r="3029" spans="6:25" x14ac:dyDescent="0.25">
      <c r="F3029" s="76" t="s">
        <v>150</v>
      </c>
      <c r="G3029" s="77" t="s">
        <v>169</v>
      </c>
      <c r="H3029" s="77" t="s">
        <v>153</v>
      </c>
      <c r="I3029" s="86">
        <v>41854</v>
      </c>
      <c r="J3029" s="78">
        <v>1174</v>
      </c>
      <c r="U3029" s="132" t="s">
        <v>154</v>
      </c>
      <c r="V3029" s="132" t="s">
        <v>298</v>
      </c>
      <c r="W3029" s="132" t="s">
        <v>267</v>
      </c>
      <c r="X3029" s="133">
        <v>41787</v>
      </c>
      <c r="Y3029" s="134">
        <v>1341</v>
      </c>
    </row>
    <row r="3030" spans="6:25" x14ac:dyDescent="0.25">
      <c r="F3030" s="76" t="s">
        <v>150</v>
      </c>
      <c r="G3030" s="77" t="s">
        <v>169</v>
      </c>
      <c r="H3030" s="77" t="s">
        <v>153</v>
      </c>
      <c r="I3030" s="86">
        <v>41856</v>
      </c>
      <c r="J3030" s="78">
        <v>1281</v>
      </c>
      <c r="U3030" s="132" t="s">
        <v>154</v>
      </c>
      <c r="V3030" s="132" t="s">
        <v>298</v>
      </c>
      <c r="W3030" s="132" t="s">
        <v>267</v>
      </c>
      <c r="X3030" s="133">
        <v>41788</v>
      </c>
      <c r="Y3030" s="134">
        <v>1013</v>
      </c>
    </row>
    <row r="3031" spans="6:25" x14ac:dyDescent="0.25">
      <c r="F3031" s="76" t="s">
        <v>150</v>
      </c>
      <c r="G3031" s="77" t="s">
        <v>169</v>
      </c>
      <c r="H3031" s="77" t="s">
        <v>153</v>
      </c>
      <c r="I3031" s="86">
        <v>41857</v>
      </c>
      <c r="J3031" s="78">
        <v>728</v>
      </c>
      <c r="U3031" s="132" t="s">
        <v>154</v>
      </c>
      <c r="V3031" s="132" t="s">
        <v>298</v>
      </c>
      <c r="W3031" s="132" t="s">
        <v>267</v>
      </c>
      <c r="X3031" s="133">
        <v>41789</v>
      </c>
      <c r="Y3031" s="134">
        <v>995</v>
      </c>
    </row>
    <row r="3032" spans="6:25" x14ac:dyDescent="0.25">
      <c r="F3032" s="76" t="s">
        <v>150</v>
      </c>
      <c r="G3032" s="77" t="s">
        <v>169</v>
      </c>
      <c r="H3032" s="77" t="s">
        <v>153</v>
      </c>
      <c r="I3032" s="86">
        <v>41859</v>
      </c>
      <c r="J3032" s="78">
        <v>882</v>
      </c>
      <c r="U3032" s="132" t="s">
        <v>154</v>
      </c>
      <c r="V3032" s="132" t="s">
        <v>298</v>
      </c>
      <c r="W3032" s="132" t="s">
        <v>267</v>
      </c>
      <c r="X3032" s="133">
        <v>41791</v>
      </c>
      <c r="Y3032" s="134">
        <v>291</v>
      </c>
    </row>
    <row r="3033" spans="6:25" x14ac:dyDescent="0.25">
      <c r="F3033" s="76" t="s">
        <v>150</v>
      </c>
      <c r="G3033" s="77" t="s">
        <v>169</v>
      </c>
      <c r="H3033" s="77" t="s">
        <v>153</v>
      </c>
      <c r="I3033" s="86">
        <v>41862</v>
      </c>
      <c r="J3033" s="78">
        <v>538</v>
      </c>
      <c r="U3033" s="132" t="s">
        <v>154</v>
      </c>
      <c r="V3033" s="132" t="s">
        <v>298</v>
      </c>
      <c r="W3033" s="132" t="s">
        <v>267</v>
      </c>
      <c r="X3033" s="133">
        <v>41792</v>
      </c>
      <c r="Y3033" s="134">
        <v>303</v>
      </c>
    </row>
    <row r="3034" spans="6:25" x14ac:dyDescent="0.25">
      <c r="F3034" s="76" t="s">
        <v>150</v>
      </c>
      <c r="G3034" s="77" t="s">
        <v>169</v>
      </c>
      <c r="H3034" s="77" t="s">
        <v>153</v>
      </c>
      <c r="I3034" s="86">
        <v>41864</v>
      </c>
      <c r="J3034" s="78">
        <v>760</v>
      </c>
      <c r="U3034" s="132" t="s">
        <v>154</v>
      </c>
      <c r="V3034" s="132" t="s">
        <v>298</v>
      </c>
      <c r="W3034" s="132" t="s">
        <v>267</v>
      </c>
      <c r="X3034" s="133">
        <v>41792</v>
      </c>
      <c r="Y3034" s="134">
        <v>752</v>
      </c>
    </row>
    <row r="3035" spans="6:25" x14ac:dyDescent="0.25">
      <c r="F3035" s="76" t="s">
        <v>150</v>
      </c>
      <c r="G3035" s="77" t="s">
        <v>169</v>
      </c>
      <c r="H3035" s="77" t="s">
        <v>153</v>
      </c>
      <c r="I3035" s="86">
        <v>41866</v>
      </c>
      <c r="J3035" s="78">
        <v>876</v>
      </c>
      <c r="U3035" s="132" t="s">
        <v>154</v>
      </c>
      <c r="V3035" s="132" t="s">
        <v>298</v>
      </c>
      <c r="W3035" s="132" t="s">
        <v>267</v>
      </c>
      <c r="X3035" s="133">
        <v>41793</v>
      </c>
      <c r="Y3035" s="134">
        <v>312</v>
      </c>
    </row>
    <row r="3036" spans="6:25" x14ac:dyDescent="0.25">
      <c r="F3036" s="76" t="s">
        <v>150</v>
      </c>
      <c r="G3036" s="77" t="s">
        <v>169</v>
      </c>
      <c r="H3036" s="77" t="s">
        <v>153</v>
      </c>
      <c r="I3036" s="86">
        <v>41868</v>
      </c>
      <c r="J3036" s="78">
        <v>818</v>
      </c>
      <c r="U3036" s="132" t="s">
        <v>154</v>
      </c>
      <c r="V3036" s="132" t="s">
        <v>298</v>
      </c>
      <c r="W3036" s="132" t="s">
        <v>267</v>
      </c>
      <c r="X3036" s="133">
        <v>41793</v>
      </c>
      <c r="Y3036" s="134">
        <v>681</v>
      </c>
    </row>
    <row r="3037" spans="6:25" x14ac:dyDescent="0.25">
      <c r="F3037" s="76" t="s">
        <v>150</v>
      </c>
      <c r="G3037" s="77" t="s">
        <v>169</v>
      </c>
      <c r="H3037" s="77" t="s">
        <v>153</v>
      </c>
      <c r="I3037" s="86">
        <v>41870</v>
      </c>
      <c r="J3037" s="78">
        <v>955</v>
      </c>
      <c r="U3037" s="132" t="s">
        <v>154</v>
      </c>
      <c r="V3037" s="132" t="s">
        <v>298</v>
      </c>
      <c r="W3037" s="132" t="s">
        <v>267</v>
      </c>
      <c r="X3037" s="133">
        <v>41794</v>
      </c>
      <c r="Y3037" s="134">
        <v>682</v>
      </c>
    </row>
    <row r="3038" spans="6:25" x14ac:dyDescent="0.25">
      <c r="F3038" s="76" t="s">
        <v>150</v>
      </c>
      <c r="G3038" s="77" t="s">
        <v>169</v>
      </c>
      <c r="H3038" s="77" t="s">
        <v>153</v>
      </c>
      <c r="I3038" s="86">
        <v>41871</v>
      </c>
      <c r="J3038" s="78">
        <v>1038</v>
      </c>
      <c r="U3038" s="132" t="s">
        <v>154</v>
      </c>
      <c r="V3038" s="132" t="s">
        <v>298</v>
      </c>
      <c r="W3038" s="132" t="s">
        <v>267</v>
      </c>
      <c r="X3038" s="133">
        <v>41794</v>
      </c>
      <c r="Y3038" s="134">
        <v>607</v>
      </c>
    </row>
    <row r="3039" spans="6:25" x14ac:dyDescent="0.25">
      <c r="F3039" s="76" t="s">
        <v>150</v>
      </c>
      <c r="G3039" s="77" t="s">
        <v>169</v>
      </c>
      <c r="H3039" s="77" t="s">
        <v>153</v>
      </c>
      <c r="I3039" s="86">
        <v>41872</v>
      </c>
      <c r="J3039" s="78">
        <v>496</v>
      </c>
      <c r="U3039" s="132" t="s">
        <v>154</v>
      </c>
      <c r="V3039" s="132" t="s">
        <v>298</v>
      </c>
      <c r="W3039" s="132" t="s">
        <v>267</v>
      </c>
      <c r="X3039" s="133">
        <v>41795</v>
      </c>
      <c r="Y3039" s="134">
        <v>855</v>
      </c>
    </row>
    <row r="3040" spans="6:25" x14ac:dyDescent="0.25">
      <c r="F3040" s="76" t="s">
        <v>150</v>
      </c>
      <c r="G3040" s="77" t="s">
        <v>169</v>
      </c>
      <c r="H3040" s="77" t="s">
        <v>153</v>
      </c>
      <c r="I3040" s="86">
        <v>41873</v>
      </c>
      <c r="J3040" s="78">
        <v>885</v>
      </c>
      <c r="U3040" s="132" t="s">
        <v>154</v>
      </c>
      <c r="V3040" s="132" t="s">
        <v>298</v>
      </c>
      <c r="W3040" s="132" t="s">
        <v>267</v>
      </c>
      <c r="X3040" s="133">
        <v>41795</v>
      </c>
      <c r="Y3040" s="134">
        <v>314</v>
      </c>
    </row>
    <row r="3041" spans="6:25" x14ac:dyDescent="0.25">
      <c r="F3041" s="76" t="s">
        <v>150</v>
      </c>
      <c r="G3041" s="77" t="s">
        <v>169</v>
      </c>
      <c r="H3041" s="77" t="s">
        <v>153</v>
      </c>
      <c r="I3041" s="86">
        <v>41876</v>
      </c>
      <c r="J3041" s="78">
        <v>1027</v>
      </c>
      <c r="U3041" s="132" t="s">
        <v>154</v>
      </c>
      <c r="V3041" s="132" t="s">
        <v>298</v>
      </c>
      <c r="W3041" s="132" t="s">
        <v>267</v>
      </c>
      <c r="X3041" s="133">
        <v>41796</v>
      </c>
      <c r="Y3041" s="134">
        <v>758</v>
      </c>
    </row>
    <row r="3042" spans="6:25" x14ac:dyDescent="0.25">
      <c r="F3042" s="76" t="s">
        <v>150</v>
      </c>
      <c r="G3042" s="77" t="s">
        <v>169</v>
      </c>
      <c r="H3042" s="77" t="s">
        <v>153</v>
      </c>
      <c r="I3042" s="86">
        <v>41878</v>
      </c>
      <c r="J3042" s="78">
        <v>528</v>
      </c>
      <c r="U3042" s="132" t="s">
        <v>154</v>
      </c>
      <c r="V3042" s="132" t="s">
        <v>298</v>
      </c>
      <c r="W3042" s="132" t="s">
        <v>267</v>
      </c>
      <c r="X3042" s="133">
        <v>41796</v>
      </c>
      <c r="Y3042" s="134">
        <v>275</v>
      </c>
    </row>
    <row r="3043" spans="6:25" x14ac:dyDescent="0.25">
      <c r="F3043" s="76" t="s">
        <v>150</v>
      </c>
      <c r="G3043" s="77" t="s">
        <v>169</v>
      </c>
      <c r="H3043" s="77" t="s">
        <v>153</v>
      </c>
      <c r="I3043" s="86">
        <v>41879</v>
      </c>
      <c r="J3043" s="78">
        <v>812</v>
      </c>
      <c r="U3043" s="132" t="s">
        <v>154</v>
      </c>
      <c r="V3043" s="132" t="s">
        <v>298</v>
      </c>
      <c r="W3043" s="132" t="s">
        <v>267</v>
      </c>
      <c r="X3043" s="133">
        <v>41798</v>
      </c>
      <c r="Y3043" s="134">
        <v>70</v>
      </c>
    </row>
    <row r="3044" spans="6:25" x14ac:dyDescent="0.25">
      <c r="F3044" s="76" t="s">
        <v>150</v>
      </c>
      <c r="G3044" s="77" t="s">
        <v>169</v>
      </c>
      <c r="H3044" s="77" t="s">
        <v>153</v>
      </c>
      <c r="I3044" s="86">
        <v>41880</v>
      </c>
      <c r="J3044" s="78">
        <v>788</v>
      </c>
      <c r="U3044" s="132" t="s">
        <v>154</v>
      </c>
      <c r="V3044" s="132" t="s">
        <v>298</v>
      </c>
      <c r="W3044" s="132" t="s">
        <v>267</v>
      </c>
      <c r="X3044" s="133">
        <v>41799</v>
      </c>
      <c r="Y3044" s="134">
        <v>348</v>
      </c>
    </row>
    <row r="3045" spans="6:25" x14ac:dyDescent="0.25">
      <c r="F3045" s="76" t="s">
        <v>150</v>
      </c>
      <c r="G3045" s="77" t="s">
        <v>169</v>
      </c>
      <c r="H3045" s="77" t="s">
        <v>153</v>
      </c>
      <c r="I3045" s="86">
        <v>41881</v>
      </c>
      <c r="J3045" s="78">
        <v>846</v>
      </c>
      <c r="U3045" s="132" t="s">
        <v>154</v>
      </c>
      <c r="V3045" s="132" t="s">
        <v>298</v>
      </c>
      <c r="W3045" s="132" t="s">
        <v>267</v>
      </c>
      <c r="X3045" s="133">
        <v>41799</v>
      </c>
      <c r="Y3045" s="134">
        <v>790</v>
      </c>
    </row>
    <row r="3046" spans="6:25" x14ac:dyDescent="0.25">
      <c r="F3046" s="76" t="s">
        <v>150</v>
      </c>
      <c r="G3046" s="77" t="s">
        <v>169</v>
      </c>
      <c r="H3046" s="77" t="s">
        <v>153</v>
      </c>
      <c r="I3046" s="86">
        <v>41882</v>
      </c>
      <c r="J3046" s="78">
        <v>786</v>
      </c>
      <c r="U3046" s="132" t="s">
        <v>154</v>
      </c>
      <c r="V3046" s="132" t="s">
        <v>298</v>
      </c>
      <c r="W3046" s="132" t="s">
        <v>267</v>
      </c>
      <c r="X3046" s="133">
        <v>41800</v>
      </c>
      <c r="Y3046" s="134">
        <v>618</v>
      </c>
    </row>
    <row r="3047" spans="6:25" x14ac:dyDescent="0.25">
      <c r="F3047" s="76" t="s">
        <v>150</v>
      </c>
      <c r="G3047" s="77" t="s">
        <v>169</v>
      </c>
      <c r="H3047" s="77" t="s">
        <v>153</v>
      </c>
      <c r="I3047" s="86">
        <v>41883</v>
      </c>
      <c r="J3047" s="78">
        <v>1016</v>
      </c>
      <c r="U3047" s="132" t="s">
        <v>154</v>
      </c>
      <c r="V3047" s="132" t="s">
        <v>298</v>
      </c>
      <c r="W3047" s="132" t="s">
        <v>267</v>
      </c>
      <c r="X3047" s="133">
        <v>41800</v>
      </c>
      <c r="Y3047" s="134">
        <v>520</v>
      </c>
    </row>
    <row r="3048" spans="6:25" x14ac:dyDescent="0.25">
      <c r="F3048" s="76" t="s">
        <v>150</v>
      </c>
      <c r="G3048" s="77" t="s">
        <v>169</v>
      </c>
      <c r="H3048" s="77" t="s">
        <v>153</v>
      </c>
      <c r="I3048" s="86">
        <v>41885</v>
      </c>
      <c r="J3048" s="78">
        <v>1316</v>
      </c>
      <c r="U3048" s="132" t="s">
        <v>154</v>
      </c>
      <c r="V3048" s="132" t="s">
        <v>298</v>
      </c>
      <c r="W3048" s="132" t="s">
        <v>267</v>
      </c>
      <c r="X3048" s="133">
        <v>41801</v>
      </c>
      <c r="Y3048" s="134">
        <v>765</v>
      </c>
    </row>
    <row r="3049" spans="6:25" x14ac:dyDescent="0.25">
      <c r="F3049" s="76" t="s">
        <v>150</v>
      </c>
      <c r="G3049" s="77" t="s">
        <v>169</v>
      </c>
      <c r="H3049" s="77" t="s">
        <v>153</v>
      </c>
      <c r="I3049" s="86">
        <v>41887</v>
      </c>
      <c r="J3049" s="78">
        <v>1001</v>
      </c>
      <c r="U3049" s="132" t="s">
        <v>154</v>
      </c>
      <c r="V3049" s="132" t="s">
        <v>298</v>
      </c>
      <c r="W3049" s="132" t="s">
        <v>267</v>
      </c>
      <c r="X3049" s="133">
        <v>41802</v>
      </c>
      <c r="Y3049" s="134">
        <v>1107</v>
      </c>
    </row>
    <row r="3050" spans="6:25" x14ac:dyDescent="0.25">
      <c r="F3050" s="76" t="s">
        <v>150</v>
      </c>
      <c r="G3050" s="77" t="s">
        <v>169</v>
      </c>
      <c r="H3050" s="77" t="s">
        <v>153</v>
      </c>
      <c r="I3050" s="86">
        <v>41890</v>
      </c>
      <c r="J3050" s="78">
        <v>891</v>
      </c>
      <c r="U3050" s="132" t="s">
        <v>154</v>
      </c>
      <c r="V3050" s="132" t="s">
        <v>298</v>
      </c>
      <c r="W3050" s="132" t="s">
        <v>267</v>
      </c>
      <c r="X3050" s="133">
        <v>41803</v>
      </c>
      <c r="Y3050" s="134">
        <v>781</v>
      </c>
    </row>
    <row r="3051" spans="6:25" x14ac:dyDescent="0.25">
      <c r="F3051" s="76" t="s">
        <v>150</v>
      </c>
      <c r="G3051" s="77" t="s">
        <v>169</v>
      </c>
      <c r="H3051" s="77" t="s">
        <v>153</v>
      </c>
      <c r="I3051" s="86">
        <v>41891</v>
      </c>
      <c r="J3051" s="78">
        <v>835</v>
      </c>
      <c r="U3051" s="132" t="s">
        <v>154</v>
      </c>
      <c r="V3051" s="132" t="s">
        <v>298</v>
      </c>
      <c r="W3051" s="132" t="s">
        <v>267</v>
      </c>
      <c r="X3051" s="133">
        <v>41805</v>
      </c>
      <c r="Y3051" s="134">
        <v>752</v>
      </c>
    </row>
    <row r="3052" spans="6:25" x14ac:dyDescent="0.25">
      <c r="F3052" s="76" t="s">
        <v>150</v>
      </c>
      <c r="G3052" s="77" t="s">
        <v>169</v>
      </c>
      <c r="H3052" s="77" t="s">
        <v>153</v>
      </c>
      <c r="I3052" s="86">
        <v>41893</v>
      </c>
      <c r="J3052" s="78">
        <v>803</v>
      </c>
      <c r="U3052" s="132" t="s">
        <v>154</v>
      </c>
      <c r="V3052" s="132" t="s">
        <v>298</v>
      </c>
      <c r="W3052" s="132" t="s">
        <v>267</v>
      </c>
      <c r="X3052" s="133">
        <v>41806</v>
      </c>
      <c r="Y3052" s="134">
        <v>728</v>
      </c>
    </row>
    <row r="3053" spans="6:25" x14ac:dyDescent="0.25">
      <c r="F3053" s="76" t="s">
        <v>150</v>
      </c>
      <c r="G3053" s="77" t="s">
        <v>169</v>
      </c>
      <c r="H3053" s="77" t="s">
        <v>153</v>
      </c>
      <c r="I3053" s="86">
        <v>41895</v>
      </c>
      <c r="J3053" s="78">
        <v>1260</v>
      </c>
      <c r="U3053" s="132" t="s">
        <v>154</v>
      </c>
      <c r="V3053" s="132" t="s">
        <v>298</v>
      </c>
      <c r="W3053" s="132" t="s">
        <v>267</v>
      </c>
      <c r="X3053" s="133">
        <v>41806</v>
      </c>
      <c r="Y3053" s="134">
        <v>514</v>
      </c>
    </row>
    <row r="3054" spans="6:25" x14ac:dyDescent="0.25">
      <c r="F3054" s="76" t="s">
        <v>150</v>
      </c>
      <c r="G3054" s="77" t="s">
        <v>169</v>
      </c>
      <c r="H3054" s="77" t="s">
        <v>153</v>
      </c>
      <c r="I3054" s="86">
        <v>41895</v>
      </c>
      <c r="J3054" s="78">
        <v>1179</v>
      </c>
      <c r="U3054" s="132" t="s">
        <v>154</v>
      </c>
      <c r="V3054" s="132" t="s">
        <v>298</v>
      </c>
      <c r="W3054" s="132" t="s">
        <v>267</v>
      </c>
      <c r="X3054" s="133">
        <v>41807</v>
      </c>
      <c r="Y3054" s="134">
        <v>790</v>
      </c>
    </row>
    <row r="3055" spans="6:25" x14ac:dyDescent="0.25">
      <c r="F3055" s="76" t="s">
        <v>150</v>
      </c>
      <c r="G3055" s="77" t="s">
        <v>169</v>
      </c>
      <c r="H3055" s="77" t="s">
        <v>153</v>
      </c>
      <c r="I3055" s="86">
        <v>41896</v>
      </c>
      <c r="J3055" s="78">
        <v>1063</v>
      </c>
      <c r="U3055" s="132" t="s">
        <v>154</v>
      </c>
      <c r="V3055" s="132" t="s">
        <v>298</v>
      </c>
      <c r="W3055" s="132" t="s">
        <v>267</v>
      </c>
      <c r="X3055" s="133">
        <v>41807</v>
      </c>
      <c r="Y3055" s="134">
        <v>306</v>
      </c>
    </row>
    <row r="3056" spans="6:25" x14ac:dyDescent="0.25">
      <c r="F3056" s="76" t="s">
        <v>150</v>
      </c>
      <c r="G3056" s="77" t="s">
        <v>169</v>
      </c>
      <c r="H3056" s="77" t="s">
        <v>153</v>
      </c>
      <c r="I3056" s="86">
        <v>41897</v>
      </c>
      <c r="J3056" s="78">
        <v>1339</v>
      </c>
      <c r="U3056" s="132" t="s">
        <v>154</v>
      </c>
      <c r="V3056" s="132" t="s">
        <v>298</v>
      </c>
      <c r="W3056" s="132" t="s">
        <v>267</v>
      </c>
      <c r="X3056" s="133">
        <v>41808</v>
      </c>
      <c r="Y3056" s="134">
        <v>817</v>
      </c>
    </row>
    <row r="3057" spans="5:25" x14ac:dyDescent="0.25">
      <c r="F3057" s="76" t="s">
        <v>150</v>
      </c>
      <c r="G3057" s="77" t="s">
        <v>169</v>
      </c>
      <c r="H3057" s="77" t="s">
        <v>153</v>
      </c>
      <c r="I3057" s="86">
        <v>41898</v>
      </c>
      <c r="J3057" s="78">
        <v>1101</v>
      </c>
      <c r="U3057" s="132" t="s">
        <v>154</v>
      </c>
      <c r="V3057" s="132" t="s">
        <v>298</v>
      </c>
      <c r="W3057" s="132" t="s">
        <v>267</v>
      </c>
      <c r="X3057" s="133">
        <v>41809</v>
      </c>
      <c r="Y3057" s="134">
        <v>653</v>
      </c>
    </row>
    <row r="3058" spans="5:25" x14ac:dyDescent="0.25">
      <c r="F3058" s="76" t="s">
        <v>150</v>
      </c>
      <c r="G3058" s="77" t="s">
        <v>169</v>
      </c>
      <c r="H3058" s="77" t="s">
        <v>153</v>
      </c>
      <c r="I3058" s="86">
        <v>41899</v>
      </c>
      <c r="J3058" s="78">
        <v>1034</v>
      </c>
      <c r="U3058" s="132" t="s">
        <v>154</v>
      </c>
      <c r="V3058" s="132" t="s">
        <v>298</v>
      </c>
      <c r="W3058" s="132" t="s">
        <v>267</v>
      </c>
      <c r="X3058" s="133">
        <v>41863</v>
      </c>
      <c r="Y3058" s="134">
        <v>578</v>
      </c>
    </row>
    <row r="3059" spans="5:25" x14ac:dyDescent="0.25">
      <c r="F3059" s="76" t="s">
        <v>150</v>
      </c>
      <c r="G3059" s="77" t="s">
        <v>169</v>
      </c>
      <c r="H3059" s="77" t="s">
        <v>153</v>
      </c>
      <c r="I3059" s="86">
        <v>41901</v>
      </c>
      <c r="J3059" s="78">
        <v>876</v>
      </c>
      <c r="U3059" s="132" t="s">
        <v>154</v>
      </c>
      <c r="V3059" s="132" t="s">
        <v>298</v>
      </c>
      <c r="W3059" s="132" t="s">
        <v>267</v>
      </c>
      <c r="X3059" s="133">
        <v>41864</v>
      </c>
      <c r="Y3059" s="134">
        <v>646</v>
      </c>
    </row>
    <row r="3060" spans="5:25" x14ac:dyDescent="0.25">
      <c r="F3060" s="76" t="s">
        <v>150</v>
      </c>
      <c r="G3060" s="77" t="s">
        <v>169</v>
      </c>
      <c r="H3060" s="77" t="s">
        <v>153</v>
      </c>
      <c r="I3060" s="86">
        <v>41901</v>
      </c>
      <c r="J3060" s="78">
        <v>974</v>
      </c>
      <c r="U3060" s="132" t="s">
        <v>154</v>
      </c>
      <c r="V3060" s="132" t="s">
        <v>298</v>
      </c>
      <c r="W3060" s="132" t="s">
        <v>267</v>
      </c>
      <c r="X3060" s="133">
        <v>41865</v>
      </c>
      <c r="Y3060" s="134">
        <v>522</v>
      </c>
    </row>
    <row r="3061" spans="5:25" x14ac:dyDescent="0.25">
      <c r="E3061" t="s">
        <v>351</v>
      </c>
      <c r="F3061" s="76" t="s">
        <v>150</v>
      </c>
      <c r="G3061" s="77" t="s">
        <v>195</v>
      </c>
      <c r="H3061" s="77" t="s">
        <v>158</v>
      </c>
      <c r="I3061" s="86">
        <v>41636</v>
      </c>
      <c r="J3061" s="78">
        <v>698</v>
      </c>
      <c r="U3061" s="132" t="s">
        <v>154</v>
      </c>
      <c r="V3061" s="132" t="s">
        <v>298</v>
      </c>
      <c r="W3061" s="132" t="s">
        <v>267</v>
      </c>
      <c r="X3061" s="133">
        <v>41866</v>
      </c>
      <c r="Y3061" s="134">
        <v>844</v>
      </c>
    </row>
    <row r="3062" spans="5:25" x14ac:dyDescent="0.25">
      <c r="E3062" t="s">
        <v>351</v>
      </c>
      <c r="F3062" s="76" t="s">
        <v>150</v>
      </c>
      <c r="G3062" s="77" t="s">
        <v>195</v>
      </c>
      <c r="H3062" s="77" t="s">
        <v>158</v>
      </c>
      <c r="I3062" s="86">
        <v>41636</v>
      </c>
      <c r="J3062" s="78">
        <v>837</v>
      </c>
      <c r="U3062" s="132" t="s">
        <v>154</v>
      </c>
      <c r="V3062" s="132" t="s">
        <v>298</v>
      </c>
      <c r="W3062" s="132" t="s">
        <v>267</v>
      </c>
      <c r="X3062" s="133">
        <v>41867</v>
      </c>
      <c r="Y3062" s="134">
        <v>499</v>
      </c>
    </row>
    <row r="3063" spans="5:25" x14ac:dyDescent="0.25">
      <c r="E3063" t="s">
        <v>351</v>
      </c>
      <c r="F3063" s="76" t="s">
        <v>150</v>
      </c>
      <c r="G3063" s="77" t="s">
        <v>195</v>
      </c>
      <c r="H3063" s="77" t="s">
        <v>158</v>
      </c>
      <c r="I3063" s="86">
        <v>41637</v>
      </c>
      <c r="J3063" s="78">
        <v>744</v>
      </c>
      <c r="U3063" s="132" t="s">
        <v>154</v>
      </c>
      <c r="V3063" s="132" t="s">
        <v>298</v>
      </c>
      <c r="W3063" s="132" t="s">
        <v>267</v>
      </c>
      <c r="X3063" s="133">
        <v>41867</v>
      </c>
      <c r="Y3063" s="134">
        <v>842</v>
      </c>
    </row>
    <row r="3064" spans="5:25" x14ac:dyDescent="0.25">
      <c r="E3064" t="s">
        <v>351</v>
      </c>
      <c r="F3064" s="76" t="s">
        <v>150</v>
      </c>
      <c r="G3064" s="77" t="s">
        <v>195</v>
      </c>
      <c r="H3064" s="77" t="s">
        <v>158</v>
      </c>
      <c r="I3064" s="86">
        <v>41639</v>
      </c>
      <c r="J3064" s="78">
        <v>1232</v>
      </c>
      <c r="U3064" s="132" t="s">
        <v>154</v>
      </c>
      <c r="V3064" s="132" t="s">
        <v>298</v>
      </c>
      <c r="W3064" s="132" t="s">
        <v>267</v>
      </c>
      <c r="X3064" s="133">
        <v>41868</v>
      </c>
      <c r="Y3064" s="134">
        <v>711</v>
      </c>
    </row>
    <row r="3065" spans="5:25" x14ac:dyDescent="0.25">
      <c r="F3065" s="76" t="s">
        <v>150</v>
      </c>
      <c r="G3065" s="77" t="s">
        <v>195</v>
      </c>
      <c r="H3065" s="77" t="s">
        <v>158</v>
      </c>
      <c r="I3065" s="86">
        <v>41645</v>
      </c>
      <c r="J3065" s="78">
        <v>1702</v>
      </c>
      <c r="U3065" s="132" t="s">
        <v>154</v>
      </c>
      <c r="V3065" s="132" t="s">
        <v>298</v>
      </c>
      <c r="W3065" s="132" t="s">
        <v>267</v>
      </c>
      <c r="X3065" s="133">
        <v>41868</v>
      </c>
      <c r="Y3065" s="134">
        <v>763</v>
      </c>
    </row>
    <row r="3066" spans="5:25" x14ac:dyDescent="0.25">
      <c r="F3066" s="76" t="s">
        <v>150</v>
      </c>
      <c r="G3066" s="77" t="s">
        <v>195</v>
      </c>
      <c r="H3066" s="77" t="s">
        <v>158</v>
      </c>
      <c r="I3066" s="86">
        <v>41647</v>
      </c>
      <c r="J3066" s="78">
        <v>1301</v>
      </c>
      <c r="U3066" s="132" t="s">
        <v>154</v>
      </c>
      <c r="V3066" s="132" t="s">
        <v>298</v>
      </c>
      <c r="W3066" s="132" t="s">
        <v>267</v>
      </c>
      <c r="X3066" s="133">
        <v>41988</v>
      </c>
      <c r="Y3066" s="134">
        <v>445</v>
      </c>
    </row>
    <row r="3067" spans="5:25" x14ac:dyDescent="0.25">
      <c r="F3067" s="76" t="s">
        <v>150</v>
      </c>
      <c r="G3067" s="77" t="s">
        <v>195</v>
      </c>
      <c r="H3067" s="77" t="s">
        <v>158</v>
      </c>
      <c r="I3067" s="86">
        <v>41647</v>
      </c>
      <c r="J3067" s="78">
        <v>258</v>
      </c>
      <c r="U3067" s="132" t="s">
        <v>154</v>
      </c>
      <c r="V3067" s="132" t="s">
        <v>298</v>
      </c>
      <c r="W3067" s="132" t="s">
        <v>267</v>
      </c>
      <c r="X3067" s="133">
        <v>41988</v>
      </c>
      <c r="Y3067" s="134">
        <v>531</v>
      </c>
    </row>
    <row r="3068" spans="5:25" x14ac:dyDescent="0.25">
      <c r="F3068" s="76" t="s">
        <v>150</v>
      </c>
      <c r="G3068" s="77" t="s">
        <v>195</v>
      </c>
      <c r="H3068" s="77" t="s">
        <v>158</v>
      </c>
      <c r="I3068" s="86">
        <v>41649</v>
      </c>
      <c r="J3068" s="78">
        <v>903</v>
      </c>
      <c r="U3068" s="132" t="s">
        <v>154</v>
      </c>
      <c r="V3068" s="132" t="s">
        <v>298</v>
      </c>
      <c r="W3068" s="132" t="s">
        <v>267</v>
      </c>
      <c r="X3068" s="133">
        <v>41989</v>
      </c>
      <c r="Y3068" s="134">
        <v>621</v>
      </c>
    </row>
    <row r="3069" spans="5:25" x14ac:dyDescent="0.25">
      <c r="F3069" s="76" t="s">
        <v>150</v>
      </c>
      <c r="G3069" s="77" t="s">
        <v>195</v>
      </c>
      <c r="H3069" s="77" t="s">
        <v>158</v>
      </c>
      <c r="I3069" s="86">
        <v>41650</v>
      </c>
      <c r="J3069" s="78">
        <v>621</v>
      </c>
      <c r="U3069" s="132" t="s">
        <v>154</v>
      </c>
      <c r="V3069" s="132" t="s">
        <v>298</v>
      </c>
      <c r="W3069" s="132" t="s">
        <v>267</v>
      </c>
      <c r="X3069" s="133">
        <v>41990</v>
      </c>
      <c r="Y3069" s="134">
        <v>527</v>
      </c>
    </row>
    <row r="3070" spans="5:25" x14ac:dyDescent="0.25">
      <c r="F3070" s="76" t="s">
        <v>150</v>
      </c>
      <c r="G3070" s="77" t="s">
        <v>195</v>
      </c>
      <c r="H3070" s="77" t="s">
        <v>158</v>
      </c>
      <c r="I3070" s="86">
        <v>41652</v>
      </c>
      <c r="J3070" s="78">
        <v>900</v>
      </c>
      <c r="U3070" s="132" t="s">
        <v>154</v>
      </c>
      <c r="V3070" s="132" t="s">
        <v>298</v>
      </c>
      <c r="W3070" s="132" t="s">
        <v>267</v>
      </c>
      <c r="X3070" s="133">
        <v>41991</v>
      </c>
      <c r="Y3070" s="134">
        <v>390</v>
      </c>
    </row>
    <row r="3071" spans="5:25" x14ac:dyDescent="0.25">
      <c r="F3071" s="76" t="s">
        <v>150</v>
      </c>
      <c r="G3071" s="77" t="s">
        <v>195</v>
      </c>
      <c r="H3071" s="77" t="s">
        <v>158</v>
      </c>
      <c r="I3071" s="86">
        <v>41659</v>
      </c>
      <c r="J3071" s="78">
        <v>1351</v>
      </c>
      <c r="U3071" s="132" t="s">
        <v>154</v>
      </c>
      <c r="V3071" s="132" t="s">
        <v>298</v>
      </c>
      <c r="W3071" s="132" t="s">
        <v>267</v>
      </c>
      <c r="X3071" s="133">
        <v>41991</v>
      </c>
      <c r="Y3071" s="134">
        <v>741</v>
      </c>
    </row>
    <row r="3072" spans="5:25" x14ac:dyDescent="0.25">
      <c r="F3072" s="76" t="s">
        <v>150</v>
      </c>
      <c r="G3072" s="77" t="s">
        <v>195</v>
      </c>
      <c r="H3072" s="77" t="s">
        <v>158</v>
      </c>
      <c r="I3072" s="86">
        <v>41661</v>
      </c>
      <c r="J3072" s="78">
        <v>1065</v>
      </c>
      <c r="U3072" s="132" t="s">
        <v>154</v>
      </c>
      <c r="V3072" s="132" t="s">
        <v>298</v>
      </c>
      <c r="W3072" s="132" t="s">
        <v>267</v>
      </c>
      <c r="X3072" s="133">
        <v>41992</v>
      </c>
      <c r="Y3072" s="134">
        <v>432</v>
      </c>
    </row>
    <row r="3073" spans="6:25" x14ac:dyDescent="0.25">
      <c r="F3073" s="76" t="s">
        <v>150</v>
      </c>
      <c r="G3073" s="77" t="s">
        <v>195</v>
      </c>
      <c r="H3073" s="77" t="s">
        <v>158</v>
      </c>
      <c r="I3073" s="86">
        <v>41705</v>
      </c>
      <c r="J3073" s="78">
        <v>793</v>
      </c>
      <c r="U3073" s="132" t="s">
        <v>154</v>
      </c>
      <c r="V3073" s="132" t="s">
        <v>298</v>
      </c>
      <c r="W3073" s="132" t="s">
        <v>267</v>
      </c>
      <c r="X3073" s="133">
        <v>41992</v>
      </c>
      <c r="Y3073" s="134">
        <v>511</v>
      </c>
    </row>
    <row r="3074" spans="6:25" x14ac:dyDescent="0.25">
      <c r="F3074" s="76" t="s">
        <v>150</v>
      </c>
      <c r="G3074" s="77" t="s">
        <v>195</v>
      </c>
      <c r="H3074" s="77" t="s">
        <v>158</v>
      </c>
      <c r="I3074" s="86">
        <v>41708</v>
      </c>
      <c r="J3074" s="78">
        <v>1554</v>
      </c>
      <c r="U3074" s="132" t="s">
        <v>154</v>
      </c>
      <c r="V3074" s="132" t="s">
        <v>298</v>
      </c>
      <c r="W3074" s="132" t="s">
        <v>267</v>
      </c>
      <c r="X3074" s="133">
        <v>41993</v>
      </c>
      <c r="Y3074" s="134">
        <v>474</v>
      </c>
    </row>
    <row r="3075" spans="6:25" x14ac:dyDescent="0.25">
      <c r="F3075" s="76" t="s">
        <v>150</v>
      </c>
      <c r="G3075" s="77" t="s">
        <v>195</v>
      </c>
      <c r="H3075" s="77" t="s">
        <v>158</v>
      </c>
      <c r="I3075" s="86">
        <v>41709</v>
      </c>
      <c r="J3075" s="78">
        <v>918</v>
      </c>
      <c r="U3075" s="132" t="s">
        <v>154</v>
      </c>
      <c r="V3075" s="132" t="s">
        <v>298</v>
      </c>
      <c r="W3075" s="132" t="s">
        <v>267</v>
      </c>
      <c r="X3075" s="133">
        <v>41993</v>
      </c>
      <c r="Y3075" s="134">
        <v>625</v>
      </c>
    </row>
    <row r="3076" spans="6:25" x14ac:dyDescent="0.25">
      <c r="F3076" s="76" t="s">
        <v>150</v>
      </c>
      <c r="G3076" s="77" t="s">
        <v>195</v>
      </c>
      <c r="H3076" s="77" t="s">
        <v>158</v>
      </c>
      <c r="I3076" s="86">
        <v>41711</v>
      </c>
      <c r="J3076" s="78">
        <v>822</v>
      </c>
      <c r="U3076" s="132" t="s">
        <v>154</v>
      </c>
      <c r="V3076" s="132" t="s">
        <v>298</v>
      </c>
      <c r="W3076" s="132" t="s">
        <v>267</v>
      </c>
      <c r="X3076" s="133">
        <v>41995</v>
      </c>
      <c r="Y3076" s="134">
        <v>457</v>
      </c>
    </row>
    <row r="3077" spans="6:25" x14ac:dyDescent="0.25">
      <c r="F3077" s="76" t="s">
        <v>150</v>
      </c>
      <c r="G3077" s="77" t="s">
        <v>195</v>
      </c>
      <c r="H3077" s="77" t="s">
        <v>158</v>
      </c>
      <c r="I3077" s="86">
        <v>41712</v>
      </c>
      <c r="J3077" s="78">
        <v>1472</v>
      </c>
      <c r="U3077" s="132" t="s">
        <v>154</v>
      </c>
      <c r="V3077" s="132" t="s">
        <v>298</v>
      </c>
      <c r="W3077" s="132" t="s">
        <v>267</v>
      </c>
      <c r="X3077" s="133">
        <v>41996</v>
      </c>
      <c r="Y3077" s="134">
        <v>562</v>
      </c>
    </row>
    <row r="3078" spans="6:25" x14ac:dyDescent="0.25">
      <c r="F3078" s="76" t="s">
        <v>150</v>
      </c>
      <c r="G3078" s="77" t="s">
        <v>195</v>
      </c>
      <c r="H3078" s="77" t="s">
        <v>158</v>
      </c>
      <c r="I3078" s="86">
        <v>41716</v>
      </c>
      <c r="J3078" s="78">
        <v>897</v>
      </c>
      <c r="U3078" s="132" t="s">
        <v>154</v>
      </c>
      <c r="V3078" s="132" t="s">
        <v>298</v>
      </c>
      <c r="W3078" s="132" t="s">
        <v>267</v>
      </c>
      <c r="X3078" s="133">
        <v>41996</v>
      </c>
      <c r="Y3078" s="134">
        <v>568</v>
      </c>
    </row>
    <row r="3079" spans="6:25" x14ac:dyDescent="0.25">
      <c r="F3079" s="76" t="s">
        <v>150</v>
      </c>
      <c r="G3079" s="77" t="s">
        <v>195</v>
      </c>
      <c r="H3079" s="77" t="s">
        <v>158</v>
      </c>
      <c r="I3079" s="86">
        <v>41718</v>
      </c>
      <c r="J3079" s="78">
        <v>1006</v>
      </c>
      <c r="U3079" s="132" t="s">
        <v>154</v>
      </c>
      <c r="V3079" s="132" t="s">
        <v>298</v>
      </c>
      <c r="W3079" s="132" t="s">
        <v>267</v>
      </c>
      <c r="X3079" s="133">
        <v>41997</v>
      </c>
      <c r="Y3079" s="134">
        <v>582</v>
      </c>
    </row>
    <row r="3080" spans="6:25" x14ac:dyDescent="0.25">
      <c r="F3080" s="76" t="s">
        <v>150</v>
      </c>
      <c r="G3080" s="77" t="s">
        <v>195</v>
      </c>
      <c r="H3080" s="77" t="s">
        <v>158</v>
      </c>
      <c r="I3080" s="86">
        <v>41723</v>
      </c>
      <c r="J3080" s="78">
        <v>1521</v>
      </c>
      <c r="U3080" s="132" t="s">
        <v>154</v>
      </c>
      <c r="V3080" s="132" t="s">
        <v>298</v>
      </c>
      <c r="W3080" s="132" t="s">
        <v>267</v>
      </c>
      <c r="X3080" s="133">
        <v>41998</v>
      </c>
      <c r="Y3080" s="134">
        <v>651</v>
      </c>
    </row>
    <row r="3081" spans="6:25" x14ac:dyDescent="0.25">
      <c r="F3081" s="76" t="s">
        <v>150</v>
      </c>
      <c r="G3081" s="77" t="s">
        <v>195</v>
      </c>
      <c r="H3081" s="77" t="s">
        <v>158</v>
      </c>
      <c r="I3081" s="86">
        <v>41725</v>
      </c>
      <c r="J3081" s="78">
        <v>1266</v>
      </c>
      <c r="U3081" s="132" t="s">
        <v>154</v>
      </c>
      <c r="V3081" s="132" t="s">
        <v>298</v>
      </c>
      <c r="W3081" s="132" t="s">
        <v>267</v>
      </c>
      <c r="X3081" s="133">
        <v>41998</v>
      </c>
      <c r="Y3081" s="134">
        <v>510</v>
      </c>
    </row>
    <row r="3082" spans="6:25" x14ac:dyDescent="0.25">
      <c r="F3082" s="76" t="s">
        <v>150</v>
      </c>
      <c r="G3082" s="77" t="s">
        <v>195</v>
      </c>
      <c r="H3082" s="77" t="s">
        <v>158</v>
      </c>
      <c r="I3082" s="86">
        <v>41733</v>
      </c>
      <c r="J3082" s="78">
        <v>1265</v>
      </c>
      <c r="U3082" s="132" t="s">
        <v>154</v>
      </c>
      <c r="V3082" s="132" t="s">
        <v>298</v>
      </c>
      <c r="W3082" s="132" t="s">
        <v>267</v>
      </c>
      <c r="X3082" s="133">
        <v>41999</v>
      </c>
      <c r="Y3082" s="134">
        <v>841</v>
      </c>
    </row>
    <row r="3083" spans="6:25" x14ac:dyDescent="0.25">
      <c r="F3083" s="76" t="s">
        <v>150</v>
      </c>
      <c r="G3083" s="77" t="s">
        <v>195</v>
      </c>
      <c r="H3083" s="77" t="s">
        <v>158</v>
      </c>
      <c r="I3083" s="86">
        <v>41736</v>
      </c>
      <c r="J3083" s="78">
        <v>493</v>
      </c>
      <c r="U3083" s="132" t="s">
        <v>154</v>
      </c>
      <c r="V3083" s="132" t="s">
        <v>298</v>
      </c>
      <c r="W3083" s="132" t="s">
        <v>267</v>
      </c>
      <c r="X3083" s="133">
        <v>42002</v>
      </c>
      <c r="Y3083" s="134">
        <v>564</v>
      </c>
    </row>
    <row r="3084" spans="6:25" x14ac:dyDescent="0.25">
      <c r="F3084" s="76" t="s">
        <v>150</v>
      </c>
      <c r="G3084" s="77" t="s">
        <v>195</v>
      </c>
      <c r="H3084" s="77" t="s">
        <v>158</v>
      </c>
      <c r="I3084" s="86">
        <v>41738</v>
      </c>
      <c r="J3084" s="78">
        <v>892</v>
      </c>
      <c r="U3084" s="132" t="s">
        <v>154</v>
      </c>
      <c r="V3084" s="132" t="s">
        <v>299</v>
      </c>
      <c r="W3084" s="132" t="s">
        <v>267</v>
      </c>
      <c r="X3084" s="133">
        <v>41843</v>
      </c>
      <c r="Y3084" s="134">
        <v>540</v>
      </c>
    </row>
    <row r="3085" spans="6:25" x14ac:dyDescent="0.25">
      <c r="F3085" s="76" t="s">
        <v>150</v>
      </c>
      <c r="G3085" s="77" t="s">
        <v>195</v>
      </c>
      <c r="H3085" s="77" t="s">
        <v>158</v>
      </c>
      <c r="I3085" s="86">
        <v>41739</v>
      </c>
      <c r="J3085" s="78">
        <v>306</v>
      </c>
      <c r="U3085" s="132" t="s">
        <v>154</v>
      </c>
      <c r="V3085" s="132" t="s">
        <v>299</v>
      </c>
      <c r="W3085" s="132" t="s">
        <v>267</v>
      </c>
      <c r="X3085" s="133">
        <v>41844</v>
      </c>
      <c r="Y3085" s="134">
        <v>821</v>
      </c>
    </row>
    <row r="3086" spans="6:25" x14ac:dyDescent="0.25">
      <c r="F3086" s="76" t="s">
        <v>150</v>
      </c>
      <c r="G3086" s="77" t="s">
        <v>195</v>
      </c>
      <c r="H3086" s="77" t="s">
        <v>158</v>
      </c>
      <c r="I3086" s="86">
        <v>41742</v>
      </c>
      <c r="J3086" s="78">
        <v>922</v>
      </c>
      <c r="U3086" s="132" t="s">
        <v>154</v>
      </c>
      <c r="V3086" s="132" t="s">
        <v>299</v>
      </c>
      <c r="W3086" s="132" t="s">
        <v>267</v>
      </c>
      <c r="X3086" s="133">
        <v>41845</v>
      </c>
      <c r="Y3086" s="134">
        <v>1064</v>
      </c>
    </row>
    <row r="3087" spans="6:25" x14ac:dyDescent="0.25">
      <c r="F3087" s="76" t="s">
        <v>150</v>
      </c>
      <c r="G3087" s="77" t="s">
        <v>195</v>
      </c>
      <c r="H3087" s="77" t="s">
        <v>158</v>
      </c>
      <c r="I3087" s="86">
        <v>41744</v>
      </c>
      <c r="J3087" s="78">
        <v>1014</v>
      </c>
      <c r="U3087" s="132" t="s">
        <v>154</v>
      </c>
      <c r="V3087" s="132" t="s">
        <v>299</v>
      </c>
      <c r="W3087" s="132" t="s">
        <v>267</v>
      </c>
      <c r="X3087" s="133">
        <v>41848</v>
      </c>
      <c r="Y3087" s="134">
        <v>672</v>
      </c>
    </row>
    <row r="3088" spans="6:25" x14ac:dyDescent="0.25">
      <c r="F3088" s="76" t="s">
        <v>150</v>
      </c>
      <c r="G3088" s="77" t="s">
        <v>195</v>
      </c>
      <c r="H3088" s="77" t="s">
        <v>158</v>
      </c>
      <c r="I3088" s="86">
        <v>41745</v>
      </c>
      <c r="J3088" s="78">
        <v>400</v>
      </c>
      <c r="U3088" s="132" t="s">
        <v>154</v>
      </c>
      <c r="V3088" s="132" t="s">
        <v>299</v>
      </c>
      <c r="W3088" s="132" t="s">
        <v>267</v>
      </c>
      <c r="X3088" s="133">
        <v>41849</v>
      </c>
      <c r="Y3088" s="134">
        <v>937</v>
      </c>
    </row>
    <row r="3089" spans="6:25" x14ac:dyDescent="0.25">
      <c r="F3089" s="76" t="s">
        <v>150</v>
      </c>
      <c r="G3089" s="77" t="s">
        <v>195</v>
      </c>
      <c r="H3089" s="77" t="s">
        <v>158</v>
      </c>
      <c r="I3089" s="86">
        <v>41758</v>
      </c>
      <c r="J3089" s="78">
        <v>1134</v>
      </c>
      <c r="U3089" s="132" t="s">
        <v>154</v>
      </c>
      <c r="V3089" s="132" t="s">
        <v>299</v>
      </c>
      <c r="W3089" s="132" t="s">
        <v>267</v>
      </c>
      <c r="X3089" s="133">
        <v>41850</v>
      </c>
      <c r="Y3089" s="134">
        <v>873</v>
      </c>
    </row>
    <row r="3090" spans="6:25" x14ac:dyDescent="0.25">
      <c r="F3090" s="76" t="s">
        <v>150</v>
      </c>
      <c r="G3090" s="77" t="s">
        <v>195</v>
      </c>
      <c r="H3090" s="77" t="s">
        <v>158</v>
      </c>
      <c r="I3090" s="86">
        <v>41760</v>
      </c>
      <c r="J3090" s="78">
        <v>964</v>
      </c>
      <c r="U3090" s="132" t="s">
        <v>154</v>
      </c>
      <c r="V3090" s="132" t="s">
        <v>299</v>
      </c>
      <c r="W3090" s="132" t="s">
        <v>267</v>
      </c>
      <c r="X3090" s="133">
        <v>41851</v>
      </c>
      <c r="Y3090" s="134">
        <v>815</v>
      </c>
    </row>
    <row r="3091" spans="6:25" x14ac:dyDescent="0.25">
      <c r="F3091" s="76" t="s">
        <v>150</v>
      </c>
      <c r="G3091" s="77" t="s">
        <v>195</v>
      </c>
      <c r="H3091" s="77" t="s">
        <v>158</v>
      </c>
      <c r="I3091" s="86">
        <v>41760</v>
      </c>
      <c r="J3091" s="78">
        <v>405</v>
      </c>
      <c r="U3091" s="132" t="s">
        <v>154</v>
      </c>
      <c r="V3091" s="132" t="s">
        <v>299</v>
      </c>
      <c r="W3091" s="132" t="s">
        <v>267</v>
      </c>
      <c r="X3091" s="133">
        <v>41852</v>
      </c>
      <c r="Y3091" s="134">
        <v>956</v>
      </c>
    </row>
    <row r="3092" spans="6:25" x14ac:dyDescent="0.25">
      <c r="F3092" s="76" t="s">
        <v>150</v>
      </c>
      <c r="G3092" s="77" t="s">
        <v>195</v>
      </c>
      <c r="H3092" s="77" t="s">
        <v>158</v>
      </c>
      <c r="I3092" s="86">
        <v>41764</v>
      </c>
      <c r="J3092" s="78">
        <v>1207</v>
      </c>
      <c r="U3092" s="132" t="s">
        <v>154</v>
      </c>
      <c r="V3092" s="132" t="s">
        <v>299</v>
      </c>
      <c r="W3092" s="132" t="s">
        <v>267</v>
      </c>
      <c r="X3092" s="133">
        <v>41852</v>
      </c>
      <c r="Y3092" s="134">
        <v>665</v>
      </c>
    </row>
    <row r="3093" spans="6:25" x14ac:dyDescent="0.25">
      <c r="F3093" s="76" t="s">
        <v>150</v>
      </c>
      <c r="G3093" s="77" t="s">
        <v>195</v>
      </c>
      <c r="H3093" s="77" t="s">
        <v>158</v>
      </c>
      <c r="I3093" s="86">
        <v>41766</v>
      </c>
      <c r="J3093" s="78">
        <v>913</v>
      </c>
      <c r="U3093" s="132" t="s">
        <v>154</v>
      </c>
      <c r="V3093" s="132" t="s">
        <v>299</v>
      </c>
      <c r="W3093" s="132" t="s">
        <v>267</v>
      </c>
      <c r="X3093" s="133">
        <v>41853</v>
      </c>
      <c r="Y3093" s="134">
        <v>412</v>
      </c>
    </row>
    <row r="3094" spans="6:25" x14ac:dyDescent="0.25">
      <c r="F3094" s="76" t="s">
        <v>150</v>
      </c>
      <c r="G3094" s="77" t="s">
        <v>195</v>
      </c>
      <c r="H3094" s="77" t="s">
        <v>158</v>
      </c>
      <c r="I3094" s="86">
        <v>41767</v>
      </c>
      <c r="J3094" s="78">
        <v>324</v>
      </c>
      <c r="U3094" s="132" t="s">
        <v>154</v>
      </c>
      <c r="V3094" s="132" t="s">
        <v>299</v>
      </c>
      <c r="W3094" s="132" t="s">
        <v>267</v>
      </c>
      <c r="X3094" s="133">
        <v>41853</v>
      </c>
      <c r="Y3094" s="134">
        <v>220</v>
      </c>
    </row>
    <row r="3095" spans="6:25" x14ac:dyDescent="0.25">
      <c r="F3095" s="76" t="s">
        <v>150</v>
      </c>
      <c r="G3095" s="77" t="s">
        <v>195</v>
      </c>
      <c r="H3095" s="77" t="s">
        <v>158</v>
      </c>
      <c r="I3095" s="86">
        <v>41767</v>
      </c>
      <c r="J3095" s="78">
        <v>1332</v>
      </c>
      <c r="U3095" s="132" t="s">
        <v>154</v>
      </c>
      <c r="V3095" s="132" t="s">
        <v>299</v>
      </c>
      <c r="W3095" s="132" t="s">
        <v>267</v>
      </c>
      <c r="X3095" s="133">
        <v>41853</v>
      </c>
      <c r="Y3095" s="134">
        <v>482</v>
      </c>
    </row>
    <row r="3096" spans="6:25" x14ac:dyDescent="0.25">
      <c r="F3096" s="76" t="s">
        <v>150</v>
      </c>
      <c r="G3096" s="77" t="s">
        <v>195</v>
      </c>
      <c r="H3096" s="77" t="s">
        <v>158</v>
      </c>
      <c r="I3096" s="86">
        <v>41771</v>
      </c>
      <c r="J3096" s="78">
        <v>850</v>
      </c>
      <c r="U3096" s="132" t="s">
        <v>154</v>
      </c>
      <c r="V3096" s="132" t="s">
        <v>299</v>
      </c>
      <c r="W3096" s="132" t="s">
        <v>267</v>
      </c>
      <c r="X3096" s="133">
        <v>41854</v>
      </c>
      <c r="Y3096" s="134">
        <v>283</v>
      </c>
    </row>
    <row r="3097" spans="6:25" x14ac:dyDescent="0.25">
      <c r="F3097" s="76" t="s">
        <v>150</v>
      </c>
      <c r="G3097" s="77" t="s">
        <v>195</v>
      </c>
      <c r="H3097" s="77" t="s">
        <v>158</v>
      </c>
      <c r="I3097" s="86">
        <v>41775</v>
      </c>
      <c r="J3097" s="78">
        <v>794</v>
      </c>
      <c r="U3097" s="132" t="s">
        <v>154</v>
      </c>
      <c r="V3097" s="132" t="s">
        <v>299</v>
      </c>
      <c r="W3097" s="132" t="s">
        <v>267</v>
      </c>
      <c r="X3097" s="133">
        <v>41855</v>
      </c>
      <c r="Y3097" s="134">
        <v>880</v>
      </c>
    </row>
    <row r="3098" spans="6:25" x14ac:dyDescent="0.25">
      <c r="F3098" s="76" t="s">
        <v>150</v>
      </c>
      <c r="G3098" s="77" t="s">
        <v>195</v>
      </c>
      <c r="H3098" s="77" t="s">
        <v>158</v>
      </c>
      <c r="I3098" s="86">
        <v>41778</v>
      </c>
      <c r="J3098" s="78">
        <v>611</v>
      </c>
      <c r="U3098" s="132" t="s">
        <v>154</v>
      </c>
      <c r="V3098" s="132" t="s">
        <v>299</v>
      </c>
      <c r="W3098" s="132" t="s">
        <v>267</v>
      </c>
      <c r="X3098" s="133">
        <v>41856</v>
      </c>
      <c r="Y3098" s="134">
        <v>827</v>
      </c>
    </row>
    <row r="3099" spans="6:25" x14ac:dyDescent="0.25">
      <c r="F3099" s="76" t="s">
        <v>150</v>
      </c>
      <c r="G3099" s="77" t="s">
        <v>195</v>
      </c>
      <c r="H3099" s="77" t="s">
        <v>158</v>
      </c>
      <c r="I3099" s="86">
        <v>41780</v>
      </c>
      <c r="J3099" s="78">
        <v>537</v>
      </c>
      <c r="U3099" s="132" t="s">
        <v>154</v>
      </c>
      <c r="V3099" s="132" t="s">
        <v>299</v>
      </c>
      <c r="W3099" s="132" t="s">
        <v>267</v>
      </c>
      <c r="X3099" s="133">
        <v>41857</v>
      </c>
      <c r="Y3099" s="134">
        <v>826</v>
      </c>
    </row>
    <row r="3100" spans="6:25" x14ac:dyDescent="0.25">
      <c r="F3100" s="76" t="s">
        <v>150</v>
      </c>
      <c r="G3100" s="77" t="s">
        <v>195</v>
      </c>
      <c r="H3100" s="77" t="s">
        <v>158</v>
      </c>
      <c r="I3100" s="86">
        <v>41782</v>
      </c>
      <c r="J3100" s="78">
        <v>849</v>
      </c>
      <c r="U3100" s="132" t="s">
        <v>154</v>
      </c>
      <c r="V3100" s="132" t="s">
        <v>299</v>
      </c>
      <c r="W3100" s="132" t="s">
        <v>267</v>
      </c>
      <c r="X3100" s="133">
        <v>41857</v>
      </c>
      <c r="Y3100" s="134">
        <v>809</v>
      </c>
    </row>
    <row r="3101" spans="6:25" x14ac:dyDescent="0.25">
      <c r="F3101" s="76" t="s">
        <v>150</v>
      </c>
      <c r="G3101" s="77" t="s">
        <v>195</v>
      </c>
      <c r="H3101" s="77" t="s">
        <v>158</v>
      </c>
      <c r="I3101" s="86">
        <v>41786</v>
      </c>
      <c r="J3101" s="78">
        <v>540</v>
      </c>
      <c r="U3101" s="132" t="s">
        <v>154</v>
      </c>
      <c r="V3101" s="132" t="s">
        <v>299</v>
      </c>
      <c r="W3101" s="132" t="s">
        <v>267</v>
      </c>
      <c r="X3101" s="133">
        <v>41858</v>
      </c>
      <c r="Y3101" s="134">
        <v>694</v>
      </c>
    </row>
    <row r="3102" spans="6:25" x14ac:dyDescent="0.25">
      <c r="F3102" s="76" t="s">
        <v>150</v>
      </c>
      <c r="G3102" s="77" t="s">
        <v>195</v>
      </c>
      <c r="H3102" s="77" t="s">
        <v>158</v>
      </c>
      <c r="I3102" s="86">
        <v>41787</v>
      </c>
      <c r="J3102" s="78">
        <v>507</v>
      </c>
      <c r="U3102" s="132" t="s">
        <v>154</v>
      </c>
      <c r="V3102" s="132" t="s">
        <v>299</v>
      </c>
      <c r="W3102" s="132" t="s">
        <v>267</v>
      </c>
      <c r="X3102" s="133">
        <v>41859</v>
      </c>
      <c r="Y3102" s="134">
        <v>939</v>
      </c>
    </row>
    <row r="3103" spans="6:25" x14ac:dyDescent="0.25">
      <c r="F3103" s="76" t="s">
        <v>150</v>
      </c>
      <c r="G3103" s="77" t="s">
        <v>195</v>
      </c>
      <c r="H3103" s="77" t="s">
        <v>158</v>
      </c>
      <c r="I3103" s="86">
        <v>41792</v>
      </c>
      <c r="J3103" s="78">
        <v>1015</v>
      </c>
      <c r="U3103" s="132" t="s">
        <v>154</v>
      </c>
      <c r="V3103" s="132" t="s">
        <v>299</v>
      </c>
      <c r="W3103" s="132" t="s">
        <v>267</v>
      </c>
      <c r="X3103" s="133">
        <v>41859</v>
      </c>
      <c r="Y3103" s="134">
        <v>666</v>
      </c>
    </row>
    <row r="3104" spans="6:25" x14ac:dyDescent="0.25">
      <c r="F3104" s="76" t="s">
        <v>150</v>
      </c>
      <c r="G3104" s="77" t="s">
        <v>195</v>
      </c>
      <c r="H3104" s="77" t="s">
        <v>158</v>
      </c>
      <c r="I3104" s="86">
        <v>41800</v>
      </c>
      <c r="J3104" s="78">
        <v>324</v>
      </c>
      <c r="U3104" s="132" t="s">
        <v>154</v>
      </c>
      <c r="V3104" s="132" t="s">
        <v>299</v>
      </c>
      <c r="W3104" s="132" t="s">
        <v>267</v>
      </c>
      <c r="X3104" s="133">
        <v>41860</v>
      </c>
      <c r="Y3104" s="134">
        <v>497</v>
      </c>
    </row>
    <row r="3105" spans="6:25" x14ac:dyDescent="0.25">
      <c r="F3105" s="76" t="s">
        <v>150</v>
      </c>
      <c r="G3105" s="77" t="s">
        <v>195</v>
      </c>
      <c r="H3105" s="77" t="s">
        <v>158</v>
      </c>
      <c r="I3105" s="86">
        <v>41801</v>
      </c>
      <c r="J3105" s="78">
        <v>998</v>
      </c>
      <c r="U3105" s="132" t="s">
        <v>154</v>
      </c>
      <c r="V3105" s="132" t="s">
        <v>299</v>
      </c>
      <c r="W3105" s="132" t="s">
        <v>267</v>
      </c>
      <c r="X3105" s="133">
        <v>41861</v>
      </c>
      <c r="Y3105" s="134">
        <v>491</v>
      </c>
    </row>
    <row r="3106" spans="6:25" x14ac:dyDescent="0.25">
      <c r="F3106" s="76" t="s">
        <v>150</v>
      </c>
      <c r="G3106" s="77" t="s">
        <v>195</v>
      </c>
      <c r="H3106" s="77" t="s">
        <v>158</v>
      </c>
      <c r="I3106" s="86">
        <v>41803</v>
      </c>
      <c r="J3106" s="78">
        <v>1145</v>
      </c>
      <c r="U3106" s="132" t="s">
        <v>154</v>
      </c>
      <c r="V3106" s="132" t="s">
        <v>299</v>
      </c>
      <c r="W3106" s="132" t="s">
        <v>267</v>
      </c>
      <c r="X3106" s="133">
        <v>41861</v>
      </c>
      <c r="Y3106" s="134">
        <v>246</v>
      </c>
    </row>
    <row r="3107" spans="6:25" x14ac:dyDescent="0.25">
      <c r="F3107" s="76" t="s">
        <v>150</v>
      </c>
      <c r="G3107" s="77" t="s">
        <v>195</v>
      </c>
      <c r="H3107" s="77" t="s">
        <v>158</v>
      </c>
      <c r="I3107" s="86">
        <v>41803</v>
      </c>
      <c r="J3107" s="78">
        <v>636</v>
      </c>
      <c r="U3107" s="132" t="s">
        <v>154</v>
      </c>
      <c r="V3107" s="132" t="s">
        <v>299</v>
      </c>
      <c r="W3107" s="132" t="s">
        <v>267</v>
      </c>
      <c r="X3107" s="133">
        <v>41861</v>
      </c>
      <c r="Y3107" s="134">
        <v>689</v>
      </c>
    </row>
    <row r="3108" spans="6:25" x14ac:dyDescent="0.25">
      <c r="F3108" s="76" t="s">
        <v>150</v>
      </c>
      <c r="G3108" s="77" t="s">
        <v>195</v>
      </c>
      <c r="H3108" s="77" t="s">
        <v>158</v>
      </c>
      <c r="I3108" s="86">
        <v>41807</v>
      </c>
      <c r="J3108" s="78">
        <v>1431</v>
      </c>
      <c r="U3108" s="132" t="s">
        <v>154</v>
      </c>
      <c r="V3108" s="132" t="s">
        <v>299</v>
      </c>
      <c r="W3108" s="132" t="s">
        <v>267</v>
      </c>
      <c r="X3108" s="133">
        <v>41863</v>
      </c>
      <c r="Y3108" s="134">
        <v>828</v>
      </c>
    </row>
    <row r="3109" spans="6:25" x14ac:dyDescent="0.25">
      <c r="F3109" s="76" t="s">
        <v>150</v>
      </c>
      <c r="G3109" s="77" t="s">
        <v>195</v>
      </c>
      <c r="H3109" s="77" t="s">
        <v>158</v>
      </c>
      <c r="I3109" s="86">
        <v>41807</v>
      </c>
      <c r="J3109" s="78">
        <v>704</v>
      </c>
      <c r="U3109" s="132" t="s">
        <v>154</v>
      </c>
      <c r="V3109" s="132" t="s">
        <v>299</v>
      </c>
      <c r="W3109" s="132" t="s">
        <v>267</v>
      </c>
      <c r="X3109" s="133">
        <v>41996</v>
      </c>
      <c r="Y3109" s="134">
        <v>571</v>
      </c>
    </row>
    <row r="3110" spans="6:25" x14ac:dyDescent="0.25">
      <c r="F3110" s="76" t="s">
        <v>150</v>
      </c>
      <c r="G3110" s="77" t="s">
        <v>195</v>
      </c>
      <c r="H3110" s="77" t="s">
        <v>158</v>
      </c>
      <c r="I3110" s="86">
        <v>41809</v>
      </c>
      <c r="J3110" s="78">
        <v>1306</v>
      </c>
      <c r="U3110" s="132" t="s">
        <v>154</v>
      </c>
      <c r="V3110" s="132" t="s">
        <v>300</v>
      </c>
      <c r="W3110" s="132" t="s">
        <v>267</v>
      </c>
      <c r="X3110" s="133">
        <v>41710</v>
      </c>
      <c r="Y3110" s="134">
        <v>455</v>
      </c>
    </row>
    <row r="3111" spans="6:25" x14ac:dyDescent="0.25">
      <c r="F3111" s="76" t="s">
        <v>150</v>
      </c>
      <c r="G3111" s="77" t="s">
        <v>195</v>
      </c>
      <c r="H3111" s="77" t="s">
        <v>158</v>
      </c>
      <c r="I3111" s="86">
        <v>41811</v>
      </c>
      <c r="J3111" s="78">
        <v>1151</v>
      </c>
      <c r="U3111" s="132" t="s">
        <v>154</v>
      </c>
      <c r="V3111" s="132" t="s">
        <v>300</v>
      </c>
      <c r="W3111" s="132" t="s">
        <v>267</v>
      </c>
      <c r="X3111" s="133">
        <v>41711</v>
      </c>
      <c r="Y3111" s="134">
        <v>925</v>
      </c>
    </row>
    <row r="3112" spans="6:25" x14ac:dyDescent="0.25">
      <c r="F3112" s="76" t="s">
        <v>150</v>
      </c>
      <c r="G3112" s="77" t="s">
        <v>195</v>
      </c>
      <c r="H3112" s="77" t="s">
        <v>158</v>
      </c>
      <c r="I3112" s="86">
        <v>41812</v>
      </c>
      <c r="J3112" s="78">
        <v>703</v>
      </c>
      <c r="U3112" s="132" t="s">
        <v>154</v>
      </c>
      <c r="V3112" s="132" t="s">
        <v>300</v>
      </c>
      <c r="W3112" s="132" t="s">
        <v>267</v>
      </c>
      <c r="X3112" s="133">
        <v>41712</v>
      </c>
      <c r="Y3112" s="134">
        <v>605</v>
      </c>
    </row>
    <row r="3113" spans="6:25" x14ac:dyDescent="0.25">
      <c r="F3113" s="76" t="s">
        <v>150</v>
      </c>
      <c r="G3113" s="77" t="s">
        <v>195</v>
      </c>
      <c r="H3113" s="77" t="s">
        <v>158</v>
      </c>
      <c r="I3113" s="86">
        <v>41814</v>
      </c>
      <c r="J3113" s="78">
        <v>881</v>
      </c>
      <c r="U3113" s="132" t="s">
        <v>154</v>
      </c>
      <c r="V3113" s="132" t="s">
        <v>300</v>
      </c>
      <c r="W3113" s="132" t="s">
        <v>267</v>
      </c>
      <c r="X3113" s="133">
        <v>41717</v>
      </c>
      <c r="Y3113" s="134">
        <v>476</v>
      </c>
    </row>
    <row r="3114" spans="6:25" x14ac:dyDescent="0.25">
      <c r="F3114" s="76" t="s">
        <v>150</v>
      </c>
      <c r="G3114" s="77" t="s">
        <v>195</v>
      </c>
      <c r="H3114" s="77" t="s">
        <v>158</v>
      </c>
      <c r="I3114" s="86">
        <v>41815</v>
      </c>
      <c r="J3114" s="78">
        <v>661</v>
      </c>
      <c r="U3114" s="132" t="s">
        <v>154</v>
      </c>
      <c r="V3114" s="132" t="s">
        <v>300</v>
      </c>
      <c r="W3114" s="132" t="s">
        <v>267</v>
      </c>
      <c r="X3114" s="133">
        <v>41718</v>
      </c>
      <c r="Y3114" s="134">
        <v>804</v>
      </c>
    </row>
    <row r="3115" spans="6:25" x14ac:dyDescent="0.25">
      <c r="F3115" s="76" t="s">
        <v>150</v>
      </c>
      <c r="G3115" s="77" t="s">
        <v>195</v>
      </c>
      <c r="H3115" s="77" t="s">
        <v>158</v>
      </c>
      <c r="I3115" s="86">
        <v>41818</v>
      </c>
      <c r="J3115" s="78">
        <v>971</v>
      </c>
      <c r="U3115" s="132" t="s">
        <v>154</v>
      </c>
      <c r="V3115" s="132" t="s">
        <v>300</v>
      </c>
      <c r="W3115" s="132" t="s">
        <v>267</v>
      </c>
      <c r="X3115" s="133">
        <v>41719</v>
      </c>
      <c r="Y3115" s="134">
        <v>885</v>
      </c>
    </row>
    <row r="3116" spans="6:25" x14ac:dyDescent="0.25">
      <c r="F3116" s="76" t="s">
        <v>150</v>
      </c>
      <c r="G3116" s="77" t="s">
        <v>195</v>
      </c>
      <c r="H3116" s="77" t="s">
        <v>158</v>
      </c>
      <c r="I3116" s="86">
        <v>41820</v>
      </c>
      <c r="J3116" s="78">
        <v>1038</v>
      </c>
      <c r="U3116" s="132" t="s">
        <v>154</v>
      </c>
      <c r="V3116" s="132" t="s">
        <v>300</v>
      </c>
      <c r="W3116" s="132" t="s">
        <v>267</v>
      </c>
      <c r="X3116" s="133">
        <v>41720</v>
      </c>
      <c r="Y3116" s="134">
        <v>340</v>
      </c>
    </row>
    <row r="3117" spans="6:25" x14ac:dyDescent="0.25">
      <c r="F3117" s="76" t="s">
        <v>150</v>
      </c>
      <c r="G3117" s="77" t="s">
        <v>195</v>
      </c>
      <c r="H3117" s="77" t="s">
        <v>158</v>
      </c>
      <c r="I3117" s="86">
        <v>41822</v>
      </c>
      <c r="J3117" s="78">
        <v>1006</v>
      </c>
      <c r="U3117" s="132" t="s">
        <v>154</v>
      </c>
      <c r="V3117" s="132" t="s">
        <v>300</v>
      </c>
      <c r="W3117" s="132" t="s">
        <v>267</v>
      </c>
      <c r="X3117" s="133">
        <v>41720</v>
      </c>
      <c r="Y3117" s="134">
        <v>515</v>
      </c>
    </row>
    <row r="3118" spans="6:25" x14ac:dyDescent="0.25">
      <c r="F3118" s="76" t="s">
        <v>150</v>
      </c>
      <c r="G3118" s="77" t="s">
        <v>195</v>
      </c>
      <c r="H3118" s="77" t="s">
        <v>158</v>
      </c>
      <c r="I3118" s="86">
        <v>41823</v>
      </c>
      <c r="J3118" s="78">
        <v>384</v>
      </c>
      <c r="U3118" s="132" t="s">
        <v>154</v>
      </c>
      <c r="V3118" s="132" t="s">
        <v>300</v>
      </c>
      <c r="W3118" s="132" t="s">
        <v>267</v>
      </c>
      <c r="X3118" s="133">
        <v>41721</v>
      </c>
      <c r="Y3118" s="134">
        <v>845</v>
      </c>
    </row>
    <row r="3119" spans="6:25" x14ac:dyDescent="0.25">
      <c r="F3119" s="76" t="s">
        <v>150</v>
      </c>
      <c r="G3119" s="77" t="s">
        <v>195</v>
      </c>
      <c r="H3119" s="77" t="s">
        <v>158</v>
      </c>
      <c r="I3119" s="86">
        <v>41826</v>
      </c>
      <c r="J3119" s="78">
        <v>1405</v>
      </c>
      <c r="U3119" s="132" t="s">
        <v>154</v>
      </c>
      <c r="V3119" s="132" t="s">
        <v>300</v>
      </c>
      <c r="W3119" s="132" t="s">
        <v>267</v>
      </c>
      <c r="X3119" s="133">
        <v>41721</v>
      </c>
      <c r="Y3119" s="134">
        <v>401</v>
      </c>
    </row>
    <row r="3120" spans="6:25" x14ac:dyDescent="0.25">
      <c r="F3120" s="76" t="s">
        <v>150</v>
      </c>
      <c r="G3120" s="77" t="s">
        <v>195</v>
      </c>
      <c r="H3120" s="77" t="s">
        <v>158</v>
      </c>
      <c r="I3120" s="86">
        <v>41828</v>
      </c>
      <c r="J3120" s="78">
        <v>602</v>
      </c>
      <c r="U3120" s="132" t="s">
        <v>154</v>
      </c>
      <c r="V3120" s="132" t="s">
        <v>300</v>
      </c>
      <c r="W3120" s="132" t="s">
        <v>267</v>
      </c>
      <c r="X3120" s="133">
        <v>41721</v>
      </c>
      <c r="Y3120" s="134">
        <v>239</v>
      </c>
    </row>
    <row r="3121" spans="6:25" x14ac:dyDescent="0.25">
      <c r="F3121" s="76" t="s">
        <v>150</v>
      </c>
      <c r="G3121" s="77" t="s">
        <v>195</v>
      </c>
      <c r="H3121" s="77" t="s">
        <v>158</v>
      </c>
      <c r="I3121" s="86">
        <v>41829</v>
      </c>
      <c r="J3121" s="78">
        <v>867</v>
      </c>
      <c r="U3121" s="132" t="s">
        <v>154</v>
      </c>
      <c r="V3121" s="132" t="s">
        <v>300</v>
      </c>
      <c r="W3121" s="132" t="s">
        <v>267</v>
      </c>
      <c r="X3121" s="133">
        <v>41722</v>
      </c>
      <c r="Y3121" s="134">
        <v>770</v>
      </c>
    </row>
    <row r="3122" spans="6:25" x14ac:dyDescent="0.25">
      <c r="F3122" s="76" t="s">
        <v>150</v>
      </c>
      <c r="G3122" s="77" t="s">
        <v>195</v>
      </c>
      <c r="H3122" s="77" t="s">
        <v>158</v>
      </c>
      <c r="I3122" s="86">
        <v>41832</v>
      </c>
      <c r="J3122" s="78">
        <v>1282</v>
      </c>
      <c r="U3122" s="132" t="s">
        <v>154</v>
      </c>
      <c r="V3122" s="132" t="s">
        <v>300</v>
      </c>
      <c r="W3122" s="132" t="s">
        <v>267</v>
      </c>
      <c r="X3122" s="133">
        <v>41723</v>
      </c>
      <c r="Y3122" s="134">
        <v>560</v>
      </c>
    </row>
    <row r="3123" spans="6:25" x14ac:dyDescent="0.25">
      <c r="F3123" s="76" t="s">
        <v>150</v>
      </c>
      <c r="G3123" s="77" t="s">
        <v>195</v>
      </c>
      <c r="H3123" s="77" t="s">
        <v>158</v>
      </c>
      <c r="I3123" s="86">
        <v>41837</v>
      </c>
      <c r="J3123" s="78">
        <v>410</v>
      </c>
      <c r="U3123" s="132" t="s">
        <v>154</v>
      </c>
      <c r="V3123" s="132" t="s">
        <v>300</v>
      </c>
      <c r="W3123" s="132" t="s">
        <v>267</v>
      </c>
      <c r="X3123" s="133">
        <v>41723</v>
      </c>
      <c r="Y3123" s="134">
        <v>615</v>
      </c>
    </row>
    <row r="3124" spans="6:25" x14ac:dyDescent="0.25">
      <c r="F3124" s="76" t="s">
        <v>150</v>
      </c>
      <c r="G3124" s="77" t="s">
        <v>195</v>
      </c>
      <c r="H3124" s="77" t="s">
        <v>158</v>
      </c>
      <c r="I3124" s="86">
        <v>41841</v>
      </c>
      <c r="J3124" s="78">
        <v>1041</v>
      </c>
      <c r="U3124" s="132" t="s">
        <v>154</v>
      </c>
      <c r="V3124" s="132" t="s">
        <v>300</v>
      </c>
      <c r="W3124" s="132" t="s">
        <v>267</v>
      </c>
      <c r="X3124" s="133">
        <v>41724</v>
      </c>
      <c r="Y3124" s="134">
        <v>821</v>
      </c>
    </row>
    <row r="3125" spans="6:25" x14ac:dyDescent="0.25">
      <c r="F3125" s="76" t="s">
        <v>150</v>
      </c>
      <c r="G3125" s="77" t="s">
        <v>195</v>
      </c>
      <c r="H3125" s="77" t="s">
        <v>158</v>
      </c>
      <c r="I3125" s="86">
        <v>41843</v>
      </c>
      <c r="J3125" s="78">
        <v>858</v>
      </c>
      <c r="U3125" s="132" t="s">
        <v>154</v>
      </c>
      <c r="V3125" s="132" t="s">
        <v>300</v>
      </c>
      <c r="W3125" s="132" t="s">
        <v>267</v>
      </c>
      <c r="X3125" s="133">
        <v>41835</v>
      </c>
      <c r="Y3125" s="134">
        <v>796</v>
      </c>
    </row>
    <row r="3126" spans="6:25" x14ac:dyDescent="0.25">
      <c r="F3126" s="76" t="s">
        <v>150</v>
      </c>
      <c r="G3126" s="77" t="s">
        <v>195</v>
      </c>
      <c r="H3126" s="77" t="s">
        <v>158</v>
      </c>
      <c r="I3126" s="86">
        <v>41844</v>
      </c>
      <c r="J3126" s="78">
        <v>950</v>
      </c>
      <c r="U3126" s="132" t="s">
        <v>154</v>
      </c>
      <c r="V3126" s="132" t="s">
        <v>300</v>
      </c>
      <c r="W3126" s="132" t="s">
        <v>267</v>
      </c>
      <c r="X3126" s="133">
        <v>41836</v>
      </c>
      <c r="Y3126" s="134">
        <v>491</v>
      </c>
    </row>
    <row r="3127" spans="6:25" x14ac:dyDescent="0.25">
      <c r="F3127" s="76" t="s">
        <v>150</v>
      </c>
      <c r="G3127" s="77" t="s">
        <v>195</v>
      </c>
      <c r="H3127" s="77" t="s">
        <v>158</v>
      </c>
      <c r="I3127" s="86">
        <v>41845</v>
      </c>
      <c r="J3127" s="78">
        <v>390</v>
      </c>
      <c r="U3127" s="132" t="s">
        <v>154</v>
      </c>
      <c r="V3127" s="132" t="s">
        <v>300</v>
      </c>
      <c r="W3127" s="132" t="s">
        <v>267</v>
      </c>
      <c r="X3127" s="133">
        <v>41837</v>
      </c>
      <c r="Y3127" s="134">
        <v>643</v>
      </c>
    </row>
    <row r="3128" spans="6:25" x14ac:dyDescent="0.25">
      <c r="F3128" s="76" t="s">
        <v>150</v>
      </c>
      <c r="G3128" s="77" t="s">
        <v>195</v>
      </c>
      <c r="H3128" s="77" t="s">
        <v>158</v>
      </c>
      <c r="I3128" s="86">
        <v>41849</v>
      </c>
      <c r="J3128" s="78">
        <v>1189</v>
      </c>
      <c r="U3128" s="132" t="s">
        <v>154</v>
      </c>
      <c r="V3128" s="132" t="s">
        <v>300</v>
      </c>
      <c r="W3128" s="132" t="s">
        <v>267</v>
      </c>
      <c r="X3128" s="133">
        <v>41837</v>
      </c>
      <c r="Y3128" s="134">
        <v>886</v>
      </c>
    </row>
    <row r="3129" spans="6:25" x14ac:dyDescent="0.25">
      <c r="F3129" s="76" t="s">
        <v>150</v>
      </c>
      <c r="G3129" s="77" t="s">
        <v>195</v>
      </c>
      <c r="H3129" s="77" t="s">
        <v>158</v>
      </c>
      <c r="I3129" s="86">
        <v>41851</v>
      </c>
      <c r="J3129" s="78">
        <v>738</v>
      </c>
      <c r="U3129" s="132" t="s">
        <v>154</v>
      </c>
      <c r="V3129" s="132" t="s">
        <v>300</v>
      </c>
      <c r="W3129" s="132" t="s">
        <v>267</v>
      </c>
      <c r="X3129" s="133">
        <v>41838</v>
      </c>
      <c r="Y3129" s="134">
        <v>524</v>
      </c>
    </row>
    <row r="3130" spans="6:25" x14ac:dyDescent="0.25">
      <c r="F3130" s="76" t="s">
        <v>150</v>
      </c>
      <c r="G3130" s="77" t="s">
        <v>195</v>
      </c>
      <c r="H3130" s="77" t="s">
        <v>158</v>
      </c>
      <c r="I3130" s="86">
        <v>41855</v>
      </c>
      <c r="J3130" s="78">
        <v>919</v>
      </c>
      <c r="U3130" s="132" t="s">
        <v>154</v>
      </c>
      <c r="V3130" s="132" t="s">
        <v>300</v>
      </c>
      <c r="W3130" s="132" t="s">
        <v>267</v>
      </c>
      <c r="X3130" s="133">
        <v>41841</v>
      </c>
      <c r="Y3130" s="134">
        <v>830</v>
      </c>
    </row>
    <row r="3131" spans="6:25" x14ac:dyDescent="0.25">
      <c r="F3131" s="76" t="s">
        <v>150</v>
      </c>
      <c r="G3131" s="77" t="s">
        <v>195</v>
      </c>
      <c r="H3131" s="77" t="s">
        <v>158</v>
      </c>
      <c r="I3131" s="86">
        <v>41856</v>
      </c>
      <c r="J3131" s="78">
        <v>689</v>
      </c>
      <c r="U3131" s="132" t="s">
        <v>154</v>
      </c>
      <c r="V3131" s="132" t="s">
        <v>300</v>
      </c>
      <c r="W3131" s="132" t="s">
        <v>267</v>
      </c>
      <c r="X3131" s="133">
        <v>41842</v>
      </c>
      <c r="Y3131" s="134">
        <v>1045</v>
      </c>
    </row>
    <row r="3132" spans="6:25" x14ac:dyDescent="0.25">
      <c r="F3132" s="76" t="s">
        <v>150</v>
      </c>
      <c r="G3132" s="77" t="s">
        <v>195</v>
      </c>
      <c r="H3132" s="77" t="s">
        <v>158</v>
      </c>
      <c r="I3132" s="86">
        <v>41857</v>
      </c>
      <c r="J3132" s="78">
        <v>1058</v>
      </c>
      <c r="U3132" s="132" t="s">
        <v>154</v>
      </c>
      <c r="V3132" s="132" t="s">
        <v>300</v>
      </c>
      <c r="W3132" s="132" t="s">
        <v>267</v>
      </c>
      <c r="X3132" s="133">
        <v>41843</v>
      </c>
      <c r="Y3132" s="134">
        <v>694</v>
      </c>
    </row>
    <row r="3133" spans="6:25" x14ac:dyDescent="0.25">
      <c r="F3133" s="76" t="s">
        <v>150</v>
      </c>
      <c r="G3133" s="77" t="s">
        <v>195</v>
      </c>
      <c r="H3133" s="77" t="s">
        <v>158</v>
      </c>
      <c r="I3133" s="86">
        <v>41858</v>
      </c>
      <c r="J3133" s="78">
        <v>538</v>
      </c>
      <c r="U3133" s="132" t="s">
        <v>154</v>
      </c>
      <c r="V3133" s="132" t="s">
        <v>300</v>
      </c>
      <c r="W3133" s="132" t="s">
        <v>267</v>
      </c>
      <c r="X3133" s="133">
        <v>41843</v>
      </c>
      <c r="Y3133" s="134">
        <v>687</v>
      </c>
    </row>
    <row r="3134" spans="6:25" x14ac:dyDescent="0.25">
      <c r="F3134" s="76" t="s">
        <v>150</v>
      </c>
      <c r="G3134" s="77" t="s">
        <v>195</v>
      </c>
      <c r="H3134" s="77" t="s">
        <v>158</v>
      </c>
      <c r="I3134" s="86">
        <v>41859</v>
      </c>
      <c r="J3134" s="78">
        <v>715</v>
      </c>
      <c r="U3134" s="132" t="s">
        <v>154</v>
      </c>
      <c r="V3134" s="132" t="s">
        <v>300</v>
      </c>
      <c r="W3134" s="132" t="s">
        <v>267</v>
      </c>
      <c r="X3134" s="133">
        <v>41844</v>
      </c>
      <c r="Y3134" s="134">
        <v>915</v>
      </c>
    </row>
    <row r="3135" spans="6:25" x14ac:dyDescent="0.25">
      <c r="F3135" s="76" t="s">
        <v>150</v>
      </c>
      <c r="G3135" s="77" t="s">
        <v>195</v>
      </c>
      <c r="H3135" s="77" t="s">
        <v>158</v>
      </c>
      <c r="I3135" s="86">
        <v>41862</v>
      </c>
      <c r="J3135" s="78">
        <v>1704</v>
      </c>
      <c r="U3135" s="132" t="s">
        <v>154</v>
      </c>
      <c r="V3135" s="132" t="s">
        <v>300</v>
      </c>
      <c r="W3135" s="132" t="s">
        <v>267</v>
      </c>
      <c r="X3135" s="133">
        <v>41845</v>
      </c>
      <c r="Y3135" s="134">
        <v>871</v>
      </c>
    </row>
    <row r="3136" spans="6:25" x14ac:dyDescent="0.25">
      <c r="F3136" s="76" t="s">
        <v>150</v>
      </c>
      <c r="G3136" s="77" t="s">
        <v>195</v>
      </c>
      <c r="H3136" s="77" t="s">
        <v>158</v>
      </c>
      <c r="I3136" s="86">
        <v>41865</v>
      </c>
      <c r="J3136" s="78">
        <v>1354</v>
      </c>
      <c r="U3136" s="132" t="s">
        <v>154</v>
      </c>
      <c r="V3136" s="132" t="s">
        <v>300</v>
      </c>
      <c r="W3136" s="132" t="s">
        <v>267</v>
      </c>
      <c r="X3136" s="133">
        <v>41846</v>
      </c>
      <c r="Y3136" s="134">
        <v>851</v>
      </c>
    </row>
    <row r="3137" spans="6:25" x14ac:dyDescent="0.25">
      <c r="F3137" s="76" t="s">
        <v>150</v>
      </c>
      <c r="G3137" s="77" t="s">
        <v>195</v>
      </c>
      <c r="H3137" s="77" t="s">
        <v>158</v>
      </c>
      <c r="I3137" s="86">
        <v>41866</v>
      </c>
      <c r="J3137" s="78">
        <v>730</v>
      </c>
      <c r="U3137" s="132" t="s">
        <v>154</v>
      </c>
      <c r="V3137" s="132" t="s">
        <v>300</v>
      </c>
      <c r="W3137" s="132" t="s">
        <v>267</v>
      </c>
      <c r="X3137" s="133">
        <v>41846</v>
      </c>
      <c r="Y3137" s="134">
        <v>724</v>
      </c>
    </row>
    <row r="3138" spans="6:25" x14ac:dyDescent="0.25">
      <c r="F3138" s="76" t="s">
        <v>150</v>
      </c>
      <c r="G3138" s="77" t="s">
        <v>195</v>
      </c>
      <c r="H3138" s="77" t="s">
        <v>158</v>
      </c>
      <c r="I3138" s="86">
        <v>41868</v>
      </c>
      <c r="J3138" s="78">
        <v>1186</v>
      </c>
      <c r="U3138" s="132" t="s">
        <v>154</v>
      </c>
      <c r="V3138" s="132" t="s">
        <v>300</v>
      </c>
      <c r="W3138" s="132" t="s">
        <v>267</v>
      </c>
      <c r="X3138" s="133">
        <v>41847</v>
      </c>
      <c r="Y3138" s="134">
        <v>794</v>
      </c>
    </row>
    <row r="3139" spans="6:25" x14ac:dyDescent="0.25">
      <c r="F3139" s="76" t="s">
        <v>150</v>
      </c>
      <c r="G3139" s="77" t="s">
        <v>195</v>
      </c>
      <c r="H3139" s="77" t="s">
        <v>158</v>
      </c>
      <c r="I3139" s="86">
        <v>41870</v>
      </c>
      <c r="J3139" s="78">
        <v>1105</v>
      </c>
      <c r="U3139" s="132" t="s">
        <v>154</v>
      </c>
      <c r="V3139" s="132" t="s">
        <v>300</v>
      </c>
      <c r="W3139" s="132" t="s">
        <v>267</v>
      </c>
      <c r="X3139" s="133">
        <v>41848</v>
      </c>
      <c r="Y3139" s="134">
        <v>717</v>
      </c>
    </row>
    <row r="3140" spans="6:25" x14ac:dyDescent="0.25">
      <c r="F3140" s="76" t="s">
        <v>150</v>
      </c>
      <c r="G3140" s="77" t="s">
        <v>195</v>
      </c>
      <c r="H3140" s="77" t="s">
        <v>158</v>
      </c>
      <c r="I3140" s="86">
        <v>41872</v>
      </c>
      <c r="J3140" s="78">
        <v>1026</v>
      </c>
      <c r="U3140" s="132" t="s">
        <v>154</v>
      </c>
      <c r="V3140" s="132" t="s">
        <v>300</v>
      </c>
      <c r="W3140" s="132" t="s">
        <v>267</v>
      </c>
      <c r="X3140" s="133">
        <v>41848</v>
      </c>
      <c r="Y3140" s="134">
        <v>853</v>
      </c>
    </row>
    <row r="3141" spans="6:25" x14ac:dyDescent="0.25">
      <c r="F3141" s="76" t="s">
        <v>150</v>
      </c>
      <c r="G3141" s="77" t="s">
        <v>195</v>
      </c>
      <c r="H3141" s="77" t="s">
        <v>158</v>
      </c>
      <c r="I3141" s="86">
        <v>41873</v>
      </c>
      <c r="J3141" s="78">
        <v>998</v>
      </c>
      <c r="U3141" s="132" t="s">
        <v>154</v>
      </c>
      <c r="V3141" s="132" t="s">
        <v>300</v>
      </c>
      <c r="W3141" s="132" t="s">
        <v>267</v>
      </c>
      <c r="X3141" s="133">
        <v>41849</v>
      </c>
      <c r="Y3141" s="134">
        <v>428</v>
      </c>
    </row>
    <row r="3142" spans="6:25" x14ac:dyDescent="0.25">
      <c r="F3142" s="76" t="s">
        <v>150</v>
      </c>
      <c r="G3142" s="77" t="s">
        <v>195</v>
      </c>
      <c r="H3142" s="77" t="s">
        <v>158</v>
      </c>
      <c r="I3142" s="86">
        <v>41874</v>
      </c>
      <c r="J3142" s="78">
        <v>680</v>
      </c>
      <c r="U3142" s="132" t="s">
        <v>154</v>
      </c>
      <c r="V3142" s="132" t="s">
        <v>300</v>
      </c>
      <c r="W3142" s="132" t="s">
        <v>267</v>
      </c>
      <c r="X3142" s="133">
        <v>41850</v>
      </c>
      <c r="Y3142" s="134">
        <v>475</v>
      </c>
    </row>
    <row r="3143" spans="6:25" x14ac:dyDescent="0.25">
      <c r="F3143" s="76" t="s">
        <v>150</v>
      </c>
      <c r="G3143" s="77" t="s">
        <v>195</v>
      </c>
      <c r="H3143" s="77" t="s">
        <v>158</v>
      </c>
      <c r="I3143" s="86">
        <v>41875</v>
      </c>
      <c r="J3143" s="78">
        <v>1055</v>
      </c>
      <c r="U3143" s="132" t="s">
        <v>154</v>
      </c>
      <c r="V3143" s="132" t="s">
        <v>300</v>
      </c>
      <c r="W3143" s="132" t="s">
        <v>267</v>
      </c>
      <c r="X3143" s="133">
        <v>41850</v>
      </c>
      <c r="Y3143" s="134">
        <v>850</v>
      </c>
    </row>
    <row r="3144" spans="6:25" x14ac:dyDescent="0.25">
      <c r="F3144" s="76" t="s">
        <v>150</v>
      </c>
      <c r="G3144" s="77" t="s">
        <v>195</v>
      </c>
      <c r="H3144" s="77" t="s">
        <v>158</v>
      </c>
      <c r="I3144" s="86">
        <v>41877</v>
      </c>
      <c r="J3144" s="78">
        <v>1306</v>
      </c>
      <c r="U3144" s="132" t="s">
        <v>154</v>
      </c>
      <c r="V3144" s="132" t="s">
        <v>300</v>
      </c>
      <c r="W3144" s="132" t="s">
        <v>267</v>
      </c>
      <c r="X3144" s="133">
        <v>41851</v>
      </c>
      <c r="Y3144" s="134">
        <v>715</v>
      </c>
    </row>
    <row r="3145" spans="6:25" x14ac:dyDescent="0.25">
      <c r="F3145" s="76" t="s">
        <v>150</v>
      </c>
      <c r="G3145" s="77" t="s">
        <v>195</v>
      </c>
      <c r="H3145" s="77" t="s">
        <v>158</v>
      </c>
      <c r="I3145" s="86">
        <v>41884</v>
      </c>
      <c r="J3145" s="78">
        <v>1410</v>
      </c>
      <c r="U3145" s="132" t="s">
        <v>154</v>
      </c>
      <c r="V3145" s="132" t="s">
        <v>300</v>
      </c>
      <c r="W3145" s="132" t="s">
        <v>267</v>
      </c>
      <c r="X3145" s="133">
        <v>41852</v>
      </c>
      <c r="Y3145" s="134">
        <v>660</v>
      </c>
    </row>
    <row r="3146" spans="6:25" x14ac:dyDescent="0.25">
      <c r="F3146" s="76" t="s">
        <v>150</v>
      </c>
      <c r="G3146" s="77" t="s">
        <v>195</v>
      </c>
      <c r="H3146" s="77" t="s">
        <v>158</v>
      </c>
      <c r="I3146" s="86">
        <v>41897</v>
      </c>
      <c r="J3146" s="78">
        <v>990</v>
      </c>
      <c r="U3146" s="132" t="s">
        <v>154</v>
      </c>
      <c r="V3146" s="132" t="s">
        <v>300</v>
      </c>
      <c r="W3146" s="132" t="s">
        <v>267</v>
      </c>
      <c r="X3146" s="133">
        <v>41855</v>
      </c>
      <c r="Y3146" s="134">
        <v>1037</v>
      </c>
    </row>
    <row r="3147" spans="6:25" x14ac:dyDescent="0.25">
      <c r="F3147" s="76" t="s">
        <v>150</v>
      </c>
      <c r="G3147" s="77" t="s">
        <v>195</v>
      </c>
      <c r="H3147" s="77" t="s">
        <v>158</v>
      </c>
      <c r="I3147" s="86">
        <v>41898</v>
      </c>
      <c r="J3147" s="78">
        <v>954</v>
      </c>
      <c r="U3147" s="132" t="s">
        <v>154</v>
      </c>
      <c r="V3147" s="132" t="s">
        <v>300</v>
      </c>
      <c r="W3147" s="132" t="s">
        <v>267</v>
      </c>
      <c r="X3147" s="133">
        <v>41856</v>
      </c>
      <c r="Y3147" s="134">
        <v>866</v>
      </c>
    </row>
    <row r="3148" spans="6:25" x14ac:dyDescent="0.25">
      <c r="F3148" s="76" t="s">
        <v>150</v>
      </c>
      <c r="G3148" s="77" t="s">
        <v>195</v>
      </c>
      <c r="H3148" s="77" t="s">
        <v>158</v>
      </c>
      <c r="I3148" s="86">
        <v>41899</v>
      </c>
      <c r="J3148" s="78">
        <v>574</v>
      </c>
      <c r="U3148" s="132" t="s">
        <v>154</v>
      </c>
      <c r="V3148" s="132" t="s">
        <v>300</v>
      </c>
      <c r="W3148" s="132" t="s">
        <v>267</v>
      </c>
      <c r="X3148" s="133">
        <v>41857</v>
      </c>
      <c r="Y3148" s="134">
        <v>850</v>
      </c>
    </row>
    <row r="3149" spans="6:25" x14ac:dyDescent="0.25">
      <c r="F3149" s="76" t="s">
        <v>150</v>
      </c>
      <c r="G3149" s="77" t="s">
        <v>195</v>
      </c>
      <c r="H3149" s="77" t="s">
        <v>158</v>
      </c>
      <c r="I3149" s="86">
        <v>41900</v>
      </c>
      <c r="J3149" s="78">
        <v>1015</v>
      </c>
      <c r="U3149" s="132" t="s">
        <v>154</v>
      </c>
      <c r="V3149" s="132" t="s">
        <v>300</v>
      </c>
      <c r="W3149" s="132" t="s">
        <v>267</v>
      </c>
      <c r="X3149" s="133">
        <v>41858</v>
      </c>
      <c r="Y3149" s="134">
        <v>587</v>
      </c>
    </row>
    <row r="3150" spans="6:25" x14ac:dyDescent="0.25">
      <c r="F3150" s="76" t="s">
        <v>150</v>
      </c>
      <c r="G3150" s="77" t="s">
        <v>195</v>
      </c>
      <c r="H3150" s="77" t="s">
        <v>158</v>
      </c>
      <c r="I3150" s="86">
        <v>41902</v>
      </c>
      <c r="J3150" s="78">
        <v>1266</v>
      </c>
      <c r="U3150" s="132" t="s">
        <v>154</v>
      </c>
      <c r="V3150" s="132" t="s">
        <v>300</v>
      </c>
      <c r="W3150" s="132" t="s">
        <v>267</v>
      </c>
      <c r="X3150" s="133">
        <v>41858</v>
      </c>
      <c r="Y3150" s="134">
        <v>865</v>
      </c>
    </row>
    <row r="3151" spans="6:25" x14ac:dyDescent="0.25">
      <c r="F3151" s="76" t="s">
        <v>150</v>
      </c>
      <c r="G3151" s="77" t="s">
        <v>195</v>
      </c>
      <c r="H3151" s="77" t="s">
        <v>158</v>
      </c>
      <c r="I3151" s="86">
        <v>41903</v>
      </c>
      <c r="J3151" s="78">
        <v>934</v>
      </c>
      <c r="U3151" s="132" t="s">
        <v>154</v>
      </c>
      <c r="V3151" s="132" t="s">
        <v>300</v>
      </c>
      <c r="W3151" s="132" t="s">
        <v>267</v>
      </c>
      <c r="X3151" s="133">
        <v>41859</v>
      </c>
      <c r="Y3151" s="134">
        <v>516</v>
      </c>
    </row>
    <row r="3152" spans="6:25" x14ac:dyDescent="0.25">
      <c r="F3152" s="76" t="s">
        <v>150</v>
      </c>
      <c r="G3152" s="77" t="s">
        <v>195</v>
      </c>
      <c r="H3152" s="77" t="s">
        <v>158</v>
      </c>
      <c r="I3152" s="86">
        <v>41904</v>
      </c>
      <c r="J3152" s="78">
        <v>967</v>
      </c>
      <c r="U3152" s="132" t="s">
        <v>154</v>
      </c>
      <c r="V3152" s="132" t="s">
        <v>300</v>
      </c>
      <c r="W3152" s="132" t="s">
        <v>267</v>
      </c>
      <c r="X3152" s="133">
        <v>41861</v>
      </c>
      <c r="Y3152" s="134">
        <v>329</v>
      </c>
    </row>
    <row r="3153" spans="6:25" x14ac:dyDescent="0.25">
      <c r="F3153" s="76" t="s">
        <v>150</v>
      </c>
      <c r="G3153" s="77" t="s">
        <v>195</v>
      </c>
      <c r="H3153" s="77" t="s">
        <v>158</v>
      </c>
      <c r="I3153" s="86">
        <v>41905</v>
      </c>
      <c r="J3153" s="78">
        <v>884</v>
      </c>
      <c r="U3153" s="132" t="s">
        <v>154</v>
      </c>
      <c r="V3153" s="132" t="s">
        <v>300</v>
      </c>
      <c r="W3153" s="132" t="s">
        <v>267</v>
      </c>
      <c r="X3153" s="133">
        <v>41862</v>
      </c>
      <c r="Y3153" s="134">
        <v>665</v>
      </c>
    </row>
    <row r="3154" spans="6:25" x14ac:dyDescent="0.25">
      <c r="F3154" s="76" t="s">
        <v>150</v>
      </c>
      <c r="G3154" s="77" t="s">
        <v>195</v>
      </c>
      <c r="H3154" s="77" t="s">
        <v>158</v>
      </c>
      <c r="I3154" s="86">
        <v>41907</v>
      </c>
      <c r="J3154" s="78">
        <v>1303</v>
      </c>
      <c r="U3154" s="132" t="s">
        <v>154</v>
      </c>
      <c r="V3154" s="132" t="s">
        <v>300</v>
      </c>
      <c r="W3154" s="132" t="s">
        <v>267</v>
      </c>
      <c r="X3154" s="133">
        <v>41863</v>
      </c>
      <c r="Y3154" s="134">
        <v>826</v>
      </c>
    </row>
    <row r="3155" spans="6:25" x14ac:dyDescent="0.25">
      <c r="F3155" s="76" t="s">
        <v>150</v>
      </c>
      <c r="G3155" s="77" t="s">
        <v>195</v>
      </c>
      <c r="H3155" s="77" t="s">
        <v>158</v>
      </c>
      <c r="I3155" s="86">
        <v>41908</v>
      </c>
      <c r="J3155" s="78">
        <v>1165</v>
      </c>
      <c r="U3155" s="132" t="s">
        <v>154</v>
      </c>
      <c r="V3155" s="132" t="s">
        <v>300</v>
      </c>
      <c r="W3155" s="132" t="s">
        <v>267</v>
      </c>
      <c r="X3155" s="133">
        <v>41864</v>
      </c>
      <c r="Y3155" s="134">
        <v>859</v>
      </c>
    </row>
    <row r="3156" spans="6:25" x14ac:dyDescent="0.25">
      <c r="F3156" s="76" t="s">
        <v>150</v>
      </c>
      <c r="G3156" s="77" t="s">
        <v>195</v>
      </c>
      <c r="H3156" s="77" t="s">
        <v>158</v>
      </c>
      <c r="I3156" s="86">
        <v>41910</v>
      </c>
      <c r="J3156" s="78">
        <v>965</v>
      </c>
      <c r="U3156" s="132" t="s">
        <v>154</v>
      </c>
      <c r="V3156" s="132" t="s">
        <v>300</v>
      </c>
      <c r="W3156" s="132" t="s">
        <v>267</v>
      </c>
      <c r="X3156" s="133">
        <v>41865</v>
      </c>
      <c r="Y3156" s="134">
        <v>918</v>
      </c>
    </row>
    <row r="3157" spans="6:25" x14ac:dyDescent="0.25">
      <c r="F3157" s="76" t="s">
        <v>150</v>
      </c>
      <c r="G3157" s="77" t="s">
        <v>195</v>
      </c>
      <c r="H3157" s="77" t="s">
        <v>158</v>
      </c>
      <c r="I3157" s="86">
        <v>41912</v>
      </c>
      <c r="J3157" s="78">
        <v>802</v>
      </c>
      <c r="U3157" s="132" t="s">
        <v>154</v>
      </c>
      <c r="V3157" s="132" t="s">
        <v>300</v>
      </c>
      <c r="W3157" s="132" t="s">
        <v>267</v>
      </c>
      <c r="X3157" s="133">
        <v>41866</v>
      </c>
      <c r="Y3157" s="134">
        <v>1015</v>
      </c>
    </row>
    <row r="3158" spans="6:25" x14ac:dyDescent="0.25">
      <c r="F3158" s="76" t="s">
        <v>150</v>
      </c>
      <c r="G3158" s="77" t="s">
        <v>195</v>
      </c>
      <c r="H3158" s="77" t="s">
        <v>158</v>
      </c>
      <c r="I3158" s="86">
        <v>41915</v>
      </c>
      <c r="J3158" s="78">
        <v>1329</v>
      </c>
      <c r="U3158" s="132" t="s">
        <v>154</v>
      </c>
      <c r="V3158" s="132" t="s">
        <v>300</v>
      </c>
      <c r="W3158" s="132" t="s">
        <v>267</v>
      </c>
      <c r="X3158" s="133">
        <v>41867</v>
      </c>
      <c r="Y3158" s="134">
        <v>835</v>
      </c>
    </row>
    <row r="3159" spans="6:25" x14ac:dyDescent="0.25">
      <c r="F3159" s="76" t="s">
        <v>150</v>
      </c>
      <c r="G3159" s="77" t="s">
        <v>195</v>
      </c>
      <c r="H3159" s="77" t="s">
        <v>158</v>
      </c>
      <c r="I3159" s="86">
        <v>41918</v>
      </c>
      <c r="J3159" s="78">
        <v>856</v>
      </c>
      <c r="U3159" s="132" t="s">
        <v>154</v>
      </c>
      <c r="V3159" s="132" t="s">
        <v>300</v>
      </c>
      <c r="W3159" s="132" t="s">
        <v>267</v>
      </c>
      <c r="X3159" s="133">
        <v>41867</v>
      </c>
      <c r="Y3159" s="134">
        <v>716</v>
      </c>
    </row>
    <row r="3160" spans="6:25" x14ac:dyDescent="0.25">
      <c r="F3160" s="76" t="s">
        <v>150</v>
      </c>
      <c r="G3160" s="77" t="s">
        <v>195</v>
      </c>
      <c r="H3160" s="77" t="s">
        <v>158</v>
      </c>
      <c r="I3160" s="86">
        <v>41919</v>
      </c>
      <c r="J3160" s="78">
        <v>526</v>
      </c>
      <c r="U3160" s="132" t="s">
        <v>154</v>
      </c>
      <c r="V3160" s="132" t="s">
        <v>300</v>
      </c>
      <c r="W3160" s="132" t="s">
        <v>267</v>
      </c>
      <c r="X3160" s="133">
        <v>41868</v>
      </c>
      <c r="Y3160" s="134">
        <v>826</v>
      </c>
    </row>
    <row r="3161" spans="6:25" x14ac:dyDescent="0.25">
      <c r="F3161" s="76" t="s">
        <v>150</v>
      </c>
      <c r="G3161" s="77" t="s">
        <v>195</v>
      </c>
      <c r="H3161" s="77" t="s">
        <v>158</v>
      </c>
      <c r="I3161" s="86">
        <v>41920</v>
      </c>
      <c r="J3161" s="78">
        <v>520</v>
      </c>
      <c r="U3161" s="132" t="s">
        <v>154</v>
      </c>
      <c r="V3161" s="132" t="s">
        <v>300</v>
      </c>
      <c r="W3161" s="132" t="s">
        <v>267</v>
      </c>
      <c r="X3161" s="133">
        <v>41869</v>
      </c>
      <c r="Y3161" s="134">
        <v>862</v>
      </c>
    </row>
    <row r="3162" spans="6:25" x14ac:dyDescent="0.25">
      <c r="F3162" s="76" t="s">
        <v>150</v>
      </c>
      <c r="G3162" s="77" t="s">
        <v>195</v>
      </c>
      <c r="H3162" s="77" t="s">
        <v>158</v>
      </c>
      <c r="I3162" s="86">
        <v>41922</v>
      </c>
      <c r="J3162" s="78">
        <v>1076</v>
      </c>
      <c r="U3162" s="132" t="s">
        <v>154</v>
      </c>
      <c r="V3162" s="132" t="s">
        <v>300</v>
      </c>
      <c r="W3162" s="132" t="s">
        <v>267</v>
      </c>
      <c r="X3162" s="133">
        <v>41870</v>
      </c>
      <c r="Y3162" s="134">
        <v>815</v>
      </c>
    </row>
    <row r="3163" spans="6:25" x14ac:dyDescent="0.25">
      <c r="F3163" s="76" t="s">
        <v>150</v>
      </c>
      <c r="G3163" s="77" t="s">
        <v>195</v>
      </c>
      <c r="H3163" s="77" t="s">
        <v>158</v>
      </c>
      <c r="I3163" s="86">
        <v>41925</v>
      </c>
      <c r="J3163" s="78">
        <v>908</v>
      </c>
      <c r="U3163" s="132" t="s">
        <v>154</v>
      </c>
      <c r="V3163" s="132" t="s">
        <v>300</v>
      </c>
      <c r="W3163" s="132" t="s">
        <v>267</v>
      </c>
      <c r="X3163" s="133">
        <v>41871</v>
      </c>
      <c r="Y3163" s="134">
        <v>882</v>
      </c>
    </row>
    <row r="3164" spans="6:25" x14ac:dyDescent="0.25">
      <c r="F3164" s="76" t="s">
        <v>150</v>
      </c>
      <c r="G3164" s="77" t="s">
        <v>195</v>
      </c>
      <c r="H3164" s="77" t="s">
        <v>158</v>
      </c>
      <c r="I3164" s="86">
        <v>41926</v>
      </c>
      <c r="J3164" s="78">
        <v>552</v>
      </c>
      <c r="U3164" s="132" t="s">
        <v>154</v>
      </c>
      <c r="V3164" s="132" t="s">
        <v>300</v>
      </c>
      <c r="W3164" s="132" t="s">
        <v>267</v>
      </c>
      <c r="X3164" s="133">
        <v>41879</v>
      </c>
      <c r="Y3164" s="134">
        <v>956</v>
      </c>
    </row>
    <row r="3165" spans="6:25" x14ac:dyDescent="0.25">
      <c r="F3165" s="76" t="s">
        <v>150</v>
      </c>
      <c r="G3165" s="77" t="s">
        <v>195</v>
      </c>
      <c r="H3165" s="77" t="s">
        <v>158</v>
      </c>
      <c r="I3165" s="86">
        <v>41928</v>
      </c>
      <c r="J3165" s="78">
        <v>749</v>
      </c>
      <c r="U3165" s="132" t="s">
        <v>154</v>
      </c>
      <c r="V3165" s="132" t="s">
        <v>300</v>
      </c>
      <c r="W3165" s="132" t="s">
        <v>267</v>
      </c>
      <c r="X3165" s="133">
        <v>41880</v>
      </c>
      <c r="Y3165" s="134">
        <v>847</v>
      </c>
    </row>
    <row r="3166" spans="6:25" x14ac:dyDescent="0.25">
      <c r="F3166" s="76" t="s">
        <v>150</v>
      </c>
      <c r="G3166" s="77" t="s">
        <v>195</v>
      </c>
      <c r="H3166" s="77" t="s">
        <v>158</v>
      </c>
      <c r="I3166" s="86">
        <v>41932</v>
      </c>
      <c r="J3166" s="78">
        <v>709</v>
      </c>
      <c r="U3166" s="132" t="s">
        <v>154</v>
      </c>
      <c r="V3166" s="132" t="s">
        <v>300</v>
      </c>
      <c r="W3166" s="132" t="s">
        <v>267</v>
      </c>
      <c r="X3166" s="133">
        <v>41881</v>
      </c>
      <c r="Y3166" s="134">
        <v>836</v>
      </c>
    </row>
    <row r="3167" spans="6:25" x14ac:dyDescent="0.25">
      <c r="F3167" s="76" t="s">
        <v>150</v>
      </c>
      <c r="G3167" s="77" t="s">
        <v>195</v>
      </c>
      <c r="H3167" s="77" t="s">
        <v>158</v>
      </c>
      <c r="I3167" s="86">
        <v>41933</v>
      </c>
      <c r="J3167" s="78">
        <v>442</v>
      </c>
      <c r="U3167" s="132" t="s">
        <v>154</v>
      </c>
      <c r="V3167" s="132" t="s">
        <v>300</v>
      </c>
      <c r="W3167" s="132" t="s">
        <v>267</v>
      </c>
      <c r="X3167" s="133">
        <v>41882</v>
      </c>
      <c r="Y3167" s="134">
        <v>751</v>
      </c>
    </row>
    <row r="3168" spans="6:25" x14ac:dyDescent="0.25">
      <c r="F3168" s="76" t="s">
        <v>150</v>
      </c>
      <c r="G3168" s="77" t="s">
        <v>195</v>
      </c>
      <c r="H3168" s="77" t="s">
        <v>158</v>
      </c>
      <c r="I3168" s="86">
        <v>41934</v>
      </c>
      <c r="J3168" s="78">
        <v>502</v>
      </c>
      <c r="U3168" s="132" t="s">
        <v>154</v>
      </c>
      <c r="V3168" s="132" t="s">
        <v>300</v>
      </c>
      <c r="W3168" s="132" t="s">
        <v>267</v>
      </c>
      <c r="X3168" s="133">
        <v>41882</v>
      </c>
      <c r="Y3168" s="134">
        <v>493</v>
      </c>
    </row>
    <row r="3169" spans="6:25" x14ac:dyDescent="0.25">
      <c r="F3169" s="76" t="s">
        <v>150</v>
      </c>
      <c r="G3169" s="77" t="s">
        <v>195</v>
      </c>
      <c r="H3169" s="77" t="s">
        <v>158</v>
      </c>
      <c r="I3169" s="86">
        <v>41935</v>
      </c>
      <c r="J3169" s="78">
        <v>444</v>
      </c>
      <c r="U3169" s="132" t="s">
        <v>154</v>
      </c>
      <c r="V3169" s="132" t="s">
        <v>300</v>
      </c>
      <c r="W3169" s="132" t="s">
        <v>267</v>
      </c>
      <c r="X3169" s="133">
        <v>41882</v>
      </c>
      <c r="Y3169" s="134">
        <v>243</v>
      </c>
    </row>
    <row r="3170" spans="6:25" x14ac:dyDescent="0.25">
      <c r="F3170" s="76" t="s">
        <v>150</v>
      </c>
      <c r="G3170" s="77" t="s">
        <v>195</v>
      </c>
      <c r="H3170" s="77" t="s">
        <v>158</v>
      </c>
      <c r="I3170" s="86">
        <v>41936</v>
      </c>
      <c r="J3170" s="78">
        <v>456</v>
      </c>
      <c r="U3170" s="132" t="s">
        <v>154</v>
      </c>
      <c r="V3170" s="132" t="s">
        <v>300</v>
      </c>
      <c r="W3170" s="132" t="s">
        <v>267</v>
      </c>
      <c r="X3170" s="133">
        <v>41883</v>
      </c>
      <c r="Y3170" s="134">
        <v>757</v>
      </c>
    </row>
    <row r="3171" spans="6:25" x14ac:dyDescent="0.25">
      <c r="F3171" s="76" t="s">
        <v>150</v>
      </c>
      <c r="G3171" s="77" t="s">
        <v>195</v>
      </c>
      <c r="H3171" s="77" t="s">
        <v>158</v>
      </c>
      <c r="I3171" s="86">
        <v>41941</v>
      </c>
      <c r="J3171" s="78">
        <v>1298</v>
      </c>
      <c r="U3171" s="132" t="s">
        <v>154</v>
      </c>
      <c r="V3171" s="132" t="s">
        <v>300</v>
      </c>
      <c r="W3171" s="132" t="s">
        <v>267</v>
      </c>
      <c r="X3171" s="133">
        <v>41884</v>
      </c>
      <c r="Y3171" s="134">
        <v>910</v>
      </c>
    </row>
    <row r="3172" spans="6:25" x14ac:dyDescent="0.25">
      <c r="F3172" s="76" t="s">
        <v>150</v>
      </c>
      <c r="G3172" s="77" t="s">
        <v>195</v>
      </c>
      <c r="H3172" s="77" t="s">
        <v>158</v>
      </c>
      <c r="I3172" s="86">
        <v>41942</v>
      </c>
      <c r="J3172" s="78">
        <v>858</v>
      </c>
      <c r="U3172" s="132" t="s">
        <v>154</v>
      </c>
      <c r="V3172" s="132" t="s">
        <v>300</v>
      </c>
      <c r="W3172" s="132" t="s">
        <v>267</v>
      </c>
      <c r="X3172" s="133">
        <v>41885</v>
      </c>
      <c r="Y3172" s="134">
        <v>705</v>
      </c>
    </row>
    <row r="3173" spans="6:25" x14ac:dyDescent="0.25">
      <c r="F3173" s="76" t="s">
        <v>150</v>
      </c>
      <c r="G3173" s="77" t="s">
        <v>195</v>
      </c>
      <c r="H3173" s="77" t="s">
        <v>158</v>
      </c>
      <c r="I3173" s="86">
        <v>41947</v>
      </c>
      <c r="J3173" s="78">
        <v>994</v>
      </c>
      <c r="U3173" s="132" t="s">
        <v>154</v>
      </c>
      <c r="V3173" s="132" t="s">
        <v>300</v>
      </c>
      <c r="W3173" s="132" t="s">
        <v>267</v>
      </c>
      <c r="X3173" s="133">
        <v>41886</v>
      </c>
      <c r="Y3173" s="134">
        <v>780</v>
      </c>
    </row>
    <row r="3174" spans="6:25" x14ac:dyDescent="0.25">
      <c r="F3174" s="76" t="s">
        <v>150</v>
      </c>
      <c r="G3174" s="77" t="s">
        <v>195</v>
      </c>
      <c r="H3174" s="77" t="s">
        <v>158</v>
      </c>
      <c r="I3174" s="86">
        <v>41950</v>
      </c>
      <c r="J3174" s="78">
        <v>994</v>
      </c>
      <c r="U3174" s="132" t="s">
        <v>154</v>
      </c>
      <c r="V3174" s="132" t="s">
        <v>300</v>
      </c>
      <c r="W3174" s="132" t="s">
        <v>267</v>
      </c>
      <c r="X3174" s="133">
        <v>41887</v>
      </c>
      <c r="Y3174" s="134">
        <v>576</v>
      </c>
    </row>
    <row r="3175" spans="6:25" x14ac:dyDescent="0.25">
      <c r="F3175" s="76" t="s">
        <v>150</v>
      </c>
      <c r="G3175" s="77" t="s">
        <v>195</v>
      </c>
      <c r="H3175" s="77" t="s">
        <v>158</v>
      </c>
      <c r="I3175" s="86">
        <v>41951</v>
      </c>
      <c r="J3175" s="78">
        <v>402</v>
      </c>
      <c r="U3175" s="132" t="s">
        <v>154</v>
      </c>
      <c r="V3175" s="132" t="s">
        <v>300</v>
      </c>
      <c r="W3175" s="132" t="s">
        <v>267</v>
      </c>
      <c r="X3175" s="133">
        <v>41887</v>
      </c>
      <c r="Y3175" s="134">
        <v>498</v>
      </c>
    </row>
    <row r="3176" spans="6:25" x14ac:dyDescent="0.25">
      <c r="F3176" s="76" t="s">
        <v>150</v>
      </c>
      <c r="G3176" s="77" t="s">
        <v>195</v>
      </c>
      <c r="H3176" s="77" t="s">
        <v>158</v>
      </c>
      <c r="I3176" s="86">
        <v>41951</v>
      </c>
      <c r="J3176" s="78">
        <v>463</v>
      </c>
      <c r="U3176" s="132" t="s">
        <v>154</v>
      </c>
      <c r="V3176" s="132" t="s">
        <v>300</v>
      </c>
      <c r="W3176" s="132" t="s">
        <v>267</v>
      </c>
      <c r="X3176" s="133">
        <v>41890</v>
      </c>
      <c r="Y3176" s="134">
        <v>725</v>
      </c>
    </row>
    <row r="3177" spans="6:25" x14ac:dyDescent="0.25">
      <c r="F3177" s="76" t="s">
        <v>150</v>
      </c>
      <c r="G3177" s="77" t="s">
        <v>195</v>
      </c>
      <c r="H3177" s="77" t="s">
        <v>158</v>
      </c>
      <c r="I3177" s="86">
        <v>41952</v>
      </c>
      <c r="J3177" s="78">
        <v>966</v>
      </c>
      <c r="U3177" s="132" t="s">
        <v>154</v>
      </c>
      <c r="V3177" s="132" t="s">
        <v>300</v>
      </c>
      <c r="W3177" s="132" t="s">
        <v>267</v>
      </c>
      <c r="X3177" s="133">
        <v>41891</v>
      </c>
      <c r="Y3177" s="134">
        <v>830</v>
      </c>
    </row>
    <row r="3178" spans="6:25" x14ac:dyDescent="0.25">
      <c r="F3178" s="76" t="s">
        <v>150</v>
      </c>
      <c r="G3178" s="77" t="s">
        <v>195</v>
      </c>
      <c r="H3178" s="77" t="s">
        <v>158</v>
      </c>
      <c r="I3178" s="86">
        <v>41954</v>
      </c>
      <c r="J3178" s="78">
        <v>1196</v>
      </c>
      <c r="U3178" s="132" t="s">
        <v>154</v>
      </c>
      <c r="V3178" s="132" t="s">
        <v>300</v>
      </c>
      <c r="W3178" s="132" t="s">
        <v>267</v>
      </c>
      <c r="X3178" s="133">
        <v>41892</v>
      </c>
      <c r="Y3178" s="134">
        <v>1040</v>
      </c>
    </row>
    <row r="3179" spans="6:25" x14ac:dyDescent="0.25">
      <c r="F3179" s="76" t="s">
        <v>150</v>
      </c>
      <c r="G3179" s="77" t="s">
        <v>195</v>
      </c>
      <c r="H3179" s="77" t="s">
        <v>158</v>
      </c>
      <c r="I3179" s="86">
        <v>41955</v>
      </c>
      <c r="J3179" s="78">
        <v>416</v>
      </c>
      <c r="U3179" s="132" t="s">
        <v>154</v>
      </c>
      <c r="V3179" s="132" t="s">
        <v>300</v>
      </c>
      <c r="W3179" s="132" t="s">
        <v>267</v>
      </c>
      <c r="X3179" s="133">
        <v>41893</v>
      </c>
      <c r="Y3179" s="134">
        <v>863</v>
      </c>
    </row>
    <row r="3180" spans="6:25" x14ac:dyDescent="0.25">
      <c r="F3180" s="76" t="s">
        <v>150</v>
      </c>
      <c r="G3180" s="77" t="s">
        <v>195</v>
      </c>
      <c r="H3180" s="77" t="s">
        <v>158</v>
      </c>
      <c r="I3180" s="86">
        <v>41957</v>
      </c>
      <c r="J3180" s="78">
        <v>925</v>
      </c>
      <c r="U3180" s="132" t="s">
        <v>154</v>
      </c>
      <c r="V3180" s="132" t="s">
        <v>300</v>
      </c>
      <c r="W3180" s="132" t="s">
        <v>267</v>
      </c>
      <c r="X3180" s="133">
        <v>41894</v>
      </c>
      <c r="Y3180" s="134">
        <v>903</v>
      </c>
    </row>
    <row r="3181" spans="6:25" x14ac:dyDescent="0.25">
      <c r="F3181" s="76" t="s">
        <v>150</v>
      </c>
      <c r="G3181" s="77" t="s">
        <v>195</v>
      </c>
      <c r="H3181" s="77" t="s">
        <v>158</v>
      </c>
      <c r="I3181" s="86">
        <v>41963</v>
      </c>
      <c r="J3181" s="78">
        <v>1228</v>
      </c>
      <c r="U3181" s="132" t="s">
        <v>154</v>
      </c>
      <c r="V3181" s="132" t="s">
        <v>300</v>
      </c>
      <c r="W3181" s="132" t="s">
        <v>267</v>
      </c>
      <c r="X3181" s="133">
        <v>41895</v>
      </c>
      <c r="Y3181" s="134">
        <v>737</v>
      </c>
    </row>
    <row r="3182" spans="6:25" x14ac:dyDescent="0.25">
      <c r="F3182" s="76" t="s">
        <v>150</v>
      </c>
      <c r="G3182" s="77" t="s">
        <v>195</v>
      </c>
      <c r="H3182" s="77" t="s">
        <v>158</v>
      </c>
      <c r="I3182" s="86">
        <v>41969</v>
      </c>
      <c r="J3182" s="78">
        <v>1190</v>
      </c>
      <c r="U3182" s="132" t="s">
        <v>154</v>
      </c>
      <c r="V3182" s="132" t="s">
        <v>300</v>
      </c>
      <c r="W3182" s="132" t="s">
        <v>267</v>
      </c>
      <c r="X3182" s="133">
        <v>41896</v>
      </c>
      <c r="Y3182" s="134">
        <v>237</v>
      </c>
    </row>
    <row r="3183" spans="6:25" x14ac:dyDescent="0.25">
      <c r="F3183" s="76" t="s">
        <v>150</v>
      </c>
      <c r="G3183" s="77" t="s">
        <v>195</v>
      </c>
      <c r="H3183" s="77" t="s">
        <v>158</v>
      </c>
      <c r="I3183" s="86">
        <v>41972</v>
      </c>
      <c r="J3183" s="78">
        <v>1314</v>
      </c>
      <c r="U3183" s="132" t="s">
        <v>154</v>
      </c>
      <c r="V3183" s="132" t="s">
        <v>300</v>
      </c>
      <c r="W3183" s="132" t="s">
        <v>267</v>
      </c>
      <c r="X3183" s="133">
        <v>41896</v>
      </c>
      <c r="Y3183" s="134">
        <v>502</v>
      </c>
    </row>
    <row r="3184" spans="6:25" x14ac:dyDescent="0.25">
      <c r="F3184" s="76" t="s">
        <v>150</v>
      </c>
      <c r="G3184" s="77" t="s">
        <v>195</v>
      </c>
      <c r="H3184" s="77" t="s">
        <v>158</v>
      </c>
      <c r="I3184" s="86">
        <v>41976</v>
      </c>
      <c r="J3184" s="78">
        <v>1061</v>
      </c>
      <c r="U3184" s="132" t="s">
        <v>154</v>
      </c>
      <c r="V3184" s="132" t="s">
        <v>300</v>
      </c>
      <c r="W3184" s="132" t="s">
        <v>267</v>
      </c>
      <c r="X3184" s="133">
        <v>41896</v>
      </c>
      <c r="Y3184" s="134">
        <v>707</v>
      </c>
    </row>
    <row r="3185" spans="6:25" x14ac:dyDescent="0.25">
      <c r="F3185" s="76" t="s">
        <v>150</v>
      </c>
      <c r="G3185" s="77" t="s">
        <v>195</v>
      </c>
      <c r="H3185" s="77" t="s">
        <v>158</v>
      </c>
      <c r="I3185" s="86">
        <v>41981</v>
      </c>
      <c r="J3185" s="78">
        <v>975</v>
      </c>
      <c r="U3185" s="132" t="s">
        <v>154</v>
      </c>
      <c r="V3185" s="132" t="s">
        <v>300</v>
      </c>
      <c r="W3185" s="132" t="s">
        <v>267</v>
      </c>
      <c r="X3185" s="133">
        <v>41897</v>
      </c>
      <c r="Y3185" s="134">
        <v>820</v>
      </c>
    </row>
    <row r="3186" spans="6:25" x14ac:dyDescent="0.25">
      <c r="F3186" s="76" t="s">
        <v>150</v>
      </c>
      <c r="G3186" s="77" t="s">
        <v>195</v>
      </c>
      <c r="H3186" s="77" t="s">
        <v>158</v>
      </c>
      <c r="I3186" s="86">
        <v>41992</v>
      </c>
      <c r="J3186" s="78">
        <v>1145</v>
      </c>
      <c r="U3186" s="132" t="s">
        <v>154</v>
      </c>
      <c r="V3186" s="132" t="s">
        <v>300</v>
      </c>
      <c r="W3186" s="132" t="s">
        <v>267</v>
      </c>
      <c r="X3186" s="133">
        <v>41897</v>
      </c>
      <c r="Y3186" s="134">
        <v>653</v>
      </c>
    </row>
    <row r="3187" spans="6:25" x14ac:dyDescent="0.25">
      <c r="F3187" s="76" t="s">
        <v>150</v>
      </c>
      <c r="G3187" s="77" t="s">
        <v>195</v>
      </c>
      <c r="H3187" s="77" t="s">
        <v>158</v>
      </c>
      <c r="I3187" s="86">
        <v>41994</v>
      </c>
      <c r="J3187" s="78">
        <v>246</v>
      </c>
      <c r="U3187" s="132" t="s">
        <v>154</v>
      </c>
      <c r="V3187" s="132" t="s">
        <v>300</v>
      </c>
      <c r="W3187" s="132" t="s">
        <v>267</v>
      </c>
      <c r="X3187" s="133">
        <v>41898</v>
      </c>
      <c r="Y3187" s="134">
        <v>527</v>
      </c>
    </row>
    <row r="3188" spans="6:25" x14ac:dyDescent="0.25">
      <c r="F3188" s="76" t="s">
        <v>150</v>
      </c>
      <c r="G3188" s="77" t="s">
        <v>196</v>
      </c>
      <c r="H3188" s="77" t="s">
        <v>158</v>
      </c>
      <c r="I3188" s="86">
        <v>41635</v>
      </c>
      <c r="J3188" s="78">
        <v>697</v>
      </c>
      <c r="U3188" s="132" t="s">
        <v>154</v>
      </c>
      <c r="V3188" s="132" t="s">
        <v>300</v>
      </c>
      <c r="W3188" s="132" t="s">
        <v>267</v>
      </c>
      <c r="X3188" s="133">
        <v>41899</v>
      </c>
      <c r="Y3188" s="134">
        <v>813</v>
      </c>
    </row>
    <row r="3189" spans="6:25" x14ac:dyDescent="0.25">
      <c r="F3189" s="76" t="s">
        <v>150</v>
      </c>
      <c r="G3189" s="77" t="s">
        <v>196</v>
      </c>
      <c r="H3189" s="77" t="s">
        <v>158</v>
      </c>
      <c r="I3189" s="86">
        <v>41639</v>
      </c>
      <c r="J3189" s="78">
        <v>802</v>
      </c>
      <c r="U3189" s="132" t="s">
        <v>154</v>
      </c>
      <c r="V3189" s="132" t="s">
        <v>300</v>
      </c>
      <c r="W3189" s="132" t="s">
        <v>267</v>
      </c>
      <c r="X3189" s="133">
        <v>41900</v>
      </c>
      <c r="Y3189" s="134">
        <v>990</v>
      </c>
    </row>
    <row r="3190" spans="6:25" x14ac:dyDescent="0.25">
      <c r="F3190" s="76" t="s">
        <v>150</v>
      </c>
      <c r="G3190" s="77" t="s">
        <v>196</v>
      </c>
      <c r="H3190" s="77" t="s">
        <v>158</v>
      </c>
      <c r="I3190" s="86">
        <v>41640</v>
      </c>
      <c r="J3190" s="78">
        <v>1497</v>
      </c>
      <c r="U3190" s="132" t="s">
        <v>154</v>
      </c>
      <c r="V3190" s="132" t="s">
        <v>300</v>
      </c>
      <c r="W3190" s="132" t="s">
        <v>267</v>
      </c>
      <c r="X3190" s="133">
        <v>41901</v>
      </c>
      <c r="Y3190" s="134">
        <v>718</v>
      </c>
    </row>
    <row r="3191" spans="6:25" x14ac:dyDescent="0.25">
      <c r="F3191" s="76" t="s">
        <v>150</v>
      </c>
      <c r="G3191" s="77" t="s">
        <v>196</v>
      </c>
      <c r="H3191" s="77" t="s">
        <v>158</v>
      </c>
      <c r="I3191" s="86">
        <v>41640</v>
      </c>
      <c r="J3191" s="78">
        <v>359</v>
      </c>
      <c r="U3191" s="132" t="s">
        <v>154</v>
      </c>
      <c r="V3191" s="132" t="s">
        <v>300</v>
      </c>
      <c r="W3191" s="132" t="s">
        <v>267</v>
      </c>
      <c r="X3191" s="133">
        <v>41904</v>
      </c>
      <c r="Y3191" s="134">
        <v>816</v>
      </c>
    </row>
    <row r="3192" spans="6:25" x14ac:dyDescent="0.25">
      <c r="F3192" s="76" t="s">
        <v>150</v>
      </c>
      <c r="G3192" s="77" t="s">
        <v>196</v>
      </c>
      <c r="H3192" s="77" t="s">
        <v>158</v>
      </c>
      <c r="I3192" s="86">
        <v>41641</v>
      </c>
      <c r="J3192" s="78">
        <v>1121</v>
      </c>
      <c r="U3192" s="132" t="s">
        <v>154</v>
      </c>
      <c r="V3192" s="132" t="s">
        <v>300</v>
      </c>
      <c r="W3192" s="132" t="s">
        <v>267</v>
      </c>
      <c r="X3192" s="133">
        <v>41905</v>
      </c>
      <c r="Y3192" s="134">
        <v>626</v>
      </c>
    </row>
    <row r="3193" spans="6:25" x14ac:dyDescent="0.25">
      <c r="F3193" s="76" t="s">
        <v>150</v>
      </c>
      <c r="G3193" s="77" t="s">
        <v>196</v>
      </c>
      <c r="H3193" s="77" t="s">
        <v>158</v>
      </c>
      <c r="I3193" s="86">
        <v>41642</v>
      </c>
      <c r="J3193" s="78">
        <v>839</v>
      </c>
      <c r="U3193" s="132" t="s">
        <v>154</v>
      </c>
      <c r="V3193" s="132" t="s">
        <v>300</v>
      </c>
      <c r="W3193" s="132" t="s">
        <v>267</v>
      </c>
      <c r="X3193" s="133">
        <v>41905</v>
      </c>
      <c r="Y3193" s="134">
        <v>947</v>
      </c>
    </row>
    <row r="3194" spans="6:25" x14ac:dyDescent="0.25">
      <c r="F3194" s="76" t="s">
        <v>150</v>
      </c>
      <c r="G3194" s="77" t="s">
        <v>196</v>
      </c>
      <c r="H3194" s="77" t="s">
        <v>158</v>
      </c>
      <c r="I3194" s="86">
        <v>41643</v>
      </c>
      <c r="J3194" s="78">
        <v>963</v>
      </c>
      <c r="U3194" s="132" t="s">
        <v>154</v>
      </c>
      <c r="V3194" s="132" t="s">
        <v>300</v>
      </c>
      <c r="W3194" s="132" t="s">
        <v>267</v>
      </c>
      <c r="X3194" s="133">
        <v>41906</v>
      </c>
      <c r="Y3194" s="134">
        <v>806</v>
      </c>
    </row>
    <row r="3195" spans="6:25" x14ac:dyDescent="0.25">
      <c r="F3195" s="76" t="s">
        <v>150</v>
      </c>
      <c r="G3195" s="77" t="s">
        <v>196</v>
      </c>
      <c r="H3195" s="77" t="s">
        <v>158</v>
      </c>
      <c r="I3195" s="86">
        <v>41644</v>
      </c>
      <c r="J3195" s="78">
        <v>1176</v>
      </c>
      <c r="U3195" s="132" t="s">
        <v>154</v>
      </c>
      <c r="V3195" s="132" t="s">
        <v>300</v>
      </c>
      <c r="W3195" s="132" t="s">
        <v>267</v>
      </c>
      <c r="X3195" s="133">
        <v>41907</v>
      </c>
      <c r="Y3195" s="134">
        <v>937</v>
      </c>
    </row>
    <row r="3196" spans="6:25" x14ac:dyDescent="0.25">
      <c r="F3196" s="76" t="s">
        <v>150</v>
      </c>
      <c r="G3196" s="77" t="s">
        <v>196</v>
      </c>
      <c r="H3196" s="77" t="s">
        <v>158</v>
      </c>
      <c r="I3196" s="86">
        <v>41645</v>
      </c>
      <c r="J3196" s="78">
        <v>607</v>
      </c>
      <c r="U3196" s="132" t="s">
        <v>154</v>
      </c>
      <c r="V3196" s="132" t="s">
        <v>300</v>
      </c>
      <c r="W3196" s="132" t="s">
        <v>267</v>
      </c>
      <c r="X3196" s="133">
        <v>41907</v>
      </c>
      <c r="Y3196" s="134">
        <v>624</v>
      </c>
    </row>
    <row r="3197" spans="6:25" x14ac:dyDescent="0.25">
      <c r="F3197" s="76" t="s">
        <v>150</v>
      </c>
      <c r="G3197" s="77" t="s">
        <v>196</v>
      </c>
      <c r="H3197" s="77" t="s">
        <v>158</v>
      </c>
      <c r="I3197" s="86">
        <v>41648</v>
      </c>
      <c r="J3197" s="78">
        <v>1572</v>
      </c>
      <c r="U3197" s="132" t="s">
        <v>154</v>
      </c>
      <c r="V3197" s="132" t="s">
        <v>300</v>
      </c>
      <c r="W3197" s="132" t="s">
        <v>267</v>
      </c>
      <c r="X3197" s="133">
        <v>41908</v>
      </c>
      <c r="Y3197" s="134">
        <v>1249</v>
      </c>
    </row>
    <row r="3198" spans="6:25" x14ac:dyDescent="0.25">
      <c r="F3198" s="76" t="s">
        <v>150</v>
      </c>
      <c r="G3198" s="77" t="s">
        <v>196</v>
      </c>
      <c r="H3198" s="77" t="s">
        <v>158</v>
      </c>
      <c r="I3198" s="86">
        <v>41649</v>
      </c>
      <c r="J3198" s="78">
        <v>906</v>
      </c>
      <c r="U3198" s="132" t="s">
        <v>154</v>
      </c>
      <c r="V3198" s="132" t="s">
        <v>300</v>
      </c>
      <c r="W3198" s="132" t="s">
        <v>267</v>
      </c>
      <c r="X3198" s="133">
        <v>41909</v>
      </c>
      <c r="Y3198" s="134">
        <v>720</v>
      </c>
    </row>
    <row r="3199" spans="6:25" x14ac:dyDescent="0.25">
      <c r="F3199" s="76" t="s">
        <v>150</v>
      </c>
      <c r="G3199" s="77" t="s">
        <v>196</v>
      </c>
      <c r="H3199" s="77" t="s">
        <v>158</v>
      </c>
      <c r="I3199" s="86">
        <v>41653</v>
      </c>
      <c r="J3199" s="78">
        <v>1900</v>
      </c>
      <c r="U3199" s="132" t="s">
        <v>154</v>
      </c>
      <c r="V3199" s="132" t="s">
        <v>300</v>
      </c>
      <c r="W3199" s="132" t="s">
        <v>267</v>
      </c>
      <c r="X3199" s="133">
        <v>41910</v>
      </c>
      <c r="Y3199" s="134">
        <v>733</v>
      </c>
    </row>
    <row r="3200" spans="6:25" x14ac:dyDescent="0.25">
      <c r="F3200" s="76" t="s">
        <v>150</v>
      </c>
      <c r="G3200" s="77" t="s">
        <v>196</v>
      </c>
      <c r="H3200" s="77" t="s">
        <v>158</v>
      </c>
      <c r="I3200" s="86">
        <v>41655</v>
      </c>
      <c r="J3200" s="78">
        <v>889</v>
      </c>
      <c r="U3200" s="132" t="s">
        <v>154</v>
      </c>
      <c r="V3200" s="132" t="s">
        <v>300</v>
      </c>
      <c r="W3200" s="132" t="s">
        <v>267</v>
      </c>
      <c r="X3200" s="133">
        <v>41911</v>
      </c>
      <c r="Y3200" s="134">
        <v>978</v>
      </c>
    </row>
    <row r="3201" spans="6:25" x14ac:dyDescent="0.25">
      <c r="F3201" s="76" t="s">
        <v>150</v>
      </c>
      <c r="G3201" s="77" t="s">
        <v>196</v>
      </c>
      <c r="H3201" s="77" t="s">
        <v>158</v>
      </c>
      <c r="I3201" s="86">
        <v>41656</v>
      </c>
      <c r="J3201" s="78">
        <v>1375</v>
      </c>
      <c r="U3201" s="132" t="s">
        <v>154</v>
      </c>
      <c r="V3201" s="132" t="s">
        <v>300</v>
      </c>
      <c r="W3201" s="132" t="s">
        <v>267</v>
      </c>
      <c r="X3201" s="133">
        <v>41912</v>
      </c>
      <c r="Y3201" s="134">
        <v>825</v>
      </c>
    </row>
    <row r="3202" spans="6:25" x14ac:dyDescent="0.25">
      <c r="F3202" s="76" t="s">
        <v>150</v>
      </c>
      <c r="G3202" s="77" t="s">
        <v>196</v>
      </c>
      <c r="H3202" s="77" t="s">
        <v>158</v>
      </c>
      <c r="I3202" s="86">
        <v>41660</v>
      </c>
      <c r="J3202" s="78">
        <v>2105</v>
      </c>
      <c r="U3202" s="132" t="s">
        <v>154</v>
      </c>
      <c r="V3202" s="132" t="s">
        <v>300</v>
      </c>
      <c r="W3202" s="132" t="s">
        <v>267</v>
      </c>
      <c r="X3202" s="133">
        <v>41913</v>
      </c>
      <c r="Y3202" s="134">
        <v>1090</v>
      </c>
    </row>
    <row r="3203" spans="6:25" x14ac:dyDescent="0.25">
      <c r="F3203" s="76" t="s">
        <v>150</v>
      </c>
      <c r="G3203" s="77" t="s">
        <v>196</v>
      </c>
      <c r="H3203" s="77" t="s">
        <v>158</v>
      </c>
      <c r="I3203" s="86">
        <v>41662</v>
      </c>
      <c r="J3203" s="78">
        <v>1414</v>
      </c>
      <c r="U3203" s="132" t="s">
        <v>154</v>
      </c>
      <c r="V3203" s="132" t="s">
        <v>300</v>
      </c>
      <c r="W3203" s="132" t="s">
        <v>267</v>
      </c>
      <c r="X3203" s="133">
        <v>41914</v>
      </c>
      <c r="Y3203" s="134">
        <v>576</v>
      </c>
    </row>
    <row r="3204" spans="6:25" x14ac:dyDescent="0.25">
      <c r="F3204" s="76" t="s">
        <v>150</v>
      </c>
      <c r="G3204" s="77" t="s">
        <v>196</v>
      </c>
      <c r="H3204" s="77" t="s">
        <v>158</v>
      </c>
      <c r="I3204" s="86">
        <v>41663</v>
      </c>
      <c r="J3204" s="78">
        <v>1481</v>
      </c>
      <c r="U3204" s="132" t="s">
        <v>154</v>
      </c>
      <c r="V3204" s="132" t="s">
        <v>300</v>
      </c>
      <c r="W3204" s="132" t="s">
        <v>267</v>
      </c>
      <c r="X3204" s="133">
        <v>41915</v>
      </c>
      <c r="Y3204" s="134">
        <v>866</v>
      </c>
    </row>
    <row r="3205" spans="6:25" x14ac:dyDescent="0.25">
      <c r="F3205" s="76" t="s">
        <v>150</v>
      </c>
      <c r="G3205" s="77" t="s">
        <v>196</v>
      </c>
      <c r="H3205" s="77" t="s">
        <v>158</v>
      </c>
      <c r="I3205" s="86">
        <v>41666</v>
      </c>
      <c r="J3205" s="78">
        <v>767</v>
      </c>
      <c r="U3205" s="132" t="s">
        <v>154</v>
      </c>
      <c r="V3205" s="132" t="s">
        <v>300</v>
      </c>
      <c r="W3205" s="132" t="s">
        <v>267</v>
      </c>
      <c r="X3205" s="133">
        <v>41916</v>
      </c>
      <c r="Y3205" s="134">
        <v>880</v>
      </c>
    </row>
    <row r="3206" spans="6:25" x14ac:dyDescent="0.25">
      <c r="F3206" s="76" t="s">
        <v>150</v>
      </c>
      <c r="G3206" s="77" t="s">
        <v>196</v>
      </c>
      <c r="H3206" s="77" t="s">
        <v>158</v>
      </c>
      <c r="I3206" s="86">
        <v>41667</v>
      </c>
      <c r="J3206" s="78">
        <v>1501</v>
      </c>
      <c r="U3206" s="132" t="s">
        <v>154</v>
      </c>
      <c r="V3206" s="132" t="s">
        <v>300</v>
      </c>
      <c r="W3206" s="132" t="s">
        <v>267</v>
      </c>
      <c r="X3206" s="133">
        <v>41918</v>
      </c>
      <c r="Y3206" s="134">
        <v>565</v>
      </c>
    </row>
    <row r="3207" spans="6:25" x14ac:dyDescent="0.25">
      <c r="F3207" s="76" t="s">
        <v>150</v>
      </c>
      <c r="G3207" s="77" t="s">
        <v>196</v>
      </c>
      <c r="H3207" s="77" t="s">
        <v>158</v>
      </c>
      <c r="I3207" s="86">
        <v>41668</v>
      </c>
      <c r="J3207" s="78">
        <v>1007</v>
      </c>
      <c r="U3207" s="132" t="s">
        <v>154</v>
      </c>
      <c r="V3207" s="132" t="s">
        <v>300</v>
      </c>
      <c r="W3207" s="132" t="s">
        <v>267</v>
      </c>
      <c r="X3207" s="133">
        <v>41918</v>
      </c>
      <c r="Y3207" s="134">
        <v>532</v>
      </c>
    </row>
    <row r="3208" spans="6:25" x14ac:dyDescent="0.25">
      <c r="F3208" s="76" t="s">
        <v>150</v>
      </c>
      <c r="G3208" s="77" t="s">
        <v>196</v>
      </c>
      <c r="H3208" s="77" t="s">
        <v>158</v>
      </c>
      <c r="I3208" s="86">
        <v>41670</v>
      </c>
      <c r="J3208" s="78">
        <v>1870</v>
      </c>
      <c r="U3208" s="132" t="s">
        <v>154</v>
      </c>
      <c r="V3208" s="132" t="s">
        <v>300</v>
      </c>
      <c r="W3208" s="132" t="s">
        <v>267</v>
      </c>
      <c r="X3208" s="133">
        <v>41918</v>
      </c>
      <c r="Y3208" s="134">
        <v>648</v>
      </c>
    </row>
    <row r="3209" spans="6:25" x14ac:dyDescent="0.25">
      <c r="F3209" s="76" t="s">
        <v>150</v>
      </c>
      <c r="G3209" s="77" t="s">
        <v>196</v>
      </c>
      <c r="H3209" s="77" t="s">
        <v>158</v>
      </c>
      <c r="I3209" s="86">
        <v>41673</v>
      </c>
      <c r="J3209" s="78">
        <v>431</v>
      </c>
      <c r="U3209" s="132" t="s">
        <v>154</v>
      </c>
      <c r="V3209" s="132" t="s">
        <v>300</v>
      </c>
      <c r="W3209" s="132" t="s">
        <v>267</v>
      </c>
      <c r="X3209" s="133">
        <v>41919</v>
      </c>
      <c r="Y3209" s="134">
        <v>537</v>
      </c>
    </row>
    <row r="3210" spans="6:25" x14ac:dyDescent="0.25">
      <c r="F3210" s="76" t="s">
        <v>150</v>
      </c>
      <c r="G3210" s="77" t="s">
        <v>196</v>
      </c>
      <c r="H3210" s="77" t="s">
        <v>158</v>
      </c>
      <c r="I3210" s="86">
        <v>41674</v>
      </c>
      <c r="J3210" s="78">
        <v>1165</v>
      </c>
      <c r="U3210" s="132" t="s">
        <v>154</v>
      </c>
      <c r="V3210" s="132" t="s">
        <v>300</v>
      </c>
      <c r="W3210" s="132" t="s">
        <v>267</v>
      </c>
      <c r="X3210" s="133">
        <v>41920</v>
      </c>
      <c r="Y3210" s="134">
        <v>1070</v>
      </c>
    </row>
    <row r="3211" spans="6:25" x14ac:dyDescent="0.25">
      <c r="F3211" s="76" t="s">
        <v>150</v>
      </c>
      <c r="G3211" s="77" t="s">
        <v>196</v>
      </c>
      <c r="H3211" s="77" t="s">
        <v>158</v>
      </c>
      <c r="I3211" s="86">
        <v>41676</v>
      </c>
      <c r="J3211" s="78">
        <v>1467</v>
      </c>
      <c r="U3211" s="132" t="s">
        <v>154</v>
      </c>
      <c r="V3211" s="132" t="s">
        <v>300</v>
      </c>
      <c r="W3211" s="132" t="s">
        <v>267</v>
      </c>
      <c r="X3211" s="133">
        <v>41921</v>
      </c>
      <c r="Y3211" s="134">
        <v>831</v>
      </c>
    </row>
    <row r="3212" spans="6:25" x14ac:dyDescent="0.25">
      <c r="F3212" s="76" t="s">
        <v>150</v>
      </c>
      <c r="G3212" s="77" t="s">
        <v>196</v>
      </c>
      <c r="H3212" s="77" t="s">
        <v>158</v>
      </c>
      <c r="I3212" s="86">
        <v>41680</v>
      </c>
      <c r="J3212" s="78">
        <v>1035</v>
      </c>
      <c r="U3212" s="132" t="s">
        <v>154</v>
      </c>
      <c r="V3212" s="132" t="s">
        <v>300</v>
      </c>
      <c r="W3212" s="132" t="s">
        <v>267</v>
      </c>
      <c r="X3212" s="133">
        <v>41922</v>
      </c>
      <c r="Y3212" s="134">
        <v>1055</v>
      </c>
    </row>
    <row r="3213" spans="6:25" x14ac:dyDescent="0.25">
      <c r="F3213" s="76" t="s">
        <v>150</v>
      </c>
      <c r="G3213" s="77" t="s">
        <v>196</v>
      </c>
      <c r="H3213" s="77" t="s">
        <v>158</v>
      </c>
      <c r="I3213" s="86">
        <v>41681</v>
      </c>
      <c r="J3213" s="78">
        <v>1007</v>
      </c>
      <c r="U3213" s="132" t="s">
        <v>154</v>
      </c>
      <c r="V3213" s="132" t="s">
        <v>300</v>
      </c>
      <c r="W3213" s="132" t="s">
        <v>267</v>
      </c>
      <c r="X3213" s="133">
        <v>41923</v>
      </c>
      <c r="Y3213" s="134">
        <v>793</v>
      </c>
    </row>
    <row r="3214" spans="6:25" x14ac:dyDescent="0.25">
      <c r="F3214" s="76" t="s">
        <v>150</v>
      </c>
      <c r="G3214" s="77" t="s">
        <v>196</v>
      </c>
      <c r="H3214" s="77" t="s">
        <v>158</v>
      </c>
      <c r="I3214" s="86">
        <v>41686</v>
      </c>
      <c r="J3214" s="78">
        <v>1329</v>
      </c>
      <c r="U3214" s="132" t="s">
        <v>154</v>
      </c>
      <c r="V3214" s="132" t="s">
        <v>300</v>
      </c>
      <c r="W3214" s="132" t="s">
        <v>267</v>
      </c>
      <c r="X3214" s="133">
        <v>41923</v>
      </c>
      <c r="Y3214" s="134">
        <v>470</v>
      </c>
    </row>
    <row r="3215" spans="6:25" x14ac:dyDescent="0.25">
      <c r="F3215" s="76" t="s">
        <v>150</v>
      </c>
      <c r="G3215" s="77" t="s">
        <v>196</v>
      </c>
      <c r="H3215" s="77" t="s">
        <v>158</v>
      </c>
      <c r="I3215" s="86">
        <v>41689</v>
      </c>
      <c r="J3215" s="78">
        <v>1147</v>
      </c>
      <c r="U3215" s="132" t="s">
        <v>154</v>
      </c>
      <c r="V3215" s="132" t="s">
        <v>300</v>
      </c>
      <c r="W3215" s="132" t="s">
        <v>267</v>
      </c>
      <c r="X3215" s="133">
        <v>41924</v>
      </c>
      <c r="Y3215" s="134">
        <v>713</v>
      </c>
    </row>
    <row r="3216" spans="6:25" x14ac:dyDescent="0.25">
      <c r="F3216" s="76" t="s">
        <v>150</v>
      </c>
      <c r="G3216" s="77" t="s">
        <v>196</v>
      </c>
      <c r="H3216" s="77" t="s">
        <v>158</v>
      </c>
      <c r="I3216" s="86">
        <v>41690</v>
      </c>
      <c r="J3216" s="78">
        <v>732</v>
      </c>
      <c r="U3216" s="132" t="s">
        <v>154</v>
      </c>
      <c r="V3216" s="132" t="s">
        <v>300</v>
      </c>
      <c r="W3216" s="132" t="s">
        <v>267</v>
      </c>
      <c r="X3216" s="133">
        <v>41924</v>
      </c>
      <c r="Y3216" s="134">
        <v>711</v>
      </c>
    </row>
    <row r="3217" spans="6:25" x14ac:dyDescent="0.25">
      <c r="F3217" s="76" t="s">
        <v>150</v>
      </c>
      <c r="G3217" s="77" t="s">
        <v>196</v>
      </c>
      <c r="H3217" s="77" t="s">
        <v>158</v>
      </c>
      <c r="I3217" s="86">
        <v>41698</v>
      </c>
      <c r="J3217" s="78">
        <v>1589</v>
      </c>
      <c r="U3217" s="132" t="s">
        <v>154</v>
      </c>
      <c r="V3217" s="132" t="s">
        <v>300</v>
      </c>
      <c r="W3217" s="132" t="s">
        <v>267</v>
      </c>
      <c r="X3217" s="133">
        <v>41925</v>
      </c>
      <c r="Y3217" s="134">
        <v>810</v>
      </c>
    </row>
    <row r="3218" spans="6:25" x14ac:dyDescent="0.25">
      <c r="F3218" s="76" t="s">
        <v>150</v>
      </c>
      <c r="G3218" s="77" t="s">
        <v>196</v>
      </c>
      <c r="H3218" s="77" t="s">
        <v>158</v>
      </c>
      <c r="I3218" s="86">
        <v>41699</v>
      </c>
      <c r="J3218" s="78">
        <v>828</v>
      </c>
      <c r="U3218" s="132" t="s">
        <v>154</v>
      </c>
      <c r="V3218" s="132" t="s">
        <v>300</v>
      </c>
      <c r="W3218" s="132" t="s">
        <v>267</v>
      </c>
      <c r="X3218" s="133">
        <v>41926</v>
      </c>
      <c r="Y3218" s="134">
        <v>964</v>
      </c>
    </row>
    <row r="3219" spans="6:25" x14ac:dyDescent="0.25">
      <c r="F3219" s="76" t="s">
        <v>150</v>
      </c>
      <c r="G3219" s="77" t="s">
        <v>196</v>
      </c>
      <c r="H3219" s="77" t="s">
        <v>158</v>
      </c>
      <c r="I3219" s="86">
        <v>41702</v>
      </c>
      <c r="J3219" s="78">
        <v>1460</v>
      </c>
      <c r="U3219" s="132" t="s">
        <v>154</v>
      </c>
      <c r="V3219" s="132" t="s">
        <v>300</v>
      </c>
      <c r="W3219" s="132" t="s">
        <v>267</v>
      </c>
      <c r="X3219" s="133">
        <v>41926</v>
      </c>
      <c r="Y3219" s="134">
        <v>349</v>
      </c>
    </row>
    <row r="3220" spans="6:25" x14ac:dyDescent="0.25">
      <c r="F3220" s="76" t="s">
        <v>150</v>
      </c>
      <c r="G3220" s="77" t="s">
        <v>196</v>
      </c>
      <c r="H3220" s="77" t="s">
        <v>158</v>
      </c>
      <c r="I3220" s="86">
        <v>41703</v>
      </c>
      <c r="J3220" s="78">
        <v>533</v>
      </c>
      <c r="U3220" s="132" t="s">
        <v>154</v>
      </c>
      <c r="V3220" s="132" t="s">
        <v>300</v>
      </c>
      <c r="W3220" s="132" t="s">
        <v>267</v>
      </c>
      <c r="X3220" s="133">
        <v>41927</v>
      </c>
      <c r="Y3220" s="134">
        <v>964</v>
      </c>
    </row>
    <row r="3221" spans="6:25" x14ac:dyDescent="0.25">
      <c r="F3221" s="76" t="s">
        <v>150</v>
      </c>
      <c r="G3221" s="77" t="s">
        <v>196</v>
      </c>
      <c r="H3221" s="77" t="s">
        <v>158</v>
      </c>
      <c r="I3221" s="86">
        <v>41705</v>
      </c>
      <c r="J3221" s="78">
        <v>979</v>
      </c>
      <c r="U3221" s="132" t="s">
        <v>154</v>
      </c>
      <c r="V3221" s="132" t="s">
        <v>300</v>
      </c>
      <c r="W3221" s="132" t="s">
        <v>267</v>
      </c>
      <c r="X3221" s="133">
        <v>41928</v>
      </c>
      <c r="Y3221" s="134">
        <v>601</v>
      </c>
    </row>
    <row r="3222" spans="6:25" x14ac:dyDescent="0.25">
      <c r="F3222" s="76" t="s">
        <v>150</v>
      </c>
      <c r="G3222" s="77" t="s">
        <v>196</v>
      </c>
      <c r="H3222" s="77" t="s">
        <v>158</v>
      </c>
      <c r="I3222" s="86">
        <v>41710</v>
      </c>
      <c r="J3222" s="78">
        <v>1016</v>
      </c>
      <c r="U3222" s="132" t="s">
        <v>154</v>
      </c>
      <c r="V3222" s="132" t="s">
        <v>300</v>
      </c>
      <c r="W3222" s="132" t="s">
        <v>267</v>
      </c>
      <c r="X3222" s="133">
        <v>41928</v>
      </c>
      <c r="Y3222" s="134">
        <v>344</v>
      </c>
    </row>
    <row r="3223" spans="6:25" x14ac:dyDescent="0.25">
      <c r="F3223" s="76" t="s">
        <v>150</v>
      </c>
      <c r="G3223" s="77" t="s">
        <v>196</v>
      </c>
      <c r="H3223" s="77" t="s">
        <v>158</v>
      </c>
      <c r="I3223" s="86">
        <v>41717</v>
      </c>
      <c r="J3223" s="78">
        <v>1119</v>
      </c>
      <c r="U3223" s="132" t="s">
        <v>154</v>
      </c>
      <c r="V3223" s="132" t="s">
        <v>300</v>
      </c>
      <c r="W3223" s="132" t="s">
        <v>267</v>
      </c>
      <c r="X3223" s="133">
        <v>41929</v>
      </c>
      <c r="Y3223" s="134">
        <v>352</v>
      </c>
    </row>
    <row r="3224" spans="6:25" x14ac:dyDescent="0.25">
      <c r="F3224" s="76" t="s">
        <v>150</v>
      </c>
      <c r="G3224" s="77" t="s">
        <v>196</v>
      </c>
      <c r="H3224" s="77" t="s">
        <v>158</v>
      </c>
      <c r="I3224" s="86">
        <v>41718</v>
      </c>
      <c r="J3224" s="78">
        <v>576</v>
      </c>
      <c r="U3224" s="132" t="s">
        <v>154</v>
      </c>
      <c r="V3224" s="132" t="s">
        <v>300</v>
      </c>
      <c r="W3224" s="132" t="s">
        <v>267</v>
      </c>
      <c r="X3224" s="133">
        <v>41930</v>
      </c>
      <c r="Y3224" s="134">
        <v>445</v>
      </c>
    </row>
    <row r="3225" spans="6:25" x14ac:dyDescent="0.25">
      <c r="F3225" s="76" t="s">
        <v>150</v>
      </c>
      <c r="G3225" s="77" t="s">
        <v>196</v>
      </c>
      <c r="H3225" s="77" t="s">
        <v>158</v>
      </c>
      <c r="I3225" s="86">
        <v>41722</v>
      </c>
      <c r="J3225" s="78">
        <v>447</v>
      </c>
      <c r="U3225" s="132" t="s">
        <v>154</v>
      </c>
      <c r="V3225" s="132" t="s">
        <v>300</v>
      </c>
      <c r="W3225" s="132" t="s">
        <v>267</v>
      </c>
      <c r="X3225" s="133">
        <v>41931</v>
      </c>
      <c r="Y3225" s="134">
        <v>219</v>
      </c>
    </row>
    <row r="3226" spans="6:25" x14ac:dyDescent="0.25">
      <c r="F3226" s="76" t="s">
        <v>150</v>
      </c>
      <c r="G3226" s="77" t="s">
        <v>196</v>
      </c>
      <c r="H3226" s="77" t="s">
        <v>158</v>
      </c>
      <c r="I3226" s="86">
        <v>41724</v>
      </c>
      <c r="J3226" s="78">
        <v>752</v>
      </c>
      <c r="U3226" s="132" t="s">
        <v>154</v>
      </c>
      <c r="V3226" s="132" t="s">
        <v>300</v>
      </c>
      <c r="W3226" s="132" t="s">
        <v>267</v>
      </c>
      <c r="X3226" s="133">
        <v>41931</v>
      </c>
      <c r="Y3226" s="134">
        <v>698</v>
      </c>
    </row>
    <row r="3227" spans="6:25" x14ac:dyDescent="0.25">
      <c r="F3227" s="76" t="s">
        <v>150</v>
      </c>
      <c r="G3227" s="77" t="s">
        <v>196</v>
      </c>
      <c r="H3227" s="77" t="s">
        <v>158</v>
      </c>
      <c r="I3227" s="86">
        <v>41730</v>
      </c>
      <c r="J3227" s="78">
        <v>1006</v>
      </c>
      <c r="U3227" s="132" t="s">
        <v>154</v>
      </c>
      <c r="V3227" s="132" t="s">
        <v>300</v>
      </c>
      <c r="W3227" s="132" t="s">
        <v>267</v>
      </c>
      <c r="X3227" s="133">
        <v>41931</v>
      </c>
      <c r="Y3227" s="134">
        <v>454</v>
      </c>
    </row>
    <row r="3228" spans="6:25" x14ac:dyDescent="0.25">
      <c r="F3228" s="76" t="s">
        <v>150</v>
      </c>
      <c r="G3228" s="77" t="s">
        <v>196</v>
      </c>
      <c r="H3228" s="77" t="s">
        <v>158</v>
      </c>
      <c r="I3228" s="86">
        <v>41737</v>
      </c>
      <c r="J3228" s="78">
        <v>603</v>
      </c>
      <c r="U3228" s="132" t="s">
        <v>154</v>
      </c>
      <c r="V3228" s="132" t="s">
        <v>300</v>
      </c>
      <c r="W3228" s="132" t="s">
        <v>267</v>
      </c>
      <c r="X3228" s="133">
        <v>41932</v>
      </c>
      <c r="Y3228" s="134">
        <v>865</v>
      </c>
    </row>
    <row r="3229" spans="6:25" x14ac:dyDescent="0.25">
      <c r="F3229" s="76" t="s">
        <v>150</v>
      </c>
      <c r="G3229" s="77" t="s">
        <v>196</v>
      </c>
      <c r="H3229" s="77" t="s">
        <v>158</v>
      </c>
      <c r="I3229" s="86">
        <v>41737</v>
      </c>
      <c r="J3229" s="78">
        <v>516</v>
      </c>
      <c r="U3229" s="132" t="s">
        <v>154</v>
      </c>
      <c r="V3229" s="132" t="s">
        <v>300</v>
      </c>
      <c r="W3229" s="132" t="s">
        <v>267</v>
      </c>
      <c r="X3229" s="133">
        <v>41933</v>
      </c>
      <c r="Y3229" s="134">
        <v>820</v>
      </c>
    </row>
    <row r="3230" spans="6:25" x14ac:dyDescent="0.25">
      <c r="F3230" s="76" t="s">
        <v>150</v>
      </c>
      <c r="G3230" s="77" t="s">
        <v>196</v>
      </c>
      <c r="H3230" s="77" t="s">
        <v>158</v>
      </c>
      <c r="I3230" s="86">
        <v>41747</v>
      </c>
      <c r="J3230" s="78">
        <v>1132</v>
      </c>
      <c r="U3230" s="132" t="s">
        <v>154</v>
      </c>
      <c r="V3230" s="132" t="s">
        <v>300</v>
      </c>
      <c r="W3230" s="132" t="s">
        <v>267</v>
      </c>
      <c r="X3230" s="133">
        <v>41934</v>
      </c>
      <c r="Y3230" s="134">
        <v>985</v>
      </c>
    </row>
    <row r="3231" spans="6:25" x14ac:dyDescent="0.25">
      <c r="F3231" s="76" t="s">
        <v>150</v>
      </c>
      <c r="G3231" s="77" t="s">
        <v>196</v>
      </c>
      <c r="H3231" s="77" t="s">
        <v>158</v>
      </c>
      <c r="I3231" s="86">
        <v>41759</v>
      </c>
      <c r="J3231" s="78">
        <v>897</v>
      </c>
      <c r="U3231" s="132" t="s">
        <v>154</v>
      </c>
      <c r="V3231" s="132" t="s">
        <v>300</v>
      </c>
      <c r="W3231" s="132" t="s">
        <v>267</v>
      </c>
      <c r="X3231" s="133">
        <v>41935</v>
      </c>
      <c r="Y3231" s="134">
        <v>930</v>
      </c>
    </row>
    <row r="3232" spans="6:25" x14ac:dyDescent="0.25">
      <c r="F3232" s="76" t="s">
        <v>150</v>
      </c>
      <c r="G3232" s="77" t="s">
        <v>196</v>
      </c>
      <c r="H3232" s="77" t="s">
        <v>158</v>
      </c>
      <c r="I3232" s="86">
        <v>41765</v>
      </c>
      <c r="J3232" s="78">
        <v>1109</v>
      </c>
      <c r="U3232" s="132" t="s">
        <v>154</v>
      </c>
      <c r="V3232" s="132" t="s">
        <v>300</v>
      </c>
      <c r="W3232" s="132" t="s">
        <v>267</v>
      </c>
      <c r="X3232" s="133">
        <v>41936</v>
      </c>
      <c r="Y3232" s="134">
        <v>987</v>
      </c>
    </row>
    <row r="3233" spans="6:25" x14ac:dyDescent="0.25">
      <c r="F3233" s="76" t="s">
        <v>150</v>
      </c>
      <c r="G3233" s="77" t="s">
        <v>196</v>
      </c>
      <c r="H3233" s="77" t="s">
        <v>158</v>
      </c>
      <c r="I3233" s="86">
        <v>41767</v>
      </c>
      <c r="J3233" s="78">
        <v>1331</v>
      </c>
      <c r="U3233" s="132" t="s">
        <v>154</v>
      </c>
      <c r="V3233" s="132" t="s">
        <v>300</v>
      </c>
      <c r="W3233" s="132" t="s">
        <v>267</v>
      </c>
      <c r="X3233" s="133">
        <v>41939</v>
      </c>
      <c r="Y3233" s="134">
        <v>664</v>
      </c>
    </row>
    <row r="3234" spans="6:25" x14ac:dyDescent="0.25">
      <c r="F3234" s="76" t="s">
        <v>150</v>
      </c>
      <c r="G3234" s="77" t="s">
        <v>196</v>
      </c>
      <c r="H3234" s="77" t="s">
        <v>158</v>
      </c>
      <c r="I3234" s="86">
        <v>41773</v>
      </c>
      <c r="J3234" s="78">
        <v>929</v>
      </c>
      <c r="U3234" s="132" t="s">
        <v>154</v>
      </c>
      <c r="V3234" s="132" t="s">
        <v>300</v>
      </c>
      <c r="W3234" s="132" t="s">
        <v>267</v>
      </c>
      <c r="X3234" s="133">
        <v>41940</v>
      </c>
      <c r="Y3234" s="134">
        <v>557</v>
      </c>
    </row>
    <row r="3235" spans="6:25" x14ac:dyDescent="0.25">
      <c r="F3235" s="76" t="s">
        <v>150</v>
      </c>
      <c r="G3235" s="77" t="s">
        <v>196</v>
      </c>
      <c r="H3235" s="77" t="s">
        <v>158</v>
      </c>
      <c r="I3235" s="86">
        <v>41775</v>
      </c>
      <c r="J3235" s="78">
        <v>1359</v>
      </c>
      <c r="U3235" s="132" t="s">
        <v>154</v>
      </c>
      <c r="V3235" s="132" t="s">
        <v>300</v>
      </c>
      <c r="W3235" s="132" t="s">
        <v>267</v>
      </c>
      <c r="X3235" s="133">
        <v>41941</v>
      </c>
      <c r="Y3235" s="134">
        <v>1238</v>
      </c>
    </row>
    <row r="3236" spans="6:25" x14ac:dyDescent="0.25">
      <c r="F3236" s="76" t="s">
        <v>150</v>
      </c>
      <c r="G3236" s="77" t="s">
        <v>196</v>
      </c>
      <c r="H3236" s="77" t="s">
        <v>158</v>
      </c>
      <c r="I3236" s="86">
        <v>41776</v>
      </c>
      <c r="J3236" s="78">
        <v>748</v>
      </c>
      <c r="U3236" s="132" t="s">
        <v>154</v>
      </c>
      <c r="V3236" s="132" t="s">
        <v>300</v>
      </c>
      <c r="W3236" s="132" t="s">
        <v>267</v>
      </c>
      <c r="X3236" s="133">
        <v>41942</v>
      </c>
      <c r="Y3236" s="134">
        <v>959</v>
      </c>
    </row>
    <row r="3237" spans="6:25" x14ac:dyDescent="0.25">
      <c r="F3237" s="76" t="s">
        <v>150</v>
      </c>
      <c r="G3237" s="77" t="s">
        <v>196</v>
      </c>
      <c r="H3237" s="77" t="s">
        <v>158</v>
      </c>
      <c r="I3237" s="86">
        <v>41776</v>
      </c>
      <c r="J3237" s="78">
        <v>779</v>
      </c>
      <c r="U3237" s="132" t="s">
        <v>154</v>
      </c>
      <c r="V3237" s="132" t="s">
        <v>301</v>
      </c>
      <c r="W3237" s="132" t="s">
        <v>267</v>
      </c>
      <c r="X3237" s="133">
        <v>41710</v>
      </c>
      <c r="Y3237" s="134">
        <v>776</v>
      </c>
    </row>
    <row r="3238" spans="6:25" x14ac:dyDescent="0.25">
      <c r="F3238" s="76" t="s">
        <v>150</v>
      </c>
      <c r="G3238" s="77" t="s">
        <v>196</v>
      </c>
      <c r="H3238" s="77" t="s">
        <v>158</v>
      </c>
      <c r="I3238" s="86">
        <v>41779</v>
      </c>
      <c r="J3238" s="78">
        <v>1849</v>
      </c>
      <c r="U3238" s="132" t="s">
        <v>154</v>
      </c>
      <c r="V3238" s="132" t="s">
        <v>301</v>
      </c>
      <c r="W3238" s="132" t="s">
        <v>267</v>
      </c>
      <c r="X3238" s="133">
        <v>41711</v>
      </c>
      <c r="Y3238" s="134">
        <v>1075</v>
      </c>
    </row>
    <row r="3239" spans="6:25" x14ac:dyDescent="0.25">
      <c r="F3239" s="76" t="s">
        <v>150</v>
      </c>
      <c r="G3239" s="77" t="s">
        <v>196</v>
      </c>
      <c r="H3239" s="77" t="s">
        <v>158</v>
      </c>
      <c r="I3239" s="86">
        <v>41781</v>
      </c>
      <c r="J3239" s="78">
        <v>933</v>
      </c>
      <c r="U3239" s="132" t="s">
        <v>154</v>
      </c>
      <c r="V3239" s="132" t="s">
        <v>301</v>
      </c>
      <c r="W3239" s="132" t="s">
        <v>267</v>
      </c>
      <c r="X3239" s="133">
        <v>41712</v>
      </c>
      <c r="Y3239" s="134">
        <v>1043</v>
      </c>
    </row>
    <row r="3240" spans="6:25" x14ac:dyDescent="0.25">
      <c r="F3240" s="76" t="s">
        <v>150</v>
      </c>
      <c r="G3240" s="77" t="s">
        <v>196</v>
      </c>
      <c r="H3240" s="77" t="s">
        <v>158</v>
      </c>
      <c r="I3240" s="86">
        <v>41786</v>
      </c>
      <c r="J3240" s="78">
        <v>1104</v>
      </c>
      <c r="U3240" s="132" t="s">
        <v>154</v>
      </c>
      <c r="V3240" s="132" t="s">
        <v>301</v>
      </c>
      <c r="W3240" s="132" t="s">
        <v>267</v>
      </c>
      <c r="X3240" s="133">
        <v>41714</v>
      </c>
      <c r="Y3240" s="134">
        <v>1095</v>
      </c>
    </row>
    <row r="3241" spans="6:25" x14ac:dyDescent="0.25">
      <c r="F3241" s="76" t="s">
        <v>150</v>
      </c>
      <c r="G3241" s="77" t="s">
        <v>196</v>
      </c>
      <c r="H3241" s="77" t="s">
        <v>158</v>
      </c>
      <c r="I3241" s="86">
        <v>41787</v>
      </c>
      <c r="J3241" s="78">
        <v>443</v>
      </c>
      <c r="U3241" s="132" t="s">
        <v>154</v>
      </c>
      <c r="V3241" s="132" t="s">
        <v>301</v>
      </c>
      <c r="W3241" s="132" t="s">
        <v>267</v>
      </c>
      <c r="X3241" s="133">
        <v>41714</v>
      </c>
      <c r="Y3241" s="134">
        <v>282</v>
      </c>
    </row>
    <row r="3242" spans="6:25" x14ac:dyDescent="0.25">
      <c r="F3242" s="76" t="s">
        <v>150</v>
      </c>
      <c r="G3242" s="77" t="s">
        <v>196</v>
      </c>
      <c r="H3242" s="77" t="s">
        <v>158</v>
      </c>
      <c r="I3242" s="86">
        <v>41789</v>
      </c>
      <c r="J3242" s="78">
        <v>1359</v>
      </c>
      <c r="U3242" s="132" t="s">
        <v>154</v>
      </c>
      <c r="V3242" s="132" t="s">
        <v>301</v>
      </c>
      <c r="W3242" s="132" t="s">
        <v>267</v>
      </c>
      <c r="X3242" s="133">
        <v>41715</v>
      </c>
      <c r="Y3242" s="134">
        <v>985</v>
      </c>
    </row>
    <row r="3243" spans="6:25" x14ac:dyDescent="0.25">
      <c r="F3243" s="76" t="s">
        <v>150</v>
      </c>
      <c r="G3243" s="77" t="s">
        <v>196</v>
      </c>
      <c r="H3243" s="77" t="s">
        <v>158</v>
      </c>
      <c r="I3243" s="86">
        <v>41793</v>
      </c>
      <c r="J3243" s="78">
        <v>1460</v>
      </c>
      <c r="U3243" s="132" t="s">
        <v>154</v>
      </c>
      <c r="V3243" s="132" t="s">
        <v>301</v>
      </c>
      <c r="W3243" s="132" t="s">
        <v>267</v>
      </c>
      <c r="X3243" s="133">
        <v>41715</v>
      </c>
      <c r="Y3243" s="134">
        <v>335</v>
      </c>
    </row>
    <row r="3244" spans="6:25" x14ac:dyDescent="0.25">
      <c r="F3244" s="76" t="s">
        <v>150</v>
      </c>
      <c r="G3244" s="77" t="s">
        <v>196</v>
      </c>
      <c r="H3244" s="77" t="s">
        <v>158</v>
      </c>
      <c r="I3244" s="86">
        <v>41795</v>
      </c>
      <c r="J3244" s="78">
        <v>1509</v>
      </c>
      <c r="U3244" s="132" t="s">
        <v>154</v>
      </c>
      <c r="V3244" s="132" t="s">
        <v>301</v>
      </c>
      <c r="W3244" s="132" t="s">
        <v>267</v>
      </c>
      <c r="X3244" s="133">
        <v>41716</v>
      </c>
      <c r="Y3244" s="134">
        <v>755</v>
      </c>
    </row>
    <row r="3245" spans="6:25" x14ac:dyDescent="0.25">
      <c r="F3245" s="76" t="s">
        <v>150</v>
      </c>
      <c r="G3245" s="77" t="s">
        <v>196</v>
      </c>
      <c r="H3245" s="77" t="s">
        <v>158</v>
      </c>
      <c r="I3245" s="86">
        <v>41797</v>
      </c>
      <c r="J3245" s="78">
        <v>902</v>
      </c>
      <c r="U3245" s="132" t="s">
        <v>154</v>
      </c>
      <c r="V3245" s="132" t="s">
        <v>301</v>
      </c>
      <c r="W3245" s="132" t="s">
        <v>267</v>
      </c>
      <c r="X3245" s="133">
        <v>41717</v>
      </c>
      <c r="Y3245" s="134">
        <v>1036</v>
      </c>
    </row>
    <row r="3246" spans="6:25" x14ac:dyDescent="0.25">
      <c r="F3246" s="76" t="s">
        <v>150</v>
      </c>
      <c r="G3246" s="77" t="s">
        <v>196</v>
      </c>
      <c r="H3246" s="77" t="s">
        <v>158</v>
      </c>
      <c r="I3246" s="86">
        <v>41797</v>
      </c>
      <c r="J3246" s="78">
        <v>807</v>
      </c>
      <c r="U3246" s="132" t="s">
        <v>154</v>
      </c>
      <c r="V3246" s="132" t="s">
        <v>301</v>
      </c>
      <c r="W3246" s="132" t="s">
        <v>267</v>
      </c>
      <c r="X3246" s="133">
        <v>41718</v>
      </c>
      <c r="Y3246" s="134">
        <v>880</v>
      </c>
    </row>
    <row r="3247" spans="6:25" x14ac:dyDescent="0.25">
      <c r="F3247" s="76" t="s">
        <v>150</v>
      </c>
      <c r="G3247" s="77" t="s">
        <v>196</v>
      </c>
      <c r="H3247" s="77" t="s">
        <v>158</v>
      </c>
      <c r="I3247" s="86">
        <v>41798</v>
      </c>
      <c r="J3247" s="78">
        <v>849</v>
      </c>
      <c r="U3247" s="132" t="s">
        <v>154</v>
      </c>
      <c r="V3247" s="132" t="s">
        <v>301</v>
      </c>
      <c r="W3247" s="132" t="s">
        <v>267</v>
      </c>
      <c r="X3247" s="133">
        <v>41719</v>
      </c>
      <c r="Y3247" s="134">
        <v>973</v>
      </c>
    </row>
    <row r="3248" spans="6:25" x14ac:dyDescent="0.25">
      <c r="F3248" s="76" t="s">
        <v>150</v>
      </c>
      <c r="G3248" s="77" t="s">
        <v>196</v>
      </c>
      <c r="H3248" s="77" t="s">
        <v>158</v>
      </c>
      <c r="I3248" s="86">
        <v>41802</v>
      </c>
      <c r="J3248" s="78">
        <v>1322</v>
      </c>
      <c r="U3248" s="132" t="s">
        <v>154</v>
      </c>
      <c r="V3248" s="132" t="s">
        <v>301</v>
      </c>
      <c r="W3248" s="132" t="s">
        <v>267</v>
      </c>
      <c r="X3248" s="133">
        <v>41719</v>
      </c>
      <c r="Y3248" s="134">
        <v>359</v>
      </c>
    </row>
    <row r="3249" spans="6:25" x14ac:dyDescent="0.25">
      <c r="F3249" s="76" t="s">
        <v>150</v>
      </c>
      <c r="G3249" s="77" t="s">
        <v>196</v>
      </c>
      <c r="H3249" s="77" t="s">
        <v>158</v>
      </c>
      <c r="I3249" s="86">
        <v>41804</v>
      </c>
      <c r="J3249" s="78">
        <v>1446</v>
      </c>
      <c r="U3249" s="132" t="s">
        <v>154</v>
      </c>
      <c r="V3249" s="132" t="s">
        <v>301</v>
      </c>
      <c r="W3249" s="132" t="s">
        <v>267</v>
      </c>
      <c r="X3249" s="133">
        <v>41720</v>
      </c>
      <c r="Y3249" s="134">
        <v>562</v>
      </c>
    </row>
    <row r="3250" spans="6:25" x14ac:dyDescent="0.25">
      <c r="F3250" s="76" t="s">
        <v>150</v>
      </c>
      <c r="G3250" s="77" t="s">
        <v>196</v>
      </c>
      <c r="H3250" s="77" t="s">
        <v>158</v>
      </c>
      <c r="I3250" s="86">
        <v>41805</v>
      </c>
      <c r="J3250" s="78">
        <v>1167</v>
      </c>
      <c r="U3250" s="132" t="s">
        <v>154</v>
      </c>
      <c r="V3250" s="132" t="s">
        <v>301</v>
      </c>
      <c r="W3250" s="132" t="s">
        <v>267</v>
      </c>
      <c r="X3250" s="133">
        <v>41720</v>
      </c>
      <c r="Y3250" s="134">
        <v>500</v>
      </c>
    </row>
    <row r="3251" spans="6:25" x14ac:dyDescent="0.25">
      <c r="F3251" s="76" t="s">
        <v>150</v>
      </c>
      <c r="G3251" s="77" t="s">
        <v>196</v>
      </c>
      <c r="H3251" s="77" t="s">
        <v>158</v>
      </c>
      <c r="I3251" s="86">
        <v>41806</v>
      </c>
      <c r="J3251" s="78">
        <v>771</v>
      </c>
      <c r="U3251" s="132" t="s">
        <v>154</v>
      </c>
      <c r="V3251" s="132" t="s">
        <v>301</v>
      </c>
      <c r="W3251" s="132" t="s">
        <v>267</v>
      </c>
      <c r="X3251" s="133">
        <v>41720</v>
      </c>
      <c r="Y3251" s="134">
        <v>250</v>
      </c>
    </row>
    <row r="3252" spans="6:25" x14ac:dyDescent="0.25">
      <c r="F3252" s="76" t="s">
        <v>150</v>
      </c>
      <c r="G3252" s="77" t="s">
        <v>196</v>
      </c>
      <c r="H3252" s="77" t="s">
        <v>158</v>
      </c>
      <c r="I3252" s="86">
        <v>41807</v>
      </c>
      <c r="J3252" s="78">
        <v>896</v>
      </c>
      <c r="U3252" s="132" t="s">
        <v>154</v>
      </c>
      <c r="V3252" s="132" t="s">
        <v>301</v>
      </c>
      <c r="W3252" s="132" t="s">
        <v>267</v>
      </c>
      <c r="X3252" s="133">
        <v>41722</v>
      </c>
      <c r="Y3252" s="134">
        <v>590</v>
      </c>
    </row>
    <row r="3253" spans="6:25" x14ac:dyDescent="0.25">
      <c r="F3253" s="76" t="s">
        <v>150</v>
      </c>
      <c r="G3253" s="77" t="s">
        <v>196</v>
      </c>
      <c r="H3253" s="77" t="s">
        <v>158</v>
      </c>
      <c r="I3253" s="86">
        <v>41809</v>
      </c>
      <c r="J3253" s="78">
        <v>594</v>
      </c>
      <c r="U3253" s="132" t="s">
        <v>154</v>
      </c>
      <c r="V3253" s="132" t="s">
        <v>301</v>
      </c>
      <c r="W3253" s="132" t="s">
        <v>267</v>
      </c>
      <c r="X3253" s="133">
        <v>41722</v>
      </c>
      <c r="Y3253" s="134">
        <v>665</v>
      </c>
    </row>
    <row r="3254" spans="6:25" x14ac:dyDescent="0.25">
      <c r="F3254" s="76" t="s">
        <v>150</v>
      </c>
      <c r="G3254" s="77" t="s">
        <v>196</v>
      </c>
      <c r="H3254" s="77" t="s">
        <v>158</v>
      </c>
      <c r="I3254" s="86">
        <v>41818</v>
      </c>
      <c r="J3254" s="78">
        <v>500</v>
      </c>
      <c r="U3254" s="132" t="s">
        <v>154</v>
      </c>
      <c r="V3254" s="132" t="s">
        <v>301</v>
      </c>
      <c r="W3254" s="132" t="s">
        <v>267</v>
      </c>
      <c r="X3254" s="133">
        <v>41723</v>
      </c>
      <c r="Y3254" s="134">
        <v>535</v>
      </c>
    </row>
    <row r="3255" spans="6:25" x14ac:dyDescent="0.25">
      <c r="F3255" s="76" t="s">
        <v>150</v>
      </c>
      <c r="G3255" s="77" t="s">
        <v>196</v>
      </c>
      <c r="H3255" s="77" t="s">
        <v>158</v>
      </c>
      <c r="I3255" s="86">
        <v>41818</v>
      </c>
      <c r="J3255" s="78">
        <v>1029</v>
      </c>
      <c r="U3255" s="132" t="s">
        <v>154</v>
      </c>
      <c r="V3255" s="132" t="s">
        <v>301</v>
      </c>
      <c r="W3255" s="132" t="s">
        <v>267</v>
      </c>
      <c r="X3255" s="133">
        <v>41724</v>
      </c>
      <c r="Y3255" s="134">
        <v>690</v>
      </c>
    </row>
    <row r="3256" spans="6:25" x14ac:dyDescent="0.25">
      <c r="F3256" s="76" t="s">
        <v>150</v>
      </c>
      <c r="G3256" s="77" t="s">
        <v>196</v>
      </c>
      <c r="H3256" s="77" t="s">
        <v>158</v>
      </c>
      <c r="I3256" s="86">
        <v>41819</v>
      </c>
      <c r="J3256" s="78">
        <v>1156</v>
      </c>
      <c r="U3256" s="132" t="s">
        <v>154</v>
      </c>
      <c r="V3256" s="132" t="s">
        <v>301</v>
      </c>
      <c r="W3256" s="132" t="s">
        <v>267</v>
      </c>
      <c r="X3256" s="133">
        <v>41725</v>
      </c>
      <c r="Y3256" s="134">
        <v>662</v>
      </c>
    </row>
    <row r="3257" spans="6:25" x14ac:dyDescent="0.25">
      <c r="F3257" s="76" t="s">
        <v>150</v>
      </c>
      <c r="G3257" s="77" t="s">
        <v>196</v>
      </c>
      <c r="H3257" s="77" t="s">
        <v>158</v>
      </c>
      <c r="I3257" s="86">
        <v>41843</v>
      </c>
      <c r="J3257" s="78">
        <v>1246</v>
      </c>
      <c r="U3257" s="132" t="s">
        <v>154</v>
      </c>
      <c r="V3257" s="132" t="s">
        <v>301</v>
      </c>
      <c r="W3257" s="132" t="s">
        <v>267</v>
      </c>
      <c r="X3257" s="133">
        <v>41726</v>
      </c>
      <c r="Y3257" s="134">
        <v>1005</v>
      </c>
    </row>
    <row r="3258" spans="6:25" x14ac:dyDescent="0.25">
      <c r="F3258" s="76" t="s">
        <v>150</v>
      </c>
      <c r="G3258" s="77" t="s">
        <v>196</v>
      </c>
      <c r="H3258" s="77" t="s">
        <v>158</v>
      </c>
      <c r="I3258" s="86">
        <v>41845</v>
      </c>
      <c r="J3258" s="78">
        <v>787</v>
      </c>
      <c r="U3258" s="132" t="s">
        <v>154</v>
      </c>
      <c r="V3258" s="132" t="s">
        <v>301</v>
      </c>
      <c r="W3258" s="132" t="s">
        <v>267</v>
      </c>
      <c r="X3258" s="133">
        <v>41727</v>
      </c>
      <c r="Y3258" s="134">
        <v>840</v>
      </c>
    </row>
    <row r="3259" spans="6:25" x14ac:dyDescent="0.25">
      <c r="F3259" s="76" t="s">
        <v>150</v>
      </c>
      <c r="G3259" s="77" t="s">
        <v>196</v>
      </c>
      <c r="H3259" s="77" t="s">
        <v>158</v>
      </c>
      <c r="I3259" s="86">
        <v>41847</v>
      </c>
      <c r="J3259" s="78">
        <v>567</v>
      </c>
      <c r="U3259" s="132" t="s">
        <v>154</v>
      </c>
      <c r="V3259" s="132" t="s">
        <v>301</v>
      </c>
      <c r="W3259" s="132" t="s">
        <v>267</v>
      </c>
      <c r="X3259" s="133">
        <v>41727</v>
      </c>
      <c r="Y3259" s="134">
        <v>513</v>
      </c>
    </row>
    <row r="3260" spans="6:25" x14ac:dyDescent="0.25">
      <c r="F3260" s="76" t="s">
        <v>150</v>
      </c>
      <c r="G3260" s="77" t="s">
        <v>196</v>
      </c>
      <c r="H3260" s="77" t="s">
        <v>158</v>
      </c>
      <c r="I3260" s="86">
        <v>41849</v>
      </c>
      <c r="J3260" s="78">
        <v>1373</v>
      </c>
      <c r="U3260" s="132" t="s">
        <v>154</v>
      </c>
      <c r="V3260" s="132" t="s">
        <v>301</v>
      </c>
      <c r="W3260" s="132" t="s">
        <v>267</v>
      </c>
      <c r="X3260" s="133">
        <v>41727</v>
      </c>
      <c r="Y3260" s="134">
        <v>241</v>
      </c>
    </row>
    <row r="3261" spans="6:25" x14ac:dyDescent="0.25">
      <c r="F3261" s="76" t="s">
        <v>150</v>
      </c>
      <c r="G3261" s="77" t="s">
        <v>196</v>
      </c>
      <c r="H3261" s="77" t="s">
        <v>158</v>
      </c>
      <c r="I3261" s="86">
        <v>41852</v>
      </c>
      <c r="J3261" s="78">
        <v>1005</v>
      </c>
      <c r="U3261" s="132" t="s">
        <v>154</v>
      </c>
      <c r="V3261" s="132" t="s">
        <v>301</v>
      </c>
      <c r="W3261" s="132" t="s">
        <v>267</v>
      </c>
      <c r="X3261" s="133">
        <v>41728</v>
      </c>
      <c r="Y3261" s="134">
        <v>723</v>
      </c>
    </row>
    <row r="3262" spans="6:25" x14ac:dyDescent="0.25">
      <c r="F3262" s="76" t="s">
        <v>150</v>
      </c>
      <c r="G3262" s="77" t="s">
        <v>196</v>
      </c>
      <c r="H3262" s="77" t="s">
        <v>158</v>
      </c>
      <c r="I3262" s="86">
        <v>41854</v>
      </c>
      <c r="J3262" s="78">
        <v>1097</v>
      </c>
      <c r="U3262" s="132" t="s">
        <v>154</v>
      </c>
      <c r="V3262" s="132" t="s">
        <v>301</v>
      </c>
      <c r="W3262" s="132" t="s">
        <v>267</v>
      </c>
      <c r="X3262" s="133">
        <v>41729</v>
      </c>
      <c r="Y3262" s="134">
        <v>1194</v>
      </c>
    </row>
    <row r="3263" spans="6:25" x14ac:dyDescent="0.25">
      <c r="F3263" s="76" t="s">
        <v>150</v>
      </c>
      <c r="G3263" s="77" t="s">
        <v>196</v>
      </c>
      <c r="H3263" s="77" t="s">
        <v>158</v>
      </c>
      <c r="I3263" s="86">
        <v>41855</v>
      </c>
      <c r="J3263" s="78">
        <v>758</v>
      </c>
      <c r="U3263" s="132" t="s">
        <v>154</v>
      </c>
      <c r="V3263" s="132" t="s">
        <v>301</v>
      </c>
      <c r="W3263" s="132" t="s">
        <v>267</v>
      </c>
      <c r="X3263" s="133">
        <v>41730</v>
      </c>
      <c r="Y3263" s="134">
        <v>786</v>
      </c>
    </row>
    <row r="3264" spans="6:25" x14ac:dyDescent="0.25">
      <c r="F3264" s="76" t="s">
        <v>150</v>
      </c>
      <c r="G3264" s="77" t="s">
        <v>196</v>
      </c>
      <c r="H3264" s="77" t="s">
        <v>158</v>
      </c>
      <c r="I3264" s="86">
        <v>41857</v>
      </c>
      <c r="J3264" s="78">
        <v>1014</v>
      </c>
      <c r="U3264" s="132" t="s">
        <v>154</v>
      </c>
      <c r="V3264" s="132" t="s">
        <v>301</v>
      </c>
      <c r="W3264" s="132" t="s">
        <v>267</v>
      </c>
      <c r="X3264" s="133">
        <v>41731</v>
      </c>
      <c r="Y3264" s="134">
        <v>735</v>
      </c>
    </row>
    <row r="3265" spans="6:25" x14ac:dyDescent="0.25">
      <c r="F3265" s="76" t="s">
        <v>150</v>
      </c>
      <c r="G3265" s="77" t="s">
        <v>196</v>
      </c>
      <c r="H3265" s="77" t="s">
        <v>158</v>
      </c>
      <c r="I3265" s="86">
        <v>41861</v>
      </c>
      <c r="J3265" s="78">
        <v>1356</v>
      </c>
      <c r="U3265" s="132" t="s">
        <v>154</v>
      </c>
      <c r="V3265" s="132" t="s">
        <v>301</v>
      </c>
      <c r="W3265" s="132" t="s">
        <v>267</v>
      </c>
      <c r="X3265" s="133">
        <v>41732</v>
      </c>
      <c r="Y3265" s="134">
        <v>870</v>
      </c>
    </row>
    <row r="3266" spans="6:25" x14ac:dyDescent="0.25">
      <c r="F3266" s="76" t="s">
        <v>150</v>
      </c>
      <c r="G3266" s="77" t="s">
        <v>196</v>
      </c>
      <c r="H3266" s="77" t="s">
        <v>158</v>
      </c>
      <c r="I3266" s="86">
        <v>41863</v>
      </c>
      <c r="J3266" s="78">
        <v>1227</v>
      </c>
      <c r="U3266" s="132" t="s">
        <v>154</v>
      </c>
      <c r="V3266" s="132" t="s">
        <v>301</v>
      </c>
      <c r="W3266" s="132" t="s">
        <v>267</v>
      </c>
      <c r="X3266" s="133">
        <v>41733</v>
      </c>
      <c r="Y3266" s="134">
        <v>932</v>
      </c>
    </row>
    <row r="3267" spans="6:25" x14ac:dyDescent="0.25">
      <c r="F3267" s="76" t="s">
        <v>150</v>
      </c>
      <c r="G3267" s="77" t="s">
        <v>196</v>
      </c>
      <c r="H3267" s="77" t="s">
        <v>158</v>
      </c>
      <c r="I3267" s="86">
        <v>41870</v>
      </c>
      <c r="J3267" s="78">
        <v>676</v>
      </c>
      <c r="U3267" s="132" t="s">
        <v>154</v>
      </c>
      <c r="V3267" s="132" t="s">
        <v>301</v>
      </c>
      <c r="W3267" s="132" t="s">
        <v>267</v>
      </c>
      <c r="X3267" s="133">
        <v>41734</v>
      </c>
      <c r="Y3267" s="134">
        <v>830</v>
      </c>
    </row>
    <row r="3268" spans="6:25" x14ac:dyDescent="0.25">
      <c r="F3268" s="76" t="s">
        <v>150</v>
      </c>
      <c r="G3268" s="77" t="s">
        <v>196</v>
      </c>
      <c r="H3268" s="77" t="s">
        <v>158</v>
      </c>
      <c r="I3268" s="86">
        <v>41877</v>
      </c>
      <c r="J3268" s="78">
        <v>1259</v>
      </c>
      <c r="U3268" s="132" t="s">
        <v>154</v>
      </c>
      <c r="V3268" s="132" t="s">
        <v>301</v>
      </c>
      <c r="W3268" s="132" t="s">
        <v>267</v>
      </c>
      <c r="X3268" s="133">
        <v>41735</v>
      </c>
      <c r="Y3268" s="134">
        <v>726</v>
      </c>
    </row>
    <row r="3269" spans="6:25" x14ac:dyDescent="0.25">
      <c r="F3269" s="76" t="s">
        <v>150</v>
      </c>
      <c r="G3269" s="77" t="s">
        <v>196</v>
      </c>
      <c r="H3269" s="77" t="s">
        <v>158</v>
      </c>
      <c r="I3269" s="86">
        <v>41879</v>
      </c>
      <c r="J3269" s="78">
        <v>889</v>
      </c>
      <c r="U3269" s="132" t="s">
        <v>154</v>
      </c>
      <c r="V3269" s="132" t="s">
        <v>301</v>
      </c>
      <c r="W3269" s="132" t="s">
        <v>267</v>
      </c>
      <c r="X3269" s="133">
        <v>41735</v>
      </c>
      <c r="Y3269" s="134">
        <v>523</v>
      </c>
    </row>
    <row r="3270" spans="6:25" x14ac:dyDescent="0.25">
      <c r="F3270" s="76" t="s">
        <v>150</v>
      </c>
      <c r="G3270" s="77" t="s">
        <v>196</v>
      </c>
      <c r="H3270" s="77" t="s">
        <v>158</v>
      </c>
      <c r="I3270" s="86">
        <v>41880</v>
      </c>
      <c r="J3270" s="78">
        <v>1055</v>
      </c>
      <c r="U3270" s="132" t="s">
        <v>154</v>
      </c>
      <c r="V3270" s="132" t="s">
        <v>301</v>
      </c>
      <c r="W3270" s="132" t="s">
        <v>267</v>
      </c>
      <c r="X3270" s="133">
        <v>41735</v>
      </c>
      <c r="Y3270" s="134">
        <v>280</v>
      </c>
    </row>
    <row r="3271" spans="6:25" x14ac:dyDescent="0.25">
      <c r="F3271" s="76" t="s">
        <v>150</v>
      </c>
      <c r="G3271" s="77" t="s">
        <v>196</v>
      </c>
      <c r="H3271" s="77" t="s">
        <v>158</v>
      </c>
      <c r="I3271" s="86">
        <v>41882</v>
      </c>
      <c r="J3271" s="78">
        <v>1697</v>
      </c>
      <c r="U3271" s="132" t="s">
        <v>154</v>
      </c>
      <c r="V3271" s="132" t="s">
        <v>301</v>
      </c>
      <c r="W3271" s="132" t="s">
        <v>267</v>
      </c>
      <c r="X3271" s="133">
        <v>41736</v>
      </c>
      <c r="Y3271" s="134">
        <v>592</v>
      </c>
    </row>
    <row r="3272" spans="6:25" x14ac:dyDescent="0.25">
      <c r="F3272" s="76" t="s">
        <v>150</v>
      </c>
      <c r="G3272" s="77" t="s">
        <v>196</v>
      </c>
      <c r="H3272" s="77" t="s">
        <v>158</v>
      </c>
      <c r="I3272" s="86">
        <v>41884</v>
      </c>
      <c r="J3272" s="78">
        <v>1215</v>
      </c>
      <c r="U3272" s="132" t="s">
        <v>154</v>
      </c>
      <c r="V3272" s="132" t="s">
        <v>301</v>
      </c>
      <c r="W3272" s="132" t="s">
        <v>267</v>
      </c>
      <c r="X3272" s="133">
        <v>41736</v>
      </c>
      <c r="Y3272" s="134">
        <v>741</v>
      </c>
    </row>
    <row r="3273" spans="6:25" x14ac:dyDescent="0.25">
      <c r="F3273" s="76" t="s">
        <v>150</v>
      </c>
      <c r="G3273" s="77" t="s">
        <v>196</v>
      </c>
      <c r="H3273" s="77" t="s">
        <v>158</v>
      </c>
      <c r="I3273" s="86">
        <v>41886</v>
      </c>
      <c r="J3273" s="78">
        <v>1266</v>
      </c>
      <c r="U3273" s="132" t="s">
        <v>154</v>
      </c>
      <c r="V3273" s="132" t="s">
        <v>301</v>
      </c>
      <c r="W3273" s="132" t="s">
        <v>267</v>
      </c>
      <c r="X3273" s="133">
        <v>41737</v>
      </c>
      <c r="Y3273" s="134">
        <v>696</v>
      </c>
    </row>
    <row r="3274" spans="6:25" x14ac:dyDescent="0.25">
      <c r="F3274" s="76" t="s">
        <v>150</v>
      </c>
      <c r="G3274" s="77" t="s">
        <v>196</v>
      </c>
      <c r="H3274" s="77" t="s">
        <v>158</v>
      </c>
      <c r="I3274" s="86">
        <v>41888</v>
      </c>
      <c r="J3274" s="78">
        <v>1188</v>
      </c>
      <c r="U3274" s="132" t="s">
        <v>154</v>
      </c>
      <c r="V3274" s="132" t="s">
        <v>301</v>
      </c>
      <c r="W3274" s="132" t="s">
        <v>267</v>
      </c>
      <c r="X3274" s="133">
        <v>41740</v>
      </c>
      <c r="Y3274" s="134">
        <v>595</v>
      </c>
    </row>
    <row r="3275" spans="6:25" x14ac:dyDescent="0.25">
      <c r="F3275" s="76" t="s">
        <v>150</v>
      </c>
      <c r="G3275" s="77" t="s">
        <v>196</v>
      </c>
      <c r="H3275" s="77" t="s">
        <v>158</v>
      </c>
      <c r="I3275" s="86">
        <v>41890</v>
      </c>
      <c r="J3275" s="78">
        <v>1388</v>
      </c>
      <c r="U3275" s="132" t="s">
        <v>154</v>
      </c>
      <c r="V3275" s="132" t="s">
        <v>301</v>
      </c>
      <c r="W3275" s="132" t="s">
        <v>267</v>
      </c>
      <c r="X3275" s="133">
        <v>41743</v>
      </c>
      <c r="Y3275" s="134">
        <v>1084</v>
      </c>
    </row>
    <row r="3276" spans="6:25" x14ac:dyDescent="0.25">
      <c r="F3276" s="76" t="s">
        <v>150</v>
      </c>
      <c r="G3276" s="77" t="s">
        <v>196</v>
      </c>
      <c r="H3276" s="77" t="s">
        <v>158</v>
      </c>
      <c r="I3276" s="86">
        <v>41890</v>
      </c>
      <c r="J3276" s="78">
        <v>697</v>
      </c>
      <c r="U3276" s="132" t="s">
        <v>154</v>
      </c>
      <c r="V3276" s="132" t="s">
        <v>301</v>
      </c>
      <c r="W3276" s="132" t="s">
        <v>267</v>
      </c>
      <c r="X3276" s="133">
        <v>41743</v>
      </c>
      <c r="Y3276" s="134">
        <v>755</v>
      </c>
    </row>
    <row r="3277" spans="6:25" x14ac:dyDescent="0.25">
      <c r="F3277" s="76" t="s">
        <v>150</v>
      </c>
      <c r="G3277" s="77" t="s">
        <v>196</v>
      </c>
      <c r="H3277" s="77" t="s">
        <v>158</v>
      </c>
      <c r="I3277" s="86">
        <v>41892</v>
      </c>
      <c r="J3277" s="78">
        <v>1397</v>
      </c>
      <c r="U3277" s="132" t="s">
        <v>154</v>
      </c>
      <c r="V3277" s="132" t="s">
        <v>301</v>
      </c>
      <c r="W3277" s="132" t="s">
        <v>267</v>
      </c>
      <c r="X3277" s="133">
        <v>41744</v>
      </c>
      <c r="Y3277" s="134">
        <v>890</v>
      </c>
    </row>
    <row r="3278" spans="6:25" x14ac:dyDescent="0.25">
      <c r="F3278" s="76" t="s">
        <v>150</v>
      </c>
      <c r="G3278" s="77" t="s">
        <v>196</v>
      </c>
      <c r="H3278" s="77" t="s">
        <v>158</v>
      </c>
      <c r="I3278" s="86">
        <v>41894</v>
      </c>
      <c r="J3278" s="78">
        <v>1574</v>
      </c>
      <c r="U3278" s="132" t="s">
        <v>154</v>
      </c>
      <c r="V3278" s="132" t="s">
        <v>301</v>
      </c>
      <c r="W3278" s="132" t="s">
        <v>267</v>
      </c>
      <c r="X3278" s="133">
        <v>41745</v>
      </c>
      <c r="Y3278" s="134">
        <v>903</v>
      </c>
    </row>
    <row r="3279" spans="6:25" x14ac:dyDescent="0.25">
      <c r="F3279" s="76" t="s">
        <v>150</v>
      </c>
      <c r="G3279" s="77" t="s">
        <v>196</v>
      </c>
      <c r="H3279" s="77" t="s">
        <v>158</v>
      </c>
      <c r="I3279" s="86">
        <v>41896</v>
      </c>
      <c r="J3279" s="78">
        <v>943</v>
      </c>
      <c r="U3279" s="132" t="s">
        <v>154</v>
      </c>
      <c r="V3279" s="132" t="s">
        <v>301</v>
      </c>
      <c r="W3279" s="132" t="s">
        <v>267</v>
      </c>
      <c r="X3279" s="133">
        <v>41745</v>
      </c>
      <c r="Y3279" s="134">
        <v>720</v>
      </c>
    </row>
    <row r="3280" spans="6:25" x14ac:dyDescent="0.25">
      <c r="F3280" s="76" t="s">
        <v>150</v>
      </c>
      <c r="G3280" s="77" t="s">
        <v>196</v>
      </c>
      <c r="H3280" s="77" t="s">
        <v>158</v>
      </c>
      <c r="I3280" s="86">
        <v>41897</v>
      </c>
      <c r="J3280" s="78">
        <v>889</v>
      </c>
      <c r="U3280" s="132" t="s">
        <v>154</v>
      </c>
      <c r="V3280" s="132" t="s">
        <v>301</v>
      </c>
      <c r="W3280" s="132" t="s">
        <v>267</v>
      </c>
      <c r="X3280" s="133">
        <v>41746</v>
      </c>
      <c r="Y3280" s="134">
        <v>960</v>
      </c>
    </row>
    <row r="3281" spans="6:25" x14ac:dyDescent="0.25">
      <c r="F3281" s="76" t="s">
        <v>150</v>
      </c>
      <c r="G3281" s="77" t="s">
        <v>196</v>
      </c>
      <c r="H3281" s="77" t="s">
        <v>158</v>
      </c>
      <c r="I3281" s="86">
        <v>41913</v>
      </c>
      <c r="J3281" s="78">
        <v>459</v>
      </c>
      <c r="U3281" s="132" t="s">
        <v>154</v>
      </c>
      <c r="V3281" s="132" t="s">
        <v>301</v>
      </c>
      <c r="W3281" s="132" t="s">
        <v>267</v>
      </c>
      <c r="X3281" s="133">
        <v>41747</v>
      </c>
      <c r="Y3281" s="134">
        <v>613</v>
      </c>
    </row>
    <row r="3282" spans="6:25" x14ac:dyDescent="0.25">
      <c r="F3282" s="76" t="s">
        <v>150</v>
      </c>
      <c r="G3282" s="77" t="s">
        <v>196</v>
      </c>
      <c r="H3282" s="77" t="s">
        <v>158</v>
      </c>
      <c r="I3282" s="86">
        <v>41916</v>
      </c>
      <c r="J3282" s="78">
        <v>1337</v>
      </c>
      <c r="U3282" s="132" t="s">
        <v>154</v>
      </c>
      <c r="V3282" s="132" t="s">
        <v>301</v>
      </c>
      <c r="W3282" s="132" t="s">
        <v>267</v>
      </c>
      <c r="X3282" s="133">
        <v>41748</v>
      </c>
      <c r="Y3282" s="134">
        <v>509</v>
      </c>
    </row>
    <row r="3283" spans="6:25" x14ac:dyDescent="0.25">
      <c r="F3283" s="76" t="s">
        <v>150</v>
      </c>
      <c r="G3283" s="77" t="s">
        <v>196</v>
      </c>
      <c r="H3283" s="77" t="s">
        <v>158</v>
      </c>
      <c r="I3283" s="86">
        <v>41917</v>
      </c>
      <c r="J3283" s="78">
        <v>725</v>
      </c>
      <c r="U3283" s="132" t="s">
        <v>154</v>
      </c>
      <c r="V3283" s="132" t="s">
        <v>301</v>
      </c>
      <c r="W3283" s="132" t="s">
        <v>267</v>
      </c>
      <c r="X3283" s="133">
        <v>41749</v>
      </c>
      <c r="Y3283" s="134">
        <v>749</v>
      </c>
    </row>
    <row r="3284" spans="6:25" x14ac:dyDescent="0.25">
      <c r="F3284" s="76" t="s">
        <v>150</v>
      </c>
      <c r="G3284" s="77" t="s">
        <v>196</v>
      </c>
      <c r="H3284" s="77" t="s">
        <v>158</v>
      </c>
      <c r="I3284" s="86">
        <v>41920</v>
      </c>
      <c r="J3284" s="78">
        <v>1295</v>
      </c>
      <c r="U3284" s="132" t="s">
        <v>154</v>
      </c>
      <c r="V3284" s="132" t="s">
        <v>301</v>
      </c>
      <c r="W3284" s="132" t="s">
        <v>267</v>
      </c>
      <c r="X3284" s="133">
        <v>41749</v>
      </c>
      <c r="Y3284" s="134">
        <v>539</v>
      </c>
    </row>
    <row r="3285" spans="6:25" x14ac:dyDescent="0.25">
      <c r="F3285" s="76" t="s">
        <v>150</v>
      </c>
      <c r="G3285" s="77" t="s">
        <v>196</v>
      </c>
      <c r="H3285" s="77" t="s">
        <v>158</v>
      </c>
      <c r="I3285" s="86">
        <v>41922</v>
      </c>
      <c r="J3285" s="78">
        <v>1296</v>
      </c>
      <c r="U3285" s="132" t="s">
        <v>154</v>
      </c>
      <c r="V3285" s="132" t="s">
        <v>301</v>
      </c>
      <c r="W3285" s="132" t="s">
        <v>267</v>
      </c>
      <c r="X3285" s="133">
        <v>41750</v>
      </c>
      <c r="Y3285" s="134">
        <v>886</v>
      </c>
    </row>
    <row r="3286" spans="6:25" x14ac:dyDescent="0.25">
      <c r="F3286" s="76" t="s">
        <v>150</v>
      </c>
      <c r="G3286" s="77" t="s">
        <v>196</v>
      </c>
      <c r="H3286" s="77" t="s">
        <v>158</v>
      </c>
      <c r="I3286" s="86">
        <v>41926</v>
      </c>
      <c r="J3286" s="78">
        <v>1070</v>
      </c>
      <c r="U3286" s="132" t="s">
        <v>154</v>
      </c>
      <c r="V3286" s="132" t="s">
        <v>301</v>
      </c>
      <c r="W3286" s="132" t="s">
        <v>267</v>
      </c>
      <c r="X3286" s="133">
        <v>41750</v>
      </c>
      <c r="Y3286" s="134">
        <v>681</v>
      </c>
    </row>
    <row r="3287" spans="6:25" x14ac:dyDescent="0.25">
      <c r="F3287" s="76" t="s">
        <v>150</v>
      </c>
      <c r="G3287" s="77" t="s">
        <v>196</v>
      </c>
      <c r="H3287" s="77" t="s">
        <v>158</v>
      </c>
      <c r="I3287" s="86">
        <v>41928</v>
      </c>
      <c r="J3287" s="78">
        <v>1219</v>
      </c>
      <c r="U3287" s="132" t="s">
        <v>154</v>
      </c>
      <c r="V3287" s="132" t="s">
        <v>301</v>
      </c>
      <c r="W3287" s="132" t="s">
        <v>267</v>
      </c>
      <c r="X3287" s="133">
        <v>41751</v>
      </c>
      <c r="Y3287" s="134">
        <v>307</v>
      </c>
    </row>
    <row r="3288" spans="6:25" x14ac:dyDescent="0.25">
      <c r="F3288" s="76" t="s">
        <v>150</v>
      </c>
      <c r="G3288" s="77" t="s">
        <v>196</v>
      </c>
      <c r="H3288" s="77" t="s">
        <v>158</v>
      </c>
      <c r="I3288" s="86">
        <v>41941</v>
      </c>
      <c r="J3288" s="78">
        <v>1322</v>
      </c>
      <c r="U3288" s="132" t="s">
        <v>154</v>
      </c>
      <c r="V3288" s="132" t="s">
        <v>301</v>
      </c>
      <c r="W3288" s="132" t="s">
        <v>267</v>
      </c>
      <c r="X3288" s="133">
        <v>41751</v>
      </c>
      <c r="Y3288" s="134">
        <v>710</v>
      </c>
    </row>
    <row r="3289" spans="6:25" x14ac:dyDescent="0.25">
      <c r="F3289" s="76" t="s">
        <v>150</v>
      </c>
      <c r="G3289" s="77" t="s">
        <v>196</v>
      </c>
      <c r="H3289" s="77" t="s">
        <v>158</v>
      </c>
      <c r="I3289" s="86">
        <v>41944</v>
      </c>
      <c r="J3289" s="78">
        <v>839</v>
      </c>
      <c r="U3289" s="132" t="s">
        <v>154</v>
      </c>
      <c r="V3289" s="132" t="s">
        <v>301</v>
      </c>
      <c r="W3289" s="132" t="s">
        <v>267</v>
      </c>
      <c r="X3289" s="133">
        <v>41752</v>
      </c>
      <c r="Y3289" s="134">
        <v>571</v>
      </c>
    </row>
    <row r="3290" spans="6:25" x14ac:dyDescent="0.25">
      <c r="F3290" s="76" t="s">
        <v>150</v>
      </c>
      <c r="G3290" s="77" t="s">
        <v>196</v>
      </c>
      <c r="H3290" s="77" t="s">
        <v>158</v>
      </c>
      <c r="I3290" s="86">
        <v>41945</v>
      </c>
      <c r="J3290" s="78">
        <v>675</v>
      </c>
      <c r="U3290" s="132" t="s">
        <v>154</v>
      </c>
      <c r="V3290" s="132" t="s">
        <v>301</v>
      </c>
      <c r="W3290" s="132" t="s">
        <v>267</v>
      </c>
      <c r="X3290" s="133">
        <v>41753</v>
      </c>
      <c r="Y3290" s="134">
        <v>955</v>
      </c>
    </row>
    <row r="3291" spans="6:25" x14ac:dyDescent="0.25">
      <c r="F3291" s="76" t="s">
        <v>150</v>
      </c>
      <c r="G3291" s="77" t="s">
        <v>196</v>
      </c>
      <c r="H3291" s="77" t="s">
        <v>158</v>
      </c>
      <c r="I3291" s="86">
        <v>41946</v>
      </c>
      <c r="J3291" s="78">
        <v>823</v>
      </c>
      <c r="U3291" s="132" t="s">
        <v>154</v>
      </c>
      <c r="V3291" s="132" t="s">
        <v>301</v>
      </c>
      <c r="W3291" s="132" t="s">
        <v>267</v>
      </c>
      <c r="X3291" s="133">
        <v>41754</v>
      </c>
      <c r="Y3291" s="134">
        <v>657</v>
      </c>
    </row>
    <row r="3292" spans="6:25" x14ac:dyDescent="0.25">
      <c r="F3292" s="76" t="s">
        <v>150</v>
      </c>
      <c r="G3292" s="77" t="s">
        <v>196</v>
      </c>
      <c r="H3292" s="77" t="s">
        <v>158</v>
      </c>
      <c r="I3292" s="86">
        <v>41976</v>
      </c>
      <c r="J3292" s="78">
        <v>1551</v>
      </c>
      <c r="U3292" s="132" t="s">
        <v>154</v>
      </c>
      <c r="V3292" s="132" t="s">
        <v>301</v>
      </c>
      <c r="W3292" s="132" t="s">
        <v>267</v>
      </c>
      <c r="X3292" s="133">
        <v>41757</v>
      </c>
      <c r="Y3292" s="134">
        <v>600</v>
      </c>
    </row>
    <row r="3293" spans="6:25" x14ac:dyDescent="0.25">
      <c r="F3293" s="76" t="s">
        <v>150</v>
      </c>
      <c r="G3293" s="77" t="s">
        <v>196</v>
      </c>
      <c r="H3293" s="77" t="s">
        <v>158</v>
      </c>
      <c r="I3293" s="86">
        <v>41978</v>
      </c>
      <c r="J3293" s="78">
        <v>1246</v>
      </c>
      <c r="U3293" s="132" t="s">
        <v>154</v>
      </c>
      <c r="V3293" s="132" t="s">
        <v>301</v>
      </c>
      <c r="W3293" s="132" t="s">
        <v>267</v>
      </c>
      <c r="X3293" s="133">
        <v>41758</v>
      </c>
      <c r="Y3293" s="134">
        <v>1015</v>
      </c>
    </row>
    <row r="3294" spans="6:25" x14ac:dyDescent="0.25">
      <c r="F3294" s="76" t="s">
        <v>150</v>
      </c>
      <c r="G3294" s="77" t="s">
        <v>196</v>
      </c>
      <c r="H3294" s="77" t="s">
        <v>158</v>
      </c>
      <c r="I3294" s="86">
        <v>41982</v>
      </c>
      <c r="J3294" s="78">
        <v>1104</v>
      </c>
      <c r="U3294" s="132" t="s">
        <v>154</v>
      </c>
      <c r="V3294" s="132" t="s">
        <v>301</v>
      </c>
      <c r="W3294" s="132" t="s">
        <v>267</v>
      </c>
      <c r="X3294" s="133">
        <v>41759</v>
      </c>
      <c r="Y3294" s="134">
        <v>1136</v>
      </c>
    </row>
    <row r="3295" spans="6:25" x14ac:dyDescent="0.25">
      <c r="F3295" s="76" t="s">
        <v>150</v>
      </c>
      <c r="G3295" s="77" t="s">
        <v>196</v>
      </c>
      <c r="H3295" s="77" t="s">
        <v>158</v>
      </c>
      <c r="I3295" s="86">
        <v>41989</v>
      </c>
      <c r="J3295" s="78">
        <v>1660</v>
      </c>
      <c r="U3295" s="132" t="s">
        <v>154</v>
      </c>
      <c r="V3295" s="132" t="s">
        <v>301</v>
      </c>
      <c r="W3295" s="132" t="s">
        <v>267</v>
      </c>
      <c r="X3295" s="133">
        <v>41760</v>
      </c>
      <c r="Y3295" s="134">
        <v>556</v>
      </c>
    </row>
    <row r="3296" spans="6:25" x14ac:dyDescent="0.25">
      <c r="F3296" s="76" t="s">
        <v>150</v>
      </c>
      <c r="G3296" s="77" t="s">
        <v>196</v>
      </c>
      <c r="H3296" s="77" t="s">
        <v>158</v>
      </c>
      <c r="I3296" s="86">
        <v>41990</v>
      </c>
      <c r="J3296" s="78">
        <v>509</v>
      </c>
      <c r="U3296" s="132" t="s">
        <v>154</v>
      </c>
      <c r="V3296" s="132" t="s">
        <v>301</v>
      </c>
      <c r="W3296" s="132" t="s">
        <v>267</v>
      </c>
      <c r="X3296" s="133">
        <v>41760</v>
      </c>
      <c r="Y3296" s="134">
        <v>793</v>
      </c>
    </row>
    <row r="3297" spans="6:25" x14ac:dyDescent="0.25">
      <c r="F3297" s="76" t="s">
        <v>150</v>
      </c>
      <c r="G3297" s="77" t="s">
        <v>196</v>
      </c>
      <c r="H3297" s="77" t="s">
        <v>158</v>
      </c>
      <c r="I3297" s="86">
        <v>41990</v>
      </c>
      <c r="J3297" s="78">
        <v>463</v>
      </c>
      <c r="U3297" s="132" t="s">
        <v>154</v>
      </c>
      <c r="V3297" s="132" t="s">
        <v>301</v>
      </c>
      <c r="W3297" s="132" t="s">
        <v>267</v>
      </c>
      <c r="X3297" s="133">
        <v>41761</v>
      </c>
      <c r="Y3297" s="134">
        <v>630</v>
      </c>
    </row>
    <row r="3298" spans="6:25" x14ac:dyDescent="0.25">
      <c r="F3298" s="76" t="s">
        <v>150</v>
      </c>
      <c r="G3298" s="77" t="s">
        <v>196</v>
      </c>
      <c r="H3298" s="77" t="s">
        <v>158</v>
      </c>
      <c r="I3298" s="86">
        <v>41992</v>
      </c>
      <c r="J3298" s="78">
        <v>1239</v>
      </c>
      <c r="U3298" s="132" t="s">
        <v>154</v>
      </c>
      <c r="V3298" s="132" t="s">
        <v>301</v>
      </c>
      <c r="W3298" s="132" t="s">
        <v>267</v>
      </c>
      <c r="X3298" s="133">
        <v>41764</v>
      </c>
      <c r="Y3298" s="134">
        <v>953</v>
      </c>
    </row>
    <row r="3299" spans="6:25" x14ac:dyDescent="0.25">
      <c r="F3299" s="76" t="s">
        <v>150</v>
      </c>
      <c r="G3299" s="77" t="s">
        <v>196</v>
      </c>
      <c r="H3299" s="77" t="s">
        <v>158</v>
      </c>
      <c r="I3299" s="86">
        <v>41992</v>
      </c>
      <c r="J3299" s="78">
        <v>619</v>
      </c>
      <c r="U3299" s="132" t="s">
        <v>154</v>
      </c>
      <c r="V3299" s="132" t="s">
        <v>301</v>
      </c>
      <c r="W3299" s="132" t="s">
        <v>267</v>
      </c>
      <c r="X3299" s="133">
        <v>41765</v>
      </c>
      <c r="Y3299" s="134">
        <v>839</v>
      </c>
    </row>
    <row r="3300" spans="6:25" x14ac:dyDescent="0.25">
      <c r="F3300" s="76" t="s">
        <v>150</v>
      </c>
      <c r="G3300" s="77" t="s">
        <v>196</v>
      </c>
      <c r="H3300" s="77" t="s">
        <v>158</v>
      </c>
      <c r="I3300" s="86">
        <v>41993</v>
      </c>
      <c r="J3300" s="78">
        <v>907</v>
      </c>
      <c r="U3300" s="132" t="s">
        <v>154</v>
      </c>
      <c r="V3300" s="132" t="s">
        <v>301</v>
      </c>
      <c r="W3300" s="132" t="s">
        <v>267</v>
      </c>
      <c r="X3300" s="133">
        <v>41865</v>
      </c>
      <c r="Y3300" s="134">
        <v>490</v>
      </c>
    </row>
    <row r="3301" spans="6:25" x14ac:dyDescent="0.25">
      <c r="F3301" s="76" t="s">
        <v>150</v>
      </c>
      <c r="G3301" s="77" t="s">
        <v>196</v>
      </c>
      <c r="H3301" s="77" t="s">
        <v>158</v>
      </c>
      <c r="I3301" s="86">
        <v>41995</v>
      </c>
      <c r="J3301" s="78">
        <v>1490</v>
      </c>
      <c r="U3301" s="132" t="s">
        <v>154</v>
      </c>
      <c r="V3301" s="132" t="s">
        <v>301</v>
      </c>
      <c r="W3301" s="132" t="s">
        <v>267</v>
      </c>
      <c r="X3301" s="133">
        <v>41866</v>
      </c>
      <c r="Y3301" s="134">
        <v>831</v>
      </c>
    </row>
    <row r="3302" spans="6:25" x14ac:dyDescent="0.25">
      <c r="F3302" s="76" t="s">
        <v>150</v>
      </c>
      <c r="G3302" s="77" t="s">
        <v>196</v>
      </c>
      <c r="H3302" s="77" t="s">
        <v>158</v>
      </c>
      <c r="I3302" s="86">
        <v>41996</v>
      </c>
      <c r="J3302" s="78">
        <v>428</v>
      </c>
      <c r="U3302" s="132" t="s">
        <v>154</v>
      </c>
      <c r="V3302" s="132" t="s">
        <v>301</v>
      </c>
      <c r="W3302" s="132" t="s">
        <v>267</v>
      </c>
      <c r="X3302" s="133">
        <v>41866</v>
      </c>
      <c r="Y3302" s="134">
        <v>655</v>
      </c>
    </row>
    <row r="3303" spans="6:25" x14ac:dyDescent="0.25">
      <c r="F3303" s="76" t="s">
        <v>150</v>
      </c>
      <c r="G3303" s="77" t="s">
        <v>196</v>
      </c>
      <c r="H3303" s="77" t="s">
        <v>158</v>
      </c>
      <c r="I3303" s="86">
        <v>41998</v>
      </c>
      <c r="J3303" s="78">
        <v>373</v>
      </c>
      <c r="U3303" s="132" t="s">
        <v>154</v>
      </c>
      <c r="V3303" s="132" t="s">
        <v>301</v>
      </c>
      <c r="W3303" s="132" t="s">
        <v>267</v>
      </c>
      <c r="X3303" s="133">
        <v>41867</v>
      </c>
      <c r="Y3303" s="134">
        <v>517</v>
      </c>
    </row>
    <row r="3304" spans="6:25" x14ac:dyDescent="0.25">
      <c r="F3304" s="76" t="s">
        <v>150</v>
      </c>
      <c r="G3304" s="77" t="s">
        <v>196</v>
      </c>
      <c r="H3304" s="77" t="s">
        <v>158</v>
      </c>
      <c r="I3304" s="86">
        <v>41998</v>
      </c>
      <c r="J3304" s="78">
        <v>1735</v>
      </c>
      <c r="U3304" s="132" t="s">
        <v>154</v>
      </c>
      <c r="V3304" s="132" t="s">
        <v>301</v>
      </c>
      <c r="W3304" s="132" t="s">
        <v>267</v>
      </c>
      <c r="X3304" s="133">
        <v>41868</v>
      </c>
      <c r="Y3304" s="134">
        <v>249</v>
      </c>
    </row>
    <row r="3305" spans="6:25" x14ac:dyDescent="0.25">
      <c r="F3305" s="76" t="s">
        <v>150</v>
      </c>
      <c r="G3305" s="77" t="s">
        <v>196</v>
      </c>
      <c r="H3305" s="77" t="s">
        <v>158</v>
      </c>
      <c r="I3305" s="86">
        <v>42000</v>
      </c>
      <c r="J3305" s="78">
        <v>1213</v>
      </c>
      <c r="U3305" s="132" t="s">
        <v>154</v>
      </c>
      <c r="V3305" s="132" t="s">
        <v>301</v>
      </c>
      <c r="W3305" s="132" t="s">
        <v>267</v>
      </c>
      <c r="X3305" s="133">
        <v>41868</v>
      </c>
      <c r="Y3305" s="134">
        <v>774</v>
      </c>
    </row>
    <row r="3306" spans="6:25" x14ac:dyDescent="0.25">
      <c r="F3306" s="76" t="s">
        <v>150</v>
      </c>
      <c r="G3306" s="77" t="s">
        <v>196</v>
      </c>
      <c r="H3306" s="77" t="s">
        <v>158</v>
      </c>
      <c r="I3306" s="86">
        <v>42001</v>
      </c>
      <c r="J3306" s="78">
        <v>1102</v>
      </c>
      <c r="U3306" s="132" t="s">
        <v>154</v>
      </c>
      <c r="V3306" s="132" t="s">
        <v>301</v>
      </c>
      <c r="W3306" s="132" t="s">
        <v>267</v>
      </c>
      <c r="X3306" s="133">
        <v>41868</v>
      </c>
      <c r="Y3306" s="134">
        <v>472</v>
      </c>
    </row>
    <row r="3307" spans="6:25" x14ac:dyDescent="0.25">
      <c r="F3307" s="76" t="s">
        <v>150</v>
      </c>
      <c r="G3307" s="77" t="s">
        <v>170</v>
      </c>
      <c r="H3307" s="77" t="s">
        <v>158</v>
      </c>
      <c r="I3307" s="86">
        <v>41723</v>
      </c>
      <c r="J3307" s="78">
        <v>670</v>
      </c>
      <c r="U3307" s="132" t="s">
        <v>154</v>
      </c>
      <c r="V3307" s="132" t="s">
        <v>301</v>
      </c>
      <c r="W3307" s="132" t="s">
        <v>267</v>
      </c>
      <c r="X3307" s="133">
        <v>41869</v>
      </c>
      <c r="Y3307" s="134">
        <v>876</v>
      </c>
    </row>
    <row r="3308" spans="6:25" x14ac:dyDescent="0.25">
      <c r="F3308" s="76" t="s">
        <v>150</v>
      </c>
      <c r="G3308" s="77" t="s">
        <v>170</v>
      </c>
      <c r="H3308" s="77" t="s">
        <v>158</v>
      </c>
      <c r="I3308" s="86">
        <v>41727</v>
      </c>
      <c r="J3308" s="78">
        <v>1313</v>
      </c>
      <c r="U3308" s="132" t="s">
        <v>154</v>
      </c>
      <c r="V3308" s="132" t="s">
        <v>301</v>
      </c>
      <c r="W3308" s="132" t="s">
        <v>267</v>
      </c>
      <c r="X3308" s="133">
        <v>41869</v>
      </c>
      <c r="Y3308" s="134">
        <v>648</v>
      </c>
    </row>
    <row r="3309" spans="6:25" x14ac:dyDescent="0.25">
      <c r="F3309" s="76" t="s">
        <v>150</v>
      </c>
      <c r="G3309" s="77" t="s">
        <v>170</v>
      </c>
      <c r="H3309" s="77" t="s">
        <v>158</v>
      </c>
      <c r="I3309" s="86">
        <v>41728</v>
      </c>
      <c r="J3309" s="78">
        <v>767</v>
      </c>
      <c r="U3309" s="132" t="s">
        <v>154</v>
      </c>
      <c r="V3309" s="132" t="s">
        <v>301</v>
      </c>
      <c r="W3309" s="132" t="s">
        <v>267</v>
      </c>
      <c r="X3309" s="133">
        <v>41870</v>
      </c>
      <c r="Y3309" s="134">
        <v>690</v>
      </c>
    </row>
    <row r="3310" spans="6:25" x14ac:dyDescent="0.25">
      <c r="F3310" s="76" t="s">
        <v>150</v>
      </c>
      <c r="G3310" s="77" t="s">
        <v>170</v>
      </c>
      <c r="H3310" s="77" t="s">
        <v>158</v>
      </c>
      <c r="I3310" s="86">
        <v>41730</v>
      </c>
      <c r="J3310" s="78">
        <v>1302</v>
      </c>
      <c r="U3310" s="132" t="s">
        <v>154</v>
      </c>
      <c r="V3310" s="132" t="s">
        <v>301</v>
      </c>
      <c r="W3310" s="132" t="s">
        <v>267</v>
      </c>
      <c r="X3310" s="133">
        <v>41871</v>
      </c>
      <c r="Y3310" s="134">
        <v>846</v>
      </c>
    </row>
    <row r="3311" spans="6:25" x14ac:dyDescent="0.25">
      <c r="F3311" s="76" t="s">
        <v>150</v>
      </c>
      <c r="G3311" s="77" t="s">
        <v>170</v>
      </c>
      <c r="H3311" s="77" t="s">
        <v>158</v>
      </c>
      <c r="I3311" s="86">
        <v>41731</v>
      </c>
      <c r="J3311" s="78">
        <v>1353</v>
      </c>
      <c r="U3311" s="132" t="s">
        <v>154</v>
      </c>
      <c r="V3311" s="132" t="s">
        <v>301</v>
      </c>
      <c r="W3311" s="132" t="s">
        <v>267</v>
      </c>
      <c r="X3311" s="133">
        <v>41872</v>
      </c>
      <c r="Y3311" s="134">
        <v>872</v>
      </c>
    </row>
    <row r="3312" spans="6:25" x14ac:dyDescent="0.25">
      <c r="F3312" s="76" t="s">
        <v>150</v>
      </c>
      <c r="G3312" s="77" t="s">
        <v>170</v>
      </c>
      <c r="H3312" s="77" t="s">
        <v>158</v>
      </c>
      <c r="I3312" s="86">
        <v>41739</v>
      </c>
      <c r="J3312" s="78">
        <v>1193</v>
      </c>
      <c r="U3312" s="132" t="s">
        <v>154</v>
      </c>
      <c r="V3312" s="132" t="s">
        <v>301</v>
      </c>
      <c r="W3312" s="132" t="s">
        <v>267</v>
      </c>
      <c r="X3312" s="133">
        <v>41873</v>
      </c>
      <c r="Y3312" s="134">
        <v>783</v>
      </c>
    </row>
    <row r="3313" spans="6:25" x14ac:dyDescent="0.25">
      <c r="F3313" s="76" t="s">
        <v>150</v>
      </c>
      <c r="G3313" s="77" t="s">
        <v>170</v>
      </c>
      <c r="H3313" s="77" t="s">
        <v>158</v>
      </c>
      <c r="I3313" s="86">
        <v>41741</v>
      </c>
      <c r="J3313" s="78">
        <v>302</v>
      </c>
      <c r="U3313" s="132" t="s">
        <v>154</v>
      </c>
      <c r="V3313" s="132" t="s">
        <v>301</v>
      </c>
      <c r="W3313" s="132" t="s">
        <v>267</v>
      </c>
      <c r="X3313" s="133">
        <v>41874</v>
      </c>
      <c r="Y3313" s="134">
        <v>878</v>
      </c>
    </row>
    <row r="3314" spans="6:25" x14ac:dyDescent="0.25">
      <c r="F3314" s="76" t="s">
        <v>150</v>
      </c>
      <c r="G3314" s="77" t="s">
        <v>170</v>
      </c>
      <c r="H3314" s="77" t="s">
        <v>158</v>
      </c>
      <c r="I3314" s="86">
        <v>41741</v>
      </c>
      <c r="J3314" s="78">
        <v>1000</v>
      </c>
      <c r="U3314" s="132" t="s">
        <v>154</v>
      </c>
      <c r="V3314" s="132" t="s">
        <v>301</v>
      </c>
      <c r="W3314" s="132" t="s">
        <v>267</v>
      </c>
      <c r="X3314" s="133">
        <v>41875</v>
      </c>
      <c r="Y3314" s="134">
        <v>598</v>
      </c>
    </row>
    <row r="3315" spans="6:25" x14ac:dyDescent="0.25">
      <c r="F3315" s="76" t="s">
        <v>150</v>
      </c>
      <c r="G3315" s="77" t="s">
        <v>170</v>
      </c>
      <c r="H3315" s="77" t="s">
        <v>158</v>
      </c>
      <c r="I3315" s="86">
        <v>41742</v>
      </c>
      <c r="J3315" s="78">
        <v>819</v>
      </c>
      <c r="U3315" s="132" t="s">
        <v>154</v>
      </c>
      <c r="V3315" s="132" t="s">
        <v>301</v>
      </c>
      <c r="W3315" s="132" t="s">
        <v>267</v>
      </c>
      <c r="X3315" s="133">
        <v>41876</v>
      </c>
      <c r="Y3315" s="134">
        <v>607</v>
      </c>
    </row>
    <row r="3316" spans="6:25" x14ac:dyDescent="0.25">
      <c r="F3316" s="76" t="s">
        <v>150</v>
      </c>
      <c r="G3316" s="77" t="s">
        <v>170</v>
      </c>
      <c r="H3316" s="77" t="s">
        <v>158</v>
      </c>
      <c r="I3316" s="86">
        <v>41743</v>
      </c>
      <c r="J3316" s="78">
        <v>899</v>
      </c>
      <c r="U3316" s="132" t="s">
        <v>154</v>
      </c>
      <c r="V3316" s="132" t="s">
        <v>301</v>
      </c>
      <c r="W3316" s="132" t="s">
        <v>267</v>
      </c>
      <c r="X3316" s="133">
        <v>41876</v>
      </c>
      <c r="Y3316" s="134">
        <v>584</v>
      </c>
    </row>
    <row r="3317" spans="6:25" x14ac:dyDescent="0.25">
      <c r="F3317" s="76" t="s">
        <v>150</v>
      </c>
      <c r="G3317" s="77" t="s">
        <v>170</v>
      </c>
      <c r="H3317" s="77" t="s">
        <v>158</v>
      </c>
      <c r="I3317" s="86">
        <v>41744</v>
      </c>
      <c r="J3317" s="78">
        <v>890</v>
      </c>
      <c r="U3317" s="132" t="s">
        <v>154</v>
      </c>
      <c r="V3317" s="132" t="s">
        <v>301</v>
      </c>
      <c r="W3317" s="132" t="s">
        <v>267</v>
      </c>
      <c r="X3317" s="133">
        <v>41877</v>
      </c>
      <c r="Y3317" s="134">
        <v>855</v>
      </c>
    </row>
    <row r="3318" spans="6:25" x14ac:dyDescent="0.25">
      <c r="F3318" s="76" t="s">
        <v>150</v>
      </c>
      <c r="G3318" s="77" t="s">
        <v>170</v>
      </c>
      <c r="H3318" s="77" t="s">
        <v>158</v>
      </c>
      <c r="I3318" s="86">
        <v>41745</v>
      </c>
      <c r="J3318" s="78">
        <v>679</v>
      </c>
      <c r="U3318" s="132" t="s">
        <v>154</v>
      </c>
      <c r="V3318" s="132" t="s">
        <v>301</v>
      </c>
      <c r="W3318" s="132" t="s">
        <v>267</v>
      </c>
      <c r="X3318" s="133">
        <v>41878</v>
      </c>
      <c r="Y3318" s="134">
        <v>981</v>
      </c>
    </row>
    <row r="3319" spans="6:25" x14ac:dyDescent="0.25">
      <c r="F3319" s="76" t="s">
        <v>150</v>
      </c>
      <c r="G3319" s="77" t="s">
        <v>170</v>
      </c>
      <c r="H3319" s="77" t="s">
        <v>158</v>
      </c>
      <c r="I3319" s="86">
        <v>41746</v>
      </c>
      <c r="J3319" s="78">
        <v>1134</v>
      </c>
      <c r="U3319" s="132" t="s">
        <v>154</v>
      </c>
      <c r="V3319" s="132" t="s">
        <v>301</v>
      </c>
      <c r="W3319" s="132" t="s">
        <v>267</v>
      </c>
      <c r="X3319" s="133">
        <v>41879</v>
      </c>
      <c r="Y3319" s="134">
        <v>815</v>
      </c>
    </row>
    <row r="3320" spans="6:25" x14ac:dyDescent="0.25">
      <c r="F3320" s="76" t="s">
        <v>150</v>
      </c>
      <c r="G3320" s="77" t="s">
        <v>170</v>
      </c>
      <c r="H3320" s="77" t="s">
        <v>158</v>
      </c>
      <c r="I3320" s="86">
        <v>41747</v>
      </c>
      <c r="J3320" s="78">
        <v>600</v>
      </c>
      <c r="U3320" s="132" t="s">
        <v>154</v>
      </c>
      <c r="V3320" s="132" t="s">
        <v>301</v>
      </c>
      <c r="W3320" s="132" t="s">
        <v>267</v>
      </c>
      <c r="X3320" s="133">
        <v>41880</v>
      </c>
      <c r="Y3320" s="134">
        <v>988</v>
      </c>
    </row>
    <row r="3321" spans="6:25" x14ac:dyDescent="0.25">
      <c r="F3321" s="76" t="s">
        <v>150</v>
      </c>
      <c r="G3321" s="77" t="s">
        <v>170</v>
      </c>
      <c r="H3321" s="77" t="s">
        <v>158</v>
      </c>
      <c r="I3321" s="86">
        <v>41749</v>
      </c>
      <c r="J3321" s="78">
        <v>707</v>
      </c>
      <c r="U3321" s="132" t="s">
        <v>154</v>
      </c>
      <c r="V3321" s="132" t="s">
        <v>301</v>
      </c>
      <c r="W3321" s="132" t="s">
        <v>267</v>
      </c>
      <c r="X3321" s="133">
        <v>41883</v>
      </c>
      <c r="Y3321" s="134">
        <v>650</v>
      </c>
    </row>
    <row r="3322" spans="6:25" x14ac:dyDescent="0.25">
      <c r="F3322" s="76" t="s">
        <v>150</v>
      </c>
      <c r="G3322" s="77" t="s">
        <v>170</v>
      </c>
      <c r="H3322" s="77" t="s">
        <v>158</v>
      </c>
      <c r="I3322" s="86">
        <v>41754</v>
      </c>
      <c r="J3322" s="78">
        <v>1131</v>
      </c>
      <c r="U3322" s="132" t="s">
        <v>154</v>
      </c>
      <c r="V3322" s="132" t="s">
        <v>301</v>
      </c>
      <c r="W3322" s="132" t="s">
        <v>267</v>
      </c>
      <c r="X3322" s="133">
        <v>41883</v>
      </c>
      <c r="Y3322" s="134">
        <v>958</v>
      </c>
    </row>
    <row r="3323" spans="6:25" x14ac:dyDescent="0.25">
      <c r="F3323" s="76" t="s">
        <v>150</v>
      </c>
      <c r="G3323" s="77" t="s">
        <v>170</v>
      </c>
      <c r="H3323" s="77" t="s">
        <v>158</v>
      </c>
      <c r="I3323" s="86">
        <v>41759</v>
      </c>
      <c r="J3323" s="78">
        <v>604</v>
      </c>
      <c r="U3323" s="132" t="s">
        <v>154</v>
      </c>
      <c r="V3323" s="132" t="s">
        <v>301</v>
      </c>
      <c r="W3323" s="132" t="s">
        <v>267</v>
      </c>
      <c r="X3323" s="133">
        <v>41884</v>
      </c>
      <c r="Y3323" s="134">
        <v>951</v>
      </c>
    </row>
    <row r="3324" spans="6:25" x14ac:dyDescent="0.25">
      <c r="F3324" s="76" t="s">
        <v>150</v>
      </c>
      <c r="G3324" s="77" t="s">
        <v>170</v>
      </c>
      <c r="H3324" s="77" t="s">
        <v>158</v>
      </c>
      <c r="I3324" s="86">
        <v>41761</v>
      </c>
      <c r="J3324" s="78">
        <v>944</v>
      </c>
      <c r="U3324" s="132" t="s">
        <v>154</v>
      </c>
      <c r="V3324" s="132" t="s">
        <v>301</v>
      </c>
      <c r="W3324" s="132" t="s">
        <v>267</v>
      </c>
      <c r="X3324" s="133">
        <v>41885</v>
      </c>
      <c r="Y3324" s="134">
        <v>591</v>
      </c>
    </row>
    <row r="3325" spans="6:25" x14ac:dyDescent="0.25">
      <c r="F3325" s="76" t="s">
        <v>150</v>
      </c>
      <c r="G3325" s="77" t="s">
        <v>170</v>
      </c>
      <c r="H3325" s="77" t="s">
        <v>158</v>
      </c>
      <c r="I3325" s="86">
        <v>41772</v>
      </c>
      <c r="J3325" s="78">
        <v>1335</v>
      </c>
      <c r="U3325" s="132" t="s">
        <v>154</v>
      </c>
      <c r="V3325" s="132" t="s">
        <v>301</v>
      </c>
      <c r="W3325" s="132" t="s">
        <v>267</v>
      </c>
      <c r="X3325" s="133">
        <v>41900</v>
      </c>
      <c r="Y3325" s="134">
        <v>683</v>
      </c>
    </row>
    <row r="3326" spans="6:25" x14ac:dyDescent="0.25">
      <c r="F3326" s="76" t="s">
        <v>150</v>
      </c>
      <c r="G3326" s="77" t="s">
        <v>170</v>
      </c>
      <c r="H3326" s="77" t="s">
        <v>158</v>
      </c>
      <c r="I3326" s="86">
        <v>41773</v>
      </c>
      <c r="J3326" s="78">
        <v>437</v>
      </c>
      <c r="U3326" s="132" t="s">
        <v>154</v>
      </c>
      <c r="V3326" s="132" t="s">
        <v>301</v>
      </c>
      <c r="W3326" s="132" t="s">
        <v>267</v>
      </c>
      <c r="X3326" s="133">
        <v>41900</v>
      </c>
      <c r="Y3326" s="134">
        <v>285</v>
      </c>
    </row>
    <row r="3327" spans="6:25" x14ac:dyDescent="0.25">
      <c r="F3327" s="76" t="s">
        <v>150</v>
      </c>
      <c r="G3327" s="77" t="s">
        <v>170</v>
      </c>
      <c r="H3327" s="77" t="s">
        <v>158</v>
      </c>
      <c r="I3327" s="86">
        <v>41774</v>
      </c>
      <c r="J3327" s="78">
        <v>710</v>
      </c>
      <c r="U3327" s="132" t="s">
        <v>154</v>
      </c>
      <c r="V3327" s="132" t="s">
        <v>301</v>
      </c>
      <c r="W3327" s="132" t="s">
        <v>267</v>
      </c>
      <c r="X3327" s="133">
        <v>41900</v>
      </c>
      <c r="Y3327" s="134">
        <v>552</v>
      </c>
    </row>
    <row r="3328" spans="6:25" x14ac:dyDescent="0.25">
      <c r="F3328" s="76" t="s">
        <v>150</v>
      </c>
      <c r="G3328" s="77" t="s">
        <v>170</v>
      </c>
      <c r="H3328" s="77" t="s">
        <v>158</v>
      </c>
      <c r="I3328" s="86">
        <v>41775</v>
      </c>
      <c r="J3328" s="78">
        <v>712</v>
      </c>
      <c r="U3328" s="132" t="s">
        <v>154</v>
      </c>
      <c r="V3328" s="132" t="s">
        <v>301</v>
      </c>
      <c r="W3328" s="132" t="s">
        <v>267</v>
      </c>
      <c r="X3328" s="133">
        <v>41901</v>
      </c>
      <c r="Y3328" s="134">
        <v>1101</v>
      </c>
    </row>
    <row r="3329" spans="6:25" x14ac:dyDescent="0.25">
      <c r="F3329" s="76" t="s">
        <v>150</v>
      </c>
      <c r="G3329" s="77" t="s">
        <v>170</v>
      </c>
      <c r="H3329" s="77" t="s">
        <v>158</v>
      </c>
      <c r="I3329" s="86">
        <v>41777</v>
      </c>
      <c r="J3329" s="78">
        <v>942</v>
      </c>
      <c r="U3329" s="132" t="s">
        <v>154</v>
      </c>
      <c r="V3329" s="132" t="s">
        <v>301</v>
      </c>
      <c r="W3329" s="132" t="s">
        <v>267</v>
      </c>
      <c r="X3329" s="133">
        <v>41904</v>
      </c>
      <c r="Y3329" s="134">
        <v>729</v>
      </c>
    </row>
    <row r="3330" spans="6:25" x14ac:dyDescent="0.25">
      <c r="F3330" s="76" t="s">
        <v>150</v>
      </c>
      <c r="G3330" s="77" t="s">
        <v>170</v>
      </c>
      <c r="H3330" s="77" t="s">
        <v>158</v>
      </c>
      <c r="I3330" s="86">
        <v>41778</v>
      </c>
      <c r="J3330" s="78">
        <v>405</v>
      </c>
      <c r="U3330" s="132" t="s">
        <v>154</v>
      </c>
      <c r="V3330" s="132" t="s">
        <v>301</v>
      </c>
      <c r="W3330" s="132" t="s">
        <v>267</v>
      </c>
      <c r="X3330" s="133">
        <v>41904</v>
      </c>
      <c r="Y3330" s="134">
        <v>329</v>
      </c>
    </row>
    <row r="3331" spans="6:25" x14ac:dyDescent="0.25">
      <c r="F3331" s="76" t="s">
        <v>150</v>
      </c>
      <c r="G3331" s="77" t="s">
        <v>170</v>
      </c>
      <c r="H3331" s="77" t="s">
        <v>158</v>
      </c>
      <c r="I3331" s="86">
        <v>41779</v>
      </c>
      <c r="J3331" s="78">
        <v>685</v>
      </c>
      <c r="U3331" s="132" t="s">
        <v>154</v>
      </c>
      <c r="V3331" s="132" t="s">
        <v>301</v>
      </c>
      <c r="W3331" s="132" t="s">
        <v>267</v>
      </c>
      <c r="X3331" s="133">
        <v>41905</v>
      </c>
      <c r="Y3331" s="134">
        <v>641</v>
      </c>
    </row>
    <row r="3332" spans="6:25" x14ac:dyDescent="0.25">
      <c r="F3332" s="76" t="s">
        <v>150</v>
      </c>
      <c r="G3332" s="77" t="s">
        <v>170</v>
      </c>
      <c r="H3332" s="77" t="s">
        <v>158</v>
      </c>
      <c r="I3332" s="86">
        <v>41780</v>
      </c>
      <c r="J3332" s="78">
        <v>618</v>
      </c>
      <c r="U3332" s="132" t="s">
        <v>154</v>
      </c>
      <c r="V3332" s="132" t="s">
        <v>301</v>
      </c>
      <c r="W3332" s="132" t="s">
        <v>267</v>
      </c>
      <c r="X3332" s="133">
        <v>41906</v>
      </c>
      <c r="Y3332" s="134">
        <v>635</v>
      </c>
    </row>
    <row r="3333" spans="6:25" x14ac:dyDescent="0.25">
      <c r="F3333" s="76" t="s">
        <v>150</v>
      </c>
      <c r="G3333" s="77" t="s">
        <v>170</v>
      </c>
      <c r="H3333" s="77" t="s">
        <v>158</v>
      </c>
      <c r="I3333" s="86">
        <v>41781</v>
      </c>
      <c r="J3333" s="78">
        <v>592</v>
      </c>
      <c r="U3333" s="132" t="s">
        <v>154</v>
      </c>
      <c r="V3333" s="132" t="s">
        <v>301</v>
      </c>
      <c r="W3333" s="132" t="s">
        <v>267</v>
      </c>
      <c r="X3333" s="133">
        <v>41907</v>
      </c>
      <c r="Y3333" s="134">
        <v>685</v>
      </c>
    </row>
    <row r="3334" spans="6:25" x14ac:dyDescent="0.25">
      <c r="F3334" s="76" t="s">
        <v>150</v>
      </c>
      <c r="G3334" s="77" t="s">
        <v>170</v>
      </c>
      <c r="H3334" s="77" t="s">
        <v>158</v>
      </c>
      <c r="I3334" s="86">
        <v>41789</v>
      </c>
      <c r="J3334" s="78">
        <v>875</v>
      </c>
      <c r="U3334" s="132" t="s">
        <v>154</v>
      </c>
      <c r="V3334" s="132" t="s">
        <v>301</v>
      </c>
      <c r="W3334" s="132" t="s">
        <v>267</v>
      </c>
      <c r="X3334" s="133">
        <v>41907</v>
      </c>
      <c r="Y3334" s="134">
        <v>306</v>
      </c>
    </row>
    <row r="3335" spans="6:25" x14ac:dyDescent="0.25">
      <c r="F3335" s="76" t="s">
        <v>150</v>
      </c>
      <c r="G3335" s="77" t="s">
        <v>170</v>
      </c>
      <c r="H3335" s="77" t="s">
        <v>158</v>
      </c>
      <c r="I3335" s="86">
        <v>41795</v>
      </c>
      <c r="J3335" s="78">
        <v>651</v>
      </c>
      <c r="U3335" s="132" t="s">
        <v>154</v>
      </c>
      <c r="V3335" s="132" t="s">
        <v>301</v>
      </c>
      <c r="W3335" s="132" t="s">
        <v>267</v>
      </c>
      <c r="X3335" s="133">
        <v>41908</v>
      </c>
      <c r="Y3335" s="134">
        <v>263</v>
      </c>
    </row>
    <row r="3336" spans="6:25" x14ac:dyDescent="0.25">
      <c r="F3336" s="76" t="s">
        <v>150</v>
      </c>
      <c r="G3336" s="77" t="s">
        <v>170</v>
      </c>
      <c r="H3336" s="77" t="s">
        <v>158</v>
      </c>
      <c r="I3336" s="86">
        <v>41797</v>
      </c>
      <c r="J3336" s="78">
        <v>1585</v>
      </c>
      <c r="U3336" s="132" t="s">
        <v>154</v>
      </c>
      <c r="V3336" s="132" t="s">
        <v>301</v>
      </c>
      <c r="W3336" s="132" t="s">
        <v>267</v>
      </c>
      <c r="X3336" s="133">
        <v>41908</v>
      </c>
      <c r="Y3336" s="134">
        <v>308</v>
      </c>
    </row>
    <row r="3337" spans="6:25" x14ac:dyDescent="0.25">
      <c r="F3337" s="76" t="s">
        <v>150</v>
      </c>
      <c r="G3337" s="77" t="s">
        <v>170</v>
      </c>
      <c r="H3337" s="77" t="s">
        <v>158</v>
      </c>
      <c r="I3337" s="86">
        <v>41797</v>
      </c>
      <c r="J3337" s="78">
        <v>423</v>
      </c>
      <c r="U3337" s="132" t="s">
        <v>154</v>
      </c>
      <c r="V3337" s="132" t="s">
        <v>301</v>
      </c>
      <c r="W3337" s="132" t="s">
        <v>267</v>
      </c>
      <c r="X3337" s="133">
        <v>41909</v>
      </c>
      <c r="Y3337" s="134">
        <v>536</v>
      </c>
    </row>
    <row r="3338" spans="6:25" x14ac:dyDescent="0.25">
      <c r="F3338" s="76" t="s">
        <v>150</v>
      </c>
      <c r="G3338" s="77" t="s">
        <v>170</v>
      </c>
      <c r="H3338" s="77" t="s">
        <v>158</v>
      </c>
      <c r="I3338" s="86">
        <v>41798</v>
      </c>
      <c r="J3338" s="78">
        <v>805</v>
      </c>
      <c r="U3338" s="132" t="s">
        <v>154</v>
      </c>
      <c r="V3338" s="132" t="s">
        <v>301</v>
      </c>
      <c r="W3338" s="132" t="s">
        <v>267</v>
      </c>
      <c r="X3338" s="133">
        <v>41910</v>
      </c>
      <c r="Y3338" s="134">
        <v>824</v>
      </c>
    </row>
    <row r="3339" spans="6:25" x14ac:dyDescent="0.25">
      <c r="F3339" s="76" t="s">
        <v>150</v>
      </c>
      <c r="G3339" s="77" t="s">
        <v>170</v>
      </c>
      <c r="H3339" s="77" t="s">
        <v>158</v>
      </c>
      <c r="I3339" s="86">
        <v>41800</v>
      </c>
      <c r="J3339" s="78">
        <v>1342</v>
      </c>
      <c r="U3339" s="132" t="s">
        <v>154</v>
      </c>
      <c r="V3339" s="132" t="s">
        <v>301</v>
      </c>
      <c r="W3339" s="132" t="s">
        <v>267</v>
      </c>
      <c r="X3339" s="133">
        <v>41910</v>
      </c>
      <c r="Y3339" s="134">
        <v>529</v>
      </c>
    </row>
    <row r="3340" spans="6:25" x14ac:dyDescent="0.25">
      <c r="F3340" s="76" t="s">
        <v>150</v>
      </c>
      <c r="G3340" s="77" t="s">
        <v>170</v>
      </c>
      <c r="H3340" s="77" t="s">
        <v>158</v>
      </c>
      <c r="I3340" s="86">
        <v>41811</v>
      </c>
      <c r="J3340" s="78">
        <v>284</v>
      </c>
      <c r="U3340" s="132" t="s">
        <v>154</v>
      </c>
      <c r="V3340" s="132" t="s">
        <v>301</v>
      </c>
      <c r="W3340" s="132" t="s">
        <v>267</v>
      </c>
      <c r="X3340" s="133">
        <v>41910</v>
      </c>
      <c r="Y3340" s="134">
        <v>251</v>
      </c>
    </row>
    <row r="3341" spans="6:25" x14ac:dyDescent="0.25">
      <c r="F3341" s="76" t="s">
        <v>150</v>
      </c>
      <c r="G3341" s="77" t="s">
        <v>170</v>
      </c>
      <c r="H3341" s="77" t="s">
        <v>158</v>
      </c>
      <c r="I3341" s="86">
        <v>41814</v>
      </c>
      <c r="J3341" s="78">
        <v>1171</v>
      </c>
      <c r="U3341" s="132" t="s">
        <v>154</v>
      </c>
      <c r="V3341" s="132" t="s">
        <v>301</v>
      </c>
      <c r="W3341" s="132" t="s">
        <v>267</v>
      </c>
      <c r="X3341" s="133">
        <v>41911</v>
      </c>
      <c r="Y3341" s="134">
        <v>1000</v>
      </c>
    </row>
    <row r="3342" spans="6:25" x14ac:dyDescent="0.25">
      <c r="F3342" s="76" t="s">
        <v>150</v>
      </c>
      <c r="G3342" s="77" t="s">
        <v>170</v>
      </c>
      <c r="H3342" s="77" t="s">
        <v>158</v>
      </c>
      <c r="I3342" s="86">
        <v>41815</v>
      </c>
      <c r="J3342" s="78">
        <v>1212</v>
      </c>
      <c r="U3342" s="132" t="s">
        <v>154</v>
      </c>
      <c r="V3342" s="132" t="s">
        <v>301</v>
      </c>
      <c r="W3342" s="132" t="s">
        <v>267</v>
      </c>
      <c r="X3342" s="133">
        <v>41912</v>
      </c>
      <c r="Y3342" s="134">
        <v>681</v>
      </c>
    </row>
    <row r="3343" spans="6:25" x14ac:dyDescent="0.25">
      <c r="F3343" s="76" t="s">
        <v>150</v>
      </c>
      <c r="G3343" s="77" t="s">
        <v>170</v>
      </c>
      <c r="H3343" s="77" t="s">
        <v>158</v>
      </c>
      <c r="I3343" s="86">
        <v>41821</v>
      </c>
      <c r="J3343" s="78">
        <v>837</v>
      </c>
      <c r="U3343" s="132" t="s">
        <v>154</v>
      </c>
      <c r="V3343" s="132" t="s">
        <v>301</v>
      </c>
      <c r="W3343" s="132" t="s">
        <v>267</v>
      </c>
      <c r="X3343" s="133">
        <v>41912</v>
      </c>
      <c r="Y3343" s="134">
        <v>606</v>
      </c>
    </row>
    <row r="3344" spans="6:25" x14ac:dyDescent="0.25">
      <c r="F3344" s="76" t="s">
        <v>150</v>
      </c>
      <c r="G3344" s="77" t="s">
        <v>170</v>
      </c>
      <c r="H3344" s="77" t="s">
        <v>158</v>
      </c>
      <c r="I3344" s="86">
        <v>41834</v>
      </c>
      <c r="J3344" s="78">
        <v>892</v>
      </c>
      <c r="U3344" s="132" t="s">
        <v>154</v>
      </c>
      <c r="V3344" s="132" t="s">
        <v>301</v>
      </c>
      <c r="W3344" s="132" t="s">
        <v>267</v>
      </c>
      <c r="X3344" s="133">
        <v>41913</v>
      </c>
      <c r="Y3344" s="134">
        <v>853</v>
      </c>
    </row>
    <row r="3345" spans="6:25" x14ac:dyDescent="0.25">
      <c r="F3345" s="76" t="s">
        <v>150</v>
      </c>
      <c r="G3345" s="77" t="s">
        <v>170</v>
      </c>
      <c r="H3345" s="77" t="s">
        <v>158</v>
      </c>
      <c r="I3345" s="86">
        <v>41836</v>
      </c>
      <c r="J3345" s="78">
        <v>744</v>
      </c>
      <c r="U3345" s="132" t="s">
        <v>154</v>
      </c>
      <c r="V3345" s="132" t="s">
        <v>301</v>
      </c>
      <c r="W3345" s="132" t="s">
        <v>267</v>
      </c>
      <c r="X3345" s="133">
        <v>41914</v>
      </c>
      <c r="Y3345" s="134">
        <v>669</v>
      </c>
    </row>
    <row r="3346" spans="6:25" x14ac:dyDescent="0.25">
      <c r="F3346" s="76" t="s">
        <v>150</v>
      </c>
      <c r="G3346" s="77" t="s">
        <v>170</v>
      </c>
      <c r="H3346" s="77" t="s">
        <v>158</v>
      </c>
      <c r="I3346" s="86">
        <v>41838</v>
      </c>
      <c r="J3346" s="78">
        <v>901</v>
      </c>
      <c r="U3346" s="132" t="s">
        <v>154</v>
      </c>
      <c r="V3346" s="132" t="s">
        <v>301</v>
      </c>
      <c r="W3346" s="132" t="s">
        <v>267</v>
      </c>
      <c r="X3346" s="133">
        <v>41914</v>
      </c>
      <c r="Y3346" s="134">
        <v>615</v>
      </c>
    </row>
    <row r="3347" spans="6:25" x14ac:dyDescent="0.25">
      <c r="F3347" s="76" t="s">
        <v>150</v>
      </c>
      <c r="G3347" s="77" t="s">
        <v>170</v>
      </c>
      <c r="H3347" s="77" t="s">
        <v>158</v>
      </c>
      <c r="I3347" s="86">
        <v>41841</v>
      </c>
      <c r="J3347" s="78">
        <v>1066</v>
      </c>
      <c r="U3347" s="132" t="s">
        <v>154</v>
      </c>
      <c r="V3347" s="132" t="s">
        <v>301</v>
      </c>
      <c r="W3347" s="132" t="s">
        <v>267</v>
      </c>
      <c r="X3347" s="133">
        <v>41915</v>
      </c>
      <c r="Y3347" s="134">
        <v>609</v>
      </c>
    </row>
    <row r="3348" spans="6:25" x14ac:dyDescent="0.25">
      <c r="F3348" s="76" t="s">
        <v>150</v>
      </c>
      <c r="G3348" s="77" t="s">
        <v>170</v>
      </c>
      <c r="H3348" s="77" t="s">
        <v>158</v>
      </c>
      <c r="I3348" s="86">
        <v>41843</v>
      </c>
      <c r="J3348" s="78">
        <v>1241</v>
      </c>
      <c r="U3348" s="132" t="s">
        <v>154</v>
      </c>
      <c r="V3348" s="132" t="s">
        <v>301</v>
      </c>
      <c r="W3348" s="132" t="s">
        <v>267</v>
      </c>
      <c r="X3348" s="133">
        <v>41916</v>
      </c>
      <c r="Y3348" s="134">
        <v>919</v>
      </c>
    </row>
    <row r="3349" spans="6:25" x14ac:dyDescent="0.25">
      <c r="F3349" s="76" t="s">
        <v>150</v>
      </c>
      <c r="G3349" s="77" t="s">
        <v>170</v>
      </c>
      <c r="H3349" s="77" t="s">
        <v>158</v>
      </c>
      <c r="I3349" s="86">
        <v>41845</v>
      </c>
      <c r="J3349" s="78">
        <v>952</v>
      </c>
      <c r="U3349" s="132" t="s">
        <v>154</v>
      </c>
      <c r="V3349" s="132" t="s">
        <v>301</v>
      </c>
      <c r="W3349" s="132" t="s">
        <v>267</v>
      </c>
      <c r="X3349" s="133">
        <v>41916</v>
      </c>
      <c r="Y3349" s="134">
        <v>523</v>
      </c>
    </row>
    <row r="3350" spans="6:25" x14ac:dyDescent="0.25">
      <c r="F3350" s="76" t="s">
        <v>150</v>
      </c>
      <c r="G3350" s="77" t="s">
        <v>170</v>
      </c>
      <c r="H3350" s="77" t="s">
        <v>158</v>
      </c>
      <c r="I3350" s="86">
        <v>41848</v>
      </c>
      <c r="J3350" s="78">
        <v>472</v>
      </c>
      <c r="U3350" s="132" t="s">
        <v>154</v>
      </c>
      <c r="V3350" s="132" t="s">
        <v>301</v>
      </c>
      <c r="W3350" s="132" t="s">
        <v>267</v>
      </c>
      <c r="X3350" s="133">
        <v>41917</v>
      </c>
      <c r="Y3350" s="134">
        <v>782</v>
      </c>
    </row>
    <row r="3351" spans="6:25" x14ac:dyDescent="0.25">
      <c r="F3351" s="76" t="s">
        <v>150</v>
      </c>
      <c r="G3351" s="77" t="s">
        <v>170</v>
      </c>
      <c r="H3351" s="77" t="s">
        <v>158</v>
      </c>
      <c r="I3351" s="86">
        <v>41849</v>
      </c>
      <c r="J3351" s="78">
        <v>1341</v>
      </c>
      <c r="U3351" s="132" t="s">
        <v>154</v>
      </c>
      <c r="V3351" s="132" t="s">
        <v>301</v>
      </c>
      <c r="W3351" s="132" t="s">
        <v>267</v>
      </c>
      <c r="X3351" s="133">
        <v>41917</v>
      </c>
      <c r="Y3351" s="134">
        <v>784</v>
      </c>
    </row>
    <row r="3352" spans="6:25" x14ac:dyDescent="0.25">
      <c r="F3352" s="76" t="s">
        <v>150</v>
      </c>
      <c r="G3352" s="77" t="s">
        <v>170</v>
      </c>
      <c r="H3352" s="77" t="s">
        <v>158</v>
      </c>
      <c r="I3352" s="86">
        <v>41851</v>
      </c>
      <c r="J3352" s="78">
        <v>1365</v>
      </c>
      <c r="U3352" s="132" t="s">
        <v>154</v>
      </c>
      <c r="V3352" s="132" t="s">
        <v>301</v>
      </c>
      <c r="W3352" s="132" t="s">
        <v>267</v>
      </c>
      <c r="X3352" s="133">
        <v>41918</v>
      </c>
      <c r="Y3352" s="134">
        <v>701</v>
      </c>
    </row>
    <row r="3353" spans="6:25" x14ac:dyDescent="0.25">
      <c r="F3353" s="76" t="s">
        <v>150</v>
      </c>
      <c r="G3353" s="77" t="s">
        <v>170</v>
      </c>
      <c r="H3353" s="77" t="s">
        <v>158</v>
      </c>
      <c r="I3353" s="86">
        <v>41852</v>
      </c>
      <c r="J3353" s="78">
        <v>611</v>
      </c>
      <c r="U3353" s="132" t="s">
        <v>154</v>
      </c>
      <c r="V3353" s="132" t="s">
        <v>301</v>
      </c>
      <c r="W3353" s="132" t="s">
        <v>267</v>
      </c>
      <c r="X3353" s="133">
        <v>41918</v>
      </c>
      <c r="Y3353" s="134">
        <v>556</v>
      </c>
    </row>
    <row r="3354" spans="6:25" x14ac:dyDescent="0.25">
      <c r="F3354" s="76" t="s">
        <v>150</v>
      </c>
      <c r="G3354" s="77" t="s">
        <v>170</v>
      </c>
      <c r="H3354" s="77" t="s">
        <v>158</v>
      </c>
      <c r="I3354" s="86">
        <v>41856</v>
      </c>
      <c r="J3354" s="78">
        <v>1177</v>
      </c>
      <c r="U3354" s="132" t="s">
        <v>154</v>
      </c>
      <c r="V3354" s="132" t="s">
        <v>301</v>
      </c>
      <c r="W3354" s="132" t="s">
        <v>267</v>
      </c>
      <c r="X3354" s="133">
        <v>41919</v>
      </c>
      <c r="Y3354" s="134">
        <v>1221</v>
      </c>
    </row>
    <row r="3355" spans="6:25" x14ac:dyDescent="0.25">
      <c r="F3355" s="76" t="s">
        <v>150</v>
      </c>
      <c r="G3355" s="77" t="s">
        <v>170</v>
      </c>
      <c r="H3355" s="77" t="s">
        <v>158</v>
      </c>
      <c r="I3355" s="86">
        <v>41858</v>
      </c>
      <c r="J3355" s="78">
        <v>1203</v>
      </c>
      <c r="U3355" s="132" t="s">
        <v>154</v>
      </c>
      <c r="V3355" s="132" t="s">
        <v>301</v>
      </c>
      <c r="W3355" s="132" t="s">
        <v>267</v>
      </c>
      <c r="X3355" s="133">
        <v>41920</v>
      </c>
      <c r="Y3355" s="134">
        <v>840</v>
      </c>
    </row>
    <row r="3356" spans="6:25" x14ac:dyDescent="0.25">
      <c r="F3356" s="76" t="s">
        <v>150</v>
      </c>
      <c r="G3356" s="77" t="s">
        <v>170</v>
      </c>
      <c r="H3356" s="77" t="s">
        <v>158</v>
      </c>
      <c r="I3356" s="86">
        <v>41862</v>
      </c>
      <c r="J3356" s="78">
        <v>1263</v>
      </c>
      <c r="U3356" s="132" t="s">
        <v>154</v>
      </c>
      <c r="V3356" s="132" t="s">
        <v>301</v>
      </c>
      <c r="W3356" s="132" t="s">
        <v>267</v>
      </c>
      <c r="X3356" s="133">
        <v>41921</v>
      </c>
      <c r="Y3356" s="134">
        <v>792</v>
      </c>
    </row>
    <row r="3357" spans="6:25" x14ac:dyDescent="0.25">
      <c r="F3357" s="76" t="s">
        <v>150</v>
      </c>
      <c r="G3357" s="77" t="s">
        <v>170</v>
      </c>
      <c r="H3357" s="77" t="s">
        <v>158</v>
      </c>
      <c r="I3357" s="86">
        <v>41864</v>
      </c>
      <c r="J3357" s="78">
        <v>977</v>
      </c>
      <c r="U3357" s="132" t="s">
        <v>154</v>
      </c>
      <c r="V3357" s="132" t="s">
        <v>301</v>
      </c>
      <c r="W3357" s="132" t="s">
        <v>267</v>
      </c>
      <c r="X3357" s="133">
        <v>41922</v>
      </c>
      <c r="Y3357" s="134">
        <v>341</v>
      </c>
    </row>
    <row r="3358" spans="6:25" x14ac:dyDescent="0.25">
      <c r="F3358" s="76" t="s">
        <v>150</v>
      </c>
      <c r="G3358" s="77" t="s">
        <v>170</v>
      </c>
      <c r="H3358" s="77" t="s">
        <v>158</v>
      </c>
      <c r="I3358" s="86">
        <v>41865</v>
      </c>
      <c r="J3358" s="78">
        <v>1092</v>
      </c>
      <c r="U3358" s="132" t="s">
        <v>154</v>
      </c>
      <c r="V3358" s="132" t="s">
        <v>301</v>
      </c>
      <c r="W3358" s="132" t="s">
        <v>267</v>
      </c>
      <c r="X3358" s="133">
        <v>41923</v>
      </c>
      <c r="Y3358" s="134">
        <v>518</v>
      </c>
    </row>
    <row r="3359" spans="6:25" x14ac:dyDescent="0.25">
      <c r="F3359" s="76" t="s">
        <v>150</v>
      </c>
      <c r="G3359" s="77" t="s">
        <v>170</v>
      </c>
      <c r="H3359" s="77" t="s">
        <v>158</v>
      </c>
      <c r="I3359" s="86">
        <v>41869</v>
      </c>
      <c r="J3359" s="78">
        <v>1101</v>
      </c>
      <c r="U3359" s="132" t="s">
        <v>154</v>
      </c>
      <c r="V3359" s="132" t="s">
        <v>301</v>
      </c>
      <c r="W3359" s="132" t="s">
        <v>267</v>
      </c>
      <c r="X3359" s="133">
        <v>41924</v>
      </c>
      <c r="Y3359" s="134">
        <v>507</v>
      </c>
    </row>
    <row r="3360" spans="6:25" x14ac:dyDescent="0.25">
      <c r="F3360" s="76" t="s">
        <v>150</v>
      </c>
      <c r="G3360" s="77" t="s">
        <v>170</v>
      </c>
      <c r="H3360" s="77" t="s">
        <v>158</v>
      </c>
      <c r="I3360" s="86">
        <v>41870</v>
      </c>
      <c r="J3360" s="78">
        <v>909</v>
      </c>
      <c r="U3360" s="132" t="s">
        <v>154</v>
      </c>
      <c r="V3360" s="132" t="s">
        <v>301</v>
      </c>
      <c r="W3360" s="132" t="s">
        <v>267</v>
      </c>
      <c r="X3360" s="133">
        <v>41925</v>
      </c>
      <c r="Y3360" s="134">
        <v>632</v>
      </c>
    </row>
    <row r="3361" spans="6:25" x14ac:dyDescent="0.25">
      <c r="F3361" s="76" t="s">
        <v>150</v>
      </c>
      <c r="G3361" s="77" t="s">
        <v>170</v>
      </c>
      <c r="H3361" s="77" t="s">
        <v>158</v>
      </c>
      <c r="I3361" s="86">
        <v>41871</v>
      </c>
      <c r="J3361" s="78">
        <v>946</v>
      </c>
      <c r="U3361" s="132" t="s">
        <v>154</v>
      </c>
      <c r="V3361" s="132" t="s">
        <v>301</v>
      </c>
      <c r="W3361" s="132" t="s">
        <v>267</v>
      </c>
      <c r="X3361" s="133">
        <v>41926</v>
      </c>
      <c r="Y3361" s="134">
        <v>533</v>
      </c>
    </row>
    <row r="3362" spans="6:25" x14ac:dyDescent="0.25">
      <c r="F3362" s="76" t="s">
        <v>150</v>
      </c>
      <c r="G3362" s="77" t="s">
        <v>170</v>
      </c>
      <c r="H3362" s="77" t="s">
        <v>158</v>
      </c>
      <c r="I3362" s="86">
        <v>41872</v>
      </c>
      <c r="J3362" s="78">
        <v>860</v>
      </c>
      <c r="U3362" s="132" t="s">
        <v>154</v>
      </c>
      <c r="V3362" s="132" t="s">
        <v>301</v>
      </c>
      <c r="W3362" s="132" t="s">
        <v>267</v>
      </c>
      <c r="X3362" s="133">
        <v>41927</v>
      </c>
      <c r="Y3362" s="134">
        <v>465</v>
      </c>
    </row>
    <row r="3363" spans="6:25" x14ac:dyDescent="0.25">
      <c r="F3363" s="76" t="s">
        <v>150</v>
      </c>
      <c r="G3363" s="77" t="s">
        <v>170</v>
      </c>
      <c r="H3363" s="77" t="s">
        <v>158</v>
      </c>
      <c r="I3363" s="86">
        <v>41873</v>
      </c>
      <c r="J3363" s="78">
        <v>626</v>
      </c>
      <c r="U3363" s="132" t="s">
        <v>154</v>
      </c>
      <c r="V3363" s="132" t="s">
        <v>301</v>
      </c>
      <c r="W3363" s="132" t="s">
        <v>267</v>
      </c>
      <c r="X3363" s="133">
        <v>41928</v>
      </c>
      <c r="Y3363" s="134">
        <v>904</v>
      </c>
    </row>
    <row r="3364" spans="6:25" x14ac:dyDescent="0.25">
      <c r="F3364" s="76" t="s">
        <v>150</v>
      </c>
      <c r="G3364" s="77" t="s">
        <v>170</v>
      </c>
      <c r="H3364" s="77" t="s">
        <v>158</v>
      </c>
      <c r="I3364" s="86">
        <v>41874</v>
      </c>
      <c r="J3364" s="78">
        <v>520</v>
      </c>
      <c r="U3364" s="132" t="s">
        <v>154</v>
      </c>
      <c r="V3364" s="132" t="s">
        <v>301</v>
      </c>
      <c r="W3364" s="132" t="s">
        <v>267</v>
      </c>
      <c r="X3364" s="133">
        <v>41929</v>
      </c>
      <c r="Y3364" s="134">
        <v>812</v>
      </c>
    </row>
    <row r="3365" spans="6:25" x14ac:dyDescent="0.25">
      <c r="F3365" s="76" t="s">
        <v>150</v>
      </c>
      <c r="G3365" s="77" t="s">
        <v>170</v>
      </c>
      <c r="H3365" s="77" t="s">
        <v>158</v>
      </c>
      <c r="I3365" s="86">
        <v>41875</v>
      </c>
      <c r="J3365" s="78">
        <v>973</v>
      </c>
      <c r="U3365" s="132" t="s">
        <v>154</v>
      </c>
      <c r="V3365" s="132" t="s">
        <v>301</v>
      </c>
      <c r="W3365" s="132" t="s">
        <v>267</v>
      </c>
      <c r="X3365" s="133">
        <v>41930</v>
      </c>
      <c r="Y3365" s="134">
        <v>683</v>
      </c>
    </row>
    <row r="3366" spans="6:25" x14ac:dyDescent="0.25">
      <c r="F3366" s="76" t="s">
        <v>150</v>
      </c>
      <c r="G3366" s="77" t="s">
        <v>170</v>
      </c>
      <c r="H3366" s="77" t="s">
        <v>158</v>
      </c>
      <c r="I3366" s="86">
        <v>41877</v>
      </c>
      <c r="J3366" s="78">
        <v>1370</v>
      </c>
      <c r="U3366" s="132" t="s">
        <v>154</v>
      </c>
      <c r="V3366" s="132" t="s">
        <v>301</v>
      </c>
      <c r="W3366" s="132" t="s">
        <v>267</v>
      </c>
      <c r="X3366" s="133">
        <v>41930</v>
      </c>
      <c r="Y3366" s="134">
        <v>530</v>
      </c>
    </row>
    <row r="3367" spans="6:25" x14ac:dyDescent="0.25">
      <c r="F3367" s="76" t="s">
        <v>150</v>
      </c>
      <c r="G3367" s="77" t="s">
        <v>170</v>
      </c>
      <c r="H3367" s="77" t="s">
        <v>158</v>
      </c>
      <c r="I3367" s="86">
        <v>41877</v>
      </c>
      <c r="J3367" s="78">
        <v>652</v>
      </c>
      <c r="U3367" s="132" t="s">
        <v>154</v>
      </c>
      <c r="V3367" s="132" t="s">
        <v>301</v>
      </c>
      <c r="W3367" s="132" t="s">
        <v>267</v>
      </c>
      <c r="X3367" s="133">
        <v>41931</v>
      </c>
      <c r="Y3367" s="134">
        <v>701</v>
      </c>
    </row>
    <row r="3368" spans="6:25" x14ac:dyDescent="0.25">
      <c r="F3368" s="76" t="s">
        <v>150</v>
      </c>
      <c r="G3368" s="77" t="s">
        <v>170</v>
      </c>
      <c r="H3368" s="77" t="s">
        <v>158</v>
      </c>
      <c r="I3368" s="86">
        <v>41879</v>
      </c>
      <c r="J3368" s="78">
        <v>1351</v>
      </c>
      <c r="U3368" s="132" t="s">
        <v>154</v>
      </c>
      <c r="V3368" s="132" t="s">
        <v>301</v>
      </c>
      <c r="W3368" s="132" t="s">
        <v>267</v>
      </c>
      <c r="X3368" s="133">
        <v>41932</v>
      </c>
      <c r="Y3368" s="134">
        <v>722</v>
      </c>
    </row>
    <row r="3369" spans="6:25" x14ac:dyDescent="0.25">
      <c r="F3369" s="76" t="s">
        <v>150</v>
      </c>
      <c r="G3369" s="77" t="s">
        <v>170</v>
      </c>
      <c r="H3369" s="77" t="s">
        <v>158</v>
      </c>
      <c r="I3369" s="86">
        <v>41879</v>
      </c>
      <c r="J3369" s="78">
        <v>526</v>
      </c>
      <c r="U3369" s="132" t="s">
        <v>154</v>
      </c>
      <c r="V3369" s="132" t="s">
        <v>301</v>
      </c>
      <c r="W3369" s="132" t="s">
        <v>267</v>
      </c>
      <c r="X3369" s="133">
        <v>41932</v>
      </c>
      <c r="Y3369" s="134">
        <v>438</v>
      </c>
    </row>
    <row r="3370" spans="6:25" x14ac:dyDescent="0.25">
      <c r="F3370" s="76" t="s">
        <v>150</v>
      </c>
      <c r="G3370" s="77" t="s">
        <v>170</v>
      </c>
      <c r="H3370" s="77" t="s">
        <v>158</v>
      </c>
      <c r="I3370" s="86">
        <v>41881</v>
      </c>
      <c r="J3370" s="78">
        <v>1501</v>
      </c>
      <c r="U3370" s="132" t="s">
        <v>154</v>
      </c>
      <c r="V3370" s="132" t="s">
        <v>301</v>
      </c>
      <c r="W3370" s="132" t="s">
        <v>267</v>
      </c>
      <c r="X3370" s="133">
        <v>41933</v>
      </c>
      <c r="Y3370" s="134">
        <v>909</v>
      </c>
    </row>
    <row r="3371" spans="6:25" x14ac:dyDescent="0.25">
      <c r="F3371" s="76" t="s">
        <v>150</v>
      </c>
      <c r="G3371" s="77" t="s">
        <v>170</v>
      </c>
      <c r="H3371" s="77" t="s">
        <v>158</v>
      </c>
      <c r="I3371" s="86">
        <v>41881</v>
      </c>
      <c r="J3371" s="78">
        <v>556</v>
      </c>
      <c r="U3371" s="132" t="s">
        <v>154</v>
      </c>
      <c r="V3371" s="132" t="s">
        <v>301</v>
      </c>
      <c r="W3371" s="132" t="s">
        <v>267</v>
      </c>
      <c r="X3371" s="133">
        <v>41934</v>
      </c>
      <c r="Y3371" s="134">
        <v>851</v>
      </c>
    </row>
    <row r="3372" spans="6:25" x14ac:dyDescent="0.25">
      <c r="F3372" s="76" t="s">
        <v>150</v>
      </c>
      <c r="G3372" s="77" t="s">
        <v>170</v>
      </c>
      <c r="H3372" s="77" t="s">
        <v>158</v>
      </c>
      <c r="I3372" s="86">
        <v>41882</v>
      </c>
      <c r="J3372" s="78">
        <v>682</v>
      </c>
      <c r="U3372" s="132" t="s">
        <v>154</v>
      </c>
      <c r="V3372" s="132" t="s">
        <v>301</v>
      </c>
      <c r="W3372" s="132" t="s">
        <v>267</v>
      </c>
      <c r="X3372" s="133">
        <v>41935</v>
      </c>
      <c r="Y3372" s="134">
        <v>337</v>
      </c>
    </row>
    <row r="3373" spans="6:25" x14ac:dyDescent="0.25">
      <c r="F3373" s="76" t="s">
        <v>150</v>
      </c>
      <c r="G3373" s="77" t="s">
        <v>170</v>
      </c>
      <c r="H3373" s="77" t="s">
        <v>158</v>
      </c>
      <c r="I3373" s="86">
        <v>41883</v>
      </c>
      <c r="J3373" s="78">
        <v>1235</v>
      </c>
      <c r="U3373" s="132" t="s">
        <v>154</v>
      </c>
      <c r="V3373" s="132" t="s">
        <v>301</v>
      </c>
      <c r="W3373" s="132" t="s">
        <v>267</v>
      </c>
      <c r="X3373" s="133">
        <v>41936</v>
      </c>
      <c r="Y3373" s="134">
        <v>469</v>
      </c>
    </row>
    <row r="3374" spans="6:25" x14ac:dyDescent="0.25">
      <c r="F3374" s="76" t="s">
        <v>150</v>
      </c>
      <c r="G3374" s="77" t="s">
        <v>170</v>
      </c>
      <c r="H3374" s="77" t="s">
        <v>158</v>
      </c>
      <c r="I3374" s="86">
        <v>41885</v>
      </c>
      <c r="J3374" s="78">
        <v>979</v>
      </c>
      <c r="U3374" s="132" t="s">
        <v>154</v>
      </c>
      <c r="V3374" s="132" t="s">
        <v>301</v>
      </c>
      <c r="W3374" s="132" t="s">
        <v>267</v>
      </c>
      <c r="X3374" s="133">
        <v>41936</v>
      </c>
      <c r="Y3374" s="134">
        <v>589</v>
      </c>
    </row>
    <row r="3375" spans="6:25" x14ac:dyDescent="0.25">
      <c r="F3375" s="76" t="s">
        <v>150</v>
      </c>
      <c r="G3375" s="77" t="s">
        <v>170</v>
      </c>
      <c r="H3375" s="77" t="s">
        <v>158</v>
      </c>
      <c r="I3375" s="86">
        <v>41885</v>
      </c>
      <c r="J3375" s="78">
        <v>1005</v>
      </c>
      <c r="U3375" s="132" t="s">
        <v>154</v>
      </c>
      <c r="V3375" s="132" t="s">
        <v>301</v>
      </c>
      <c r="W3375" s="132" t="s">
        <v>267</v>
      </c>
      <c r="X3375" s="133">
        <v>41939</v>
      </c>
      <c r="Y3375" s="134">
        <v>336</v>
      </c>
    </row>
    <row r="3376" spans="6:25" x14ac:dyDescent="0.25">
      <c r="F3376" s="76" t="s">
        <v>150</v>
      </c>
      <c r="G3376" s="77" t="s">
        <v>170</v>
      </c>
      <c r="H3376" s="77" t="s">
        <v>158</v>
      </c>
      <c r="I3376" s="86">
        <v>41885</v>
      </c>
      <c r="J3376" s="78">
        <v>560</v>
      </c>
      <c r="U3376" s="132" t="s">
        <v>154</v>
      </c>
      <c r="V3376" s="132" t="s">
        <v>301</v>
      </c>
      <c r="W3376" s="132" t="s">
        <v>267</v>
      </c>
      <c r="X3376" s="133">
        <v>41939</v>
      </c>
      <c r="Y3376" s="134">
        <v>535</v>
      </c>
    </row>
    <row r="3377" spans="6:25" x14ac:dyDescent="0.25">
      <c r="F3377" s="76" t="s">
        <v>150</v>
      </c>
      <c r="G3377" s="77" t="s">
        <v>199</v>
      </c>
      <c r="H3377" s="77" t="s">
        <v>158</v>
      </c>
      <c r="I3377" s="86">
        <v>41657</v>
      </c>
      <c r="J3377" s="78">
        <v>1603</v>
      </c>
      <c r="U3377" s="132" t="s">
        <v>154</v>
      </c>
      <c r="V3377" s="132" t="s">
        <v>301</v>
      </c>
      <c r="W3377" s="132" t="s">
        <v>267</v>
      </c>
      <c r="X3377" s="133">
        <v>41940</v>
      </c>
      <c r="Y3377" s="134">
        <v>913</v>
      </c>
    </row>
    <row r="3378" spans="6:25" x14ac:dyDescent="0.25">
      <c r="F3378" s="76" t="s">
        <v>150</v>
      </c>
      <c r="G3378" s="77" t="s">
        <v>199</v>
      </c>
      <c r="H3378" s="77" t="s">
        <v>158</v>
      </c>
      <c r="I3378" s="86">
        <v>41665</v>
      </c>
      <c r="J3378" s="78">
        <v>1086</v>
      </c>
      <c r="U3378" s="132" t="s">
        <v>154</v>
      </c>
      <c r="V3378" s="132" t="s">
        <v>301</v>
      </c>
      <c r="W3378" s="132" t="s">
        <v>267</v>
      </c>
      <c r="X3378" s="133">
        <v>41941</v>
      </c>
      <c r="Y3378" s="134">
        <v>788</v>
      </c>
    </row>
    <row r="3379" spans="6:25" x14ac:dyDescent="0.25">
      <c r="F3379" s="76" t="s">
        <v>150</v>
      </c>
      <c r="G3379" s="77" t="s">
        <v>199</v>
      </c>
      <c r="H3379" s="77" t="s">
        <v>158</v>
      </c>
      <c r="I3379" s="86">
        <v>41775</v>
      </c>
      <c r="J3379" s="78">
        <v>1679</v>
      </c>
      <c r="U3379" s="132" t="s">
        <v>154</v>
      </c>
      <c r="V3379" s="132" t="s">
        <v>301</v>
      </c>
      <c r="W3379" s="132" t="s">
        <v>267</v>
      </c>
      <c r="X3379" s="133">
        <v>41942</v>
      </c>
      <c r="Y3379" s="134">
        <v>820</v>
      </c>
    </row>
    <row r="3380" spans="6:25" x14ac:dyDescent="0.25">
      <c r="F3380" s="76" t="s">
        <v>150</v>
      </c>
      <c r="G3380" s="77" t="s">
        <v>199</v>
      </c>
      <c r="H3380" s="77" t="s">
        <v>158</v>
      </c>
      <c r="I3380" s="86">
        <v>41784</v>
      </c>
      <c r="J3380" s="78">
        <v>1193</v>
      </c>
      <c r="U3380" s="132" t="s">
        <v>154</v>
      </c>
      <c r="V3380" s="132" t="s">
        <v>301</v>
      </c>
      <c r="W3380" s="132" t="s">
        <v>267</v>
      </c>
      <c r="X3380" s="133">
        <v>41943</v>
      </c>
      <c r="Y3380" s="134">
        <v>817</v>
      </c>
    </row>
    <row r="3381" spans="6:25" x14ac:dyDescent="0.25">
      <c r="F3381" s="76" t="s">
        <v>150</v>
      </c>
      <c r="G3381" s="77" t="s">
        <v>199</v>
      </c>
      <c r="H3381" s="77" t="s">
        <v>158</v>
      </c>
      <c r="I3381" s="86">
        <v>41804</v>
      </c>
      <c r="J3381" s="78">
        <v>515</v>
      </c>
      <c r="U3381" s="132" t="s">
        <v>154</v>
      </c>
      <c r="V3381" s="132" t="s">
        <v>301</v>
      </c>
      <c r="W3381" s="132" t="s">
        <v>267</v>
      </c>
      <c r="X3381" s="133">
        <v>41943</v>
      </c>
      <c r="Y3381" s="134">
        <v>1105</v>
      </c>
    </row>
    <row r="3382" spans="6:25" x14ac:dyDescent="0.25">
      <c r="F3382" s="76" t="s">
        <v>150</v>
      </c>
      <c r="G3382" s="77" t="s">
        <v>199</v>
      </c>
      <c r="H3382" s="77" t="s">
        <v>158</v>
      </c>
      <c r="I3382" s="86">
        <v>41818</v>
      </c>
      <c r="J3382" s="78">
        <v>1838</v>
      </c>
      <c r="U3382" s="132" t="s">
        <v>154</v>
      </c>
      <c r="V3382" s="132" t="s">
        <v>301</v>
      </c>
      <c r="W3382" s="132" t="s">
        <v>267</v>
      </c>
      <c r="X3382" s="133">
        <v>41944</v>
      </c>
      <c r="Y3382" s="134">
        <v>755</v>
      </c>
    </row>
    <row r="3383" spans="6:25" x14ac:dyDescent="0.25">
      <c r="F3383" s="76" t="s">
        <v>150</v>
      </c>
      <c r="G3383" s="77" t="s">
        <v>199</v>
      </c>
      <c r="H3383" s="77" t="s">
        <v>158</v>
      </c>
      <c r="I3383" s="86">
        <v>41826</v>
      </c>
      <c r="J3383" s="78">
        <v>947</v>
      </c>
      <c r="U3383" s="132" t="s">
        <v>154</v>
      </c>
      <c r="V3383" s="132" t="s">
        <v>301</v>
      </c>
      <c r="W3383" s="132" t="s">
        <v>267</v>
      </c>
      <c r="X3383" s="133">
        <v>41944</v>
      </c>
      <c r="Y3383" s="134">
        <v>621</v>
      </c>
    </row>
    <row r="3384" spans="6:25" x14ac:dyDescent="0.25">
      <c r="F3384" s="76" t="s">
        <v>150</v>
      </c>
      <c r="G3384" s="77" t="s">
        <v>199</v>
      </c>
      <c r="H3384" s="77" t="s">
        <v>158</v>
      </c>
      <c r="I3384" s="86">
        <v>41837</v>
      </c>
      <c r="J3384" s="78">
        <v>1501</v>
      </c>
      <c r="U3384" s="132" t="s">
        <v>154</v>
      </c>
      <c r="V3384" s="132" t="s">
        <v>301</v>
      </c>
      <c r="W3384" s="132" t="s">
        <v>267</v>
      </c>
      <c r="X3384" s="133">
        <v>41945</v>
      </c>
      <c r="Y3384" s="134">
        <v>705</v>
      </c>
    </row>
    <row r="3385" spans="6:25" x14ac:dyDescent="0.25">
      <c r="F3385" s="76" t="s">
        <v>150</v>
      </c>
      <c r="G3385" s="77" t="s">
        <v>199</v>
      </c>
      <c r="H3385" s="77" t="s">
        <v>158</v>
      </c>
      <c r="I3385" s="86">
        <v>41851</v>
      </c>
      <c r="J3385" s="78">
        <v>1703</v>
      </c>
      <c r="U3385" s="132" t="s">
        <v>154</v>
      </c>
      <c r="V3385" s="132" t="s">
        <v>301</v>
      </c>
      <c r="W3385" s="132" t="s">
        <v>267</v>
      </c>
      <c r="X3385" s="133">
        <v>41945</v>
      </c>
      <c r="Y3385" s="134">
        <v>541</v>
      </c>
    </row>
    <row r="3386" spans="6:25" x14ac:dyDescent="0.25">
      <c r="F3386" s="76" t="s">
        <v>150</v>
      </c>
      <c r="G3386" s="77" t="s">
        <v>199</v>
      </c>
      <c r="H3386" s="77" t="s">
        <v>158</v>
      </c>
      <c r="I3386" s="86">
        <v>41863</v>
      </c>
      <c r="J3386" s="78">
        <v>1350</v>
      </c>
      <c r="U3386" s="132" t="s">
        <v>154</v>
      </c>
      <c r="V3386" s="132" t="s">
        <v>301</v>
      </c>
      <c r="W3386" s="132" t="s">
        <v>267</v>
      </c>
      <c r="X3386" s="133">
        <v>41946</v>
      </c>
      <c r="Y3386" s="134">
        <v>761</v>
      </c>
    </row>
    <row r="3387" spans="6:25" x14ac:dyDescent="0.25">
      <c r="F3387" s="76" t="s">
        <v>150</v>
      </c>
      <c r="G3387" s="77" t="s">
        <v>199</v>
      </c>
      <c r="H3387" s="77" t="s">
        <v>158</v>
      </c>
      <c r="I3387" s="86">
        <v>41882</v>
      </c>
      <c r="J3387" s="78">
        <v>1773</v>
      </c>
      <c r="U3387" s="132" t="s">
        <v>154</v>
      </c>
      <c r="V3387" s="132" t="s">
        <v>301</v>
      </c>
      <c r="W3387" s="132" t="s">
        <v>267</v>
      </c>
      <c r="X3387" s="133">
        <v>41947</v>
      </c>
      <c r="Y3387" s="134">
        <v>739</v>
      </c>
    </row>
    <row r="3388" spans="6:25" x14ac:dyDescent="0.25">
      <c r="F3388" s="76" t="s">
        <v>150</v>
      </c>
      <c r="G3388" s="77" t="s">
        <v>199</v>
      </c>
      <c r="H3388" s="77" t="s">
        <v>158</v>
      </c>
      <c r="I3388" s="86">
        <v>41893</v>
      </c>
      <c r="J3388" s="78">
        <v>1269</v>
      </c>
      <c r="U3388" s="132" t="s">
        <v>154</v>
      </c>
      <c r="V3388" s="132" t="s">
        <v>301</v>
      </c>
      <c r="W3388" s="132" t="s">
        <v>267</v>
      </c>
      <c r="X3388" s="133">
        <v>41948</v>
      </c>
      <c r="Y3388" s="134">
        <v>842</v>
      </c>
    </row>
    <row r="3389" spans="6:25" x14ac:dyDescent="0.25">
      <c r="F3389" s="76" t="s">
        <v>150</v>
      </c>
      <c r="G3389" s="77" t="s">
        <v>199</v>
      </c>
      <c r="H3389" s="77" t="s">
        <v>158</v>
      </c>
      <c r="I3389" s="86">
        <v>41899</v>
      </c>
      <c r="J3389" s="78">
        <v>757</v>
      </c>
      <c r="U3389" s="132" t="s">
        <v>154</v>
      </c>
      <c r="V3389" s="132" t="s">
        <v>301</v>
      </c>
      <c r="W3389" s="132" t="s">
        <v>267</v>
      </c>
      <c r="X3389" s="133">
        <v>41949</v>
      </c>
      <c r="Y3389" s="134">
        <v>748</v>
      </c>
    </row>
    <row r="3390" spans="6:25" x14ac:dyDescent="0.25">
      <c r="F3390" s="76" t="s">
        <v>150</v>
      </c>
      <c r="G3390" s="77" t="s">
        <v>199</v>
      </c>
      <c r="H3390" s="77" t="s">
        <v>158</v>
      </c>
      <c r="I3390" s="86">
        <v>41933</v>
      </c>
      <c r="J3390" s="78">
        <v>1611</v>
      </c>
      <c r="U3390" s="132" t="s">
        <v>154</v>
      </c>
      <c r="V3390" s="132" t="s">
        <v>301</v>
      </c>
      <c r="W3390" s="132" t="s">
        <v>267</v>
      </c>
      <c r="X3390" s="133">
        <v>41949</v>
      </c>
      <c r="Y3390" s="134">
        <v>327</v>
      </c>
    </row>
    <row r="3391" spans="6:25" x14ac:dyDescent="0.25">
      <c r="F3391" s="76" t="s">
        <v>150</v>
      </c>
      <c r="G3391" s="77" t="s">
        <v>199</v>
      </c>
      <c r="H3391" s="77" t="s">
        <v>158</v>
      </c>
      <c r="I3391" s="86">
        <v>41944</v>
      </c>
      <c r="J3391" s="78">
        <v>1469</v>
      </c>
      <c r="U3391" s="132" t="s">
        <v>154</v>
      </c>
      <c r="V3391" s="132" t="s">
        <v>301</v>
      </c>
      <c r="W3391" s="132" t="s">
        <v>267</v>
      </c>
      <c r="X3391" s="133">
        <v>41950</v>
      </c>
      <c r="Y3391" s="134">
        <v>738</v>
      </c>
    </row>
    <row r="3392" spans="6:25" x14ac:dyDescent="0.25">
      <c r="F3392" s="76" t="s">
        <v>150</v>
      </c>
      <c r="G3392" s="77" t="s">
        <v>199</v>
      </c>
      <c r="H3392" s="77" t="s">
        <v>158</v>
      </c>
      <c r="I3392" s="86">
        <v>41954</v>
      </c>
      <c r="J3392" s="78">
        <v>1414</v>
      </c>
      <c r="U3392" s="132" t="s">
        <v>154</v>
      </c>
      <c r="V3392" s="132" t="s">
        <v>301</v>
      </c>
      <c r="W3392" s="132" t="s">
        <v>267</v>
      </c>
      <c r="X3392" s="133">
        <v>41951</v>
      </c>
      <c r="Y3392" s="134">
        <v>733</v>
      </c>
    </row>
    <row r="3393" spans="6:25" x14ac:dyDescent="0.25">
      <c r="F3393" s="76" t="s">
        <v>150</v>
      </c>
      <c r="G3393" s="77" t="s">
        <v>199</v>
      </c>
      <c r="H3393" s="77" t="s">
        <v>158</v>
      </c>
      <c r="I3393" s="86">
        <v>41969</v>
      </c>
      <c r="J3393" s="78">
        <v>1802</v>
      </c>
      <c r="U3393" s="132" t="s">
        <v>154</v>
      </c>
      <c r="V3393" s="132" t="s">
        <v>301</v>
      </c>
      <c r="W3393" s="132" t="s">
        <v>267</v>
      </c>
      <c r="X3393" s="133">
        <v>41951</v>
      </c>
      <c r="Y3393" s="134">
        <v>457</v>
      </c>
    </row>
    <row r="3394" spans="6:25" x14ac:dyDescent="0.25">
      <c r="F3394" s="76" t="s">
        <v>150</v>
      </c>
      <c r="G3394" s="77" t="s">
        <v>199</v>
      </c>
      <c r="H3394" s="77" t="s">
        <v>158</v>
      </c>
      <c r="I3394" s="86">
        <v>41982</v>
      </c>
      <c r="J3394" s="78">
        <v>1570</v>
      </c>
      <c r="U3394" s="132" t="s">
        <v>154</v>
      </c>
      <c r="V3394" s="132" t="s">
        <v>301</v>
      </c>
      <c r="W3394" s="132" t="s">
        <v>267</v>
      </c>
      <c r="X3394" s="133">
        <v>41952</v>
      </c>
      <c r="Y3394" s="134">
        <v>665</v>
      </c>
    </row>
    <row r="3395" spans="6:25" x14ac:dyDescent="0.25">
      <c r="F3395" s="76" t="s">
        <v>150</v>
      </c>
      <c r="G3395" s="77" t="s">
        <v>200</v>
      </c>
      <c r="H3395" s="77" t="s">
        <v>158</v>
      </c>
      <c r="I3395" s="86">
        <v>41738</v>
      </c>
      <c r="J3395" s="78">
        <v>1204</v>
      </c>
      <c r="U3395" s="132" t="s">
        <v>154</v>
      </c>
      <c r="V3395" s="132" t="s">
        <v>301</v>
      </c>
      <c r="W3395" s="132" t="s">
        <v>267</v>
      </c>
      <c r="X3395" s="133">
        <v>41952</v>
      </c>
      <c r="Y3395" s="134">
        <v>633</v>
      </c>
    </row>
    <row r="3396" spans="6:25" x14ac:dyDescent="0.25">
      <c r="F3396" s="76" t="s">
        <v>150</v>
      </c>
      <c r="G3396" s="77" t="s">
        <v>202</v>
      </c>
      <c r="H3396" s="77" t="s">
        <v>158</v>
      </c>
      <c r="I3396" s="86">
        <v>41637</v>
      </c>
      <c r="J3396" s="78">
        <v>851</v>
      </c>
      <c r="U3396" s="132" t="s">
        <v>154</v>
      </c>
      <c r="V3396" s="132" t="s">
        <v>301</v>
      </c>
      <c r="W3396" s="132" t="s">
        <v>267</v>
      </c>
      <c r="X3396" s="133">
        <v>41953</v>
      </c>
      <c r="Y3396" s="134">
        <v>852</v>
      </c>
    </row>
    <row r="3397" spans="6:25" x14ac:dyDescent="0.25">
      <c r="F3397" s="76" t="s">
        <v>150</v>
      </c>
      <c r="G3397" s="77" t="s">
        <v>202</v>
      </c>
      <c r="H3397" s="77" t="s">
        <v>158</v>
      </c>
      <c r="I3397" s="86">
        <v>41639</v>
      </c>
      <c r="J3397" s="78">
        <v>1476</v>
      </c>
      <c r="U3397" s="132" t="s">
        <v>154</v>
      </c>
      <c r="V3397" s="132" t="s">
        <v>301</v>
      </c>
      <c r="W3397" s="132" t="s">
        <v>267</v>
      </c>
      <c r="X3397" s="133">
        <v>41954</v>
      </c>
      <c r="Y3397" s="134">
        <v>515</v>
      </c>
    </row>
    <row r="3398" spans="6:25" x14ac:dyDescent="0.25">
      <c r="F3398" s="76" t="s">
        <v>150</v>
      </c>
      <c r="G3398" s="77" t="s">
        <v>202</v>
      </c>
      <c r="H3398" s="77" t="s">
        <v>158</v>
      </c>
      <c r="I3398" s="86">
        <v>41643</v>
      </c>
      <c r="J3398" s="78">
        <v>1480</v>
      </c>
      <c r="U3398" s="132" t="s">
        <v>154</v>
      </c>
      <c r="V3398" s="132" t="s">
        <v>301</v>
      </c>
      <c r="W3398" s="132" t="s">
        <v>267</v>
      </c>
      <c r="X3398" s="133">
        <v>41955</v>
      </c>
      <c r="Y3398" s="134">
        <v>766</v>
      </c>
    </row>
    <row r="3399" spans="6:25" x14ac:dyDescent="0.25">
      <c r="F3399" s="76" t="s">
        <v>150</v>
      </c>
      <c r="G3399" s="77" t="s">
        <v>202</v>
      </c>
      <c r="H3399" s="77" t="s">
        <v>158</v>
      </c>
      <c r="I3399" s="86">
        <v>41645</v>
      </c>
      <c r="J3399" s="78">
        <v>1106</v>
      </c>
      <c r="U3399" s="132" t="s">
        <v>154</v>
      </c>
      <c r="V3399" s="132" t="s">
        <v>301</v>
      </c>
      <c r="W3399" s="132" t="s">
        <v>267</v>
      </c>
      <c r="X3399" s="133">
        <v>41956</v>
      </c>
      <c r="Y3399" s="134">
        <v>833</v>
      </c>
    </row>
    <row r="3400" spans="6:25" x14ac:dyDescent="0.25">
      <c r="F3400" s="76" t="s">
        <v>150</v>
      </c>
      <c r="G3400" s="77" t="s">
        <v>202</v>
      </c>
      <c r="H3400" s="77" t="s">
        <v>158</v>
      </c>
      <c r="I3400" s="86">
        <v>41646</v>
      </c>
      <c r="J3400" s="78">
        <v>1130</v>
      </c>
      <c r="U3400" s="132" t="s">
        <v>154</v>
      </c>
      <c r="V3400" s="132" t="s">
        <v>301</v>
      </c>
      <c r="W3400" s="132" t="s">
        <v>267</v>
      </c>
      <c r="X3400" s="133">
        <v>41956</v>
      </c>
      <c r="Y3400" s="134">
        <v>355</v>
      </c>
    </row>
    <row r="3401" spans="6:25" x14ac:dyDescent="0.25">
      <c r="F3401" s="76" t="s">
        <v>150</v>
      </c>
      <c r="G3401" s="77" t="s">
        <v>202</v>
      </c>
      <c r="H3401" s="77" t="s">
        <v>158</v>
      </c>
      <c r="I3401" s="86">
        <v>41648</v>
      </c>
      <c r="J3401" s="78">
        <v>579</v>
      </c>
      <c r="U3401" s="132" t="s">
        <v>154</v>
      </c>
      <c r="V3401" s="132" t="s">
        <v>301</v>
      </c>
      <c r="W3401" s="132" t="s">
        <v>267</v>
      </c>
      <c r="X3401" s="133">
        <v>41957</v>
      </c>
      <c r="Y3401" s="134">
        <v>525</v>
      </c>
    </row>
    <row r="3402" spans="6:25" x14ac:dyDescent="0.25">
      <c r="F3402" s="76" t="s">
        <v>150</v>
      </c>
      <c r="G3402" s="77" t="s">
        <v>202</v>
      </c>
      <c r="H3402" s="77" t="s">
        <v>158</v>
      </c>
      <c r="I3402" s="86">
        <v>41649</v>
      </c>
      <c r="J3402" s="78">
        <v>644</v>
      </c>
      <c r="U3402" s="132" t="s">
        <v>154</v>
      </c>
      <c r="V3402" s="132" t="s">
        <v>301</v>
      </c>
      <c r="W3402" s="132" t="s">
        <v>267</v>
      </c>
      <c r="X3402" s="133">
        <v>41957</v>
      </c>
      <c r="Y3402" s="134">
        <v>399</v>
      </c>
    </row>
    <row r="3403" spans="6:25" x14ac:dyDescent="0.25">
      <c r="F3403" s="76" t="s">
        <v>150</v>
      </c>
      <c r="G3403" s="77" t="s">
        <v>202</v>
      </c>
      <c r="H3403" s="77" t="s">
        <v>158</v>
      </c>
      <c r="I3403" s="86">
        <v>41654</v>
      </c>
      <c r="J3403" s="78">
        <v>1137</v>
      </c>
      <c r="U3403" s="132" t="s">
        <v>154</v>
      </c>
      <c r="V3403" s="132" t="s">
        <v>301</v>
      </c>
      <c r="W3403" s="132" t="s">
        <v>267</v>
      </c>
      <c r="X3403" s="133">
        <v>41958</v>
      </c>
      <c r="Y3403" s="134">
        <v>695</v>
      </c>
    </row>
    <row r="3404" spans="6:25" x14ac:dyDescent="0.25">
      <c r="F3404" s="76" t="s">
        <v>150</v>
      </c>
      <c r="G3404" s="77" t="s">
        <v>202</v>
      </c>
      <c r="H3404" s="77" t="s">
        <v>158</v>
      </c>
      <c r="I3404" s="86">
        <v>41655</v>
      </c>
      <c r="J3404" s="78">
        <v>481</v>
      </c>
      <c r="U3404" s="132" t="s">
        <v>154</v>
      </c>
      <c r="V3404" s="132" t="s">
        <v>301</v>
      </c>
      <c r="W3404" s="132" t="s">
        <v>267</v>
      </c>
      <c r="X3404" s="133">
        <v>41958</v>
      </c>
      <c r="Y3404" s="134">
        <v>436</v>
      </c>
    </row>
    <row r="3405" spans="6:25" x14ac:dyDescent="0.25">
      <c r="F3405" s="76" t="s">
        <v>150</v>
      </c>
      <c r="G3405" s="77" t="s">
        <v>202</v>
      </c>
      <c r="H3405" s="77" t="s">
        <v>158</v>
      </c>
      <c r="I3405" s="86">
        <v>41662</v>
      </c>
      <c r="J3405" s="78">
        <v>1476</v>
      </c>
      <c r="U3405" s="132" t="s">
        <v>154</v>
      </c>
      <c r="V3405" s="132" t="s">
        <v>301</v>
      </c>
      <c r="W3405" s="132" t="s">
        <v>267</v>
      </c>
      <c r="X3405" s="133">
        <v>41960</v>
      </c>
      <c r="Y3405" s="134">
        <v>690</v>
      </c>
    </row>
    <row r="3406" spans="6:25" x14ac:dyDescent="0.25">
      <c r="F3406" s="76" t="s">
        <v>150</v>
      </c>
      <c r="G3406" s="77" t="s">
        <v>202</v>
      </c>
      <c r="H3406" s="77" t="s">
        <v>158</v>
      </c>
      <c r="I3406" s="86">
        <v>41663</v>
      </c>
      <c r="J3406" s="78">
        <v>623</v>
      </c>
      <c r="U3406" s="132" t="s">
        <v>154</v>
      </c>
      <c r="V3406" s="132" t="s">
        <v>301</v>
      </c>
      <c r="W3406" s="132" t="s">
        <v>267</v>
      </c>
      <c r="X3406" s="133">
        <v>41961</v>
      </c>
      <c r="Y3406" s="134">
        <v>793</v>
      </c>
    </row>
    <row r="3407" spans="6:25" x14ac:dyDescent="0.25">
      <c r="F3407" s="76" t="s">
        <v>150</v>
      </c>
      <c r="G3407" s="77" t="s">
        <v>202</v>
      </c>
      <c r="H3407" s="77" t="s">
        <v>158</v>
      </c>
      <c r="I3407" s="86">
        <v>41676</v>
      </c>
      <c r="J3407" s="78">
        <v>1708</v>
      </c>
      <c r="U3407" s="132" t="s">
        <v>154</v>
      </c>
      <c r="V3407" s="132" t="s">
        <v>302</v>
      </c>
      <c r="W3407" s="132" t="s">
        <v>267</v>
      </c>
      <c r="X3407" s="133">
        <v>41708</v>
      </c>
      <c r="Y3407" s="134">
        <v>895</v>
      </c>
    </row>
    <row r="3408" spans="6:25" x14ac:dyDescent="0.25">
      <c r="F3408" s="76" t="s">
        <v>150</v>
      </c>
      <c r="G3408" s="77" t="s">
        <v>202</v>
      </c>
      <c r="H3408" s="77" t="s">
        <v>158</v>
      </c>
      <c r="I3408" s="86">
        <v>41678</v>
      </c>
      <c r="J3408" s="78">
        <v>1010</v>
      </c>
      <c r="U3408" s="132" t="s">
        <v>154</v>
      </c>
      <c r="V3408" s="132" t="s">
        <v>302</v>
      </c>
      <c r="W3408" s="132" t="s">
        <v>267</v>
      </c>
      <c r="X3408" s="133">
        <v>41709</v>
      </c>
      <c r="Y3408" s="134">
        <v>655</v>
      </c>
    </row>
    <row r="3409" spans="6:25" x14ac:dyDescent="0.25">
      <c r="F3409" s="76" t="s">
        <v>150</v>
      </c>
      <c r="G3409" s="77" t="s">
        <v>202</v>
      </c>
      <c r="H3409" s="77" t="s">
        <v>158</v>
      </c>
      <c r="I3409" s="86">
        <v>41680</v>
      </c>
      <c r="J3409" s="78">
        <v>948</v>
      </c>
      <c r="U3409" s="132" t="s">
        <v>154</v>
      </c>
      <c r="V3409" s="132" t="s">
        <v>302</v>
      </c>
      <c r="W3409" s="132" t="s">
        <v>267</v>
      </c>
      <c r="X3409" s="133">
        <v>41709</v>
      </c>
      <c r="Y3409" s="134">
        <v>720</v>
      </c>
    </row>
    <row r="3410" spans="6:25" x14ac:dyDescent="0.25">
      <c r="F3410" s="76" t="s">
        <v>150</v>
      </c>
      <c r="G3410" s="77" t="s">
        <v>202</v>
      </c>
      <c r="H3410" s="77" t="s">
        <v>158</v>
      </c>
      <c r="I3410" s="86">
        <v>41682</v>
      </c>
      <c r="J3410" s="78">
        <v>1901</v>
      </c>
      <c r="U3410" s="132" t="s">
        <v>154</v>
      </c>
      <c r="V3410" s="132" t="s">
        <v>302</v>
      </c>
      <c r="W3410" s="132" t="s">
        <v>267</v>
      </c>
      <c r="X3410" s="133">
        <v>41792</v>
      </c>
      <c r="Y3410" s="134">
        <v>464</v>
      </c>
    </row>
    <row r="3411" spans="6:25" x14ac:dyDescent="0.25">
      <c r="F3411" s="76" t="s">
        <v>150</v>
      </c>
      <c r="G3411" s="77" t="s">
        <v>202</v>
      </c>
      <c r="H3411" s="77" t="s">
        <v>158</v>
      </c>
      <c r="I3411" s="86">
        <v>41695</v>
      </c>
      <c r="J3411" s="78">
        <v>1143</v>
      </c>
      <c r="U3411" s="132" t="s">
        <v>154</v>
      </c>
      <c r="V3411" s="132" t="s">
        <v>302</v>
      </c>
      <c r="W3411" s="132" t="s">
        <v>267</v>
      </c>
      <c r="X3411" s="133">
        <v>41793</v>
      </c>
      <c r="Y3411" s="134">
        <v>744</v>
      </c>
    </row>
    <row r="3412" spans="6:25" x14ac:dyDescent="0.25">
      <c r="F3412" s="76" t="s">
        <v>150</v>
      </c>
      <c r="G3412" s="77" t="s">
        <v>202</v>
      </c>
      <c r="H3412" s="77" t="s">
        <v>158</v>
      </c>
      <c r="I3412" s="86">
        <v>41696</v>
      </c>
      <c r="J3412" s="78">
        <v>1104</v>
      </c>
      <c r="U3412" s="132" t="s">
        <v>154</v>
      </c>
      <c r="V3412" s="132" t="s">
        <v>302</v>
      </c>
      <c r="W3412" s="132" t="s">
        <v>267</v>
      </c>
      <c r="X3412" s="133">
        <v>41794</v>
      </c>
      <c r="Y3412" s="134">
        <v>970</v>
      </c>
    </row>
    <row r="3413" spans="6:25" x14ac:dyDescent="0.25">
      <c r="F3413" s="76" t="s">
        <v>150</v>
      </c>
      <c r="G3413" s="77" t="s">
        <v>202</v>
      </c>
      <c r="H3413" s="77" t="s">
        <v>158</v>
      </c>
      <c r="I3413" s="86">
        <v>41698</v>
      </c>
      <c r="J3413" s="78">
        <v>1407</v>
      </c>
      <c r="U3413" s="132" t="s">
        <v>154</v>
      </c>
      <c r="V3413" s="132" t="s">
        <v>302</v>
      </c>
      <c r="W3413" s="132" t="s">
        <v>267</v>
      </c>
      <c r="X3413" s="133">
        <v>41798</v>
      </c>
      <c r="Y3413" s="134">
        <v>844</v>
      </c>
    </row>
    <row r="3414" spans="6:25" x14ac:dyDescent="0.25">
      <c r="F3414" s="76" t="s">
        <v>150</v>
      </c>
      <c r="G3414" s="77" t="s">
        <v>202</v>
      </c>
      <c r="H3414" s="77" t="s">
        <v>158</v>
      </c>
      <c r="I3414" s="86">
        <v>41701</v>
      </c>
      <c r="J3414" s="78">
        <v>1262</v>
      </c>
      <c r="U3414" s="132" t="s">
        <v>154</v>
      </c>
      <c r="V3414" s="132" t="s">
        <v>302</v>
      </c>
      <c r="W3414" s="132" t="s">
        <v>267</v>
      </c>
      <c r="X3414" s="133">
        <v>41799</v>
      </c>
      <c r="Y3414" s="134">
        <v>498</v>
      </c>
    </row>
    <row r="3415" spans="6:25" x14ac:dyDescent="0.25">
      <c r="F3415" s="76" t="s">
        <v>150</v>
      </c>
      <c r="G3415" s="77" t="s">
        <v>202</v>
      </c>
      <c r="H3415" s="77" t="s">
        <v>158</v>
      </c>
      <c r="I3415" s="86">
        <v>41706</v>
      </c>
      <c r="J3415" s="78">
        <v>856</v>
      </c>
      <c r="U3415" s="132" t="s">
        <v>154</v>
      </c>
      <c r="V3415" s="132" t="s">
        <v>302</v>
      </c>
      <c r="W3415" s="132" t="s">
        <v>267</v>
      </c>
      <c r="X3415" s="133">
        <v>41800</v>
      </c>
      <c r="Y3415" s="134">
        <v>1055</v>
      </c>
    </row>
    <row r="3416" spans="6:25" x14ac:dyDescent="0.25">
      <c r="F3416" s="76" t="s">
        <v>150</v>
      </c>
      <c r="G3416" s="77" t="s">
        <v>202</v>
      </c>
      <c r="H3416" s="77" t="s">
        <v>158</v>
      </c>
      <c r="I3416" s="86">
        <v>41706</v>
      </c>
      <c r="J3416" s="78">
        <v>648</v>
      </c>
      <c r="U3416" s="132" t="s">
        <v>154</v>
      </c>
      <c r="V3416" s="132" t="s">
        <v>302</v>
      </c>
      <c r="W3416" s="132" t="s">
        <v>267</v>
      </c>
      <c r="X3416" s="133">
        <v>41801</v>
      </c>
      <c r="Y3416" s="134">
        <v>830</v>
      </c>
    </row>
    <row r="3417" spans="6:25" x14ac:dyDescent="0.25">
      <c r="F3417" s="76" t="s">
        <v>150</v>
      </c>
      <c r="G3417" s="77" t="s">
        <v>202</v>
      </c>
      <c r="H3417" s="77" t="s">
        <v>158</v>
      </c>
      <c r="I3417" s="86">
        <v>41707</v>
      </c>
      <c r="J3417" s="78">
        <v>904</v>
      </c>
      <c r="U3417" s="132" t="s">
        <v>154</v>
      </c>
      <c r="V3417" s="132" t="s">
        <v>302</v>
      </c>
      <c r="W3417" s="132" t="s">
        <v>267</v>
      </c>
      <c r="X3417" s="133">
        <v>41802</v>
      </c>
      <c r="Y3417" s="134">
        <v>824</v>
      </c>
    </row>
    <row r="3418" spans="6:25" x14ac:dyDescent="0.25">
      <c r="F3418" s="76" t="s">
        <v>150</v>
      </c>
      <c r="G3418" s="77" t="s">
        <v>202</v>
      </c>
      <c r="H3418" s="77" t="s">
        <v>158</v>
      </c>
      <c r="I3418" s="86">
        <v>41712</v>
      </c>
      <c r="J3418" s="78">
        <v>1697</v>
      </c>
      <c r="U3418" s="132" t="s">
        <v>154</v>
      </c>
      <c r="V3418" s="132" t="s">
        <v>302</v>
      </c>
      <c r="W3418" s="132" t="s">
        <v>267</v>
      </c>
      <c r="X3418" s="133">
        <v>41803</v>
      </c>
      <c r="Y3418" s="134">
        <v>838</v>
      </c>
    </row>
    <row r="3419" spans="6:25" x14ac:dyDescent="0.25">
      <c r="F3419" s="76" t="s">
        <v>150</v>
      </c>
      <c r="G3419" s="77" t="s">
        <v>202</v>
      </c>
      <c r="H3419" s="77" t="s">
        <v>158</v>
      </c>
      <c r="I3419" s="86">
        <v>41715</v>
      </c>
      <c r="J3419" s="78">
        <v>1196</v>
      </c>
      <c r="U3419" s="132" t="s">
        <v>154</v>
      </c>
      <c r="V3419" s="132" t="s">
        <v>302</v>
      </c>
      <c r="W3419" s="132" t="s">
        <v>267</v>
      </c>
      <c r="X3419" s="133">
        <v>41804</v>
      </c>
      <c r="Y3419" s="134">
        <v>740</v>
      </c>
    </row>
    <row r="3420" spans="6:25" x14ac:dyDescent="0.25">
      <c r="F3420" s="76" t="s">
        <v>150</v>
      </c>
      <c r="G3420" s="77" t="s">
        <v>202</v>
      </c>
      <c r="H3420" s="77" t="s">
        <v>158</v>
      </c>
      <c r="I3420" s="86">
        <v>41719</v>
      </c>
      <c r="J3420" s="78">
        <v>1200</v>
      </c>
      <c r="U3420" s="132" t="s">
        <v>154</v>
      </c>
      <c r="V3420" s="132" t="s">
        <v>302</v>
      </c>
      <c r="W3420" s="132" t="s">
        <v>267</v>
      </c>
      <c r="X3420" s="133">
        <v>41804</v>
      </c>
      <c r="Y3420" s="134">
        <v>836</v>
      </c>
    </row>
    <row r="3421" spans="6:25" x14ac:dyDescent="0.25">
      <c r="F3421" s="76" t="s">
        <v>150</v>
      </c>
      <c r="G3421" s="77" t="s">
        <v>202</v>
      </c>
      <c r="H3421" s="77" t="s">
        <v>158</v>
      </c>
      <c r="I3421" s="86">
        <v>41725</v>
      </c>
      <c r="J3421" s="78">
        <v>982</v>
      </c>
      <c r="U3421" s="132" t="s">
        <v>154</v>
      </c>
      <c r="V3421" s="132" t="s">
        <v>302</v>
      </c>
      <c r="W3421" s="132" t="s">
        <v>267</v>
      </c>
      <c r="X3421" s="133">
        <v>41805</v>
      </c>
      <c r="Y3421" s="134">
        <v>813</v>
      </c>
    </row>
    <row r="3422" spans="6:25" x14ac:dyDescent="0.25">
      <c r="F3422" s="76" t="s">
        <v>150</v>
      </c>
      <c r="G3422" s="77" t="s">
        <v>202</v>
      </c>
      <c r="H3422" s="77" t="s">
        <v>158</v>
      </c>
      <c r="I3422" s="86">
        <v>41731</v>
      </c>
      <c r="J3422" s="78">
        <v>1025</v>
      </c>
      <c r="U3422" s="132" t="s">
        <v>154</v>
      </c>
      <c r="V3422" s="132" t="s">
        <v>302</v>
      </c>
      <c r="W3422" s="132" t="s">
        <v>267</v>
      </c>
      <c r="X3422" s="133">
        <v>41806</v>
      </c>
      <c r="Y3422" s="134">
        <v>687</v>
      </c>
    </row>
    <row r="3423" spans="6:25" x14ac:dyDescent="0.25">
      <c r="F3423" s="76" t="s">
        <v>150</v>
      </c>
      <c r="G3423" s="77" t="s">
        <v>202</v>
      </c>
      <c r="H3423" s="77" t="s">
        <v>158</v>
      </c>
      <c r="I3423" s="86">
        <v>41736</v>
      </c>
      <c r="J3423" s="78">
        <v>728</v>
      </c>
      <c r="U3423" s="132" t="s">
        <v>154</v>
      </c>
      <c r="V3423" s="132" t="s">
        <v>302</v>
      </c>
      <c r="W3423" s="132" t="s">
        <v>267</v>
      </c>
      <c r="X3423" s="133">
        <v>41806</v>
      </c>
      <c r="Y3423" s="134">
        <v>831</v>
      </c>
    </row>
    <row r="3424" spans="6:25" x14ac:dyDescent="0.25">
      <c r="F3424" s="76" t="s">
        <v>150</v>
      </c>
      <c r="G3424" s="77" t="s">
        <v>202</v>
      </c>
      <c r="H3424" s="77" t="s">
        <v>158</v>
      </c>
      <c r="I3424" s="86">
        <v>41743</v>
      </c>
      <c r="J3424" s="78">
        <v>1154</v>
      </c>
      <c r="U3424" s="132" t="s">
        <v>154</v>
      </c>
      <c r="V3424" s="132" t="s">
        <v>302</v>
      </c>
      <c r="W3424" s="132" t="s">
        <v>267</v>
      </c>
      <c r="X3424" s="133">
        <v>41807</v>
      </c>
      <c r="Y3424" s="134">
        <v>750</v>
      </c>
    </row>
    <row r="3425" spans="6:25" x14ac:dyDescent="0.25">
      <c r="F3425" s="76" t="s">
        <v>150</v>
      </c>
      <c r="G3425" s="77" t="s">
        <v>202</v>
      </c>
      <c r="H3425" s="77" t="s">
        <v>158</v>
      </c>
      <c r="I3425" s="86">
        <v>41747</v>
      </c>
      <c r="J3425" s="78">
        <v>1038</v>
      </c>
      <c r="U3425" s="132" t="s">
        <v>154</v>
      </c>
      <c r="V3425" s="132" t="s">
        <v>302</v>
      </c>
      <c r="W3425" s="132" t="s">
        <v>267</v>
      </c>
      <c r="X3425" s="133">
        <v>41807</v>
      </c>
      <c r="Y3425" s="134">
        <v>593</v>
      </c>
    </row>
    <row r="3426" spans="6:25" x14ac:dyDescent="0.25">
      <c r="F3426" s="76" t="s">
        <v>150</v>
      </c>
      <c r="G3426" s="77" t="s">
        <v>202</v>
      </c>
      <c r="H3426" s="77" t="s">
        <v>158</v>
      </c>
      <c r="I3426" s="86">
        <v>41754</v>
      </c>
      <c r="J3426" s="78">
        <v>1227</v>
      </c>
      <c r="U3426" s="132" t="s">
        <v>154</v>
      </c>
      <c r="V3426" s="132" t="s">
        <v>302</v>
      </c>
      <c r="W3426" s="132" t="s">
        <v>267</v>
      </c>
      <c r="X3426" s="133">
        <v>41808</v>
      </c>
      <c r="Y3426" s="134">
        <v>533</v>
      </c>
    </row>
    <row r="3427" spans="6:25" x14ac:dyDescent="0.25">
      <c r="F3427" s="76" t="s">
        <v>150</v>
      </c>
      <c r="G3427" s="77" t="s">
        <v>202</v>
      </c>
      <c r="H3427" s="77" t="s">
        <v>158</v>
      </c>
      <c r="I3427" s="86">
        <v>41760</v>
      </c>
      <c r="J3427" s="78">
        <v>1297</v>
      </c>
      <c r="U3427" s="132" t="s">
        <v>154</v>
      </c>
      <c r="V3427" s="132" t="s">
        <v>302</v>
      </c>
      <c r="W3427" s="132" t="s">
        <v>267</v>
      </c>
      <c r="X3427" s="133">
        <v>41809</v>
      </c>
      <c r="Y3427" s="134">
        <v>878</v>
      </c>
    </row>
    <row r="3428" spans="6:25" x14ac:dyDescent="0.25">
      <c r="F3428" s="76" t="s">
        <v>150</v>
      </c>
      <c r="G3428" s="77" t="s">
        <v>202</v>
      </c>
      <c r="H3428" s="77" t="s">
        <v>158</v>
      </c>
      <c r="I3428" s="86">
        <v>41762</v>
      </c>
      <c r="J3428" s="78">
        <v>1204</v>
      </c>
      <c r="U3428" s="132" t="s">
        <v>154</v>
      </c>
      <c r="V3428" s="132" t="s">
        <v>302</v>
      </c>
      <c r="W3428" s="132" t="s">
        <v>267</v>
      </c>
      <c r="X3428" s="133">
        <v>41809</v>
      </c>
      <c r="Y3428" s="134">
        <v>619</v>
      </c>
    </row>
    <row r="3429" spans="6:25" x14ac:dyDescent="0.25">
      <c r="F3429" s="76" t="s">
        <v>150</v>
      </c>
      <c r="G3429" s="77" t="s">
        <v>202</v>
      </c>
      <c r="H3429" s="77" t="s">
        <v>158</v>
      </c>
      <c r="I3429" s="86">
        <v>41763</v>
      </c>
      <c r="J3429" s="78">
        <v>508</v>
      </c>
      <c r="U3429" s="132" t="s">
        <v>154</v>
      </c>
      <c r="V3429" s="132" t="s">
        <v>302</v>
      </c>
      <c r="W3429" s="132" t="s">
        <v>267</v>
      </c>
      <c r="X3429" s="133">
        <v>41810</v>
      </c>
      <c r="Y3429" s="134">
        <v>945</v>
      </c>
    </row>
    <row r="3430" spans="6:25" x14ac:dyDescent="0.25">
      <c r="F3430" s="76" t="s">
        <v>150</v>
      </c>
      <c r="G3430" s="77" t="s">
        <v>202</v>
      </c>
      <c r="H3430" s="77" t="s">
        <v>158</v>
      </c>
      <c r="I3430" s="86">
        <v>41764</v>
      </c>
      <c r="J3430" s="78">
        <v>805</v>
      </c>
      <c r="U3430" s="132" t="s">
        <v>154</v>
      </c>
      <c r="V3430" s="132" t="s">
        <v>302</v>
      </c>
      <c r="W3430" s="132" t="s">
        <v>267</v>
      </c>
      <c r="X3430" s="133">
        <v>41811</v>
      </c>
      <c r="Y3430" s="134">
        <v>530</v>
      </c>
    </row>
    <row r="3431" spans="6:25" x14ac:dyDescent="0.25">
      <c r="F3431" s="76" t="s">
        <v>150</v>
      </c>
      <c r="G3431" s="77" t="s">
        <v>202</v>
      </c>
      <c r="H3431" s="77" t="s">
        <v>158</v>
      </c>
      <c r="I3431" s="86">
        <v>41779</v>
      </c>
      <c r="J3431" s="78">
        <v>1558</v>
      </c>
      <c r="U3431" s="132" t="s">
        <v>154</v>
      </c>
      <c r="V3431" s="132" t="s">
        <v>302</v>
      </c>
      <c r="W3431" s="132" t="s">
        <v>267</v>
      </c>
      <c r="X3431" s="133">
        <v>41811</v>
      </c>
      <c r="Y3431" s="134">
        <v>720</v>
      </c>
    </row>
    <row r="3432" spans="6:25" x14ac:dyDescent="0.25">
      <c r="F3432" s="76" t="s">
        <v>150</v>
      </c>
      <c r="G3432" s="77" t="s">
        <v>202</v>
      </c>
      <c r="H3432" s="77" t="s">
        <v>158</v>
      </c>
      <c r="I3432" s="86">
        <v>41782</v>
      </c>
      <c r="J3432" s="78">
        <v>1200</v>
      </c>
      <c r="U3432" s="132" t="s">
        <v>154</v>
      </c>
      <c r="V3432" s="132" t="s">
        <v>302</v>
      </c>
      <c r="W3432" s="132" t="s">
        <v>267</v>
      </c>
      <c r="X3432" s="133">
        <v>41812</v>
      </c>
      <c r="Y3432" s="134">
        <v>778</v>
      </c>
    </row>
    <row r="3433" spans="6:25" x14ac:dyDescent="0.25">
      <c r="F3433" s="76" t="s">
        <v>150</v>
      </c>
      <c r="G3433" s="77" t="s">
        <v>202</v>
      </c>
      <c r="H3433" s="77" t="s">
        <v>158</v>
      </c>
      <c r="I3433" s="86">
        <v>41784</v>
      </c>
      <c r="J3433" s="78">
        <v>365</v>
      </c>
      <c r="U3433" s="132" t="s">
        <v>154</v>
      </c>
      <c r="V3433" s="132" t="s">
        <v>302</v>
      </c>
      <c r="W3433" s="132" t="s">
        <v>267</v>
      </c>
      <c r="X3433" s="133">
        <v>41813</v>
      </c>
      <c r="Y3433" s="134">
        <v>946</v>
      </c>
    </row>
    <row r="3434" spans="6:25" x14ac:dyDescent="0.25">
      <c r="F3434" s="76" t="s">
        <v>150</v>
      </c>
      <c r="G3434" s="77" t="s">
        <v>202</v>
      </c>
      <c r="H3434" s="77" t="s">
        <v>158</v>
      </c>
      <c r="I3434" s="86">
        <v>41785</v>
      </c>
      <c r="J3434" s="78">
        <v>651</v>
      </c>
      <c r="U3434" s="132" t="s">
        <v>154</v>
      </c>
      <c r="V3434" s="132" t="s">
        <v>302</v>
      </c>
      <c r="W3434" s="132" t="s">
        <v>267</v>
      </c>
      <c r="X3434" s="133">
        <v>41814</v>
      </c>
      <c r="Y3434" s="134">
        <v>604</v>
      </c>
    </row>
    <row r="3435" spans="6:25" x14ac:dyDescent="0.25">
      <c r="F3435" s="76" t="s">
        <v>150</v>
      </c>
      <c r="G3435" s="77" t="s">
        <v>202</v>
      </c>
      <c r="H3435" s="77" t="s">
        <v>158</v>
      </c>
      <c r="I3435" s="86">
        <v>41788</v>
      </c>
      <c r="J3435" s="78">
        <v>654</v>
      </c>
      <c r="U3435" s="132" t="s">
        <v>154</v>
      </c>
      <c r="V3435" s="132" t="s">
        <v>302</v>
      </c>
      <c r="W3435" s="132" t="s">
        <v>267</v>
      </c>
      <c r="X3435" s="133">
        <v>41816</v>
      </c>
      <c r="Y3435" s="134">
        <v>836</v>
      </c>
    </row>
    <row r="3436" spans="6:25" x14ac:dyDescent="0.25">
      <c r="F3436" s="76" t="s">
        <v>150</v>
      </c>
      <c r="G3436" s="77" t="s">
        <v>202</v>
      </c>
      <c r="H3436" s="77" t="s">
        <v>158</v>
      </c>
      <c r="I3436" s="86">
        <v>41792</v>
      </c>
      <c r="J3436" s="78">
        <v>1250</v>
      </c>
      <c r="U3436" s="132" t="s">
        <v>154</v>
      </c>
      <c r="V3436" s="132" t="s">
        <v>302</v>
      </c>
      <c r="W3436" s="132" t="s">
        <v>267</v>
      </c>
      <c r="X3436" s="133">
        <v>41817</v>
      </c>
      <c r="Y3436" s="134">
        <v>967</v>
      </c>
    </row>
    <row r="3437" spans="6:25" x14ac:dyDescent="0.25">
      <c r="F3437" s="76" t="s">
        <v>150</v>
      </c>
      <c r="G3437" s="77" t="s">
        <v>202</v>
      </c>
      <c r="H3437" s="77" t="s">
        <v>158</v>
      </c>
      <c r="I3437" s="86">
        <v>41804</v>
      </c>
      <c r="J3437" s="78">
        <v>808</v>
      </c>
      <c r="U3437" s="132" t="s">
        <v>154</v>
      </c>
      <c r="V3437" s="132" t="s">
        <v>302</v>
      </c>
      <c r="W3437" s="132" t="s">
        <v>267</v>
      </c>
      <c r="X3437" s="133">
        <v>41819</v>
      </c>
      <c r="Y3437" s="134">
        <v>500</v>
      </c>
    </row>
    <row r="3438" spans="6:25" x14ac:dyDescent="0.25">
      <c r="F3438" s="76" t="s">
        <v>150</v>
      </c>
      <c r="G3438" s="77" t="s">
        <v>202</v>
      </c>
      <c r="H3438" s="77" t="s">
        <v>158</v>
      </c>
      <c r="I3438" s="86">
        <v>41807</v>
      </c>
      <c r="J3438" s="78">
        <v>765</v>
      </c>
      <c r="U3438" s="132" t="s">
        <v>154</v>
      </c>
      <c r="V3438" s="132" t="s">
        <v>302</v>
      </c>
      <c r="W3438" s="132" t="s">
        <v>267</v>
      </c>
      <c r="X3438" s="133">
        <v>41821</v>
      </c>
      <c r="Y3438" s="134">
        <v>847</v>
      </c>
    </row>
    <row r="3439" spans="6:25" x14ac:dyDescent="0.25">
      <c r="F3439" s="76" t="s">
        <v>150</v>
      </c>
      <c r="G3439" s="77" t="s">
        <v>202</v>
      </c>
      <c r="H3439" s="77" t="s">
        <v>158</v>
      </c>
      <c r="I3439" s="86">
        <v>41808</v>
      </c>
      <c r="J3439" s="78">
        <v>1262</v>
      </c>
      <c r="U3439" s="132" t="s">
        <v>154</v>
      </c>
      <c r="V3439" s="132" t="s">
        <v>302</v>
      </c>
      <c r="W3439" s="132" t="s">
        <v>267</v>
      </c>
      <c r="X3439" s="133">
        <v>41822</v>
      </c>
      <c r="Y3439" s="134">
        <v>777</v>
      </c>
    </row>
    <row r="3440" spans="6:25" x14ac:dyDescent="0.25">
      <c r="F3440" s="76" t="s">
        <v>150</v>
      </c>
      <c r="G3440" s="77" t="s">
        <v>202</v>
      </c>
      <c r="H3440" s="77" t="s">
        <v>158</v>
      </c>
      <c r="I3440" s="86">
        <v>41809</v>
      </c>
      <c r="J3440" s="78">
        <v>700</v>
      </c>
      <c r="U3440" s="132" t="s">
        <v>154</v>
      </c>
      <c r="V3440" s="132" t="s">
        <v>302</v>
      </c>
      <c r="W3440" s="132" t="s">
        <v>267</v>
      </c>
      <c r="X3440" s="133">
        <v>41823</v>
      </c>
      <c r="Y3440" s="134">
        <v>291</v>
      </c>
    </row>
    <row r="3441" spans="6:25" x14ac:dyDescent="0.25">
      <c r="F3441" s="76" t="s">
        <v>150</v>
      </c>
      <c r="G3441" s="77" t="s">
        <v>202</v>
      </c>
      <c r="H3441" s="77" t="s">
        <v>158</v>
      </c>
      <c r="I3441" s="86">
        <v>41810</v>
      </c>
      <c r="J3441" s="78">
        <v>1191</v>
      </c>
      <c r="U3441" s="132" t="s">
        <v>154</v>
      </c>
      <c r="V3441" s="132" t="s">
        <v>302</v>
      </c>
      <c r="W3441" s="132" t="s">
        <v>267</v>
      </c>
      <c r="X3441" s="133">
        <v>41823</v>
      </c>
      <c r="Y3441" s="134">
        <v>787</v>
      </c>
    </row>
    <row r="3442" spans="6:25" x14ac:dyDescent="0.25">
      <c r="F3442" s="76" t="s">
        <v>150</v>
      </c>
      <c r="G3442" s="77" t="s">
        <v>202</v>
      </c>
      <c r="H3442" s="77" t="s">
        <v>158</v>
      </c>
      <c r="I3442" s="86">
        <v>41813</v>
      </c>
      <c r="J3442" s="78">
        <v>727</v>
      </c>
      <c r="U3442" s="132" t="s">
        <v>154</v>
      </c>
      <c r="V3442" s="132" t="s">
        <v>302</v>
      </c>
      <c r="W3442" s="132" t="s">
        <v>267</v>
      </c>
      <c r="X3442" s="133">
        <v>41827</v>
      </c>
      <c r="Y3442" s="134">
        <v>799</v>
      </c>
    </row>
    <row r="3443" spans="6:25" x14ac:dyDescent="0.25">
      <c r="F3443" s="76" t="s">
        <v>150</v>
      </c>
      <c r="G3443" s="77" t="s">
        <v>202</v>
      </c>
      <c r="H3443" s="77" t="s">
        <v>158</v>
      </c>
      <c r="I3443" s="86">
        <v>41814</v>
      </c>
      <c r="J3443" s="78">
        <v>1140</v>
      </c>
      <c r="U3443" s="132" t="s">
        <v>154</v>
      </c>
      <c r="V3443" s="132" t="s">
        <v>302</v>
      </c>
      <c r="W3443" s="132" t="s">
        <v>267</v>
      </c>
      <c r="X3443" s="133">
        <v>41827</v>
      </c>
      <c r="Y3443" s="134">
        <v>579</v>
      </c>
    </row>
    <row r="3444" spans="6:25" x14ac:dyDescent="0.25">
      <c r="F3444" s="76" t="s">
        <v>150</v>
      </c>
      <c r="G3444" s="77" t="s">
        <v>202</v>
      </c>
      <c r="H3444" s="77" t="s">
        <v>158</v>
      </c>
      <c r="I3444" s="86">
        <v>41815</v>
      </c>
      <c r="J3444" s="78">
        <v>640</v>
      </c>
      <c r="U3444" s="132" t="s">
        <v>154</v>
      </c>
      <c r="V3444" s="132" t="s">
        <v>302</v>
      </c>
      <c r="W3444" s="132" t="s">
        <v>267</v>
      </c>
      <c r="X3444" s="133">
        <v>41828</v>
      </c>
      <c r="Y3444" s="134">
        <v>1127</v>
      </c>
    </row>
    <row r="3445" spans="6:25" x14ac:dyDescent="0.25">
      <c r="F3445" s="76" t="s">
        <v>150</v>
      </c>
      <c r="G3445" s="77" t="s">
        <v>202</v>
      </c>
      <c r="H3445" s="77" t="s">
        <v>158</v>
      </c>
      <c r="I3445" s="86">
        <v>41816</v>
      </c>
      <c r="J3445" s="78">
        <v>1141</v>
      </c>
      <c r="U3445" s="132" t="s">
        <v>154</v>
      </c>
      <c r="V3445" s="132" t="s">
        <v>302</v>
      </c>
      <c r="W3445" s="132" t="s">
        <v>267</v>
      </c>
      <c r="X3445" s="133">
        <v>41829</v>
      </c>
      <c r="Y3445" s="134">
        <v>572</v>
      </c>
    </row>
    <row r="3446" spans="6:25" x14ac:dyDescent="0.25">
      <c r="F3446" s="76" t="s">
        <v>150</v>
      </c>
      <c r="G3446" s="77" t="s">
        <v>202</v>
      </c>
      <c r="H3446" s="77" t="s">
        <v>158</v>
      </c>
      <c r="I3446" s="86">
        <v>41818</v>
      </c>
      <c r="J3446" s="78">
        <v>551</v>
      </c>
      <c r="U3446" s="132" t="s">
        <v>154</v>
      </c>
      <c r="V3446" s="132" t="s">
        <v>302</v>
      </c>
      <c r="W3446" s="132" t="s">
        <v>267</v>
      </c>
      <c r="X3446" s="133">
        <v>41829</v>
      </c>
      <c r="Y3446" s="134">
        <v>745</v>
      </c>
    </row>
    <row r="3447" spans="6:25" x14ac:dyDescent="0.25">
      <c r="F3447" s="76" t="s">
        <v>150</v>
      </c>
      <c r="G3447" s="77" t="s">
        <v>202</v>
      </c>
      <c r="H3447" s="77" t="s">
        <v>158</v>
      </c>
      <c r="I3447" s="86">
        <v>41821</v>
      </c>
      <c r="J3447" s="78">
        <v>874</v>
      </c>
      <c r="U3447" s="132" t="s">
        <v>154</v>
      </c>
      <c r="V3447" s="132" t="s">
        <v>302</v>
      </c>
      <c r="W3447" s="132" t="s">
        <v>267</v>
      </c>
      <c r="X3447" s="133">
        <v>41830</v>
      </c>
      <c r="Y3447" s="134">
        <v>710</v>
      </c>
    </row>
    <row r="3448" spans="6:25" x14ac:dyDescent="0.25">
      <c r="F3448" s="76" t="s">
        <v>150</v>
      </c>
      <c r="G3448" s="77" t="s">
        <v>202</v>
      </c>
      <c r="H3448" s="77" t="s">
        <v>158</v>
      </c>
      <c r="I3448" s="86">
        <v>41823</v>
      </c>
      <c r="J3448" s="78">
        <v>781</v>
      </c>
      <c r="U3448" s="132" t="s">
        <v>154</v>
      </c>
      <c r="V3448" s="132" t="s">
        <v>302</v>
      </c>
      <c r="W3448" s="132" t="s">
        <v>267</v>
      </c>
      <c r="X3448" s="133">
        <v>41830</v>
      </c>
      <c r="Y3448" s="134">
        <v>330</v>
      </c>
    </row>
    <row r="3449" spans="6:25" x14ac:dyDescent="0.25">
      <c r="F3449" s="76" t="s">
        <v>150</v>
      </c>
      <c r="G3449" s="77" t="s">
        <v>202</v>
      </c>
      <c r="H3449" s="77" t="s">
        <v>158</v>
      </c>
      <c r="I3449" s="86">
        <v>41829</v>
      </c>
      <c r="J3449" s="78">
        <v>1031</v>
      </c>
      <c r="U3449" s="132" t="s">
        <v>154</v>
      </c>
      <c r="V3449" s="132" t="s">
        <v>302</v>
      </c>
      <c r="W3449" s="132" t="s">
        <v>267</v>
      </c>
      <c r="X3449" s="133">
        <v>41831</v>
      </c>
      <c r="Y3449" s="134">
        <v>338</v>
      </c>
    </row>
    <row r="3450" spans="6:25" x14ac:dyDescent="0.25">
      <c r="F3450" s="76" t="s">
        <v>150</v>
      </c>
      <c r="G3450" s="77" t="s">
        <v>203</v>
      </c>
      <c r="H3450" s="77" t="s">
        <v>158</v>
      </c>
      <c r="I3450" s="86">
        <v>41635</v>
      </c>
      <c r="J3450" s="78">
        <v>615</v>
      </c>
      <c r="U3450" s="132" t="s">
        <v>154</v>
      </c>
      <c r="V3450" s="132" t="s">
        <v>302</v>
      </c>
      <c r="W3450" s="132" t="s">
        <v>267</v>
      </c>
      <c r="X3450" s="133">
        <v>41831</v>
      </c>
      <c r="Y3450" s="134">
        <v>745</v>
      </c>
    </row>
    <row r="3451" spans="6:25" x14ac:dyDescent="0.25">
      <c r="F3451" s="76" t="s">
        <v>150</v>
      </c>
      <c r="G3451" s="77" t="s">
        <v>203</v>
      </c>
      <c r="H3451" s="77" t="s">
        <v>158</v>
      </c>
      <c r="I3451" s="86">
        <v>41637</v>
      </c>
      <c r="J3451" s="78">
        <v>1129</v>
      </c>
      <c r="U3451" s="132" t="s">
        <v>154</v>
      </c>
      <c r="V3451" s="132" t="s">
        <v>302</v>
      </c>
      <c r="W3451" s="132" t="s">
        <v>267</v>
      </c>
      <c r="X3451" s="133">
        <v>41834</v>
      </c>
      <c r="Y3451" s="134">
        <v>790</v>
      </c>
    </row>
    <row r="3452" spans="6:25" x14ac:dyDescent="0.25">
      <c r="F3452" s="76" t="s">
        <v>150</v>
      </c>
      <c r="G3452" s="77" t="s">
        <v>203</v>
      </c>
      <c r="H3452" s="77" t="s">
        <v>158</v>
      </c>
      <c r="I3452" s="86">
        <v>41641</v>
      </c>
      <c r="J3452" s="78">
        <v>1718</v>
      </c>
      <c r="U3452" s="132" t="s">
        <v>154</v>
      </c>
      <c r="V3452" s="132" t="s">
        <v>302</v>
      </c>
      <c r="W3452" s="132" t="s">
        <v>267</v>
      </c>
      <c r="X3452" s="133">
        <v>41834</v>
      </c>
      <c r="Y3452" s="134">
        <v>610</v>
      </c>
    </row>
    <row r="3453" spans="6:25" x14ac:dyDescent="0.25">
      <c r="F3453" s="76" t="s">
        <v>150</v>
      </c>
      <c r="G3453" s="77" t="s">
        <v>203</v>
      </c>
      <c r="H3453" s="77" t="s">
        <v>158</v>
      </c>
      <c r="I3453" s="86">
        <v>41646</v>
      </c>
      <c r="J3453" s="78">
        <v>1366</v>
      </c>
      <c r="U3453" s="132" t="s">
        <v>154</v>
      </c>
      <c r="V3453" s="132" t="s">
        <v>302</v>
      </c>
      <c r="W3453" s="132" t="s">
        <v>267</v>
      </c>
      <c r="X3453" s="133">
        <v>41835</v>
      </c>
      <c r="Y3453" s="134">
        <v>313</v>
      </c>
    </row>
    <row r="3454" spans="6:25" x14ac:dyDescent="0.25">
      <c r="F3454" s="76" t="s">
        <v>150</v>
      </c>
      <c r="G3454" s="77" t="s">
        <v>203</v>
      </c>
      <c r="H3454" s="77" t="s">
        <v>158</v>
      </c>
      <c r="I3454" s="86">
        <v>41647</v>
      </c>
      <c r="J3454" s="78">
        <v>1222</v>
      </c>
      <c r="U3454" s="132" t="s">
        <v>154</v>
      </c>
      <c r="V3454" s="132" t="s">
        <v>302</v>
      </c>
      <c r="W3454" s="132" t="s">
        <v>267</v>
      </c>
      <c r="X3454" s="133">
        <v>41835</v>
      </c>
      <c r="Y3454" s="134">
        <v>770</v>
      </c>
    </row>
    <row r="3455" spans="6:25" x14ac:dyDescent="0.25">
      <c r="F3455" s="76" t="s">
        <v>150</v>
      </c>
      <c r="G3455" s="77" t="s">
        <v>203</v>
      </c>
      <c r="H3455" s="77" t="s">
        <v>158</v>
      </c>
      <c r="I3455" s="86">
        <v>41651</v>
      </c>
      <c r="J3455" s="78">
        <v>917</v>
      </c>
      <c r="U3455" s="132" t="s">
        <v>154</v>
      </c>
      <c r="V3455" s="132" t="s">
        <v>302</v>
      </c>
      <c r="W3455" s="132" t="s">
        <v>267</v>
      </c>
      <c r="X3455" s="133">
        <v>41836</v>
      </c>
      <c r="Y3455" s="134">
        <v>749</v>
      </c>
    </row>
    <row r="3456" spans="6:25" x14ac:dyDescent="0.25">
      <c r="F3456" s="76" t="s">
        <v>150</v>
      </c>
      <c r="G3456" s="77" t="s">
        <v>203</v>
      </c>
      <c r="H3456" s="77" t="s">
        <v>158</v>
      </c>
      <c r="I3456" s="86">
        <v>41655</v>
      </c>
      <c r="J3456" s="78">
        <v>1064</v>
      </c>
      <c r="U3456" s="132" t="s">
        <v>154</v>
      </c>
      <c r="V3456" s="132" t="s">
        <v>302</v>
      </c>
      <c r="W3456" s="132" t="s">
        <v>267</v>
      </c>
      <c r="X3456" s="133">
        <v>41836</v>
      </c>
      <c r="Y3456" s="134">
        <v>358</v>
      </c>
    </row>
    <row r="3457" spans="6:25" x14ac:dyDescent="0.25">
      <c r="F3457" s="76" t="s">
        <v>150</v>
      </c>
      <c r="G3457" s="77" t="s">
        <v>203</v>
      </c>
      <c r="H3457" s="77" t="s">
        <v>158</v>
      </c>
      <c r="I3457" s="86">
        <v>41660</v>
      </c>
      <c r="J3457" s="78">
        <v>700</v>
      </c>
      <c r="U3457" s="132" t="s">
        <v>154</v>
      </c>
      <c r="V3457" s="132" t="s">
        <v>302</v>
      </c>
      <c r="W3457" s="132" t="s">
        <v>267</v>
      </c>
      <c r="X3457" s="133">
        <v>41837</v>
      </c>
      <c r="Y3457" s="134">
        <v>330</v>
      </c>
    </row>
    <row r="3458" spans="6:25" x14ac:dyDescent="0.25">
      <c r="F3458" s="76" t="s">
        <v>150</v>
      </c>
      <c r="G3458" s="77" t="s">
        <v>203</v>
      </c>
      <c r="H3458" s="77" t="s">
        <v>158</v>
      </c>
      <c r="I3458" s="86">
        <v>41662</v>
      </c>
      <c r="J3458" s="78">
        <v>738</v>
      </c>
      <c r="U3458" s="132" t="s">
        <v>154</v>
      </c>
      <c r="V3458" s="132" t="s">
        <v>302</v>
      </c>
      <c r="W3458" s="132" t="s">
        <v>267</v>
      </c>
      <c r="X3458" s="133">
        <v>41837</v>
      </c>
      <c r="Y3458" s="134">
        <v>736</v>
      </c>
    </row>
    <row r="3459" spans="6:25" x14ac:dyDescent="0.25">
      <c r="F3459" s="76" t="s">
        <v>150</v>
      </c>
      <c r="G3459" s="77" t="s">
        <v>203</v>
      </c>
      <c r="H3459" s="77" t="s">
        <v>158</v>
      </c>
      <c r="I3459" s="86">
        <v>41664</v>
      </c>
      <c r="J3459" s="78">
        <v>1021</v>
      </c>
      <c r="U3459" s="132" t="s">
        <v>154</v>
      </c>
      <c r="V3459" s="132" t="s">
        <v>302</v>
      </c>
      <c r="W3459" s="132" t="s">
        <v>267</v>
      </c>
      <c r="X3459" s="133">
        <v>41838</v>
      </c>
      <c r="Y3459" s="134">
        <v>740</v>
      </c>
    </row>
    <row r="3460" spans="6:25" x14ac:dyDescent="0.25">
      <c r="F3460" s="76" t="s">
        <v>150</v>
      </c>
      <c r="G3460" s="77" t="s">
        <v>203</v>
      </c>
      <c r="H3460" s="77" t="s">
        <v>158</v>
      </c>
      <c r="I3460" s="86">
        <v>41665</v>
      </c>
      <c r="J3460" s="78">
        <v>430</v>
      </c>
      <c r="U3460" s="132" t="s">
        <v>154</v>
      </c>
      <c r="V3460" s="132" t="s">
        <v>302</v>
      </c>
      <c r="W3460" s="132" t="s">
        <v>267</v>
      </c>
      <c r="X3460" s="133">
        <v>41838</v>
      </c>
      <c r="Y3460" s="134">
        <v>348</v>
      </c>
    </row>
    <row r="3461" spans="6:25" x14ac:dyDescent="0.25">
      <c r="F3461" s="76" t="s">
        <v>150</v>
      </c>
      <c r="G3461" s="77" t="s">
        <v>203</v>
      </c>
      <c r="H3461" s="77" t="s">
        <v>158</v>
      </c>
      <c r="I3461" s="86">
        <v>41665</v>
      </c>
      <c r="J3461" s="78">
        <v>775</v>
      </c>
      <c r="U3461" s="132" t="s">
        <v>154</v>
      </c>
      <c r="V3461" s="132" t="s">
        <v>302</v>
      </c>
      <c r="W3461" s="132" t="s">
        <v>267</v>
      </c>
      <c r="X3461" s="133">
        <v>41841</v>
      </c>
      <c r="Y3461" s="134">
        <v>367</v>
      </c>
    </row>
    <row r="3462" spans="6:25" x14ac:dyDescent="0.25">
      <c r="F3462" s="76" t="s">
        <v>150</v>
      </c>
      <c r="G3462" s="77" t="s">
        <v>203</v>
      </c>
      <c r="H3462" s="77" t="s">
        <v>158</v>
      </c>
      <c r="I3462" s="86">
        <v>41667</v>
      </c>
      <c r="J3462" s="78">
        <v>932</v>
      </c>
      <c r="U3462" s="132" t="s">
        <v>154</v>
      </c>
      <c r="V3462" s="132" t="s">
        <v>302</v>
      </c>
      <c r="W3462" s="132" t="s">
        <v>267</v>
      </c>
      <c r="X3462" s="133">
        <v>41841</v>
      </c>
      <c r="Y3462" s="134">
        <v>740</v>
      </c>
    </row>
    <row r="3463" spans="6:25" x14ac:dyDescent="0.25">
      <c r="F3463" s="76" t="s">
        <v>150</v>
      </c>
      <c r="G3463" s="77" t="s">
        <v>203</v>
      </c>
      <c r="H3463" s="77" t="s">
        <v>158</v>
      </c>
      <c r="I3463" s="86">
        <v>41668</v>
      </c>
      <c r="J3463" s="78">
        <v>816</v>
      </c>
      <c r="U3463" s="132" t="s">
        <v>154</v>
      </c>
      <c r="V3463" s="132" t="s">
        <v>302</v>
      </c>
      <c r="W3463" s="132" t="s">
        <v>267</v>
      </c>
      <c r="X3463" s="133">
        <v>41842</v>
      </c>
      <c r="Y3463" s="134">
        <v>363</v>
      </c>
    </row>
    <row r="3464" spans="6:25" x14ac:dyDescent="0.25">
      <c r="F3464" s="76" t="s">
        <v>150</v>
      </c>
      <c r="G3464" s="77" t="s">
        <v>203</v>
      </c>
      <c r="H3464" s="77" t="s">
        <v>158</v>
      </c>
      <c r="I3464" s="86">
        <v>41670</v>
      </c>
      <c r="J3464" s="78">
        <v>702</v>
      </c>
      <c r="U3464" s="132" t="s">
        <v>154</v>
      </c>
      <c r="V3464" s="132" t="s">
        <v>302</v>
      </c>
      <c r="W3464" s="132" t="s">
        <v>267</v>
      </c>
      <c r="X3464" s="133">
        <v>41842</v>
      </c>
      <c r="Y3464" s="134">
        <v>781</v>
      </c>
    </row>
    <row r="3465" spans="6:25" x14ac:dyDescent="0.25">
      <c r="F3465" s="76" t="s">
        <v>150</v>
      </c>
      <c r="G3465" s="77" t="s">
        <v>203</v>
      </c>
      <c r="H3465" s="77" t="s">
        <v>158</v>
      </c>
      <c r="I3465" s="86">
        <v>41674</v>
      </c>
      <c r="J3465" s="78">
        <v>1119</v>
      </c>
      <c r="U3465" s="132" t="s">
        <v>154</v>
      </c>
      <c r="V3465" s="132" t="s">
        <v>302</v>
      </c>
      <c r="W3465" s="132" t="s">
        <v>267</v>
      </c>
      <c r="X3465" s="133">
        <v>41843</v>
      </c>
      <c r="Y3465" s="134">
        <v>1046</v>
      </c>
    </row>
    <row r="3466" spans="6:25" x14ac:dyDescent="0.25">
      <c r="F3466" s="76" t="s">
        <v>150</v>
      </c>
      <c r="G3466" s="77" t="s">
        <v>203</v>
      </c>
      <c r="H3466" s="77" t="s">
        <v>158</v>
      </c>
      <c r="I3466" s="86">
        <v>41676</v>
      </c>
      <c r="J3466" s="78">
        <v>1260</v>
      </c>
      <c r="U3466" s="132" t="s">
        <v>154</v>
      </c>
      <c r="V3466" s="132" t="s">
        <v>302</v>
      </c>
      <c r="W3466" s="132" t="s">
        <v>267</v>
      </c>
      <c r="X3466" s="133">
        <v>41844</v>
      </c>
      <c r="Y3466" s="134">
        <v>685</v>
      </c>
    </row>
    <row r="3467" spans="6:25" x14ac:dyDescent="0.25">
      <c r="F3467" s="76" t="s">
        <v>150</v>
      </c>
      <c r="G3467" s="77" t="s">
        <v>203</v>
      </c>
      <c r="H3467" s="77" t="s">
        <v>158</v>
      </c>
      <c r="I3467" s="86">
        <v>41682</v>
      </c>
      <c r="J3467" s="78">
        <v>991</v>
      </c>
      <c r="U3467" s="132" t="s">
        <v>154</v>
      </c>
      <c r="V3467" s="132" t="s">
        <v>302</v>
      </c>
      <c r="W3467" s="132" t="s">
        <v>267</v>
      </c>
      <c r="X3467" s="133">
        <v>41845</v>
      </c>
      <c r="Y3467" s="134">
        <v>342</v>
      </c>
    </row>
    <row r="3468" spans="6:25" x14ac:dyDescent="0.25">
      <c r="F3468" s="76" t="s">
        <v>150</v>
      </c>
      <c r="G3468" s="77" t="s">
        <v>203</v>
      </c>
      <c r="H3468" s="77" t="s">
        <v>158</v>
      </c>
      <c r="I3468" s="86">
        <v>41684</v>
      </c>
      <c r="J3468" s="78">
        <v>1409</v>
      </c>
      <c r="U3468" s="132" t="s">
        <v>154</v>
      </c>
      <c r="V3468" s="132" t="s">
        <v>302</v>
      </c>
      <c r="W3468" s="132" t="s">
        <v>267</v>
      </c>
      <c r="X3468" s="133">
        <v>41845</v>
      </c>
      <c r="Y3468" s="134">
        <v>700</v>
      </c>
    </row>
    <row r="3469" spans="6:25" x14ac:dyDescent="0.25">
      <c r="F3469" s="76" t="s">
        <v>150</v>
      </c>
      <c r="G3469" s="77" t="s">
        <v>203</v>
      </c>
      <c r="H3469" s="77" t="s">
        <v>158</v>
      </c>
      <c r="I3469" s="86">
        <v>41685</v>
      </c>
      <c r="J3469" s="78">
        <v>503</v>
      </c>
      <c r="U3469" s="132" t="s">
        <v>154</v>
      </c>
      <c r="V3469" s="132" t="s">
        <v>302</v>
      </c>
      <c r="W3469" s="132" t="s">
        <v>267</v>
      </c>
      <c r="X3469" s="133">
        <v>41848</v>
      </c>
      <c r="Y3469" s="134">
        <v>315</v>
      </c>
    </row>
    <row r="3470" spans="6:25" x14ac:dyDescent="0.25">
      <c r="F3470" s="76" t="s">
        <v>150</v>
      </c>
      <c r="G3470" s="77" t="s">
        <v>203</v>
      </c>
      <c r="H3470" s="77" t="s">
        <v>158</v>
      </c>
      <c r="I3470" s="86">
        <v>41686</v>
      </c>
      <c r="J3470" s="78">
        <v>782</v>
      </c>
      <c r="U3470" s="132" t="s">
        <v>154</v>
      </c>
      <c r="V3470" s="132" t="s">
        <v>302</v>
      </c>
      <c r="W3470" s="132" t="s">
        <v>267</v>
      </c>
      <c r="X3470" s="133">
        <v>41848</v>
      </c>
      <c r="Y3470" s="134">
        <v>730</v>
      </c>
    </row>
    <row r="3471" spans="6:25" x14ac:dyDescent="0.25">
      <c r="F3471" s="76" t="s">
        <v>150</v>
      </c>
      <c r="G3471" s="77" t="s">
        <v>203</v>
      </c>
      <c r="H3471" s="77" t="s">
        <v>158</v>
      </c>
      <c r="I3471" s="86">
        <v>41688</v>
      </c>
      <c r="J3471" s="78">
        <v>1463</v>
      </c>
      <c r="U3471" s="132" t="s">
        <v>154</v>
      </c>
      <c r="V3471" s="132" t="s">
        <v>302</v>
      </c>
      <c r="W3471" s="132" t="s">
        <v>267</v>
      </c>
      <c r="X3471" s="133">
        <v>41849</v>
      </c>
      <c r="Y3471" s="134">
        <v>725</v>
      </c>
    </row>
    <row r="3472" spans="6:25" x14ac:dyDescent="0.25">
      <c r="F3472" s="76" t="s">
        <v>150</v>
      </c>
      <c r="G3472" s="77" t="s">
        <v>203</v>
      </c>
      <c r="H3472" s="77" t="s">
        <v>158</v>
      </c>
      <c r="I3472" s="86">
        <v>41689</v>
      </c>
      <c r="J3472" s="78">
        <v>830</v>
      </c>
      <c r="U3472" s="132" t="s">
        <v>154</v>
      </c>
      <c r="V3472" s="132" t="s">
        <v>302</v>
      </c>
      <c r="W3472" s="132" t="s">
        <v>267</v>
      </c>
      <c r="X3472" s="133">
        <v>41849</v>
      </c>
      <c r="Y3472" s="134">
        <v>321</v>
      </c>
    </row>
    <row r="3473" spans="6:25" x14ac:dyDescent="0.25">
      <c r="F3473" s="76" t="s">
        <v>150</v>
      </c>
      <c r="G3473" s="77" t="s">
        <v>203</v>
      </c>
      <c r="H3473" s="77" t="s">
        <v>158</v>
      </c>
      <c r="I3473" s="86">
        <v>41690</v>
      </c>
      <c r="J3473" s="78">
        <v>1308</v>
      </c>
      <c r="U3473" s="132" t="s">
        <v>154</v>
      </c>
      <c r="V3473" s="132" t="s">
        <v>302</v>
      </c>
      <c r="W3473" s="132" t="s">
        <v>267</v>
      </c>
      <c r="X3473" s="133">
        <v>41850</v>
      </c>
      <c r="Y3473" s="134">
        <v>305</v>
      </c>
    </row>
    <row r="3474" spans="6:25" x14ac:dyDescent="0.25">
      <c r="F3474" s="76" t="s">
        <v>150</v>
      </c>
      <c r="G3474" s="77" t="s">
        <v>203</v>
      </c>
      <c r="H3474" s="77" t="s">
        <v>158</v>
      </c>
      <c r="I3474" s="86">
        <v>41692</v>
      </c>
      <c r="J3474" s="78">
        <v>1236</v>
      </c>
      <c r="U3474" s="132" t="s">
        <v>154</v>
      </c>
      <c r="V3474" s="132" t="s">
        <v>302</v>
      </c>
      <c r="W3474" s="132" t="s">
        <v>267</v>
      </c>
      <c r="X3474" s="133">
        <v>41850</v>
      </c>
      <c r="Y3474" s="134">
        <v>709</v>
      </c>
    </row>
    <row r="3475" spans="6:25" x14ac:dyDescent="0.25">
      <c r="F3475" s="76" t="s">
        <v>150</v>
      </c>
      <c r="G3475" s="77" t="s">
        <v>203</v>
      </c>
      <c r="H3475" s="77" t="s">
        <v>158</v>
      </c>
      <c r="I3475" s="86">
        <v>41694</v>
      </c>
      <c r="J3475" s="78">
        <v>944</v>
      </c>
      <c r="U3475" s="132" t="s">
        <v>154</v>
      </c>
      <c r="V3475" s="132" t="s">
        <v>302</v>
      </c>
      <c r="W3475" s="132" t="s">
        <v>267</v>
      </c>
      <c r="X3475" s="133">
        <v>41851</v>
      </c>
      <c r="Y3475" s="134">
        <v>760</v>
      </c>
    </row>
    <row r="3476" spans="6:25" x14ac:dyDescent="0.25">
      <c r="F3476" s="76" t="s">
        <v>150</v>
      </c>
      <c r="G3476" s="77" t="s">
        <v>203</v>
      </c>
      <c r="H3476" s="77" t="s">
        <v>158</v>
      </c>
      <c r="I3476" s="86">
        <v>41697</v>
      </c>
      <c r="J3476" s="78">
        <v>1543</v>
      </c>
      <c r="U3476" s="132" t="s">
        <v>154</v>
      </c>
      <c r="V3476" s="132" t="s">
        <v>302</v>
      </c>
      <c r="W3476" s="132" t="s">
        <v>267</v>
      </c>
      <c r="X3476" s="133">
        <v>41851</v>
      </c>
      <c r="Y3476" s="134">
        <v>673</v>
      </c>
    </row>
    <row r="3477" spans="6:25" x14ac:dyDescent="0.25">
      <c r="F3477" s="76" t="s">
        <v>150</v>
      </c>
      <c r="G3477" s="77" t="s">
        <v>203</v>
      </c>
      <c r="H3477" s="77" t="s">
        <v>158</v>
      </c>
      <c r="I3477" s="86">
        <v>41698</v>
      </c>
      <c r="J3477" s="78">
        <v>1609</v>
      </c>
      <c r="U3477" s="132" t="s">
        <v>154</v>
      </c>
      <c r="V3477" s="132" t="s">
        <v>302</v>
      </c>
      <c r="W3477" s="132" t="s">
        <v>267</v>
      </c>
      <c r="X3477" s="133">
        <v>41852</v>
      </c>
      <c r="Y3477" s="134">
        <v>709</v>
      </c>
    </row>
    <row r="3478" spans="6:25" x14ac:dyDescent="0.25">
      <c r="F3478" s="76" t="s">
        <v>150</v>
      </c>
      <c r="G3478" s="77" t="s">
        <v>203</v>
      </c>
      <c r="H3478" s="77" t="s">
        <v>158</v>
      </c>
      <c r="I3478" s="86">
        <v>41711</v>
      </c>
      <c r="J3478" s="78">
        <v>1051</v>
      </c>
      <c r="U3478" s="132" t="s">
        <v>154</v>
      </c>
      <c r="V3478" s="132" t="s">
        <v>302</v>
      </c>
      <c r="W3478" s="132" t="s">
        <v>267</v>
      </c>
      <c r="X3478" s="133">
        <v>41852</v>
      </c>
      <c r="Y3478" s="134">
        <v>295</v>
      </c>
    </row>
    <row r="3479" spans="6:25" x14ac:dyDescent="0.25">
      <c r="F3479" s="76" t="s">
        <v>150</v>
      </c>
      <c r="G3479" s="77" t="s">
        <v>203</v>
      </c>
      <c r="H3479" s="77" t="s">
        <v>158</v>
      </c>
      <c r="I3479" s="86">
        <v>41715</v>
      </c>
      <c r="J3479" s="78">
        <v>980</v>
      </c>
      <c r="U3479" s="132" t="s">
        <v>154</v>
      </c>
      <c r="V3479" s="132" t="s">
        <v>302</v>
      </c>
      <c r="W3479" s="132" t="s">
        <v>267</v>
      </c>
      <c r="X3479" s="133">
        <v>41854</v>
      </c>
      <c r="Y3479" s="134">
        <v>382</v>
      </c>
    </row>
    <row r="3480" spans="6:25" x14ac:dyDescent="0.25">
      <c r="F3480" s="76" t="s">
        <v>150</v>
      </c>
      <c r="G3480" s="77" t="s">
        <v>203</v>
      </c>
      <c r="H3480" s="77" t="s">
        <v>158</v>
      </c>
      <c r="I3480" s="86">
        <v>41716</v>
      </c>
      <c r="J3480" s="78">
        <v>741</v>
      </c>
      <c r="U3480" s="132" t="s">
        <v>154</v>
      </c>
      <c r="V3480" s="132" t="s">
        <v>302</v>
      </c>
      <c r="W3480" s="132" t="s">
        <v>267</v>
      </c>
      <c r="X3480" s="133">
        <v>41855</v>
      </c>
      <c r="Y3480" s="134">
        <v>316</v>
      </c>
    </row>
    <row r="3481" spans="6:25" x14ac:dyDescent="0.25">
      <c r="F3481" s="76" t="s">
        <v>150</v>
      </c>
      <c r="G3481" s="77" t="s">
        <v>203</v>
      </c>
      <c r="H3481" s="77" t="s">
        <v>158</v>
      </c>
      <c r="I3481" s="86">
        <v>41717</v>
      </c>
      <c r="J3481" s="78">
        <v>1162</v>
      </c>
      <c r="U3481" s="132" t="s">
        <v>154</v>
      </c>
      <c r="V3481" s="132" t="s">
        <v>302</v>
      </c>
      <c r="W3481" s="132" t="s">
        <v>267</v>
      </c>
      <c r="X3481" s="133">
        <v>41856</v>
      </c>
      <c r="Y3481" s="134">
        <v>737</v>
      </c>
    </row>
    <row r="3482" spans="6:25" x14ac:dyDescent="0.25">
      <c r="F3482" s="76" t="s">
        <v>150</v>
      </c>
      <c r="G3482" s="77" t="s">
        <v>203</v>
      </c>
      <c r="H3482" s="77" t="s">
        <v>158</v>
      </c>
      <c r="I3482" s="86">
        <v>41719</v>
      </c>
      <c r="J3482" s="78">
        <v>1588</v>
      </c>
      <c r="U3482" s="132" t="s">
        <v>154</v>
      </c>
      <c r="V3482" s="132" t="s">
        <v>302</v>
      </c>
      <c r="W3482" s="132" t="s">
        <v>267</v>
      </c>
      <c r="X3482" s="133">
        <v>41857</v>
      </c>
      <c r="Y3482" s="134">
        <v>690</v>
      </c>
    </row>
    <row r="3483" spans="6:25" x14ac:dyDescent="0.25">
      <c r="F3483" s="76" t="s">
        <v>150</v>
      </c>
      <c r="G3483" s="77" t="s">
        <v>203</v>
      </c>
      <c r="H3483" s="77" t="s">
        <v>158</v>
      </c>
      <c r="I3483" s="86">
        <v>41726</v>
      </c>
      <c r="J3483" s="78">
        <v>1004</v>
      </c>
      <c r="U3483" s="132" t="s">
        <v>154</v>
      </c>
      <c r="V3483" s="132" t="s">
        <v>302</v>
      </c>
      <c r="W3483" s="132" t="s">
        <v>267</v>
      </c>
      <c r="X3483" s="133">
        <v>41858</v>
      </c>
      <c r="Y3483" s="134">
        <v>296</v>
      </c>
    </row>
    <row r="3484" spans="6:25" x14ac:dyDescent="0.25">
      <c r="F3484" s="76" t="s">
        <v>150</v>
      </c>
      <c r="G3484" s="77" t="s">
        <v>203</v>
      </c>
      <c r="H3484" s="77" t="s">
        <v>158</v>
      </c>
      <c r="I3484" s="86">
        <v>41730</v>
      </c>
      <c r="J3484" s="78">
        <v>608</v>
      </c>
      <c r="U3484" s="132" t="s">
        <v>154</v>
      </c>
      <c r="V3484" s="132" t="s">
        <v>302</v>
      </c>
      <c r="W3484" s="132" t="s">
        <v>267</v>
      </c>
      <c r="X3484" s="133">
        <v>41859</v>
      </c>
      <c r="Y3484" s="134">
        <v>850</v>
      </c>
    </row>
    <row r="3485" spans="6:25" x14ac:dyDescent="0.25">
      <c r="F3485" s="76" t="s">
        <v>150</v>
      </c>
      <c r="G3485" s="77" t="s">
        <v>203</v>
      </c>
      <c r="H3485" s="77" t="s">
        <v>158</v>
      </c>
      <c r="I3485" s="86">
        <v>41732</v>
      </c>
      <c r="J3485" s="78">
        <v>1255</v>
      </c>
      <c r="U3485" s="132" t="s">
        <v>154</v>
      </c>
      <c r="V3485" s="132" t="s">
        <v>302</v>
      </c>
      <c r="W3485" s="132" t="s">
        <v>267</v>
      </c>
      <c r="X3485" s="133">
        <v>41861</v>
      </c>
      <c r="Y3485" s="134">
        <v>342</v>
      </c>
    </row>
    <row r="3486" spans="6:25" x14ac:dyDescent="0.25">
      <c r="F3486" s="76" t="s">
        <v>150</v>
      </c>
      <c r="G3486" s="77" t="s">
        <v>203</v>
      </c>
      <c r="H3486" s="77" t="s">
        <v>158</v>
      </c>
      <c r="I3486" s="86">
        <v>41734</v>
      </c>
      <c r="J3486" s="78">
        <v>671</v>
      </c>
      <c r="U3486" s="132" t="s">
        <v>154</v>
      </c>
      <c r="V3486" s="132" t="s">
        <v>302</v>
      </c>
      <c r="W3486" s="132" t="s">
        <v>267</v>
      </c>
      <c r="X3486" s="133">
        <v>41862</v>
      </c>
      <c r="Y3486" s="134">
        <v>253</v>
      </c>
    </row>
    <row r="3487" spans="6:25" x14ac:dyDescent="0.25">
      <c r="F3487" s="76" t="s">
        <v>150</v>
      </c>
      <c r="G3487" s="77" t="s">
        <v>203</v>
      </c>
      <c r="H3487" s="77" t="s">
        <v>158</v>
      </c>
      <c r="I3487" s="86">
        <v>41734</v>
      </c>
      <c r="J3487" s="78">
        <v>604</v>
      </c>
      <c r="U3487" s="132" t="s">
        <v>154</v>
      </c>
      <c r="V3487" s="132" t="s">
        <v>302</v>
      </c>
      <c r="W3487" s="132" t="s">
        <v>267</v>
      </c>
      <c r="X3487" s="133">
        <v>41862</v>
      </c>
      <c r="Y3487" s="134">
        <v>750</v>
      </c>
    </row>
    <row r="3488" spans="6:25" x14ac:dyDescent="0.25">
      <c r="F3488" s="76" t="s">
        <v>150</v>
      </c>
      <c r="G3488" s="77" t="s">
        <v>203</v>
      </c>
      <c r="H3488" s="77" t="s">
        <v>158</v>
      </c>
      <c r="I3488" s="86">
        <v>41737</v>
      </c>
      <c r="J3488" s="78">
        <v>1298</v>
      </c>
      <c r="U3488" s="132" t="s">
        <v>154</v>
      </c>
      <c r="V3488" s="132" t="s">
        <v>302</v>
      </c>
      <c r="W3488" s="132" t="s">
        <v>267</v>
      </c>
      <c r="X3488" s="133">
        <v>41863</v>
      </c>
      <c r="Y3488" s="134">
        <v>660</v>
      </c>
    </row>
    <row r="3489" spans="6:25" x14ac:dyDescent="0.25">
      <c r="F3489" s="76" t="s">
        <v>150</v>
      </c>
      <c r="G3489" s="77" t="s">
        <v>203</v>
      </c>
      <c r="H3489" s="77" t="s">
        <v>158</v>
      </c>
      <c r="I3489" s="86">
        <v>41742</v>
      </c>
      <c r="J3489" s="78">
        <v>845</v>
      </c>
      <c r="U3489" s="132" t="s">
        <v>154</v>
      </c>
      <c r="V3489" s="132" t="s">
        <v>302</v>
      </c>
      <c r="W3489" s="132" t="s">
        <v>267</v>
      </c>
      <c r="X3489" s="133">
        <v>41864</v>
      </c>
      <c r="Y3489" s="134">
        <v>327</v>
      </c>
    </row>
    <row r="3490" spans="6:25" x14ac:dyDescent="0.25">
      <c r="F3490" s="76" t="s">
        <v>150</v>
      </c>
      <c r="G3490" s="77" t="s">
        <v>203</v>
      </c>
      <c r="H3490" s="77" t="s">
        <v>158</v>
      </c>
      <c r="I3490" s="86">
        <v>41744</v>
      </c>
      <c r="J3490" s="78">
        <v>1610</v>
      </c>
      <c r="U3490" s="132" t="s">
        <v>154</v>
      </c>
      <c r="V3490" s="132" t="s">
        <v>302</v>
      </c>
      <c r="W3490" s="132" t="s">
        <v>267</v>
      </c>
      <c r="X3490" s="133">
        <v>41864</v>
      </c>
      <c r="Y3490" s="134">
        <v>791</v>
      </c>
    </row>
    <row r="3491" spans="6:25" x14ac:dyDescent="0.25">
      <c r="F3491" s="76" t="s">
        <v>150</v>
      </c>
      <c r="G3491" s="77" t="s">
        <v>203</v>
      </c>
      <c r="H3491" s="77" t="s">
        <v>158</v>
      </c>
      <c r="I3491" s="86">
        <v>41746</v>
      </c>
      <c r="J3491" s="78">
        <v>1048</v>
      </c>
      <c r="U3491" s="132" t="s">
        <v>154</v>
      </c>
      <c r="V3491" s="132" t="s">
        <v>302</v>
      </c>
      <c r="W3491" s="132" t="s">
        <v>267</v>
      </c>
      <c r="X3491" s="133">
        <v>41865</v>
      </c>
      <c r="Y3491" s="134">
        <v>831</v>
      </c>
    </row>
    <row r="3492" spans="6:25" x14ac:dyDescent="0.25">
      <c r="F3492" s="76" t="s">
        <v>150</v>
      </c>
      <c r="G3492" s="77" t="s">
        <v>203</v>
      </c>
      <c r="H3492" s="77" t="s">
        <v>158</v>
      </c>
      <c r="I3492" s="86">
        <v>41747</v>
      </c>
      <c r="J3492" s="78">
        <v>612</v>
      </c>
      <c r="U3492" s="132" t="s">
        <v>154</v>
      </c>
      <c r="V3492" s="132" t="s">
        <v>302</v>
      </c>
      <c r="W3492" s="132" t="s">
        <v>267</v>
      </c>
      <c r="X3492" s="133">
        <v>41866</v>
      </c>
      <c r="Y3492" s="134">
        <v>560</v>
      </c>
    </row>
    <row r="3493" spans="6:25" x14ac:dyDescent="0.25">
      <c r="F3493" s="76" t="s">
        <v>150</v>
      </c>
      <c r="G3493" s="77" t="s">
        <v>203</v>
      </c>
      <c r="H3493" s="77" t="s">
        <v>158</v>
      </c>
      <c r="I3493" s="86">
        <v>41748</v>
      </c>
      <c r="J3493" s="78">
        <v>829</v>
      </c>
      <c r="U3493" s="132" t="s">
        <v>154</v>
      </c>
      <c r="V3493" s="132" t="s">
        <v>302</v>
      </c>
      <c r="W3493" s="132" t="s">
        <v>267</v>
      </c>
      <c r="X3493" s="133">
        <v>41866</v>
      </c>
      <c r="Y3493" s="134">
        <v>701</v>
      </c>
    </row>
    <row r="3494" spans="6:25" x14ac:dyDescent="0.25">
      <c r="F3494" s="76" t="s">
        <v>150</v>
      </c>
      <c r="G3494" s="77" t="s">
        <v>203</v>
      </c>
      <c r="H3494" s="77" t="s">
        <v>158</v>
      </c>
      <c r="I3494" s="86">
        <v>41749</v>
      </c>
      <c r="J3494" s="78">
        <v>613</v>
      </c>
      <c r="U3494" s="132" t="s">
        <v>154</v>
      </c>
      <c r="V3494" s="132" t="s">
        <v>302</v>
      </c>
      <c r="W3494" s="132" t="s">
        <v>267</v>
      </c>
      <c r="X3494" s="133">
        <v>41869</v>
      </c>
      <c r="Y3494" s="134">
        <v>776</v>
      </c>
    </row>
    <row r="3495" spans="6:25" x14ac:dyDescent="0.25">
      <c r="F3495" s="76" t="s">
        <v>150</v>
      </c>
      <c r="G3495" s="77" t="s">
        <v>203</v>
      </c>
      <c r="H3495" s="77" t="s">
        <v>158</v>
      </c>
      <c r="I3495" s="86">
        <v>41751</v>
      </c>
      <c r="J3495" s="78">
        <v>878</v>
      </c>
      <c r="U3495" s="132" t="s">
        <v>154</v>
      </c>
      <c r="V3495" s="132" t="s">
        <v>302</v>
      </c>
      <c r="W3495" s="132" t="s">
        <v>267</v>
      </c>
      <c r="X3495" s="133">
        <v>41869</v>
      </c>
      <c r="Y3495" s="134">
        <v>321</v>
      </c>
    </row>
    <row r="3496" spans="6:25" x14ac:dyDescent="0.25">
      <c r="F3496" s="76" t="s">
        <v>150</v>
      </c>
      <c r="G3496" s="77" t="s">
        <v>203</v>
      </c>
      <c r="H3496" s="77" t="s">
        <v>158</v>
      </c>
      <c r="I3496" s="86">
        <v>41753</v>
      </c>
      <c r="J3496" s="78">
        <v>905</v>
      </c>
      <c r="U3496" s="132" t="s">
        <v>154</v>
      </c>
      <c r="V3496" s="132" t="s">
        <v>302</v>
      </c>
      <c r="W3496" s="132" t="s">
        <v>267</v>
      </c>
      <c r="X3496" s="133">
        <v>41870</v>
      </c>
      <c r="Y3496" s="134">
        <v>292</v>
      </c>
    </row>
    <row r="3497" spans="6:25" x14ac:dyDescent="0.25">
      <c r="F3497" s="76" t="s">
        <v>150</v>
      </c>
      <c r="G3497" s="77" t="s">
        <v>203</v>
      </c>
      <c r="H3497" s="77" t="s">
        <v>158</v>
      </c>
      <c r="I3497" s="86">
        <v>41758</v>
      </c>
      <c r="J3497" s="78">
        <v>505</v>
      </c>
      <c r="U3497" s="132" t="s">
        <v>154</v>
      </c>
      <c r="V3497" s="132" t="s">
        <v>302</v>
      </c>
      <c r="W3497" s="132" t="s">
        <v>267</v>
      </c>
      <c r="X3497" s="133">
        <v>41870</v>
      </c>
      <c r="Y3497" s="134">
        <v>746</v>
      </c>
    </row>
    <row r="3498" spans="6:25" x14ac:dyDescent="0.25">
      <c r="F3498" s="76" t="s">
        <v>150</v>
      </c>
      <c r="G3498" s="77" t="s">
        <v>203</v>
      </c>
      <c r="H3498" s="77" t="s">
        <v>158</v>
      </c>
      <c r="I3498" s="86">
        <v>41760</v>
      </c>
      <c r="J3498" s="78">
        <v>1029</v>
      </c>
      <c r="U3498" s="132" t="s">
        <v>154</v>
      </c>
      <c r="V3498" s="132" t="s">
        <v>302</v>
      </c>
      <c r="W3498" s="132" t="s">
        <v>267</v>
      </c>
      <c r="X3498" s="133">
        <v>41871</v>
      </c>
      <c r="Y3498" s="134">
        <v>670</v>
      </c>
    </row>
    <row r="3499" spans="6:25" x14ac:dyDescent="0.25">
      <c r="F3499" s="76" t="s">
        <v>150</v>
      </c>
      <c r="G3499" s="77" t="s">
        <v>203</v>
      </c>
      <c r="H3499" s="77" t="s">
        <v>158</v>
      </c>
      <c r="I3499" s="86">
        <v>41763</v>
      </c>
      <c r="J3499" s="78">
        <v>935</v>
      </c>
      <c r="U3499" s="132" t="s">
        <v>154</v>
      </c>
      <c r="V3499" s="132" t="s">
        <v>302</v>
      </c>
      <c r="W3499" s="132" t="s">
        <v>267</v>
      </c>
      <c r="X3499" s="133">
        <v>41872</v>
      </c>
      <c r="Y3499" s="134">
        <v>656</v>
      </c>
    </row>
    <row r="3500" spans="6:25" x14ac:dyDescent="0.25">
      <c r="F3500" s="76" t="s">
        <v>150</v>
      </c>
      <c r="G3500" s="77" t="s">
        <v>203</v>
      </c>
      <c r="H3500" s="77" t="s">
        <v>158</v>
      </c>
      <c r="I3500" s="86">
        <v>41765</v>
      </c>
      <c r="J3500" s="78">
        <v>1066</v>
      </c>
      <c r="U3500" s="132" t="s">
        <v>154</v>
      </c>
      <c r="V3500" s="132" t="s">
        <v>302</v>
      </c>
      <c r="W3500" s="132" t="s">
        <v>267</v>
      </c>
      <c r="X3500" s="133">
        <v>41873</v>
      </c>
      <c r="Y3500" s="134">
        <v>839</v>
      </c>
    </row>
    <row r="3501" spans="6:25" x14ac:dyDescent="0.25">
      <c r="F3501" s="76" t="s">
        <v>150</v>
      </c>
      <c r="G3501" s="77" t="s">
        <v>203</v>
      </c>
      <c r="H3501" s="77" t="s">
        <v>158</v>
      </c>
      <c r="I3501" s="86">
        <v>41773</v>
      </c>
      <c r="J3501" s="78">
        <v>761</v>
      </c>
      <c r="U3501" s="132" t="s">
        <v>154</v>
      </c>
      <c r="V3501" s="132" t="s">
        <v>302</v>
      </c>
      <c r="W3501" s="132" t="s">
        <v>267</v>
      </c>
      <c r="X3501" s="133">
        <v>41876</v>
      </c>
      <c r="Y3501" s="134">
        <v>944</v>
      </c>
    </row>
    <row r="3502" spans="6:25" x14ac:dyDescent="0.25">
      <c r="F3502" s="76" t="s">
        <v>150</v>
      </c>
      <c r="G3502" s="77" t="s">
        <v>203</v>
      </c>
      <c r="H3502" s="77" t="s">
        <v>158</v>
      </c>
      <c r="I3502" s="86">
        <v>41776</v>
      </c>
      <c r="J3502" s="78">
        <v>1140</v>
      </c>
      <c r="U3502" s="132" t="s">
        <v>154</v>
      </c>
      <c r="V3502" s="132" t="s">
        <v>302</v>
      </c>
      <c r="W3502" s="132" t="s">
        <v>267</v>
      </c>
      <c r="X3502" s="133">
        <v>41877</v>
      </c>
      <c r="Y3502" s="134">
        <v>410</v>
      </c>
    </row>
    <row r="3503" spans="6:25" x14ac:dyDescent="0.25">
      <c r="F3503" s="76" t="s">
        <v>150</v>
      </c>
      <c r="G3503" s="77" t="s">
        <v>203</v>
      </c>
      <c r="H3503" s="77" t="s">
        <v>158</v>
      </c>
      <c r="I3503" s="86">
        <v>41777</v>
      </c>
      <c r="J3503" s="78">
        <v>230</v>
      </c>
      <c r="U3503" s="132" t="s">
        <v>154</v>
      </c>
      <c r="V3503" s="132" t="s">
        <v>302</v>
      </c>
      <c r="W3503" s="132" t="s">
        <v>267</v>
      </c>
      <c r="X3503" s="133">
        <v>41877</v>
      </c>
      <c r="Y3503" s="134">
        <v>860</v>
      </c>
    </row>
    <row r="3504" spans="6:25" x14ac:dyDescent="0.25">
      <c r="F3504" s="76" t="s">
        <v>150</v>
      </c>
      <c r="G3504" s="77" t="s">
        <v>203</v>
      </c>
      <c r="H3504" s="77" t="s">
        <v>158</v>
      </c>
      <c r="I3504" s="86">
        <v>41779</v>
      </c>
      <c r="J3504" s="78">
        <v>1012</v>
      </c>
      <c r="U3504" s="132" t="s">
        <v>154</v>
      </c>
      <c r="V3504" s="132" t="s">
        <v>302</v>
      </c>
      <c r="W3504" s="132" t="s">
        <v>267</v>
      </c>
      <c r="X3504" s="133">
        <v>41878</v>
      </c>
      <c r="Y3504" s="134">
        <v>657</v>
      </c>
    </row>
    <row r="3505" spans="6:25" x14ac:dyDescent="0.25">
      <c r="F3505" s="76" t="s">
        <v>150</v>
      </c>
      <c r="G3505" s="77" t="s">
        <v>203</v>
      </c>
      <c r="H3505" s="77" t="s">
        <v>158</v>
      </c>
      <c r="I3505" s="86">
        <v>41781</v>
      </c>
      <c r="J3505" s="78">
        <v>1055</v>
      </c>
      <c r="U3505" s="132" t="s">
        <v>154</v>
      </c>
      <c r="V3505" s="132" t="s">
        <v>302</v>
      </c>
      <c r="W3505" s="132" t="s">
        <v>267</v>
      </c>
      <c r="X3505" s="133">
        <v>41900</v>
      </c>
      <c r="Y3505" s="134">
        <v>1276</v>
      </c>
    </row>
    <row r="3506" spans="6:25" x14ac:dyDescent="0.25">
      <c r="F3506" s="76" t="s">
        <v>150</v>
      </c>
      <c r="G3506" s="77" t="s">
        <v>203</v>
      </c>
      <c r="H3506" s="77" t="s">
        <v>158</v>
      </c>
      <c r="I3506" s="86">
        <v>41787</v>
      </c>
      <c r="J3506" s="78">
        <v>510</v>
      </c>
      <c r="U3506" s="132" t="s">
        <v>154</v>
      </c>
      <c r="V3506" s="132" t="s">
        <v>302</v>
      </c>
      <c r="W3506" s="132" t="s">
        <v>267</v>
      </c>
      <c r="X3506" s="133">
        <v>41901</v>
      </c>
      <c r="Y3506" s="134">
        <v>491</v>
      </c>
    </row>
    <row r="3507" spans="6:25" x14ac:dyDescent="0.25">
      <c r="F3507" s="76" t="s">
        <v>150</v>
      </c>
      <c r="G3507" s="77" t="s">
        <v>203</v>
      </c>
      <c r="H3507" s="77" t="s">
        <v>158</v>
      </c>
      <c r="I3507" s="86">
        <v>41789</v>
      </c>
      <c r="J3507" s="78">
        <v>924</v>
      </c>
      <c r="U3507" s="132" t="s">
        <v>154</v>
      </c>
      <c r="V3507" s="132" t="s">
        <v>302</v>
      </c>
      <c r="W3507" s="132" t="s">
        <v>267</v>
      </c>
      <c r="X3507" s="133">
        <v>41902</v>
      </c>
      <c r="Y3507" s="134">
        <v>592</v>
      </c>
    </row>
    <row r="3508" spans="6:25" x14ac:dyDescent="0.25">
      <c r="F3508" s="76" t="s">
        <v>150</v>
      </c>
      <c r="G3508" s="77" t="s">
        <v>203</v>
      </c>
      <c r="H3508" s="77" t="s">
        <v>158</v>
      </c>
      <c r="I3508" s="86">
        <v>41792</v>
      </c>
      <c r="J3508" s="78">
        <v>1417</v>
      </c>
      <c r="U3508" s="132" t="s">
        <v>154</v>
      </c>
      <c r="V3508" s="132" t="s">
        <v>302</v>
      </c>
      <c r="W3508" s="132" t="s">
        <v>267</v>
      </c>
      <c r="X3508" s="133">
        <v>41903</v>
      </c>
      <c r="Y3508" s="134">
        <v>616</v>
      </c>
    </row>
    <row r="3509" spans="6:25" x14ac:dyDescent="0.25">
      <c r="F3509" s="76" t="s">
        <v>150</v>
      </c>
      <c r="G3509" s="77" t="s">
        <v>203</v>
      </c>
      <c r="H3509" s="77" t="s">
        <v>158</v>
      </c>
      <c r="I3509" s="86">
        <v>41793</v>
      </c>
      <c r="J3509" s="78">
        <v>670</v>
      </c>
      <c r="U3509" s="132" t="s">
        <v>154</v>
      </c>
      <c r="V3509" s="132" t="s">
        <v>302</v>
      </c>
      <c r="W3509" s="132" t="s">
        <v>267</v>
      </c>
      <c r="X3509" s="133">
        <v>41904</v>
      </c>
      <c r="Y3509" s="134">
        <v>656</v>
      </c>
    </row>
    <row r="3510" spans="6:25" x14ac:dyDescent="0.25">
      <c r="F3510" s="76" t="s">
        <v>150</v>
      </c>
      <c r="G3510" s="77" t="s">
        <v>203</v>
      </c>
      <c r="H3510" s="77" t="s">
        <v>158</v>
      </c>
      <c r="I3510" s="86">
        <v>41794</v>
      </c>
      <c r="J3510" s="78">
        <v>650</v>
      </c>
      <c r="U3510" s="132" t="s">
        <v>154</v>
      </c>
      <c r="V3510" s="132" t="s">
        <v>302</v>
      </c>
      <c r="W3510" s="132" t="s">
        <v>267</v>
      </c>
      <c r="X3510" s="133">
        <v>41905</v>
      </c>
      <c r="Y3510" s="134">
        <v>545</v>
      </c>
    </row>
    <row r="3511" spans="6:25" x14ac:dyDescent="0.25">
      <c r="F3511" s="76" t="s">
        <v>150</v>
      </c>
      <c r="G3511" s="77" t="s">
        <v>203</v>
      </c>
      <c r="H3511" s="77" t="s">
        <v>158</v>
      </c>
      <c r="I3511" s="86">
        <v>41795</v>
      </c>
      <c r="J3511" s="78">
        <v>1252</v>
      </c>
      <c r="U3511" s="132" t="s">
        <v>154</v>
      </c>
      <c r="V3511" s="132" t="s">
        <v>302</v>
      </c>
      <c r="W3511" s="132" t="s">
        <v>267</v>
      </c>
      <c r="X3511" s="133">
        <v>41905</v>
      </c>
      <c r="Y3511" s="134">
        <v>706</v>
      </c>
    </row>
    <row r="3512" spans="6:25" x14ac:dyDescent="0.25">
      <c r="F3512" s="76" t="s">
        <v>150</v>
      </c>
      <c r="G3512" s="77" t="s">
        <v>203</v>
      </c>
      <c r="H3512" s="77" t="s">
        <v>158</v>
      </c>
      <c r="I3512" s="86">
        <v>41797</v>
      </c>
      <c r="J3512" s="78">
        <v>1327</v>
      </c>
      <c r="U3512" s="132" t="s">
        <v>154</v>
      </c>
      <c r="V3512" s="132" t="s">
        <v>302</v>
      </c>
      <c r="W3512" s="132" t="s">
        <v>267</v>
      </c>
      <c r="X3512" s="133">
        <v>41906</v>
      </c>
      <c r="Y3512" s="134">
        <v>689</v>
      </c>
    </row>
    <row r="3513" spans="6:25" x14ac:dyDescent="0.25">
      <c r="F3513" s="76" t="s">
        <v>150</v>
      </c>
      <c r="G3513" s="77" t="s">
        <v>203</v>
      </c>
      <c r="H3513" s="77" t="s">
        <v>158</v>
      </c>
      <c r="I3513" s="86">
        <v>41798</v>
      </c>
      <c r="J3513" s="78">
        <v>900</v>
      </c>
      <c r="U3513" s="132" t="s">
        <v>154</v>
      </c>
      <c r="V3513" s="132" t="s">
        <v>302</v>
      </c>
      <c r="W3513" s="132" t="s">
        <v>267</v>
      </c>
      <c r="X3513" s="133">
        <v>41906</v>
      </c>
      <c r="Y3513" s="134">
        <v>305</v>
      </c>
    </row>
    <row r="3514" spans="6:25" x14ac:dyDescent="0.25">
      <c r="F3514" s="76" t="s">
        <v>150</v>
      </c>
      <c r="G3514" s="77" t="s">
        <v>203</v>
      </c>
      <c r="H3514" s="77" t="s">
        <v>158</v>
      </c>
      <c r="I3514" s="86">
        <v>41799</v>
      </c>
      <c r="J3514" s="78">
        <v>1243</v>
      </c>
      <c r="U3514" s="132" t="s">
        <v>154</v>
      </c>
      <c r="V3514" s="132" t="s">
        <v>302</v>
      </c>
      <c r="W3514" s="132" t="s">
        <v>267</v>
      </c>
      <c r="X3514" s="133">
        <v>41907</v>
      </c>
      <c r="Y3514" s="134">
        <v>846</v>
      </c>
    </row>
    <row r="3515" spans="6:25" x14ac:dyDescent="0.25">
      <c r="F3515" s="76" t="s">
        <v>150</v>
      </c>
      <c r="G3515" s="77" t="s">
        <v>203</v>
      </c>
      <c r="H3515" s="77" t="s">
        <v>158</v>
      </c>
      <c r="I3515" s="86">
        <v>41813</v>
      </c>
      <c r="J3515" s="78">
        <v>1101</v>
      </c>
      <c r="U3515" s="132" t="s">
        <v>154</v>
      </c>
      <c r="V3515" s="132" t="s">
        <v>302</v>
      </c>
      <c r="W3515" s="132" t="s">
        <v>267</v>
      </c>
      <c r="X3515" s="133">
        <v>41908</v>
      </c>
      <c r="Y3515" s="134">
        <v>1379</v>
      </c>
    </row>
    <row r="3516" spans="6:25" x14ac:dyDescent="0.25">
      <c r="F3516" s="76" t="s">
        <v>150</v>
      </c>
      <c r="G3516" s="77" t="s">
        <v>203</v>
      </c>
      <c r="H3516" s="77" t="s">
        <v>158</v>
      </c>
      <c r="I3516" s="86">
        <v>41814</v>
      </c>
      <c r="J3516" s="78">
        <v>719</v>
      </c>
      <c r="U3516" s="132" t="s">
        <v>154</v>
      </c>
      <c r="V3516" s="132" t="s">
        <v>302</v>
      </c>
      <c r="W3516" s="132" t="s">
        <v>267</v>
      </c>
      <c r="X3516" s="133">
        <v>41911</v>
      </c>
      <c r="Y3516" s="134">
        <v>726</v>
      </c>
    </row>
    <row r="3517" spans="6:25" x14ac:dyDescent="0.25">
      <c r="F3517" s="76" t="s">
        <v>150</v>
      </c>
      <c r="G3517" s="77" t="s">
        <v>203</v>
      </c>
      <c r="H3517" s="77" t="s">
        <v>158</v>
      </c>
      <c r="I3517" s="86">
        <v>41815</v>
      </c>
      <c r="J3517" s="78">
        <v>659</v>
      </c>
      <c r="U3517" s="132" t="s">
        <v>154</v>
      </c>
      <c r="V3517" s="132" t="s">
        <v>302</v>
      </c>
      <c r="W3517" s="132" t="s">
        <v>267</v>
      </c>
      <c r="X3517" s="133">
        <v>41911</v>
      </c>
      <c r="Y3517" s="134">
        <v>588</v>
      </c>
    </row>
    <row r="3518" spans="6:25" x14ac:dyDescent="0.25">
      <c r="F3518" s="76" t="s">
        <v>150</v>
      </c>
      <c r="G3518" s="77" t="s">
        <v>203</v>
      </c>
      <c r="H3518" s="77" t="s">
        <v>158</v>
      </c>
      <c r="I3518" s="86">
        <v>41817</v>
      </c>
      <c r="J3518" s="78">
        <v>1024</v>
      </c>
      <c r="U3518" s="132" t="s">
        <v>154</v>
      </c>
      <c r="V3518" s="132" t="s">
        <v>302</v>
      </c>
      <c r="W3518" s="132" t="s">
        <v>267</v>
      </c>
      <c r="X3518" s="133">
        <v>41912</v>
      </c>
      <c r="Y3518" s="134">
        <v>1192</v>
      </c>
    </row>
    <row r="3519" spans="6:25" x14ac:dyDescent="0.25">
      <c r="F3519" s="76" t="s">
        <v>150</v>
      </c>
      <c r="G3519" s="77" t="s">
        <v>203</v>
      </c>
      <c r="H3519" s="77" t="s">
        <v>158</v>
      </c>
      <c r="I3519" s="86">
        <v>41820</v>
      </c>
      <c r="J3519" s="78">
        <v>956</v>
      </c>
      <c r="U3519" s="132" t="s">
        <v>154</v>
      </c>
      <c r="V3519" s="132" t="s">
        <v>302</v>
      </c>
      <c r="W3519" s="132" t="s">
        <v>267</v>
      </c>
      <c r="X3519" s="133">
        <v>41913</v>
      </c>
      <c r="Y3519" s="134">
        <v>559</v>
      </c>
    </row>
    <row r="3520" spans="6:25" x14ac:dyDescent="0.25">
      <c r="F3520" s="76" t="s">
        <v>150</v>
      </c>
      <c r="G3520" s="77" t="s">
        <v>203</v>
      </c>
      <c r="H3520" s="77" t="s">
        <v>158</v>
      </c>
      <c r="I3520" s="86">
        <v>41822</v>
      </c>
      <c r="J3520" s="78">
        <v>1996</v>
      </c>
      <c r="U3520" s="132" t="s">
        <v>154</v>
      </c>
      <c r="V3520" s="132" t="s">
        <v>302</v>
      </c>
      <c r="W3520" s="132" t="s">
        <v>267</v>
      </c>
      <c r="X3520" s="133">
        <v>41913</v>
      </c>
      <c r="Y3520" s="134">
        <v>719</v>
      </c>
    </row>
    <row r="3521" spans="6:25" x14ac:dyDescent="0.25">
      <c r="F3521" s="76" t="s">
        <v>150</v>
      </c>
      <c r="G3521" s="77" t="s">
        <v>203</v>
      </c>
      <c r="H3521" s="77" t="s">
        <v>158</v>
      </c>
      <c r="I3521" s="86">
        <v>41823</v>
      </c>
      <c r="J3521" s="78">
        <v>1548</v>
      </c>
      <c r="U3521" s="132" t="s">
        <v>154</v>
      </c>
      <c r="V3521" s="132" t="s">
        <v>302</v>
      </c>
      <c r="W3521" s="132" t="s">
        <v>267</v>
      </c>
      <c r="X3521" s="133">
        <v>41914</v>
      </c>
      <c r="Y3521" s="134">
        <v>690</v>
      </c>
    </row>
    <row r="3522" spans="6:25" x14ac:dyDescent="0.25">
      <c r="F3522" s="76" t="s">
        <v>150</v>
      </c>
      <c r="G3522" s="77" t="s">
        <v>203</v>
      </c>
      <c r="H3522" s="77" t="s">
        <v>158</v>
      </c>
      <c r="I3522" s="86">
        <v>41824</v>
      </c>
      <c r="J3522" s="78">
        <v>859</v>
      </c>
      <c r="U3522" s="132" t="s">
        <v>154</v>
      </c>
      <c r="V3522" s="132" t="s">
        <v>302</v>
      </c>
      <c r="W3522" s="132" t="s">
        <v>267</v>
      </c>
      <c r="X3522" s="133">
        <v>41915</v>
      </c>
      <c r="Y3522" s="134">
        <v>855</v>
      </c>
    </row>
    <row r="3523" spans="6:25" x14ac:dyDescent="0.25">
      <c r="F3523" s="76" t="s">
        <v>150</v>
      </c>
      <c r="G3523" s="77" t="s">
        <v>203</v>
      </c>
      <c r="H3523" s="77" t="s">
        <v>158</v>
      </c>
      <c r="I3523" s="86">
        <v>41825</v>
      </c>
      <c r="J3523" s="78">
        <v>887</v>
      </c>
      <c r="U3523" s="132" t="s">
        <v>154</v>
      </c>
      <c r="V3523" s="132" t="s">
        <v>302</v>
      </c>
      <c r="W3523" s="132" t="s">
        <v>267</v>
      </c>
      <c r="X3523" s="133">
        <v>41918</v>
      </c>
      <c r="Y3523" s="134">
        <v>928</v>
      </c>
    </row>
    <row r="3524" spans="6:25" x14ac:dyDescent="0.25">
      <c r="F3524" s="76" t="s">
        <v>150</v>
      </c>
      <c r="G3524" s="77" t="s">
        <v>203</v>
      </c>
      <c r="H3524" s="77" t="s">
        <v>158</v>
      </c>
      <c r="I3524" s="86">
        <v>41826</v>
      </c>
      <c r="J3524" s="78">
        <v>1114</v>
      </c>
      <c r="U3524" s="132" t="s">
        <v>154</v>
      </c>
      <c r="V3524" s="132" t="s">
        <v>302</v>
      </c>
      <c r="W3524" s="132" t="s">
        <v>267</v>
      </c>
      <c r="X3524" s="133">
        <v>41919</v>
      </c>
      <c r="Y3524" s="134">
        <v>667</v>
      </c>
    </row>
    <row r="3525" spans="6:25" x14ac:dyDescent="0.25">
      <c r="F3525" s="76" t="s">
        <v>150</v>
      </c>
      <c r="G3525" s="77" t="s">
        <v>203</v>
      </c>
      <c r="H3525" s="77" t="s">
        <v>158</v>
      </c>
      <c r="I3525" s="86">
        <v>41827</v>
      </c>
      <c r="J3525" s="78">
        <v>1194</v>
      </c>
      <c r="U3525" s="132" t="s">
        <v>154</v>
      </c>
      <c r="V3525" s="132" t="s">
        <v>302</v>
      </c>
      <c r="W3525" s="132" t="s">
        <v>267</v>
      </c>
      <c r="X3525" s="133">
        <v>41920</v>
      </c>
      <c r="Y3525" s="134">
        <v>529</v>
      </c>
    </row>
    <row r="3526" spans="6:25" x14ac:dyDescent="0.25">
      <c r="F3526" s="76" t="s">
        <v>150</v>
      </c>
      <c r="G3526" s="77" t="s">
        <v>203</v>
      </c>
      <c r="H3526" s="77" t="s">
        <v>158</v>
      </c>
      <c r="I3526" s="86">
        <v>41831</v>
      </c>
      <c r="J3526" s="78">
        <v>1568</v>
      </c>
      <c r="U3526" s="132" t="s">
        <v>154</v>
      </c>
      <c r="V3526" s="132" t="s">
        <v>302</v>
      </c>
      <c r="W3526" s="132" t="s">
        <v>267</v>
      </c>
      <c r="X3526" s="133">
        <v>41921</v>
      </c>
      <c r="Y3526" s="134">
        <v>900</v>
      </c>
    </row>
    <row r="3527" spans="6:25" x14ac:dyDescent="0.25">
      <c r="F3527" s="76" t="s">
        <v>150</v>
      </c>
      <c r="G3527" s="77" t="s">
        <v>203</v>
      </c>
      <c r="H3527" s="77" t="s">
        <v>158</v>
      </c>
      <c r="I3527" s="86">
        <v>41832</v>
      </c>
      <c r="J3527" s="78">
        <v>732</v>
      </c>
      <c r="U3527" s="132" t="s">
        <v>154</v>
      </c>
      <c r="V3527" s="132" t="s">
        <v>302</v>
      </c>
      <c r="W3527" s="132" t="s">
        <v>267</v>
      </c>
      <c r="X3527" s="133">
        <v>41921</v>
      </c>
      <c r="Y3527" s="134">
        <v>328</v>
      </c>
    </row>
    <row r="3528" spans="6:25" x14ac:dyDescent="0.25">
      <c r="F3528" s="76" t="s">
        <v>150</v>
      </c>
      <c r="G3528" s="77" t="s">
        <v>203</v>
      </c>
      <c r="H3528" s="77" t="s">
        <v>158</v>
      </c>
      <c r="I3528" s="86">
        <v>41834</v>
      </c>
      <c r="J3528" s="78">
        <v>1453</v>
      </c>
      <c r="U3528" s="132" t="s">
        <v>154</v>
      </c>
      <c r="V3528" s="132" t="s">
        <v>302</v>
      </c>
      <c r="W3528" s="132" t="s">
        <v>267</v>
      </c>
      <c r="X3528" s="133">
        <v>41922</v>
      </c>
      <c r="Y3528" s="134">
        <v>536</v>
      </c>
    </row>
    <row r="3529" spans="6:25" x14ac:dyDescent="0.25">
      <c r="F3529" s="76" t="s">
        <v>150</v>
      </c>
      <c r="G3529" s="77" t="s">
        <v>203</v>
      </c>
      <c r="H3529" s="77" t="s">
        <v>158</v>
      </c>
      <c r="I3529" s="86">
        <v>41835</v>
      </c>
      <c r="J3529" s="78">
        <v>1299</v>
      </c>
      <c r="U3529" s="132" t="s">
        <v>154</v>
      </c>
      <c r="V3529" s="132" t="s">
        <v>302</v>
      </c>
      <c r="W3529" s="132" t="s">
        <v>267</v>
      </c>
      <c r="X3529" s="133">
        <v>41925</v>
      </c>
      <c r="Y3529" s="134">
        <v>745</v>
      </c>
    </row>
    <row r="3530" spans="6:25" x14ac:dyDescent="0.25">
      <c r="F3530" s="76" t="s">
        <v>150</v>
      </c>
      <c r="G3530" s="77" t="s">
        <v>203</v>
      </c>
      <c r="H3530" s="77" t="s">
        <v>158</v>
      </c>
      <c r="I3530" s="86">
        <v>41836</v>
      </c>
      <c r="J3530" s="78">
        <v>952</v>
      </c>
      <c r="U3530" s="132" t="s">
        <v>154</v>
      </c>
      <c r="V3530" s="132" t="s">
        <v>302</v>
      </c>
      <c r="W3530" s="132" t="s">
        <v>267</v>
      </c>
      <c r="X3530" s="133">
        <v>41926</v>
      </c>
      <c r="Y3530" s="134">
        <v>895</v>
      </c>
    </row>
    <row r="3531" spans="6:25" x14ac:dyDescent="0.25">
      <c r="F3531" s="76" t="s">
        <v>150</v>
      </c>
      <c r="G3531" s="77" t="s">
        <v>203</v>
      </c>
      <c r="H3531" s="77" t="s">
        <v>158</v>
      </c>
      <c r="I3531" s="86">
        <v>41853</v>
      </c>
      <c r="J3531" s="78">
        <v>924</v>
      </c>
      <c r="U3531" s="132" t="s">
        <v>154</v>
      </c>
      <c r="V3531" s="132" t="s">
        <v>302</v>
      </c>
      <c r="W3531" s="132" t="s">
        <v>267</v>
      </c>
      <c r="X3531" s="133">
        <v>41927</v>
      </c>
      <c r="Y3531" s="134">
        <v>586</v>
      </c>
    </row>
    <row r="3532" spans="6:25" x14ac:dyDescent="0.25">
      <c r="F3532" s="76" t="s">
        <v>150</v>
      </c>
      <c r="G3532" s="77" t="s">
        <v>203</v>
      </c>
      <c r="H3532" s="77" t="s">
        <v>158</v>
      </c>
      <c r="I3532" s="86">
        <v>41855</v>
      </c>
      <c r="J3532" s="78">
        <v>1288</v>
      </c>
      <c r="U3532" s="132" t="s">
        <v>154</v>
      </c>
      <c r="V3532" s="132" t="s">
        <v>302</v>
      </c>
      <c r="W3532" s="132" t="s">
        <v>267</v>
      </c>
      <c r="X3532" s="133">
        <v>41927</v>
      </c>
      <c r="Y3532" s="134">
        <v>346</v>
      </c>
    </row>
    <row r="3533" spans="6:25" x14ac:dyDescent="0.25">
      <c r="F3533" s="76" t="s">
        <v>150</v>
      </c>
      <c r="G3533" s="77" t="s">
        <v>203</v>
      </c>
      <c r="H3533" s="77" t="s">
        <v>158</v>
      </c>
      <c r="I3533" s="86">
        <v>41857</v>
      </c>
      <c r="J3533" s="78">
        <v>987</v>
      </c>
      <c r="U3533" s="132" t="s">
        <v>154</v>
      </c>
      <c r="V3533" s="132" t="s">
        <v>302</v>
      </c>
      <c r="W3533" s="132" t="s">
        <v>267</v>
      </c>
      <c r="X3533" s="133">
        <v>41928</v>
      </c>
      <c r="Y3533" s="134">
        <v>519</v>
      </c>
    </row>
    <row r="3534" spans="6:25" x14ac:dyDescent="0.25">
      <c r="F3534" s="76" t="s">
        <v>150</v>
      </c>
      <c r="G3534" s="77" t="s">
        <v>203</v>
      </c>
      <c r="H3534" s="77" t="s">
        <v>158</v>
      </c>
      <c r="I3534" s="86">
        <v>41858</v>
      </c>
      <c r="J3534" s="78">
        <v>969</v>
      </c>
      <c r="U3534" s="132" t="s">
        <v>154</v>
      </c>
      <c r="V3534" s="132" t="s">
        <v>303</v>
      </c>
      <c r="W3534" s="132" t="s">
        <v>267</v>
      </c>
      <c r="X3534" s="133">
        <v>41712</v>
      </c>
      <c r="Y3534" s="134">
        <v>784</v>
      </c>
    </row>
    <row r="3535" spans="6:25" x14ac:dyDescent="0.25">
      <c r="F3535" s="76" t="s">
        <v>150</v>
      </c>
      <c r="G3535" s="77" t="s">
        <v>203</v>
      </c>
      <c r="H3535" s="77" t="s">
        <v>158</v>
      </c>
      <c r="I3535" s="86">
        <v>41859</v>
      </c>
      <c r="J3535" s="78">
        <v>792</v>
      </c>
      <c r="U3535" s="132" t="s">
        <v>154</v>
      </c>
      <c r="V3535" s="132" t="s">
        <v>303</v>
      </c>
      <c r="W3535" s="132" t="s">
        <v>267</v>
      </c>
      <c r="X3535" s="133">
        <v>41714</v>
      </c>
      <c r="Y3535" s="134">
        <v>349</v>
      </c>
    </row>
    <row r="3536" spans="6:25" x14ac:dyDescent="0.25">
      <c r="F3536" s="76" t="s">
        <v>150</v>
      </c>
      <c r="G3536" s="77" t="s">
        <v>203</v>
      </c>
      <c r="H3536" s="77" t="s">
        <v>158</v>
      </c>
      <c r="I3536" s="86">
        <v>41866</v>
      </c>
      <c r="J3536" s="78">
        <v>992</v>
      </c>
      <c r="U3536" s="132" t="s">
        <v>154</v>
      </c>
      <c r="V3536" s="132" t="s">
        <v>303</v>
      </c>
      <c r="W3536" s="132" t="s">
        <v>267</v>
      </c>
      <c r="X3536" s="133">
        <v>41729</v>
      </c>
      <c r="Y3536" s="134">
        <v>692</v>
      </c>
    </row>
    <row r="3537" spans="6:25" x14ac:dyDescent="0.25">
      <c r="F3537" s="76" t="s">
        <v>150</v>
      </c>
      <c r="G3537" s="77" t="s">
        <v>203</v>
      </c>
      <c r="H3537" s="77" t="s">
        <v>158</v>
      </c>
      <c r="I3537" s="86">
        <v>41873</v>
      </c>
      <c r="J3537" s="78">
        <v>987</v>
      </c>
      <c r="U3537" s="132" t="s">
        <v>154</v>
      </c>
      <c r="V3537" s="132" t="s">
        <v>303</v>
      </c>
      <c r="W3537" s="132" t="s">
        <v>267</v>
      </c>
      <c r="X3537" s="133">
        <v>41730</v>
      </c>
      <c r="Y3537" s="134">
        <v>495</v>
      </c>
    </row>
    <row r="3538" spans="6:25" x14ac:dyDescent="0.25">
      <c r="F3538" s="76" t="s">
        <v>150</v>
      </c>
      <c r="G3538" s="77" t="s">
        <v>203</v>
      </c>
      <c r="H3538" s="77" t="s">
        <v>158</v>
      </c>
      <c r="I3538" s="86">
        <v>41874</v>
      </c>
      <c r="J3538" s="78">
        <v>838</v>
      </c>
      <c r="U3538" s="132" t="s">
        <v>154</v>
      </c>
      <c r="V3538" s="132" t="s">
        <v>303</v>
      </c>
      <c r="W3538" s="132" t="s">
        <v>267</v>
      </c>
      <c r="X3538" s="133">
        <v>41730</v>
      </c>
      <c r="Y3538" s="134">
        <v>695</v>
      </c>
    </row>
    <row r="3539" spans="6:25" x14ac:dyDescent="0.25">
      <c r="F3539" s="76" t="s">
        <v>150</v>
      </c>
      <c r="G3539" s="77" t="s">
        <v>203</v>
      </c>
      <c r="H3539" s="77" t="s">
        <v>158</v>
      </c>
      <c r="I3539" s="86">
        <v>41875</v>
      </c>
      <c r="J3539" s="78">
        <v>856</v>
      </c>
      <c r="U3539" s="132" t="s">
        <v>154</v>
      </c>
      <c r="V3539" s="132" t="s">
        <v>303</v>
      </c>
      <c r="W3539" s="132" t="s">
        <v>267</v>
      </c>
      <c r="X3539" s="133">
        <v>41731</v>
      </c>
      <c r="Y3539" s="134">
        <v>1370</v>
      </c>
    </row>
    <row r="3540" spans="6:25" x14ac:dyDescent="0.25">
      <c r="F3540" s="76" t="s">
        <v>150</v>
      </c>
      <c r="G3540" s="77" t="s">
        <v>203</v>
      </c>
      <c r="H3540" s="77" t="s">
        <v>158</v>
      </c>
      <c r="I3540" s="86">
        <v>41876</v>
      </c>
      <c r="J3540" s="78">
        <v>823</v>
      </c>
      <c r="U3540" s="132" t="s">
        <v>154</v>
      </c>
      <c r="V3540" s="132" t="s">
        <v>303</v>
      </c>
      <c r="W3540" s="132" t="s">
        <v>267</v>
      </c>
      <c r="X3540" s="133">
        <v>41733</v>
      </c>
      <c r="Y3540" s="134">
        <v>983</v>
      </c>
    </row>
    <row r="3541" spans="6:25" x14ac:dyDescent="0.25">
      <c r="F3541" s="76" t="s">
        <v>150</v>
      </c>
      <c r="G3541" s="77" t="s">
        <v>203</v>
      </c>
      <c r="H3541" s="77" t="s">
        <v>158</v>
      </c>
      <c r="I3541" s="86">
        <v>41880</v>
      </c>
      <c r="J3541" s="78">
        <v>851</v>
      </c>
      <c r="U3541" s="132" t="s">
        <v>154</v>
      </c>
      <c r="V3541" s="132" t="s">
        <v>303</v>
      </c>
      <c r="W3541" s="132" t="s">
        <v>267</v>
      </c>
      <c r="X3541" s="133">
        <v>41736</v>
      </c>
      <c r="Y3541" s="134">
        <v>630</v>
      </c>
    </row>
    <row r="3542" spans="6:25" x14ac:dyDescent="0.25">
      <c r="F3542" s="76" t="s">
        <v>150</v>
      </c>
      <c r="G3542" s="77" t="s">
        <v>203</v>
      </c>
      <c r="H3542" s="77" t="s">
        <v>158</v>
      </c>
      <c r="I3542" s="86">
        <v>41885</v>
      </c>
      <c r="J3542" s="78">
        <v>1222</v>
      </c>
      <c r="U3542" s="132" t="s">
        <v>154</v>
      </c>
      <c r="V3542" s="132" t="s">
        <v>303</v>
      </c>
      <c r="W3542" s="132" t="s">
        <v>267</v>
      </c>
      <c r="X3542" s="133">
        <v>41737</v>
      </c>
      <c r="Y3542" s="134">
        <v>815</v>
      </c>
    </row>
    <row r="3543" spans="6:25" x14ac:dyDescent="0.25">
      <c r="F3543" s="76" t="s">
        <v>150</v>
      </c>
      <c r="G3543" s="77" t="s">
        <v>203</v>
      </c>
      <c r="H3543" s="77" t="s">
        <v>158</v>
      </c>
      <c r="I3543" s="86">
        <v>41898</v>
      </c>
      <c r="J3543" s="78">
        <v>1300</v>
      </c>
      <c r="U3543" s="132" t="s">
        <v>154</v>
      </c>
      <c r="V3543" s="132" t="s">
        <v>303</v>
      </c>
      <c r="W3543" s="132" t="s">
        <v>267</v>
      </c>
      <c r="X3543" s="133">
        <v>41738</v>
      </c>
      <c r="Y3543" s="134">
        <v>1130</v>
      </c>
    </row>
    <row r="3544" spans="6:25" x14ac:dyDescent="0.25">
      <c r="F3544" s="76" t="s">
        <v>150</v>
      </c>
      <c r="G3544" s="77" t="s">
        <v>203</v>
      </c>
      <c r="H3544" s="77" t="s">
        <v>158</v>
      </c>
      <c r="I3544" s="86">
        <v>41905</v>
      </c>
      <c r="J3544" s="78">
        <v>1355</v>
      </c>
      <c r="U3544" s="132" t="s">
        <v>154</v>
      </c>
      <c r="V3544" s="132" t="s">
        <v>303</v>
      </c>
      <c r="W3544" s="132" t="s">
        <v>267</v>
      </c>
      <c r="X3544" s="133">
        <v>41739</v>
      </c>
      <c r="Y3544" s="134">
        <v>331</v>
      </c>
    </row>
    <row r="3545" spans="6:25" x14ac:dyDescent="0.25">
      <c r="F3545" s="76" t="s">
        <v>150</v>
      </c>
      <c r="G3545" s="77" t="s">
        <v>203</v>
      </c>
      <c r="H3545" s="77" t="s">
        <v>158</v>
      </c>
      <c r="I3545" s="86">
        <v>41911</v>
      </c>
      <c r="J3545" s="78">
        <v>1144</v>
      </c>
      <c r="U3545" s="132" t="s">
        <v>154</v>
      </c>
      <c r="V3545" s="132" t="s">
        <v>303</v>
      </c>
      <c r="W3545" s="132" t="s">
        <v>267</v>
      </c>
      <c r="X3545" s="133">
        <v>41739</v>
      </c>
      <c r="Y3545" s="134">
        <v>851</v>
      </c>
    </row>
    <row r="3546" spans="6:25" x14ac:dyDescent="0.25">
      <c r="F3546" s="76" t="s">
        <v>150</v>
      </c>
      <c r="G3546" s="77" t="s">
        <v>203</v>
      </c>
      <c r="H3546" s="77" t="s">
        <v>158</v>
      </c>
      <c r="I3546" s="86">
        <v>41915</v>
      </c>
      <c r="J3546" s="78">
        <v>1392</v>
      </c>
      <c r="U3546" s="132" t="s">
        <v>154</v>
      </c>
      <c r="V3546" s="132" t="s">
        <v>303</v>
      </c>
      <c r="W3546" s="132" t="s">
        <v>267</v>
      </c>
      <c r="X3546" s="133">
        <v>41740</v>
      </c>
      <c r="Y3546" s="134">
        <v>600</v>
      </c>
    </row>
    <row r="3547" spans="6:25" x14ac:dyDescent="0.25">
      <c r="F3547" s="76" t="s">
        <v>150</v>
      </c>
      <c r="G3547" s="77" t="s">
        <v>203</v>
      </c>
      <c r="H3547" s="77" t="s">
        <v>158</v>
      </c>
      <c r="I3547" s="86">
        <v>41921</v>
      </c>
      <c r="J3547" s="78">
        <v>1242</v>
      </c>
      <c r="U3547" s="132" t="s">
        <v>154</v>
      </c>
      <c r="V3547" s="132" t="s">
        <v>303</v>
      </c>
      <c r="W3547" s="132" t="s">
        <v>267</v>
      </c>
      <c r="X3547" s="133">
        <v>41742</v>
      </c>
      <c r="Y3547" s="134">
        <v>616</v>
      </c>
    </row>
    <row r="3548" spans="6:25" x14ac:dyDescent="0.25">
      <c r="F3548" s="76" t="s">
        <v>150</v>
      </c>
      <c r="G3548" s="77" t="s">
        <v>203</v>
      </c>
      <c r="H3548" s="77" t="s">
        <v>158</v>
      </c>
      <c r="I3548" s="86">
        <v>41926</v>
      </c>
      <c r="J3548" s="78">
        <v>1140</v>
      </c>
      <c r="U3548" s="132" t="s">
        <v>154</v>
      </c>
      <c r="V3548" s="132" t="s">
        <v>303</v>
      </c>
      <c r="W3548" s="132" t="s">
        <v>267</v>
      </c>
      <c r="X3548" s="133">
        <v>41743</v>
      </c>
      <c r="Y3548" s="134">
        <v>855</v>
      </c>
    </row>
    <row r="3549" spans="6:25" x14ac:dyDescent="0.25">
      <c r="F3549" s="76" t="s">
        <v>150</v>
      </c>
      <c r="G3549" s="77" t="s">
        <v>203</v>
      </c>
      <c r="H3549" s="77" t="s">
        <v>158</v>
      </c>
      <c r="I3549" s="86">
        <v>41927</v>
      </c>
      <c r="J3549" s="78">
        <v>955</v>
      </c>
      <c r="U3549" s="132" t="s">
        <v>154</v>
      </c>
      <c r="V3549" s="132" t="s">
        <v>303</v>
      </c>
      <c r="W3549" s="132" t="s">
        <v>267</v>
      </c>
      <c r="X3549" s="133">
        <v>41744</v>
      </c>
      <c r="Y3549" s="134">
        <v>1070</v>
      </c>
    </row>
    <row r="3550" spans="6:25" x14ac:dyDescent="0.25">
      <c r="F3550" s="76" t="s">
        <v>150</v>
      </c>
      <c r="G3550" s="77" t="s">
        <v>203</v>
      </c>
      <c r="H3550" s="77" t="s">
        <v>158</v>
      </c>
      <c r="I3550" s="86">
        <v>41933</v>
      </c>
      <c r="J3550" s="78">
        <v>1021</v>
      </c>
      <c r="U3550" s="132" t="s">
        <v>154</v>
      </c>
      <c r="V3550" s="132" t="s">
        <v>303</v>
      </c>
      <c r="W3550" s="132" t="s">
        <v>267</v>
      </c>
      <c r="X3550" s="133">
        <v>41744</v>
      </c>
      <c r="Y3550" s="134">
        <v>737</v>
      </c>
    </row>
    <row r="3551" spans="6:25" x14ac:dyDescent="0.25">
      <c r="F3551" s="76" t="s">
        <v>150</v>
      </c>
      <c r="G3551" s="77" t="s">
        <v>203</v>
      </c>
      <c r="H3551" s="77" t="s">
        <v>158</v>
      </c>
      <c r="I3551" s="86">
        <v>41935</v>
      </c>
      <c r="J3551" s="78">
        <v>1176</v>
      </c>
      <c r="U3551" s="132" t="s">
        <v>154</v>
      </c>
      <c r="V3551" s="132" t="s">
        <v>303</v>
      </c>
      <c r="W3551" s="132" t="s">
        <v>267</v>
      </c>
      <c r="X3551" s="133">
        <v>41745</v>
      </c>
      <c r="Y3551" s="134">
        <v>680</v>
      </c>
    </row>
    <row r="3552" spans="6:25" x14ac:dyDescent="0.25">
      <c r="F3552" s="76" t="s">
        <v>150</v>
      </c>
      <c r="G3552" s="77" t="s">
        <v>203</v>
      </c>
      <c r="H3552" s="77" t="s">
        <v>158</v>
      </c>
      <c r="I3552" s="86">
        <v>41936</v>
      </c>
      <c r="J3552" s="78">
        <v>864</v>
      </c>
      <c r="U3552" s="132" t="s">
        <v>154</v>
      </c>
      <c r="V3552" s="132" t="s">
        <v>303</v>
      </c>
      <c r="W3552" s="132" t="s">
        <v>267</v>
      </c>
      <c r="X3552" s="133">
        <v>41746</v>
      </c>
      <c r="Y3552" s="134">
        <v>1000</v>
      </c>
    </row>
    <row r="3553" spans="6:25" x14ac:dyDescent="0.25">
      <c r="F3553" s="76" t="s">
        <v>150</v>
      </c>
      <c r="G3553" s="77" t="s">
        <v>203</v>
      </c>
      <c r="H3553" s="77" t="s">
        <v>158</v>
      </c>
      <c r="I3553" s="86">
        <v>41937</v>
      </c>
      <c r="J3553" s="78">
        <v>392</v>
      </c>
      <c r="U3553" s="132" t="s">
        <v>154</v>
      </c>
      <c r="V3553" s="132" t="s">
        <v>303</v>
      </c>
      <c r="W3553" s="132" t="s">
        <v>267</v>
      </c>
      <c r="X3553" s="133">
        <v>41747</v>
      </c>
      <c r="Y3553" s="134">
        <v>973</v>
      </c>
    </row>
    <row r="3554" spans="6:25" x14ac:dyDescent="0.25">
      <c r="F3554" s="76" t="s">
        <v>150</v>
      </c>
      <c r="G3554" s="77" t="s">
        <v>203</v>
      </c>
      <c r="H3554" s="77" t="s">
        <v>158</v>
      </c>
      <c r="I3554" s="86">
        <v>41938</v>
      </c>
      <c r="J3554" s="78">
        <v>498</v>
      </c>
      <c r="U3554" s="132" t="s">
        <v>154</v>
      </c>
      <c r="V3554" s="132" t="s">
        <v>303</v>
      </c>
      <c r="W3554" s="132" t="s">
        <v>267</v>
      </c>
      <c r="X3554" s="133">
        <v>41747</v>
      </c>
      <c r="Y3554" s="134">
        <v>710</v>
      </c>
    </row>
    <row r="3555" spans="6:25" x14ac:dyDescent="0.25">
      <c r="F3555" s="76" t="s">
        <v>150</v>
      </c>
      <c r="G3555" s="77" t="s">
        <v>203</v>
      </c>
      <c r="H3555" s="77" t="s">
        <v>158</v>
      </c>
      <c r="I3555" s="86">
        <v>41940</v>
      </c>
      <c r="J3555" s="78">
        <v>890</v>
      </c>
      <c r="U3555" s="132" t="s">
        <v>154</v>
      </c>
      <c r="V3555" s="132" t="s">
        <v>303</v>
      </c>
      <c r="W3555" s="132" t="s">
        <v>267</v>
      </c>
      <c r="X3555" s="133">
        <v>41749</v>
      </c>
      <c r="Y3555" s="134">
        <v>923</v>
      </c>
    </row>
    <row r="3556" spans="6:25" x14ac:dyDescent="0.25">
      <c r="F3556" s="76" t="s">
        <v>150</v>
      </c>
      <c r="G3556" s="77" t="s">
        <v>203</v>
      </c>
      <c r="H3556" s="77" t="s">
        <v>158</v>
      </c>
      <c r="I3556" s="86">
        <v>41942</v>
      </c>
      <c r="J3556" s="78">
        <v>1162</v>
      </c>
      <c r="U3556" s="132" t="s">
        <v>154</v>
      </c>
      <c r="V3556" s="132" t="s">
        <v>303</v>
      </c>
      <c r="W3556" s="132" t="s">
        <v>267</v>
      </c>
      <c r="X3556" s="133">
        <v>41749</v>
      </c>
      <c r="Y3556" s="134">
        <v>384</v>
      </c>
    </row>
    <row r="3557" spans="6:25" x14ac:dyDescent="0.25">
      <c r="F3557" s="76" t="s">
        <v>150</v>
      </c>
      <c r="G3557" s="77" t="s">
        <v>203</v>
      </c>
      <c r="H3557" s="77" t="s">
        <v>158</v>
      </c>
      <c r="I3557" s="86">
        <v>41943</v>
      </c>
      <c r="J3557" s="78">
        <v>813</v>
      </c>
      <c r="U3557" s="132" t="s">
        <v>154</v>
      </c>
      <c r="V3557" s="132" t="s">
        <v>303</v>
      </c>
      <c r="W3557" s="132" t="s">
        <v>267</v>
      </c>
      <c r="X3557" s="133">
        <v>41750</v>
      </c>
      <c r="Y3557" s="134">
        <v>700</v>
      </c>
    </row>
    <row r="3558" spans="6:25" x14ac:dyDescent="0.25">
      <c r="F3558" s="76" t="s">
        <v>150</v>
      </c>
      <c r="G3558" s="77" t="s">
        <v>203</v>
      </c>
      <c r="H3558" s="77" t="s">
        <v>158</v>
      </c>
      <c r="I3558" s="86">
        <v>41944</v>
      </c>
      <c r="J3558" s="78">
        <v>495</v>
      </c>
      <c r="U3558" s="132" t="s">
        <v>154</v>
      </c>
      <c r="V3558" s="132" t="s">
        <v>303</v>
      </c>
      <c r="W3558" s="132" t="s">
        <v>267</v>
      </c>
      <c r="X3558" s="133">
        <v>41751</v>
      </c>
      <c r="Y3558" s="134">
        <v>1215</v>
      </c>
    </row>
    <row r="3559" spans="6:25" x14ac:dyDescent="0.25">
      <c r="F3559" s="76" t="s">
        <v>150</v>
      </c>
      <c r="G3559" s="77" t="s">
        <v>203</v>
      </c>
      <c r="H3559" s="77" t="s">
        <v>158</v>
      </c>
      <c r="I3559" s="86">
        <v>41945</v>
      </c>
      <c r="J3559" s="78">
        <v>789</v>
      </c>
      <c r="U3559" s="132" t="s">
        <v>154</v>
      </c>
      <c r="V3559" s="132" t="s">
        <v>303</v>
      </c>
      <c r="W3559" s="132" t="s">
        <v>267</v>
      </c>
      <c r="X3559" s="133">
        <v>41752</v>
      </c>
      <c r="Y3559" s="134">
        <v>680</v>
      </c>
    </row>
    <row r="3560" spans="6:25" x14ac:dyDescent="0.25">
      <c r="F3560" s="76" t="s">
        <v>150</v>
      </c>
      <c r="G3560" s="77" t="s">
        <v>203</v>
      </c>
      <c r="H3560" s="77" t="s">
        <v>158</v>
      </c>
      <c r="I3560" s="86">
        <v>41949</v>
      </c>
      <c r="J3560" s="78">
        <v>404</v>
      </c>
      <c r="U3560" s="132" t="s">
        <v>154</v>
      </c>
      <c r="V3560" s="132" t="s">
        <v>303</v>
      </c>
      <c r="W3560" s="132" t="s">
        <v>267</v>
      </c>
      <c r="X3560" s="133">
        <v>41753</v>
      </c>
      <c r="Y3560" s="134">
        <v>665</v>
      </c>
    </row>
    <row r="3561" spans="6:25" x14ac:dyDescent="0.25">
      <c r="F3561" s="76" t="s">
        <v>150</v>
      </c>
      <c r="G3561" s="77" t="s">
        <v>203</v>
      </c>
      <c r="H3561" s="77" t="s">
        <v>158</v>
      </c>
      <c r="I3561" s="86">
        <v>41950</v>
      </c>
      <c r="J3561" s="78">
        <v>845</v>
      </c>
      <c r="U3561" s="132" t="s">
        <v>154</v>
      </c>
      <c r="V3561" s="132" t="s">
        <v>303</v>
      </c>
      <c r="W3561" s="132" t="s">
        <v>267</v>
      </c>
      <c r="X3561" s="133">
        <v>41754</v>
      </c>
      <c r="Y3561" s="134">
        <v>565</v>
      </c>
    </row>
    <row r="3562" spans="6:25" x14ac:dyDescent="0.25">
      <c r="F3562" s="76" t="s">
        <v>150</v>
      </c>
      <c r="G3562" s="77" t="s">
        <v>203</v>
      </c>
      <c r="H3562" s="77" t="s">
        <v>158</v>
      </c>
      <c r="I3562" s="86">
        <v>41951</v>
      </c>
      <c r="J3562" s="78">
        <v>548</v>
      </c>
      <c r="U3562" s="132" t="s">
        <v>154</v>
      </c>
      <c r="V3562" s="132" t="s">
        <v>303</v>
      </c>
      <c r="W3562" s="132" t="s">
        <v>267</v>
      </c>
      <c r="X3562" s="133">
        <v>41757</v>
      </c>
      <c r="Y3562" s="134">
        <v>935</v>
      </c>
    </row>
    <row r="3563" spans="6:25" x14ac:dyDescent="0.25">
      <c r="F3563" s="76" t="s">
        <v>150</v>
      </c>
      <c r="G3563" s="77" t="s">
        <v>203</v>
      </c>
      <c r="H3563" s="77" t="s">
        <v>158</v>
      </c>
      <c r="I3563" s="86">
        <v>41952</v>
      </c>
      <c r="J3563" s="78">
        <v>578</v>
      </c>
      <c r="U3563" s="132" t="s">
        <v>154</v>
      </c>
      <c r="V3563" s="132" t="s">
        <v>303</v>
      </c>
      <c r="W3563" s="132" t="s">
        <v>267</v>
      </c>
      <c r="X3563" s="133">
        <v>41758</v>
      </c>
      <c r="Y3563" s="134">
        <v>1025</v>
      </c>
    </row>
    <row r="3564" spans="6:25" x14ac:dyDescent="0.25">
      <c r="F3564" s="76" t="s">
        <v>150</v>
      </c>
      <c r="G3564" s="77" t="s">
        <v>203</v>
      </c>
      <c r="H3564" s="77" t="s">
        <v>158</v>
      </c>
      <c r="I3564" s="86">
        <v>41953</v>
      </c>
      <c r="J3564" s="78">
        <v>741</v>
      </c>
      <c r="U3564" s="132" t="s">
        <v>154</v>
      </c>
      <c r="V3564" s="132" t="s">
        <v>303</v>
      </c>
      <c r="W3564" s="132" t="s">
        <v>267</v>
      </c>
      <c r="X3564" s="133">
        <v>41758</v>
      </c>
      <c r="Y3564" s="134">
        <v>749</v>
      </c>
    </row>
    <row r="3565" spans="6:25" x14ac:dyDescent="0.25">
      <c r="F3565" s="76" t="s">
        <v>150</v>
      </c>
      <c r="G3565" s="77" t="s">
        <v>203</v>
      </c>
      <c r="H3565" s="77" t="s">
        <v>158</v>
      </c>
      <c r="I3565" s="86">
        <v>41987</v>
      </c>
      <c r="J3565" s="78">
        <v>1063</v>
      </c>
      <c r="U3565" s="132" t="s">
        <v>154</v>
      </c>
      <c r="V3565" s="132" t="s">
        <v>303</v>
      </c>
      <c r="W3565" s="132" t="s">
        <v>267</v>
      </c>
      <c r="X3565" s="133">
        <v>41759</v>
      </c>
      <c r="Y3565" s="134">
        <v>605</v>
      </c>
    </row>
    <row r="3566" spans="6:25" x14ac:dyDescent="0.25">
      <c r="F3566" s="76" t="s">
        <v>150</v>
      </c>
      <c r="G3566" s="77" t="s">
        <v>203</v>
      </c>
      <c r="H3566" s="77" t="s">
        <v>158</v>
      </c>
      <c r="I3566" s="86">
        <v>41988</v>
      </c>
      <c r="J3566" s="78">
        <v>283</v>
      </c>
      <c r="U3566" s="132" t="s">
        <v>154</v>
      </c>
      <c r="V3566" s="132" t="s">
        <v>303</v>
      </c>
      <c r="W3566" s="132" t="s">
        <v>267</v>
      </c>
      <c r="X3566" s="133">
        <v>41760</v>
      </c>
      <c r="Y3566" s="134">
        <v>587</v>
      </c>
    </row>
    <row r="3567" spans="6:25" x14ac:dyDescent="0.25">
      <c r="F3567" s="76" t="s">
        <v>150</v>
      </c>
      <c r="G3567" s="77" t="s">
        <v>203</v>
      </c>
      <c r="H3567" s="77" t="s">
        <v>158</v>
      </c>
      <c r="I3567" s="86">
        <v>41994</v>
      </c>
      <c r="J3567" s="78">
        <v>765</v>
      </c>
      <c r="U3567" s="132" t="s">
        <v>154</v>
      </c>
      <c r="V3567" s="132" t="s">
        <v>303</v>
      </c>
      <c r="W3567" s="132" t="s">
        <v>267</v>
      </c>
      <c r="X3567" s="133">
        <v>41761</v>
      </c>
      <c r="Y3567" s="134">
        <v>712</v>
      </c>
    </row>
    <row r="3568" spans="6:25" x14ac:dyDescent="0.25">
      <c r="F3568" s="76" t="s">
        <v>150</v>
      </c>
      <c r="G3568" s="77" t="s">
        <v>172</v>
      </c>
      <c r="H3568" s="77" t="s">
        <v>158</v>
      </c>
      <c r="I3568" s="86">
        <v>41635</v>
      </c>
      <c r="J3568" s="78">
        <v>468</v>
      </c>
      <c r="U3568" s="132" t="s">
        <v>154</v>
      </c>
      <c r="V3568" s="132" t="s">
        <v>303</v>
      </c>
      <c r="W3568" s="132" t="s">
        <v>267</v>
      </c>
      <c r="X3568" s="133">
        <v>41761</v>
      </c>
      <c r="Y3568" s="134">
        <v>944</v>
      </c>
    </row>
    <row r="3569" spans="6:25" x14ac:dyDescent="0.25">
      <c r="F3569" s="76" t="s">
        <v>150</v>
      </c>
      <c r="G3569" s="77" t="s">
        <v>172</v>
      </c>
      <c r="H3569" s="77" t="s">
        <v>158</v>
      </c>
      <c r="I3569" s="86">
        <v>41637</v>
      </c>
      <c r="J3569" s="78">
        <v>1204</v>
      </c>
      <c r="U3569" s="132" t="s">
        <v>154</v>
      </c>
      <c r="V3569" s="132" t="s">
        <v>303</v>
      </c>
      <c r="W3569" s="132" t="s">
        <v>267</v>
      </c>
      <c r="X3569" s="133">
        <v>41763</v>
      </c>
      <c r="Y3569" s="134">
        <v>658</v>
      </c>
    </row>
    <row r="3570" spans="6:25" x14ac:dyDescent="0.25">
      <c r="F3570" s="76" t="s">
        <v>150</v>
      </c>
      <c r="G3570" s="77" t="s">
        <v>172</v>
      </c>
      <c r="H3570" s="77" t="s">
        <v>158</v>
      </c>
      <c r="I3570" s="86">
        <v>41638</v>
      </c>
      <c r="J3570" s="78">
        <v>667</v>
      </c>
      <c r="U3570" s="132" t="s">
        <v>154</v>
      </c>
      <c r="V3570" s="132" t="s">
        <v>303</v>
      </c>
      <c r="W3570" s="132" t="s">
        <v>267</v>
      </c>
      <c r="X3570" s="133">
        <v>41764</v>
      </c>
      <c r="Y3570" s="134">
        <v>1191</v>
      </c>
    </row>
    <row r="3571" spans="6:25" x14ac:dyDescent="0.25">
      <c r="F3571" s="76" t="s">
        <v>150</v>
      </c>
      <c r="G3571" s="77" t="s">
        <v>172</v>
      </c>
      <c r="H3571" s="77" t="s">
        <v>158</v>
      </c>
      <c r="I3571" s="86">
        <v>41640</v>
      </c>
      <c r="J3571" s="78">
        <v>746</v>
      </c>
      <c r="U3571" s="132" t="s">
        <v>154</v>
      </c>
      <c r="V3571" s="132" t="s">
        <v>303</v>
      </c>
      <c r="W3571" s="132" t="s">
        <v>267</v>
      </c>
      <c r="X3571" s="133">
        <v>41765</v>
      </c>
      <c r="Y3571" s="134">
        <v>650</v>
      </c>
    </row>
    <row r="3572" spans="6:25" x14ac:dyDescent="0.25">
      <c r="F3572" s="76" t="s">
        <v>150</v>
      </c>
      <c r="G3572" s="77" t="s">
        <v>172</v>
      </c>
      <c r="H3572" s="77" t="s">
        <v>158</v>
      </c>
      <c r="I3572" s="86">
        <v>41640</v>
      </c>
      <c r="J3572" s="78">
        <v>376</v>
      </c>
      <c r="U3572" s="132" t="s">
        <v>154</v>
      </c>
      <c r="V3572" s="132" t="s">
        <v>303</v>
      </c>
      <c r="W3572" s="132" t="s">
        <v>267</v>
      </c>
      <c r="X3572" s="133">
        <v>41766</v>
      </c>
      <c r="Y3572" s="134">
        <v>555</v>
      </c>
    </row>
    <row r="3573" spans="6:25" x14ac:dyDescent="0.25">
      <c r="F3573" s="76" t="s">
        <v>150</v>
      </c>
      <c r="G3573" s="77" t="s">
        <v>172</v>
      </c>
      <c r="H3573" s="77" t="s">
        <v>158</v>
      </c>
      <c r="I3573" s="86">
        <v>41641</v>
      </c>
      <c r="J3573" s="78">
        <v>615</v>
      </c>
      <c r="U3573" s="132" t="s">
        <v>154</v>
      </c>
      <c r="V3573" s="132" t="s">
        <v>303</v>
      </c>
      <c r="W3573" s="132" t="s">
        <v>267</v>
      </c>
      <c r="X3573" s="133">
        <v>41766</v>
      </c>
      <c r="Y3573" s="134">
        <v>645</v>
      </c>
    </row>
    <row r="3574" spans="6:25" x14ac:dyDescent="0.25">
      <c r="F3574" s="76" t="s">
        <v>150</v>
      </c>
      <c r="G3574" s="77" t="s">
        <v>172</v>
      </c>
      <c r="H3574" s="77" t="s">
        <v>158</v>
      </c>
      <c r="I3574" s="86">
        <v>41645</v>
      </c>
      <c r="J3574" s="78">
        <v>1573</v>
      </c>
      <c r="U3574" s="132" t="s">
        <v>154</v>
      </c>
      <c r="V3574" s="132" t="s">
        <v>303</v>
      </c>
      <c r="W3574" s="132" t="s">
        <v>267</v>
      </c>
      <c r="X3574" s="133">
        <v>41767</v>
      </c>
      <c r="Y3574" s="134">
        <v>687</v>
      </c>
    </row>
    <row r="3575" spans="6:25" x14ac:dyDescent="0.25">
      <c r="F3575" s="76" t="s">
        <v>150</v>
      </c>
      <c r="G3575" s="77" t="s">
        <v>172</v>
      </c>
      <c r="H3575" s="77" t="s">
        <v>158</v>
      </c>
      <c r="I3575" s="86">
        <v>41645</v>
      </c>
      <c r="J3575" s="78">
        <v>307</v>
      </c>
      <c r="U3575" s="132" t="s">
        <v>154</v>
      </c>
      <c r="V3575" s="132" t="s">
        <v>303</v>
      </c>
      <c r="W3575" s="132" t="s">
        <v>267</v>
      </c>
      <c r="X3575" s="133">
        <v>41767</v>
      </c>
      <c r="Y3575" s="134">
        <v>755</v>
      </c>
    </row>
    <row r="3576" spans="6:25" x14ac:dyDescent="0.25">
      <c r="F3576" s="76" t="s">
        <v>150</v>
      </c>
      <c r="G3576" s="77" t="s">
        <v>172</v>
      </c>
      <c r="H3576" s="77" t="s">
        <v>158</v>
      </c>
      <c r="I3576" s="86">
        <v>41648</v>
      </c>
      <c r="J3576" s="78">
        <v>1236</v>
      </c>
      <c r="U3576" s="132" t="s">
        <v>154</v>
      </c>
      <c r="V3576" s="132" t="s">
        <v>303</v>
      </c>
      <c r="W3576" s="132" t="s">
        <v>267</v>
      </c>
      <c r="X3576" s="133">
        <v>41862</v>
      </c>
      <c r="Y3576" s="134">
        <v>860</v>
      </c>
    </row>
    <row r="3577" spans="6:25" x14ac:dyDescent="0.25">
      <c r="F3577" s="76" t="s">
        <v>150</v>
      </c>
      <c r="G3577" s="77" t="s">
        <v>172</v>
      </c>
      <c r="H3577" s="77" t="s">
        <v>158</v>
      </c>
      <c r="I3577" s="86">
        <v>41651</v>
      </c>
      <c r="J3577" s="78">
        <v>1025</v>
      </c>
      <c r="U3577" s="132" t="s">
        <v>154</v>
      </c>
      <c r="V3577" s="132" t="s">
        <v>303</v>
      </c>
      <c r="W3577" s="132" t="s">
        <v>267</v>
      </c>
      <c r="X3577" s="133">
        <v>41863</v>
      </c>
      <c r="Y3577" s="134">
        <v>533</v>
      </c>
    </row>
    <row r="3578" spans="6:25" x14ac:dyDescent="0.25">
      <c r="F3578" s="76" t="s">
        <v>150</v>
      </c>
      <c r="G3578" s="77" t="s">
        <v>172</v>
      </c>
      <c r="H3578" s="77" t="s">
        <v>158</v>
      </c>
      <c r="I3578" s="86">
        <v>41652</v>
      </c>
      <c r="J3578" s="78">
        <v>606</v>
      </c>
      <c r="U3578" s="132" t="s">
        <v>154</v>
      </c>
      <c r="V3578" s="132" t="s">
        <v>303</v>
      </c>
      <c r="W3578" s="132" t="s">
        <v>267</v>
      </c>
      <c r="X3578" s="133">
        <v>41864</v>
      </c>
      <c r="Y3578" s="134">
        <v>827</v>
      </c>
    </row>
    <row r="3579" spans="6:25" x14ac:dyDescent="0.25">
      <c r="F3579" s="76" t="s">
        <v>150</v>
      </c>
      <c r="G3579" s="77" t="s">
        <v>172</v>
      </c>
      <c r="H3579" s="77" t="s">
        <v>158</v>
      </c>
      <c r="I3579" s="86">
        <v>41654</v>
      </c>
      <c r="J3579" s="78">
        <v>678</v>
      </c>
      <c r="U3579" s="132" t="s">
        <v>154</v>
      </c>
      <c r="V3579" s="132" t="s">
        <v>303</v>
      </c>
      <c r="W3579" s="132" t="s">
        <v>267</v>
      </c>
      <c r="X3579" s="133">
        <v>41991</v>
      </c>
      <c r="Y3579" s="134">
        <v>809</v>
      </c>
    </row>
    <row r="3580" spans="6:25" x14ac:dyDescent="0.25">
      <c r="F3580" s="76" t="s">
        <v>150</v>
      </c>
      <c r="G3580" s="77" t="s">
        <v>172</v>
      </c>
      <c r="H3580" s="77" t="s">
        <v>158</v>
      </c>
      <c r="I3580" s="86">
        <v>41654</v>
      </c>
      <c r="J3580" s="78">
        <v>365</v>
      </c>
      <c r="U3580" s="132" t="s">
        <v>154</v>
      </c>
      <c r="V3580" s="132" t="s">
        <v>303</v>
      </c>
      <c r="W3580" s="132" t="s">
        <v>267</v>
      </c>
      <c r="X3580" s="133">
        <v>41992</v>
      </c>
      <c r="Y3580" s="134">
        <v>265</v>
      </c>
    </row>
    <row r="3581" spans="6:25" x14ac:dyDescent="0.25">
      <c r="F3581" s="76" t="s">
        <v>150</v>
      </c>
      <c r="G3581" s="77" t="s">
        <v>172</v>
      </c>
      <c r="H3581" s="77" t="s">
        <v>158</v>
      </c>
      <c r="I3581" s="86">
        <v>41655</v>
      </c>
      <c r="J3581" s="78">
        <v>548</v>
      </c>
      <c r="U3581" s="132" t="s">
        <v>154</v>
      </c>
      <c r="V3581" s="132" t="s">
        <v>303</v>
      </c>
      <c r="W3581" s="132" t="s">
        <v>267</v>
      </c>
      <c r="X3581" s="133">
        <v>41992</v>
      </c>
      <c r="Y3581" s="134">
        <v>583</v>
      </c>
    </row>
    <row r="3582" spans="6:25" x14ac:dyDescent="0.25">
      <c r="F3582" s="76" t="s">
        <v>150</v>
      </c>
      <c r="G3582" s="77" t="s">
        <v>172</v>
      </c>
      <c r="H3582" s="77" t="s">
        <v>158</v>
      </c>
      <c r="I3582" s="86">
        <v>41656</v>
      </c>
      <c r="J3582" s="78">
        <v>595</v>
      </c>
      <c r="U3582" s="132" t="s">
        <v>154</v>
      </c>
      <c r="V3582" s="132" t="s">
        <v>303</v>
      </c>
      <c r="W3582" s="132" t="s">
        <v>267</v>
      </c>
      <c r="X3582" s="133">
        <v>41993</v>
      </c>
      <c r="Y3582" s="134">
        <v>444</v>
      </c>
    </row>
    <row r="3583" spans="6:25" x14ac:dyDescent="0.25">
      <c r="F3583" s="76" t="s">
        <v>150</v>
      </c>
      <c r="G3583" s="77" t="s">
        <v>172</v>
      </c>
      <c r="H3583" s="77" t="s">
        <v>158</v>
      </c>
      <c r="I3583" s="86">
        <v>41657</v>
      </c>
      <c r="J3583" s="78">
        <v>744</v>
      </c>
      <c r="U3583" s="132" t="s">
        <v>154</v>
      </c>
      <c r="V3583" s="132" t="s">
        <v>303</v>
      </c>
      <c r="W3583" s="132" t="s">
        <v>267</v>
      </c>
      <c r="X3583" s="133">
        <v>41994</v>
      </c>
      <c r="Y3583" s="134">
        <v>311</v>
      </c>
    </row>
    <row r="3584" spans="6:25" x14ac:dyDescent="0.25">
      <c r="F3584" s="76" t="s">
        <v>150</v>
      </c>
      <c r="G3584" s="77" t="s">
        <v>172</v>
      </c>
      <c r="H3584" s="77" t="s">
        <v>158</v>
      </c>
      <c r="I3584" s="86">
        <v>41659</v>
      </c>
      <c r="J3584" s="78">
        <v>875</v>
      </c>
      <c r="U3584" s="132" t="s">
        <v>154</v>
      </c>
      <c r="V3584" s="132" t="s">
        <v>303</v>
      </c>
      <c r="W3584" s="132" t="s">
        <v>267</v>
      </c>
      <c r="X3584" s="133">
        <v>41994</v>
      </c>
      <c r="Y3584" s="134">
        <v>360</v>
      </c>
    </row>
    <row r="3585" spans="6:25" x14ac:dyDescent="0.25">
      <c r="F3585" s="76" t="s">
        <v>150</v>
      </c>
      <c r="G3585" s="77" t="s">
        <v>172</v>
      </c>
      <c r="H3585" s="77" t="s">
        <v>158</v>
      </c>
      <c r="I3585" s="86">
        <v>41677</v>
      </c>
      <c r="J3585" s="78">
        <v>1305</v>
      </c>
      <c r="U3585" s="132" t="s">
        <v>154</v>
      </c>
      <c r="V3585" s="132" t="s">
        <v>303</v>
      </c>
      <c r="W3585" s="132" t="s">
        <v>267</v>
      </c>
      <c r="X3585" s="133">
        <v>41994</v>
      </c>
      <c r="Y3585" s="134">
        <v>733</v>
      </c>
    </row>
    <row r="3586" spans="6:25" x14ac:dyDescent="0.25">
      <c r="F3586" s="76" t="s">
        <v>150</v>
      </c>
      <c r="G3586" s="77" t="s">
        <v>172</v>
      </c>
      <c r="H3586" s="77" t="s">
        <v>158</v>
      </c>
      <c r="I3586" s="86">
        <v>41680</v>
      </c>
      <c r="J3586" s="78">
        <v>531</v>
      </c>
      <c r="U3586" s="132" t="s">
        <v>154</v>
      </c>
      <c r="V3586" s="132" t="s">
        <v>303</v>
      </c>
      <c r="W3586" s="132" t="s">
        <v>267</v>
      </c>
      <c r="X3586" s="133">
        <v>41995</v>
      </c>
      <c r="Y3586" s="134">
        <v>550</v>
      </c>
    </row>
    <row r="3587" spans="6:25" x14ac:dyDescent="0.25">
      <c r="F3587" s="76" t="s">
        <v>150</v>
      </c>
      <c r="G3587" s="77" t="s">
        <v>172</v>
      </c>
      <c r="H3587" s="77" t="s">
        <v>158</v>
      </c>
      <c r="I3587" s="86">
        <v>41683</v>
      </c>
      <c r="J3587" s="78">
        <v>1244</v>
      </c>
      <c r="U3587" s="132" t="s">
        <v>154</v>
      </c>
      <c r="V3587" s="132" t="s">
        <v>303</v>
      </c>
      <c r="W3587" s="132" t="s">
        <v>267</v>
      </c>
      <c r="X3587" s="133">
        <v>41995</v>
      </c>
      <c r="Y3587" s="134">
        <v>518</v>
      </c>
    </row>
    <row r="3588" spans="6:25" x14ac:dyDescent="0.25">
      <c r="F3588" s="76" t="s">
        <v>150</v>
      </c>
      <c r="G3588" s="77" t="s">
        <v>172</v>
      </c>
      <c r="H3588" s="77" t="s">
        <v>158</v>
      </c>
      <c r="I3588" s="86">
        <v>41684</v>
      </c>
      <c r="J3588" s="78">
        <v>1260</v>
      </c>
      <c r="U3588" s="132" t="s">
        <v>154</v>
      </c>
      <c r="V3588" s="132" t="s">
        <v>303</v>
      </c>
      <c r="W3588" s="132" t="s">
        <v>267</v>
      </c>
      <c r="X3588" s="133">
        <v>41996</v>
      </c>
      <c r="Y3588" s="134">
        <v>578</v>
      </c>
    </row>
    <row r="3589" spans="6:25" x14ac:dyDescent="0.25">
      <c r="F3589" s="76" t="s">
        <v>150</v>
      </c>
      <c r="G3589" s="77" t="s">
        <v>172</v>
      </c>
      <c r="H3589" s="77" t="s">
        <v>158</v>
      </c>
      <c r="I3589" s="86">
        <v>41689</v>
      </c>
      <c r="J3589" s="78">
        <v>1541</v>
      </c>
      <c r="U3589" s="132" t="s">
        <v>154</v>
      </c>
      <c r="V3589" s="132" t="s">
        <v>303</v>
      </c>
      <c r="W3589" s="132" t="s">
        <v>267</v>
      </c>
      <c r="X3589" s="133">
        <v>41996</v>
      </c>
      <c r="Y3589" s="134">
        <v>294</v>
      </c>
    </row>
    <row r="3590" spans="6:25" x14ac:dyDescent="0.25">
      <c r="F3590" s="76" t="s">
        <v>150</v>
      </c>
      <c r="G3590" s="77" t="s">
        <v>172</v>
      </c>
      <c r="H3590" s="77" t="s">
        <v>158</v>
      </c>
      <c r="I3590" s="86">
        <v>41690</v>
      </c>
      <c r="J3590" s="78">
        <v>1407</v>
      </c>
      <c r="U3590" s="132" t="s">
        <v>154</v>
      </c>
      <c r="V3590" s="132" t="s">
        <v>303</v>
      </c>
      <c r="W3590" s="132" t="s">
        <v>267</v>
      </c>
      <c r="X3590" s="133">
        <v>41997</v>
      </c>
      <c r="Y3590" s="134">
        <v>724</v>
      </c>
    </row>
    <row r="3591" spans="6:25" x14ac:dyDescent="0.25">
      <c r="F3591" s="76" t="s">
        <v>150</v>
      </c>
      <c r="G3591" s="77" t="s">
        <v>172</v>
      </c>
      <c r="H3591" s="77" t="s">
        <v>158</v>
      </c>
      <c r="I3591" s="86">
        <v>41691</v>
      </c>
      <c r="J3591" s="78">
        <v>623</v>
      </c>
      <c r="U3591" s="132" t="s">
        <v>154</v>
      </c>
      <c r="V3591" s="132" t="s">
        <v>303</v>
      </c>
      <c r="W3591" s="132" t="s">
        <v>267</v>
      </c>
      <c r="X3591" s="133">
        <v>41999</v>
      </c>
      <c r="Y3591" s="134">
        <v>644</v>
      </c>
    </row>
    <row r="3592" spans="6:25" x14ac:dyDescent="0.25">
      <c r="F3592" s="76" t="s">
        <v>150</v>
      </c>
      <c r="G3592" s="77" t="s">
        <v>172</v>
      </c>
      <c r="H3592" s="77" t="s">
        <v>158</v>
      </c>
      <c r="I3592" s="86">
        <v>41691</v>
      </c>
      <c r="J3592" s="78">
        <v>474</v>
      </c>
      <c r="U3592" s="132" t="s">
        <v>154</v>
      </c>
      <c r="V3592" s="132" t="s">
        <v>303</v>
      </c>
      <c r="W3592" s="132" t="s">
        <v>267</v>
      </c>
      <c r="X3592" s="133">
        <v>42000</v>
      </c>
      <c r="Y3592" s="134">
        <v>508</v>
      </c>
    </row>
    <row r="3593" spans="6:25" x14ac:dyDescent="0.25">
      <c r="F3593" s="76" t="s">
        <v>150</v>
      </c>
      <c r="G3593" s="77" t="s">
        <v>172</v>
      </c>
      <c r="H3593" s="77" t="s">
        <v>158</v>
      </c>
      <c r="I3593" s="86">
        <v>41692</v>
      </c>
      <c r="J3593" s="78">
        <v>912</v>
      </c>
      <c r="U3593" s="132" t="s">
        <v>154</v>
      </c>
      <c r="V3593" s="132" t="s">
        <v>304</v>
      </c>
      <c r="W3593" s="132" t="s">
        <v>267</v>
      </c>
      <c r="X3593" s="133">
        <v>41696</v>
      </c>
      <c r="Y3593" s="134">
        <v>399</v>
      </c>
    </row>
    <row r="3594" spans="6:25" x14ac:dyDescent="0.25">
      <c r="F3594" s="76" t="s">
        <v>150</v>
      </c>
      <c r="G3594" s="77" t="s">
        <v>172</v>
      </c>
      <c r="H3594" s="77" t="s">
        <v>158</v>
      </c>
      <c r="I3594" s="86">
        <v>41693</v>
      </c>
      <c r="J3594" s="78">
        <v>956</v>
      </c>
      <c r="U3594" s="132" t="s">
        <v>154</v>
      </c>
      <c r="V3594" s="132" t="s">
        <v>304</v>
      </c>
      <c r="W3594" s="132" t="s">
        <v>267</v>
      </c>
      <c r="X3594" s="133">
        <v>41697</v>
      </c>
      <c r="Y3594" s="134">
        <v>694</v>
      </c>
    </row>
    <row r="3595" spans="6:25" x14ac:dyDescent="0.25">
      <c r="F3595" s="76" t="s">
        <v>150</v>
      </c>
      <c r="G3595" s="77" t="s">
        <v>172</v>
      </c>
      <c r="H3595" s="77" t="s">
        <v>158</v>
      </c>
      <c r="I3595" s="86">
        <v>41698</v>
      </c>
      <c r="J3595" s="78">
        <v>739</v>
      </c>
      <c r="U3595" s="132" t="s">
        <v>154</v>
      </c>
      <c r="V3595" s="132" t="s">
        <v>304</v>
      </c>
      <c r="W3595" s="132" t="s">
        <v>267</v>
      </c>
      <c r="X3595" s="133">
        <v>41698</v>
      </c>
      <c r="Y3595" s="134">
        <v>1342</v>
      </c>
    </row>
    <row r="3596" spans="6:25" x14ac:dyDescent="0.25">
      <c r="F3596" s="76" t="s">
        <v>150</v>
      </c>
      <c r="G3596" s="77" t="s">
        <v>172</v>
      </c>
      <c r="H3596" s="77" t="s">
        <v>158</v>
      </c>
      <c r="I3596" s="86">
        <v>41699</v>
      </c>
      <c r="J3596" s="78">
        <v>1267</v>
      </c>
      <c r="U3596" s="132" t="s">
        <v>154</v>
      </c>
      <c r="V3596" s="132" t="s">
        <v>304</v>
      </c>
      <c r="W3596" s="132" t="s">
        <v>267</v>
      </c>
      <c r="X3596" s="133">
        <v>41699</v>
      </c>
      <c r="Y3596" s="134">
        <v>1086</v>
      </c>
    </row>
    <row r="3597" spans="6:25" x14ac:dyDescent="0.25">
      <c r="F3597" s="76" t="s">
        <v>150</v>
      </c>
      <c r="G3597" s="77" t="s">
        <v>172</v>
      </c>
      <c r="H3597" s="77" t="s">
        <v>158</v>
      </c>
      <c r="I3597" s="86">
        <v>41700</v>
      </c>
      <c r="J3597" s="78">
        <v>546</v>
      </c>
      <c r="U3597" s="132" t="s">
        <v>154</v>
      </c>
      <c r="V3597" s="132" t="s">
        <v>304</v>
      </c>
      <c r="W3597" s="132" t="s">
        <v>267</v>
      </c>
      <c r="X3597" s="133">
        <v>41699</v>
      </c>
      <c r="Y3597" s="134">
        <v>404</v>
      </c>
    </row>
    <row r="3598" spans="6:25" x14ac:dyDescent="0.25">
      <c r="F3598" s="76" t="s">
        <v>150</v>
      </c>
      <c r="G3598" s="77" t="s">
        <v>172</v>
      </c>
      <c r="H3598" s="77" t="s">
        <v>158</v>
      </c>
      <c r="I3598" s="86">
        <v>41704</v>
      </c>
      <c r="J3598" s="78">
        <v>606</v>
      </c>
      <c r="U3598" s="132" t="s">
        <v>154</v>
      </c>
      <c r="V3598" s="132" t="s">
        <v>304</v>
      </c>
      <c r="W3598" s="132" t="s">
        <v>267</v>
      </c>
      <c r="X3598" s="133">
        <v>41700</v>
      </c>
      <c r="Y3598" s="134">
        <v>933</v>
      </c>
    </row>
    <row r="3599" spans="6:25" x14ac:dyDescent="0.25">
      <c r="F3599" s="76" t="s">
        <v>150</v>
      </c>
      <c r="G3599" s="77" t="s">
        <v>172</v>
      </c>
      <c r="H3599" s="77" t="s">
        <v>158</v>
      </c>
      <c r="I3599" s="86">
        <v>41709</v>
      </c>
      <c r="J3599" s="78">
        <v>851</v>
      </c>
      <c r="U3599" s="132" t="s">
        <v>154</v>
      </c>
      <c r="V3599" s="132" t="s">
        <v>304</v>
      </c>
      <c r="W3599" s="132" t="s">
        <v>267</v>
      </c>
      <c r="X3599" s="133">
        <v>41700</v>
      </c>
      <c r="Y3599" s="134">
        <v>222</v>
      </c>
    </row>
    <row r="3600" spans="6:25" x14ac:dyDescent="0.25">
      <c r="F3600" s="76" t="s">
        <v>150</v>
      </c>
      <c r="G3600" s="77" t="s">
        <v>172</v>
      </c>
      <c r="H3600" s="77" t="s">
        <v>158</v>
      </c>
      <c r="I3600" s="86">
        <v>41710</v>
      </c>
      <c r="J3600" s="78">
        <v>870</v>
      </c>
      <c r="U3600" s="132" t="s">
        <v>154</v>
      </c>
      <c r="V3600" s="132" t="s">
        <v>304</v>
      </c>
      <c r="W3600" s="132" t="s">
        <v>267</v>
      </c>
      <c r="X3600" s="133">
        <v>41701</v>
      </c>
      <c r="Y3600" s="134">
        <v>1162</v>
      </c>
    </row>
    <row r="3601" spans="6:25" x14ac:dyDescent="0.25">
      <c r="F3601" s="76" t="s">
        <v>150</v>
      </c>
      <c r="G3601" s="77" t="s">
        <v>172</v>
      </c>
      <c r="H3601" s="77" t="s">
        <v>158</v>
      </c>
      <c r="I3601" s="86">
        <v>41716</v>
      </c>
      <c r="J3601" s="78">
        <v>845</v>
      </c>
      <c r="U3601" s="132" t="s">
        <v>154</v>
      </c>
      <c r="V3601" s="132" t="s">
        <v>304</v>
      </c>
      <c r="W3601" s="132" t="s">
        <v>267</v>
      </c>
      <c r="X3601" s="133">
        <v>41702</v>
      </c>
      <c r="Y3601" s="134">
        <v>566</v>
      </c>
    </row>
    <row r="3602" spans="6:25" x14ac:dyDescent="0.25">
      <c r="F3602" s="76" t="s">
        <v>150</v>
      </c>
      <c r="G3602" s="77" t="s">
        <v>172</v>
      </c>
      <c r="H3602" s="77" t="s">
        <v>158</v>
      </c>
      <c r="I3602" s="86">
        <v>41717</v>
      </c>
      <c r="J3602" s="78">
        <v>772</v>
      </c>
      <c r="U3602" s="132" t="s">
        <v>154</v>
      </c>
      <c r="V3602" s="132" t="s">
        <v>304</v>
      </c>
      <c r="W3602" s="132" t="s">
        <v>267</v>
      </c>
      <c r="X3602" s="133">
        <v>41703</v>
      </c>
      <c r="Y3602" s="134">
        <v>600</v>
      </c>
    </row>
    <row r="3603" spans="6:25" x14ac:dyDescent="0.25">
      <c r="F3603" s="76" t="s">
        <v>150</v>
      </c>
      <c r="G3603" s="77" t="s">
        <v>172</v>
      </c>
      <c r="H3603" s="77" t="s">
        <v>158</v>
      </c>
      <c r="I3603" s="86">
        <v>41722</v>
      </c>
      <c r="J3603" s="78">
        <v>622</v>
      </c>
      <c r="U3603" s="132" t="s">
        <v>154</v>
      </c>
      <c r="V3603" s="132" t="s">
        <v>304</v>
      </c>
      <c r="W3603" s="132" t="s">
        <v>267</v>
      </c>
      <c r="X3603" s="133">
        <v>41704</v>
      </c>
      <c r="Y3603" s="134">
        <v>900</v>
      </c>
    </row>
    <row r="3604" spans="6:25" x14ac:dyDescent="0.25">
      <c r="F3604" s="76" t="s">
        <v>150</v>
      </c>
      <c r="G3604" s="77" t="s">
        <v>172</v>
      </c>
      <c r="H3604" s="77" t="s">
        <v>158</v>
      </c>
      <c r="I3604" s="86">
        <v>41724</v>
      </c>
      <c r="J3604" s="78">
        <v>1306</v>
      </c>
      <c r="U3604" s="132" t="s">
        <v>154</v>
      </c>
      <c r="V3604" s="132" t="s">
        <v>304</v>
      </c>
      <c r="W3604" s="132" t="s">
        <v>267</v>
      </c>
      <c r="X3604" s="133">
        <v>41705</v>
      </c>
      <c r="Y3604" s="134">
        <v>510</v>
      </c>
    </row>
    <row r="3605" spans="6:25" x14ac:dyDescent="0.25">
      <c r="F3605" s="76" t="s">
        <v>150</v>
      </c>
      <c r="G3605" s="77" t="s">
        <v>172</v>
      </c>
      <c r="H3605" s="77" t="s">
        <v>158</v>
      </c>
      <c r="I3605" s="86">
        <v>41724</v>
      </c>
      <c r="J3605" s="78">
        <v>612</v>
      </c>
      <c r="U3605" s="132" t="s">
        <v>154</v>
      </c>
      <c r="V3605" s="132" t="s">
        <v>304</v>
      </c>
      <c r="W3605" s="132" t="s">
        <v>267</v>
      </c>
      <c r="X3605" s="133">
        <v>41707</v>
      </c>
      <c r="Y3605" s="134">
        <v>1005</v>
      </c>
    </row>
    <row r="3606" spans="6:25" x14ac:dyDescent="0.25">
      <c r="F3606" s="76" t="s">
        <v>150</v>
      </c>
      <c r="G3606" s="77" t="s">
        <v>172</v>
      </c>
      <c r="H3606" s="77" t="s">
        <v>158</v>
      </c>
      <c r="I3606" s="86">
        <v>41798</v>
      </c>
      <c r="J3606" s="78">
        <v>1280</v>
      </c>
      <c r="U3606" s="132" t="s">
        <v>154</v>
      </c>
      <c r="V3606" s="132" t="s">
        <v>304</v>
      </c>
      <c r="W3606" s="132" t="s">
        <v>267</v>
      </c>
      <c r="X3606" s="133">
        <v>41707</v>
      </c>
      <c r="Y3606" s="134">
        <v>200</v>
      </c>
    </row>
    <row r="3607" spans="6:25" x14ac:dyDescent="0.25">
      <c r="F3607" s="76" t="s">
        <v>150</v>
      </c>
      <c r="G3607" s="77" t="s">
        <v>172</v>
      </c>
      <c r="H3607" s="77" t="s">
        <v>158</v>
      </c>
      <c r="I3607" s="86">
        <v>41821</v>
      </c>
      <c r="J3607" s="78">
        <v>2054</v>
      </c>
      <c r="U3607" s="132" t="s">
        <v>154</v>
      </c>
      <c r="V3607" s="132" t="s">
        <v>304</v>
      </c>
      <c r="W3607" s="132" t="s">
        <v>267</v>
      </c>
      <c r="X3607" s="133">
        <v>41708</v>
      </c>
      <c r="Y3607" s="134">
        <v>546</v>
      </c>
    </row>
    <row r="3608" spans="6:25" x14ac:dyDescent="0.25">
      <c r="F3608" s="76" t="s">
        <v>150</v>
      </c>
      <c r="G3608" s="77" t="s">
        <v>172</v>
      </c>
      <c r="H3608" s="77" t="s">
        <v>158</v>
      </c>
      <c r="I3608" s="86">
        <v>41919</v>
      </c>
      <c r="J3608" s="78">
        <v>1617</v>
      </c>
      <c r="U3608" s="132" t="s">
        <v>154</v>
      </c>
      <c r="V3608" s="132" t="s">
        <v>304</v>
      </c>
      <c r="W3608" s="132" t="s">
        <v>267</v>
      </c>
      <c r="X3608" s="133">
        <v>41709</v>
      </c>
      <c r="Y3608" s="134">
        <v>810</v>
      </c>
    </row>
    <row r="3609" spans="6:25" x14ac:dyDescent="0.25">
      <c r="F3609" s="76" t="s">
        <v>150</v>
      </c>
      <c r="G3609" s="77" t="s">
        <v>172</v>
      </c>
      <c r="H3609" s="77" t="s">
        <v>158</v>
      </c>
      <c r="I3609" s="86">
        <v>41929</v>
      </c>
      <c r="J3609" s="78">
        <v>1049</v>
      </c>
      <c r="U3609" s="132" t="s">
        <v>154</v>
      </c>
      <c r="V3609" s="132" t="s">
        <v>304</v>
      </c>
      <c r="W3609" s="132" t="s">
        <v>267</v>
      </c>
      <c r="X3609" s="133">
        <v>41710</v>
      </c>
      <c r="Y3609" s="134">
        <v>1185</v>
      </c>
    </row>
    <row r="3610" spans="6:25" x14ac:dyDescent="0.25">
      <c r="F3610" s="76" t="s">
        <v>150</v>
      </c>
      <c r="G3610" s="77" t="s">
        <v>172</v>
      </c>
      <c r="H3610" s="77" t="s">
        <v>158</v>
      </c>
      <c r="I3610" s="86">
        <v>41932</v>
      </c>
      <c r="J3610" s="78">
        <v>961</v>
      </c>
      <c r="U3610" s="132" t="s">
        <v>154</v>
      </c>
      <c r="V3610" s="132" t="s">
        <v>304</v>
      </c>
      <c r="W3610" s="132" t="s">
        <v>267</v>
      </c>
      <c r="X3610" s="133">
        <v>41714</v>
      </c>
      <c r="Y3610" s="134">
        <v>1052</v>
      </c>
    </row>
    <row r="3611" spans="6:25" x14ac:dyDescent="0.25">
      <c r="F3611" s="76" t="s">
        <v>150</v>
      </c>
      <c r="G3611" s="77" t="s">
        <v>172</v>
      </c>
      <c r="H3611" s="77" t="s">
        <v>158</v>
      </c>
      <c r="I3611" s="86">
        <v>41966</v>
      </c>
      <c r="J3611" s="78">
        <v>1194</v>
      </c>
      <c r="U3611" s="132" t="s">
        <v>154</v>
      </c>
      <c r="V3611" s="132" t="s">
        <v>304</v>
      </c>
      <c r="W3611" s="132" t="s">
        <v>267</v>
      </c>
      <c r="X3611" s="133">
        <v>41715</v>
      </c>
      <c r="Y3611" s="134">
        <v>525</v>
      </c>
    </row>
    <row r="3612" spans="6:25" x14ac:dyDescent="0.25">
      <c r="F3612" s="76" t="s">
        <v>150</v>
      </c>
      <c r="G3612" s="77" t="s">
        <v>172</v>
      </c>
      <c r="H3612" s="77" t="s">
        <v>158</v>
      </c>
      <c r="I3612" s="86">
        <v>41971</v>
      </c>
      <c r="J3612" s="78">
        <v>303</v>
      </c>
      <c r="U3612" s="132" t="s">
        <v>154</v>
      </c>
      <c r="V3612" s="132" t="s">
        <v>304</v>
      </c>
      <c r="W3612" s="132" t="s">
        <v>267</v>
      </c>
      <c r="X3612" s="133">
        <v>41716</v>
      </c>
      <c r="Y3612" s="134">
        <v>760</v>
      </c>
    </row>
    <row r="3613" spans="6:25" x14ac:dyDescent="0.25">
      <c r="F3613" s="76" t="s">
        <v>150</v>
      </c>
      <c r="G3613" s="77" t="s">
        <v>172</v>
      </c>
      <c r="H3613" s="77" t="s">
        <v>158</v>
      </c>
      <c r="I3613" s="86">
        <v>41982</v>
      </c>
      <c r="J3613" s="78">
        <v>1422</v>
      </c>
      <c r="U3613" s="132" t="s">
        <v>154</v>
      </c>
      <c r="V3613" s="132" t="s">
        <v>304</v>
      </c>
      <c r="W3613" s="132" t="s">
        <v>267</v>
      </c>
      <c r="X3613" s="133">
        <v>41717</v>
      </c>
      <c r="Y3613" s="134">
        <v>962</v>
      </c>
    </row>
    <row r="3614" spans="6:25" x14ac:dyDescent="0.25">
      <c r="F3614" s="76" t="s">
        <v>150</v>
      </c>
      <c r="G3614" s="77" t="s">
        <v>172</v>
      </c>
      <c r="H3614" s="77" t="s">
        <v>158</v>
      </c>
      <c r="I3614" s="86">
        <v>41993</v>
      </c>
      <c r="J3614" s="78">
        <v>1357</v>
      </c>
      <c r="U3614" s="132" t="s">
        <v>154</v>
      </c>
      <c r="V3614" s="132" t="s">
        <v>304</v>
      </c>
      <c r="W3614" s="132" t="s">
        <v>267</v>
      </c>
      <c r="X3614" s="133">
        <v>41717</v>
      </c>
      <c r="Y3614" s="134">
        <v>370</v>
      </c>
    </row>
    <row r="3615" spans="6:25" x14ac:dyDescent="0.25">
      <c r="F3615" s="76" t="s">
        <v>150</v>
      </c>
      <c r="G3615" s="77" t="s">
        <v>208</v>
      </c>
      <c r="H3615" s="77" t="s">
        <v>174</v>
      </c>
      <c r="I3615" s="86">
        <v>41694</v>
      </c>
      <c r="J3615" s="78">
        <v>655</v>
      </c>
      <c r="U3615" s="132" t="s">
        <v>154</v>
      </c>
      <c r="V3615" s="132" t="s">
        <v>304</v>
      </c>
      <c r="W3615" s="132" t="s">
        <v>267</v>
      </c>
      <c r="X3615" s="133">
        <v>41722</v>
      </c>
      <c r="Y3615" s="134">
        <v>760</v>
      </c>
    </row>
    <row r="3616" spans="6:25" x14ac:dyDescent="0.25">
      <c r="F3616" s="76" t="s">
        <v>150</v>
      </c>
      <c r="G3616" s="77" t="s">
        <v>208</v>
      </c>
      <c r="H3616" s="77" t="s">
        <v>174</v>
      </c>
      <c r="I3616" s="86">
        <v>41697</v>
      </c>
      <c r="J3616" s="78">
        <v>502</v>
      </c>
      <c r="U3616" s="132" t="s">
        <v>154</v>
      </c>
      <c r="V3616" s="132" t="s">
        <v>304</v>
      </c>
      <c r="W3616" s="132" t="s">
        <v>267</v>
      </c>
      <c r="X3616" s="133">
        <v>41729</v>
      </c>
      <c r="Y3616" s="134">
        <v>357</v>
      </c>
    </row>
    <row r="3617" spans="6:25" x14ac:dyDescent="0.25">
      <c r="F3617" s="76" t="s">
        <v>150</v>
      </c>
      <c r="G3617" s="77" t="s">
        <v>208</v>
      </c>
      <c r="H3617" s="77" t="s">
        <v>174</v>
      </c>
      <c r="I3617" s="86">
        <v>41698</v>
      </c>
      <c r="J3617" s="78">
        <v>144</v>
      </c>
      <c r="U3617" s="132" t="s">
        <v>154</v>
      </c>
      <c r="V3617" s="132" t="s">
        <v>304</v>
      </c>
      <c r="W3617" s="132" t="s">
        <v>267</v>
      </c>
      <c r="X3617" s="133">
        <v>41730</v>
      </c>
      <c r="Y3617" s="134">
        <v>485</v>
      </c>
    </row>
    <row r="3618" spans="6:25" x14ac:dyDescent="0.25">
      <c r="F3618" s="76" t="s">
        <v>150</v>
      </c>
      <c r="G3618" s="77" t="s">
        <v>209</v>
      </c>
      <c r="H3618" s="77" t="s">
        <v>174</v>
      </c>
      <c r="I3618" s="86">
        <v>41639</v>
      </c>
      <c r="J3618" s="78">
        <v>767</v>
      </c>
      <c r="U3618" s="132" t="s">
        <v>154</v>
      </c>
      <c r="V3618" s="132" t="s">
        <v>304</v>
      </c>
      <c r="W3618" s="132" t="s">
        <v>267</v>
      </c>
      <c r="X3618" s="133">
        <v>41731</v>
      </c>
      <c r="Y3618" s="134">
        <v>681</v>
      </c>
    </row>
    <row r="3619" spans="6:25" x14ac:dyDescent="0.25">
      <c r="F3619" s="76" t="s">
        <v>150</v>
      </c>
      <c r="G3619" s="77" t="s">
        <v>209</v>
      </c>
      <c r="H3619" s="77" t="s">
        <v>174</v>
      </c>
      <c r="I3619" s="86">
        <v>41641</v>
      </c>
      <c r="J3619" s="78">
        <v>262</v>
      </c>
      <c r="U3619" s="132" t="s">
        <v>154</v>
      </c>
      <c r="V3619" s="132" t="s">
        <v>304</v>
      </c>
      <c r="W3619" s="132" t="s">
        <v>267</v>
      </c>
      <c r="X3619" s="133">
        <v>41732</v>
      </c>
      <c r="Y3619" s="134">
        <v>746</v>
      </c>
    </row>
    <row r="3620" spans="6:25" x14ac:dyDescent="0.25">
      <c r="F3620" s="76" t="s">
        <v>150</v>
      </c>
      <c r="G3620" s="77" t="s">
        <v>209</v>
      </c>
      <c r="H3620" s="77" t="s">
        <v>174</v>
      </c>
      <c r="I3620" s="86">
        <v>41642</v>
      </c>
      <c r="J3620" s="78">
        <v>689</v>
      </c>
      <c r="U3620" s="132" t="s">
        <v>154</v>
      </c>
      <c r="V3620" s="132" t="s">
        <v>304</v>
      </c>
      <c r="W3620" s="132" t="s">
        <v>267</v>
      </c>
      <c r="X3620" s="133">
        <v>41733</v>
      </c>
      <c r="Y3620" s="134">
        <v>565</v>
      </c>
    </row>
    <row r="3621" spans="6:25" x14ac:dyDescent="0.25">
      <c r="F3621" s="76" t="s">
        <v>150</v>
      </c>
      <c r="G3621" s="77" t="s">
        <v>209</v>
      </c>
      <c r="H3621" s="77" t="s">
        <v>174</v>
      </c>
      <c r="I3621" s="86">
        <v>41644</v>
      </c>
      <c r="J3621" s="78">
        <v>600</v>
      </c>
      <c r="U3621" s="132" t="s">
        <v>154</v>
      </c>
      <c r="V3621" s="132" t="s">
        <v>304</v>
      </c>
      <c r="W3621" s="132" t="s">
        <v>267</v>
      </c>
      <c r="X3621" s="133">
        <v>41733</v>
      </c>
      <c r="Y3621" s="134">
        <v>540</v>
      </c>
    </row>
    <row r="3622" spans="6:25" x14ac:dyDescent="0.25">
      <c r="F3622" s="76" t="s">
        <v>150</v>
      </c>
      <c r="G3622" s="77" t="s">
        <v>209</v>
      </c>
      <c r="H3622" s="77" t="s">
        <v>174</v>
      </c>
      <c r="I3622" s="86">
        <v>41647</v>
      </c>
      <c r="J3622" s="78">
        <v>1150</v>
      </c>
      <c r="U3622" s="132" t="s">
        <v>154</v>
      </c>
      <c r="V3622" s="132" t="s">
        <v>304</v>
      </c>
      <c r="W3622" s="132" t="s">
        <v>267</v>
      </c>
      <c r="X3622" s="133">
        <v>41735</v>
      </c>
      <c r="Y3622" s="134">
        <v>829</v>
      </c>
    </row>
    <row r="3623" spans="6:25" x14ac:dyDescent="0.25">
      <c r="F3623" s="76" t="s">
        <v>150</v>
      </c>
      <c r="G3623" s="77" t="s">
        <v>209</v>
      </c>
      <c r="H3623" s="77" t="s">
        <v>174</v>
      </c>
      <c r="I3623" s="86">
        <v>41648</v>
      </c>
      <c r="J3623" s="78">
        <v>427</v>
      </c>
      <c r="U3623" s="132" t="s">
        <v>154</v>
      </c>
      <c r="V3623" s="132" t="s">
        <v>304</v>
      </c>
      <c r="W3623" s="132" t="s">
        <v>267</v>
      </c>
      <c r="X3623" s="133">
        <v>41736</v>
      </c>
      <c r="Y3623" s="134">
        <v>810</v>
      </c>
    </row>
    <row r="3624" spans="6:25" x14ac:dyDescent="0.25">
      <c r="F3624" s="76" t="s">
        <v>150</v>
      </c>
      <c r="G3624" s="77" t="s">
        <v>209</v>
      </c>
      <c r="H3624" s="77" t="s">
        <v>174</v>
      </c>
      <c r="I3624" s="86">
        <v>41652</v>
      </c>
      <c r="J3624" s="78">
        <v>712</v>
      </c>
      <c r="U3624" s="132" t="s">
        <v>154</v>
      </c>
      <c r="V3624" s="132" t="s">
        <v>304</v>
      </c>
      <c r="W3624" s="132" t="s">
        <v>267</v>
      </c>
      <c r="X3624" s="133">
        <v>41737</v>
      </c>
      <c r="Y3624" s="134">
        <v>780</v>
      </c>
    </row>
    <row r="3625" spans="6:25" x14ac:dyDescent="0.25">
      <c r="F3625" s="76" t="s">
        <v>150</v>
      </c>
      <c r="G3625" s="77" t="s">
        <v>209</v>
      </c>
      <c r="H3625" s="77" t="s">
        <v>174</v>
      </c>
      <c r="I3625" s="86">
        <v>41653</v>
      </c>
      <c r="J3625" s="78">
        <v>521</v>
      </c>
      <c r="U3625" s="132" t="s">
        <v>154</v>
      </c>
      <c r="V3625" s="132" t="s">
        <v>304</v>
      </c>
      <c r="W3625" s="132" t="s">
        <v>267</v>
      </c>
      <c r="X3625" s="133">
        <v>41737</v>
      </c>
      <c r="Y3625" s="134">
        <v>707</v>
      </c>
    </row>
    <row r="3626" spans="6:25" x14ac:dyDescent="0.25">
      <c r="F3626" s="76" t="s">
        <v>150</v>
      </c>
      <c r="G3626" s="77" t="s">
        <v>209</v>
      </c>
      <c r="H3626" s="77" t="s">
        <v>174</v>
      </c>
      <c r="I3626" s="86">
        <v>41654</v>
      </c>
      <c r="J3626" s="78">
        <v>227</v>
      </c>
      <c r="U3626" s="132" t="s">
        <v>154</v>
      </c>
      <c r="V3626" s="132" t="s">
        <v>304</v>
      </c>
      <c r="W3626" s="132" t="s">
        <v>267</v>
      </c>
      <c r="X3626" s="133">
        <v>41738</v>
      </c>
      <c r="Y3626" s="134">
        <v>850</v>
      </c>
    </row>
    <row r="3627" spans="6:25" x14ac:dyDescent="0.25">
      <c r="F3627" s="76" t="s">
        <v>150</v>
      </c>
      <c r="G3627" s="77" t="s">
        <v>209</v>
      </c>
      <c r="H3627" s="77" t="s">
        <v>174</v>
      </c>
      <c r="I3627" s="86">
        <v>41694</v>
      </c>
      <c r="J3627" s="78">
        <v>680</v>
      </c>
      <c r="U3627" s="132" t="s">
        <v>154</v>
      </c>
      <c r="V3627" s="132" t="s">
        <v>304</v>
      </c>
      <c r="W3627" s="132" t="s">
        <v>267</v>
      </c>
      <c r="X3627" s="133">
        <v>41739</v>
      </c>
      <c r="Y3627" s="134">
        <v>971</v>
      </c>
    </row>
    <row r="3628" spans="6:25" x14ac:dyDescent="0.25">
      <c r="F3628" s="76" t="s">
        <v>150</v>
      </c>
      <c r="G3628" s="77" t="s">
        <v>209</v>
      </c>
      <c r="H3628" s="77" t="s">
        <v>174</v>
      </c>
      <c r="I3628" s="86">
        <v>41697</v>
      </c>
      <c r="J3628" s="78">
        <v>647</v>
      </c>
      <c r="U3628" s="132" t="s">
        <v>154</v>
      </c>
      <c r="V3628" s="132" t="s">
        <v>304</v>
      </c>
      <c r="W3628" s="132" t="s">
        <v>267</v>
      </c>
      <c r="X3628" s="133">
        <v>41740</v>
      </c>
      <c r="Y3628" s="134">
        <v>579</v>
      </c>
    </row>
    <row r="3629" spans="6:25" x14ac:dyDescent="0.25">
      <c r="F3629" s="76" t="s">
        <v>150</v>
      </c>
      <c r="G3629" s="77" t="s">
        <v>209</v>
      </c>
      <c r="H3629" s="77" t="s">
        <v>174</v>
      </c>
      <c r="I3629" s="86">
        <v>41698</v>
      </c>
      <c r="J3629" s="78">
        <v>344</v>
      </c>
      <c r="U3629" s="132" t="s">
        <v>154</v>
      </c>
      <c r="V3629" s="132" t="s">
        <v>304</v>
      </c>
      <c r="W3629" s="132" t="s">
        <v>267</v>
      </c>
      <c r="X3629" s="133">
        <v>41742</v>
      </c>
      <c r="Y3629" s="134">
        <v>901</v>
      </c>
    </row>
    <row r="3630" spans="6:25" x14ac:dyDescent="0.25">
      <c r="F3630" s="76" t="s">
        <v>150</v>
      </c>
      <c r="G3630" s="77" t="s">
        <v>212</v>
      </c>
      <c r="H3630" s="77" t="s">
        <v>174</v>
      </c>
      <c r="I3630" s="86">
        <v>41726</v>
      </c>
      <c r="J3630" s="78">
        <v>1495</v>
      </c>
      <c r="U3630" s="132" t="s">
        <v>154</v>
      </c>
      <c r="V3630" s="132" t="s">
        <v>304</v>
      </c>
      <c r="W3630" s="132" t="s">
        <v>267</v>
      </c>
      <c r="X3630" s="133">
        <v>41742</v>
      </c>
      <c r="Y3630" s="134">
        <v>787</v>
      </c>
    </row>
    <row r="3631" spans="6:25" x14ac:dyDescent="0.25">
      <c r="F3631" s="76" t="s">
        <v>150</v>
      </c>
      <c r="G3631" s="77" t="s">
        <v>157</v>
      </c>
      <c r="H3631" s="77" t="s">
        <v>158</v>
      </c>
      <c r="I3631" s="86">
        <v>41689</v>
      </c>
      <c r="J3631" s="78">
        <v>1183</v>
      </c>
      <c r="U3631" s="132" t="s">
        <v>154</v>
      </c>
      <c r="V3631" s="132" t="s">
        <v>304</v>
      </c>
      <c r="W3631" s="132" t="s">
        <v>267</v>
      </c>
      <c r="X3631" s="133">
        <v>41743</v>
      </c>
      <c r="Y3631" s="134">
        <v>1101</v>
      </c>
    </row>
    <row r="3632" spans="6:25" x14ac:dyDescent="0.25">
      <c r="F3632" s="76" t="s">
        <v>150</v>
      </c>
      <c r="G3632" s="77" t="s">
        <v>157</v>
      </c>
      <c r="H3632" s="77" t="s">
        <v>158</v>
      </c>
      <c r="I3632" s="86">
        <v>41695</v>
      </c>
      <c r="J3632" s="78">
        <v>1001</v>
      </c>
      <c r="U3632" s="132" t="s">
        <v>154</v>
      </c>
      <c r="V3632" s="132" t="s">
        <v>304</v>
      </c>
      <c r="W3632" s="132" t="s">
        <v>267</v>
      </c>
      <c r="X3632" s="133">
        <v>41744</v>
      </c>
      <c r="Y3632" s="134">
        <v>1096</v>
      </c>
    </row>
    <row r="3633" spans="6:25" x14ac:dyDescent="0.25">
      <c r="F3633" s="76" t="s">
        <v>150</v>
      </c>
      <c r="G3633" s="77" t="s">
        <v>157</v>
      </c>
      <c r="H3633" s="77" t="s">
        <v>158</v>
      </c>
      <c r="I3633" s="86">
        <v>41696</v>
      </c>
      <c r="J3633" s="78">
        <v>1121</v>
      </c>
      <c r="U3633" s="132" t="s">
        <v>154</v>
      </c>
      <c r="V3633" s="132" t="s">
        <v>304</v>
      </c>
      <c r="W3633" s="132" t="s">
        <v>267</v>
      </c>
      <c r="X3633" s="133">
        <v>41764</v>
      </c>
      <c r="Y3633" s="134">
        <v>320</v>
      </c>
    </row>
    <row r="3634" spans="6:25" x14ac:dyDescent="0.25">
      <c r="F3634" s="76" t="s">
        <v>150</v>
      </c>
      <c r="G3634" s="77" t="s">
        <v>157</v>
      </c>
      <c r="H3634" s="77" t="s">
        <v>158</v>
      </c>
      <c r="I3634" s="86">
        <v>41697</v>
      </c>
      <c r="J3634" s="78">
        <v>710</v>
      </c>
      <c r="U3634" s="132" t="s">
        <v>154</v>
      </c>
      <c r="V3634" s="132" t="s">
        <v>304</v>
      </c>
      <c r="W3634" s="132" t="s">
        <v>267</v>
      </c>
      <c r="X3634" s="133">
        <v>41765</v>
      </c>
      <c r="Y3634" s="134">
        <v>1157</v>
      </c>
    </row>
    <row r="3635" spans="6:25" x14ac:dyDescent="0.25">
      <c r="F3635" s="76" t="s">
        <v>150</v>
      </c>
      <c r="G3635" s="77" t="s">
        <v>157</v>
      </c>
      <c r="H3635" s="77" t="s">
        <v>158</v>
      </c>
      <c r="I3635" s="86">
        <v>41701</v>
      </c>
      <c r="J3635" s="78">
        <v>438</v>
      </c>
      <c r="U3635" s="132" t="s">
        <v>154</v>
      </c>
      <c r="V3635" s="132" t="s">
        <v>304</v>
      </c>
      <c r="W3635" s="132" t="s">
        <v>267</v>
      </c>
      <c r="X3635" s="133">
        <v>41766</v>
      </c>
      <c r="Y3635" s="134">
        <v>1095</v>
      </c>
    </row>
    <row r="3636" spans="6:25" x14ac:dyDescent="0.25">
      <c r="F3636" s="76" t="s">
        <v>150</v>
      </c>
      <c r="G3636" s="77" t="s">
        <v>157</v>
      </c>
      <c r="H3636" s="77" t="s">
        <v>158</v>
      </c>
      <c r="I3636" s="86">
        <v>41709</v>
      </c>
      <c r="J3636" s="78">
        <v>806</v>
      </c>
      <c r="U3636" s="132" t="s">
        <v>154</v>
      </c>
      <c r="V3636" s="132" t="s">
        <v>304</v>
      </c>
      <c r="W3636" s="132" t="s">
        <v>267</v>
      </c>
      <c r="X3636" s="133">
        <v>41767</v>
      </c>
      <c r="Y3636" s="134">
        <v>599</v>
      </c>
    </row>
    <row r="3637" spans="6:25" x14ac:dyDescent="0.25">
      <c r="F3637" s="76" t="s">
        <v>150</v>
      </c>
      <c r="G3637" s="77" t="s">
        <v>157</v>
      </c>
      <c r="H3637" s="77" t="s">
        <v>158</v>
      </c>
      <c r="I3637" s="86">
        <v>41710</v>
      </c>
      <c r="J3637" s="78">
        <v>471</v>
      </c>
      <c r="U3637" s="132" t="s">
        <v>154</v>
      </c>
      <c r="V3637" s="132" t="s">
        <v>305</v>
      </c>
      <c r="W3637" s="132" t="s">
        <v>267</v>
      </c>
      <c r="X3637" s="133">
        <v>41699</v>
      </c>
      <c r="Y3637" s="134">
        <v>351</v>
      </c>
    </row>
    <row r="3638" spans="6:25" x14ac:dyDescent="0.25">
      <c r="F3638" s="76" t="s">
        <v>150</v>
      </c>
      <c r="G3638" s="77" t="s">
        <v>157</v>
      </c>
      <c r="H3638" s="77" t="s">
        <v>158</v>
      </c>
      <c r="I3638" s="86">
        <v>41716</v>
      </c>
      <c r="J3638" s="78">
        <v>900</v>
      </c>
      <c r="U3638" s="132" t="s">
        <v>154</v>
      </c>
      <c r="V3638" s="132" t="s">
        <v>305</v>
      </c>
      <c r="W3638" s="132" t="s">
        <v>267</v>
      </c>
      <c r="X3638" s="133">
        <v>41700</v>
      </c>
      <c r="Y3638" s="134">
        <v>723</v>
      </c>
    </row>
    <row r="3639" spans="6:25" x14ac:dyDescent="0.25">
      <c r="F3639" s="76" t="s">
        <v>150</v>
      </c>
      <c r="G3639" s="77" t="s">
        <v>157</v>
      </c>
      <c r="H3639" s="77" t="s">
        <v>158</v>
      </c>
      <c r="I3639" s="86">
        <v>41718</v>
      </c>
      <c r="J3639" s="78">
        <v>1129</v>
      </c>
      <c r="U3639" s="132" t="s">
        <v>154</v>
      </c>
      <c r="V3639" s="132" t="s">
        <v>305</v>
      </c>
      <c r="W3639" s="132" t="s">
        <v>267</v>
      </c>
      <c r="X3639" s="133">
        <v>41700</v>
      </c>
      <c r="Y3639" s="134">
        <v>322</v>
      </c>
    </row>
    <row r="3640" spans="6:25" x14ac:dyDescent="0.25">
      <c r="F3640" s="76" t="s">
        <v>150</v>
      </c>
      <c r="G3640" s="77" t="s">
        <v>157</v>
      </c>
      <c r="H3640" s="77" t="s">
        <v>158</v>
      </c>
      <c r="I3640" s="86">
        <v>41722</v>
      </c>
      <c r="J3640" s="78">
        <v>700</v>
      </c>
      <c r="U3640" s="132" t="s">
        <v>154</v>
      </c>
      <c r="V3640" s="132" t="s">
        <v>305</v>
      </c>
      <c r="W3640" s="132" t="s">
        <v>267</v>
      </c>
      <c r="X3640" s="133">
        <v>41701</v>
      </c>
      <c r="Y3640" s="134">
        <v>1021</v>
      </c>
    </row>
    <row r="3641" spans="6:25" x14ac:dyDescent="0.25">
      <c r="F3641" s="76" t="s">
        <v>150</v>
      </c>
      <c r="G3641" s="77" t="s">
        <v>157</v>
      </c>
      <c r="H3641" s="77" t="s">
        <v>158</v>
      </c>
      <c r="I3641" s="86">
        <v>41725</v>
      </c>
      <c r="J3641" s="78">
        <v>600</v>
      </c>
      <c r="U3641" s="132" t="s">
        <v>154</v>
      </c>
      <c r="V3641" s="132" t="s">
        <v>305</v>
      </c>
      <c r="W3641" s="132" t="s">
        <v>267</v>
      </c>
      <c r="X3641" s="133">
        <v>41702</v>
      </c>
      <c r="Y3641" s="134">
        <v>1324</v>
      </c>
    </row>
    <row r="3642" spans="6:25" x14ac:dyDescent="0.25">
      <c r="F3642" s="76" t="s">
        <v>150</v>
      </c>
      <c r="G3642" s="77" t="s">
        <v>157</v>
      </c>
      <c r="H3642" s="77" t="s">
        <v>158</v>
      </c>
      <c r="I3642" s="86">
        <v>41729</v>
      </c>
      <c r="J3642" s="78">
        <v>801</v>
      </c>
      <c r="U3642" s="132" t="s">
        <v>154</v>
      </c>
      <c r="V3642" s="132" t="s">
        <v>305</v>
      </c>
      <c r="W3642" s="132" t="s">
        <v>267</v>
      </c>
      <c r="X3642" s="133">
        <v>41702</v>
      </c>
      <c r="Y3642" s="134">
        <v>285</v>
      </c>
    </row>
    <row r="3643" spans="6:25" x14ac:dyDescent="0.25">
      <c r="F3643" s="76" t="s">
        <v>150</v>
      </c>
      <c r="G3643" s="77" t="s">
        <v>157</v>
      </c>
      <c r="H3643" s="77" t="s">
        <v>158</v>
      </c>
      <c r="I3643" s="86">
        <v>41731</v>
      </c>
      <c r="J3643" s="78">
        <v>1228</v>
      </c>
      <c r="U3643" s="132" t="s">
        <v>154</v>
      </c>
      <c r="V3643" s="132" t="s">
        <v>305</v>
      </c>
      <c r="W3643" s="132" t="s">
        <v>267</v>
      </c>
      <c r="X3643" s="133">
        <v>41703</v>
      </c>
      <c r="Y3643" s="134">
        <v>750</v>
      </c>
    </row>
    <row r="3644" spans="6:25" x14ac:dyDescent="0.25">
      <c r="F3644" s="76" t="s">
        <v>150</v>
      </c>
      <c r="G3644" s="77" t="s">
        <v>157</v>
      </c>
      <c r="H3644" s="77" t="s">
        <v>158</v>
      </c>
      <c r="I3644" s="86">
        <v>41747</v>
      </c>
      <c r="J3644" s="78">
        <v>1354</v>
      </c>
      <c r="U3644" s="132" t="s">
        <v>154</v>
      </c>
      <c r="V3644" s="132" t="s">
        <v>305</v>
      </c>
      <c r="W3644" s="132" t="s">
        <v>267</v>
      </c>
      <c r="X3644" s="133">
        <v>41704</v>
      </c>
      <c r="Y3644" s="134">
        <v>505</v>
      </c>
    </row>
    <row r="3645" spans="6:25" x14ac:dyDescent="0.25">
      <c r="F3645" s="76" t="s">
        <v>150</v>
      </c>
      <c r="G3645" s="77" t="s">
        <v>157</v>
      </c>
      <c r="H3645" s="77" t="s">
        <v>158</v>
      </c>
      <c r="I3645" s="86">
        <v>41751</v>
      </c>
      <c r="J3645" s="78">
        <v>757</v>
      </c>
      <c r="U3645" s="132" t="s">
        <v>154</v>
      </c>
      <c r="V3645" s="132" t="s">
        <v>305</v>
      </c>
      <c r="W3645" s="132" t="s">
        <v>267</v>
      </c>
      <c r="X3645" s="133">
        <v>41705</v>
      </c>
      <c r="Y3645" s="134">
        <v>810</v>
      </c>
    </row>
    <row r="3646" spans="6:25" x14ac:dyDescent="0.25">
      <c r="F3646" s="76" t="s">
        <v>150</v>
      </c>
      <c r="G3646" s="77" t="s">
        <v>157</v>
      </c>
      <c r="H3646" s="77" t="s">
        <v>158</v>
      </c>
      <c r="I3646" s="86">
        <v>41753</v>
      </c>
      <c r="J3646" s="78">
        <v>774</v>
      </c>
      <c r="U3646" s="132" t="s">
        <v>154</v>
      </c>
      <c r="V3646" s="132" t="s">
        <v>305</v>
      </c>
      <c r="W3646" s="132" t="s">
        <v>267</v>
      </c>
      <c r="X3646" s="133">
        <v>41706</v>
      </c>
      <c r="Y3646" s="134">
        <v>1145</v>
      </c>
    </row>
    <row r="3647" spans="6:25" x14ac:dyDescent="0.25">
      <c r="F3647" s="76" t="s">
        <v>150</v>
      </c>
      <c r="G3647" s="77" t="s">
        <v>157</v>
      </c>
      <c r="H3647" s="77" t="s">
        <v>158</v>
      </c>
      <c r="I3647" s="86">
        <v>41756</v>
      </c>
      <c r="J3647" s="78">
        <v>1214</v>
      </c>
      <c r="U3647" s="132" t="s">
        <v>154</v>
      </c>
      <c r="V3647" s="132" t="s">
        <v>305</v>
      </c>
      <c r="W3647" s="132" t="s">
        <v>267</v>
      </c>
      <c r="X3647" s="133">
        <v>41706</v>
      </c>
      <c r="Y3647" s="134">
        <v>290</v>
      </c>
    </row>
    <row r="3648" spans="6:25" x14ac:dyDescent="0.25">
      <c r="F3648" s="76" t="s">
        <v>150</v>
      </c>
      <c r="G3648" s="77" t="s">
        <v>157</v>
      </c>
      <c r="H3648" s="77" t="s">
        <v>158</v>
      </c>
      <c r="I3648" s="86">
        <v>41758</v>
      </c>
      <c r="J3648" s="78">
        <v>1091</v>
      </c>
      <c r="U3648" s="132" t="s">
        <v>154</v>
      </c>
      <c r="V3648" s="132" t="s">
        <v>305</v>
      </c>
      <c r="W3648" s="132" t="s">
        <v>267</v>
      </c>
      <c r="X3648" s="133">
        <v>41708</v>
      </c>
      <c r="Y3648" s="134">
        <v>883</v>
      </c>
    </row>
    <row r="3649" spans="6:25" x14ac:dyDescent="0.25">
      <c r="F3649" s="76" t="s">
        <v>150</v>
      </c>
      <c r="G3649" s="77" t="s">
        <v>157</v>
      </c>
      <c r="H3649" s="77" t="s">
        <v>158</v>
      </c>
      <c r="I3649" s="86">
        <v>41760</v>
      </c>
      <c r="J3649" s="78">
        <v>1183</v>
      </c>
      <c r="U3649" s="132" t="s">
        <v>154</v>
      </c>
      <c r="V3649" s="132" t="s">
        <v>305</v>
      </c>
      <c r="W3649" s="132" t="s">
        <v>267</v>
      </c>
      <c r="X3649" s="133">
        <v>41708</v>
      </c>
      <c r="Y3649" s="134">
        <v>545</v>
      </c>
    </row>
    <row r="3650" spans="6:25" x14ac:dyDescent="0.25">
      <c r="F3650" s="76" t="s">
        <v>150</v>
      </c>
      <c r="G3650" s="77" t="s">
        <v>157</v>
      </c>
      <c r="H3650" s="77" t="s">
        <v>158</v>
      </c>
      <c r="I3650" s="86">
        <v>41761</v>
      </c>
      <c r="J3650" s="78">
        <v>393</v>
      </c>
      <c r="U3650" s="132" t="s">
        <v>154</v>
      </c>
      <c r="V3650" s="132" t="s">
        <v>305</v>
      </c>
      <c r="W3650" s="132" t="s">
        <v>267</v>
      </c>
      <c r="X3650" s="133">
        <v>41716</v>
      </c>
      <c r="Y3650" s="134">
        <v>739</v>
      </c>
    </row>
    <row r="3651" spans="6:25" x14ac:dyDescent="0.25">
      <c r="F3651" s="76" t="s">
        <v>150</v>
      </c>
      <c r="G3651" s="77" t="s">
        <v>157</v>
      </c>
      <c r="H3651" s="77" t="s">
        <v>158</v>
      </c>
      <c r="I3651" s="86">
        <v>41762</v>
      </c>
      <c r="J3651" s="78">
        <v>866</v>
      </c>
      <c r="U3651" s="132" t="s">
        <v>154</v>
      </c>
      <c r="V3651" s="132" t="s">
        <v>305</v>
      </c>
      <c r="W3651" s="132" t="s">
        <v>267</v>
      </c>
      <c r="X3651" s="133">
        <v>41716</v>
      </c>
      <c r="Y3651" s="134">
        <v>645</v>
      </c>
    </row>
    <row r="3652" spans="6:25" x14ac:dyDescent="0.25">
      <c r="F3652" s="76" t="s">
        <v>150</v>
      </c>
      <c r="G3652" s="77" t="s">
        <v>157</v>
      </c>
      <c r="H3652" s="77" t="s">
        <v>158</v>
      </c>
      <c r="I3652" s="86">
        <v>41763</v>
      </c>
      <c r="J3652" s="78">
        <v>706</v>
      </c>
      <c r="U3652" s="132" t="s">
        <v>154</v>
      </c>
      <c r="V3652" s="132" t="s">
        <v>305</v>
      </c>
      <c r="W3652" s="132" t="s">
        <v>267</v>
      </c>
      <c r="X3652" s="133">
        <v>41717</v>
      </c>
      <c r="Y3652" s="134">
        <v>750</v>
      </c>
    </row>
    <row r="3653" spans="6:25" x14ac:dyDescent="0.25">
      <c r="F3653" s="76" t="s">
        <v>150</v>
      </c>
      <c r="G3653" s="77" t="s">
        <v>157</v>
      </c>
      <c r="H3653" s="77" t="s">
        <v>158</v>
      </c>
      <c r="I3653" s="86">
        <v>41764</v>
      </c>
      <c r="J3653" s="78">
        <v>790</v>
      </c>
      <c r="U3653" s="132" t="s">
        <v>154</v>
      </c>
      <c r="V3653" s="132" t="s">
        <v>305</v>
      </c>
      <c r="W3653" s="132" t="s">
        <v>267</v>
      </c>
      <c r="X3653" s="133">
        <v>41718</v>
      </c>
      <c r="Y3653" s="134">
        <v>985</v>
      </c>
    </row>
    <row r="3654" spans="6:25" x14ac:dyDescent="0.25">
      <c r="F3654" s="76" t="s">
        <v>150</v>
      </c>
      <c r="G3654" s="77" t="s">
        <v>157</v>
      </c>
      <c r="H3654" s="77" t="s">
        <v>158</v>
      </c>
      <c r="I3654" s="86">
        <v>41765</v>
      </c>
      <c r="J3654" s="78">
        <v>525</v>
      </c>
      <c r="U3654" s="132" t="s">
        <v>154</v>
      </c>
      <c r="V3654" s="132" t="s">
        <v>305</v>
      </c>
      <c r="W3654" s="132" t="s">
        <v>267</v>
      </c>
      <c r="X3654" s="133">
        <v>41718</v>
      </c>
      <c r="Y3654" s="134">
        <v>510</v>
      </c>
    </row>
    <row r="3655" spans="6:25" x14ac:dyDescent="0.25">
      <c r="F3655" s="76" t="s">
        <v>150</v>
      </c>
      <c r="G3655" s="77" t="s">
        <v>157</v>
      </c>
      <c r="H3655" s="77" t="s">
        <v>158</v>
      </c>
      <c r="I3655" s="86">
        <v>41768</v>
      </c>
      <c r="J3655" s="78">
        <v>708</v>
      </c>
      <c r="U3655" s="132" t="s">
        <v>154</v>
      </c>
      <c r="V3655" s="132" t="s">
        <v>305</v>
      </c>
      <c r="W3655" s="132" t="s">
        <v>267</v>
      </c>
      <c r="X3655" s="133">
        <v>41726</v>
      </c>
      <c r="Y3655" s="134">
        <v>867</v>
      </c>
    </row>
    <row r="3656" spans="6:25" x14ac:dyDescent="0.25">
      <c r="F3656" s="76" t="s">
        <v>150</v>
      </c>
      <c r="G3656" s="77" t="s">
        <v>157</v>
      </c>
      <c r="H3656" s="77" t="s">
        <v>158</v>
      </c>
      <c r="I3656" s="86">
        <v>41771</v>
      </c>
      <c r="J3656" s="78">
        <v>400</v>
      </c>
      <c r="U3656" s="132" t="s">
        <v>154</v>
      </c>
      <c r="V3656" s="132" t="s">
        <v>305</v>
      </c>
      <c r="W3656" s="132" t="s">
        <v>267</v>
      </c>
      <c r="X3656" s="133">
        <v>41729</v>
      </c>
      <c r="Y3656" s="134">
        <v>466</v>
      </c>
    </row>
    <row r="3657" spans="6:25" x14ac:dyDescent="0.25">
      <c r="F3657" s="76" t="s">
        <v>150</v>
      </c>
      <c r="G3657" s="77" t="s">
        <v>157</v>
      </c>
      <c r="H3657" s="77" t="s">
        <v>158</v>
      </c>
      <c r="I3657" s="86">
        <v>41773</v>
      </c>
      <c r="J3657" s="78">
        <v>1015</v>
      </c>
      <c r="U3657" s="132" t="s">
        <v>154</v>
      </c>
      <c r="V3657" s="132" t="s">
        <v>305</v>
      </c>
      <c r="W3657" s="132" t="s">
        <v>267</v>
      </c>
      <c r="X3657" s="133">
        <v>41730</v>
      </c>
      <c r="Y3657" s="134">
        <v>645</v>
      </c>
    </row>
    <row r="3658" spans="6:25" x14ac:dyDescent="0.25">
      <c r="F3658" s="76" t="s">
        <v>150</v>
      </c>
      <c r="G3658" s="77" t="s">
        <v>157</v>
      </c>
      <c r="H3658" s="77" t="s">
        <v>158</v>
      </c>
      <c r="I3658" s="86">
        <v>41774</v>
      </c>
      <c r="J3658" s="78">
        <v>641</v>
      </c>
      <c r="U3658" s="132" t="s">
        <v>154</v>
      </c>
      <c r="V3658" s="132" t="s">
        <v>305</v>
      </c>
      <c r="W3658" s="132" t="s">
        <v>267</v>
      </c>
      <c r="X3658" s="133">
        <v>41730</v>
      </c>
      <c r="Y3658" s="134">
        <v>435</v>
      </c>
    </row>
    <row r="3659" spans="6:25" x14ac:dyDescent="0.25">
      <c r="F3659" s="76" t="s">
        <v>150</v>
      </c>
      <c r="G3659" s="77" t="s">
        <v>157</v>
      </c>
      <c r="H3659" s="77" t="s">
        <v>158</v>
      </c>
      <c r="I3659" s="86">
        <v>41778</v>
      </c>
      <c r="J3659" s="78">
        <v>1653</v>
      </c>
      <c r="U3659" s="132" t="s">
        <v>154</v>
      </c>
      <c r="V3659" s="132" t="s">
        <v>305</v>
      </c>
      <c r="W3659" s="132" t="s">
        <v>267</v>
      </c>
      <c r="X3659" s="133">
        <v>41731</v>
      </c>
      <c r="Y3659" s="134">
        <v>420</v>
      </c>
    </row>
    <row r="3660" spans="6:25" x14ac:dyDescent="0.25">
      <c r="F3660" s="76" t="s">
        <v>150</v>
      </c>
      <c r="G3660" s="77" t="s">
        <v>157</v>
      </c>
      <c r="H3660" s="77" t="s">
        <v>158</v>
      </c>
      <c r="I3660" s="86">
        <v>41779</v>
      </c>
      <c r="J3660" s="78">
        <v>454</v>
      </c>
      <c r="U3660" s="132" t="s">
        <v>154</v>
      </c>
      <c r="V3660" s="132" t="s">
        <v>305</v>
      </c>
      <c r="W3660" s="132" t="s">
        <v>267</v>
      </c>
      <c r="X3660" s="133">
        <v>41732</v>
      </c>
      <c r="Y3660" s="134">
        <v>684</v>
      </c>
    </row>
    <row r="3661" spans="6:25" x14ac:dyDescent="0.25">
      <c r="F3661" s="76" t="s">
        <v>150</v>
      </c>
      <c r="G3661" s="77" t="s">
        <v>157</v>
      </c>
      <c r="H3661" s="77" t="s">
        <v>158</v>
      </c>
      <c r="I3661" s="86">
        <v>41780</v>
      </c>
      <c r="J3661" s="78">
        <v>1151</v>
      </c>
      <c r="U3661" s="132" t="s">
        <v>154</v>
      </c>
      <c r="V3661" s="132" t="s">
        <v>305</v>
      </c>
      <c r="W3661" s="132" t="s">
        <v>267</v>
      </c>
      <c r="X3661" s="133">
        <v>41732</v>
      </c>
      <c r="Y3661" s="134">
        <v>770</v>
      </c>
    </row>
    <row r="3662" spans="6:25" x14ac:dyDescent="0.25">
      <c r="F3662" s="76" t="s">
        <v>150</v>
      </c>
      <c r="G3662" s="77" t="s">
        <v>157</v>
      </c>
      <c r="H3662" s="77" t="s">
        <v>158</v>
      </c>
      <c r="I3662" s="86">
        <v>41781</v>
      </c>
      <c r="J3662" s="78">
        <v>496</v>
      </c>
      <c r="U3662" s="132" t="s">
        <v>154</v>
      </c>
      <c r="V3662" s="132" t="s">
        <v>305</v>
      </c>
      <c r="W3662" s="132" t="s">
        <v>267</v>
      </c>
      <c r="X3662" s="133">
        <v>41733</v>
      </c>
      <c r="Y3662" s="134">
        <v>846</v>
      </c>
    </row>
    <row r="3663" spans="6:25" x14ac:dyDescent="0.25">
      <c r="F3663" s="76" t="s">
        <v>150</v>
      </c>
      <c r="G3663" s="77" t="s">
        <v>157</v>
      </c>
      <c r="H3663" s="77" t="s">
        <v>158</v>
      </c>
      <c r="I3663" s="86">
        <v>41782</v>
      </c>
      <c r="J3663" s="78">
        <v>1018</v>
      </c>
      <c r="U3663" s="132" t="s">
        <v>154</v>
      </c>
      <c r="V3663" s="132" t="s">
        <v>305</v>
      </c>
      <c r="W3663" s="132" t="s">
        <v>267</v>
      </c>
      <c r="X3663" s="133">
        <v>41735</v>
      </c>
      <c r="Y3663" s="134">
        <v>435</v>
      </c>
    </row>
    <row r="3664" spans="6:25" x14ac:dyDescent="0.25">
      <c r="F3664" s="76" t="s">
        <v>150</v>
      </c>
      <c r="G3664" s="77" t="s">
        <v>157</v>
      </c>
      <c r="H3664" s="77" t="s">
        <v>158</v>
      </c>
      <c r="I3664" s="86">
        <v>41784</v>
      </c>
      <c r="J3664" s="78">
        <v>432</v>
      </c>
      <c r="U3664" s="132" t="s">
        <v>154</v>
      </c>
      <c r="V3664" s="132" t="s">
        <v>305</v>
      </c>
      <c r="W3664" s="132" t="s">
        <v>267</v>
      </c>
      <c r="X3664" s="133">
        <v>41736</v>
      </c>
      <c r="Y3664" s="134">
        <v>1010</v>
      </c>
    </row>
    <row r="3665" spans="6:25" x14ac:dyDescent="0.25">
      <c r="F3665" s="76" t="s">
        <v>150</v>
      </c>
      <c r="G3665" s="77" t="s">
        <v>157</v>
      </c>
      <c r="H3665" s="77" t="s">
        <v>158</v>
      </c>
      <c r="I3665" s="86">
        <v>41784</v>
      </c>
      <c r="J3665" s="78">
        <v>1002</v>
      </c>
      <c r="U3665" s="132" t="s">
        <v>154</v>
      </c>
      <c r="V3665" s="132" t="s">
        <v>305</v>
      </c>
      <c r="W3665" s="132" t="s">
        <v>267</v>
      </c>
      <c r="X3665" s="133">
        <v>41737</v>
      </c>
      <c r="Y3665" s="134">
        <v>1095</v>
      </c>
    </row>
    <row r="3666" spans="6:25" x14ac:dyDescent="0.25">
      <c r="F3666" s="76" t="s">
        <v>150</v>
      </c>
      <c r="G3666" s="77" t="s">
        <v>176</v>
      </c>
      <c r="H3666" s="77" t="s">
        <v>158</v>
      </c>
      <c r="I3666" s="86">
        <v>41636</v>
      </c>
      <c r="J3666" s="78">
        <v>1090</v>
      </c>
      <c r="U3666" s="132" t="s">
        <v>154</v>
      </c>
      <c r="V3666" s="132" t="s">
        <v>305</v>
      </c>
      <c r="W3666" s="132" t="s">
        <v>267</v>
      </c>
      <c r="X3666" s="133">
        <v>41738</v>
      </c>
      <c r="Y3666" s="134">
        <v>616</v>
      </c>
    </row>
    <row r="3667" spans="6:25" x14ac:dyDescent="0.25">
      <c r="F3667" s="76" t="s">
        <v>150</v>
      </c>
      <c r="G3667" s="77" t="s">
        <v>176</v>
      </c>
      <c r="H3667" s="77" t="s">
        <v>158</v>
      </c>
      <c r="I3667" s="86">
        <v>41637</v>
      </c>
      <c r="J3667" s="78">
        <v>595</v>
      </c>
      <c r="U3667" s="132" t="s">
        <v>154</v>
      </c>
      <c r="V3667" s="132" t="s">
        <v>305</v>
      </c>
      <c r="W3667" s="132" t="s">
        <v>267</v>
      </c>
      <c r="X3667" s="133">
        <v>41738</v>
      </c>
      <c r="Y3667" s="134">
        <v>725</v>
      </c>
    </row>
    <row r="3668" spans="6:25" x14ac:dyDescent="0.25">
      <c r="F3668" s="76" t="s">
        <v>150</v>
      </c>
      <c r="G3668" s="77" t="s">
        <v>176</v>
      </c>
      <c r="H3668" s="77" t="s">
        <v>158</v>
      </c>
      <c r="I3668" s="86">
        <v>41641</v>
      </c>
      <c r="J3668" s="78">
        <v>704</v>
      </c>
      <c r="U3668" s="132" t="s">
        <v>154</v>
      </c>
      <c r="V3668" s="132" t="s">
        <v>305</v>
      </c>
      <c r="W3668" s="132" t="s">
        <v>267</v>
      </c>
      <c r="X3668" s="133">
        <v>41739</v>
      </c>
      <c r="Y3668" s="134">
        <v>911</v>
      </c>
    </row>
    <row r="3669" spans="6:25" x14ac:dyDescent="0.25">
      <c r="F3669" s="76" t="s">
        <v>150</v>
      </c>
      <c r="G3669" s="77" t="s">
        <v>176</v>
      </c>
      <c r="H3669" s="77" t="s">
        <v>158</v>
      </c>
      <c r="I3669" s="86">
        <v>41667</v>
      </c>
      <c r="J3669" s="78">
        <v>1749</v>
      </c>
      <c r="U3669" s="132" t="s">
        <v>154</v>
      </c>
      <c r="V3669" s="132" t="s">
        <v>305</v>
      </c>
      <c r="W3669" s="132" t="s">
        <v>267</v>
      </c>
      <c r="X3669" s="133">
        <v>41740</v>
      </c>
      <c r="Y3669" s="134">
        <v>485</v>
      </c>
    </row>
    <row r="3670" spans="6:25" x14ac:dyDescent="0.25">
      <c r="F3670" s="76" t="s">
        <v>150</v>
      </c>
      <c r="G3670" s="77" t="s">
        <v>176</v>
      </c>
      <c r="H3670" s="77" t="s">
        <v>158</v>
      </c>
      <c r="I3670" s="86">
        <v>41668</v>
      </c>
      <c r="J3670" s="78">
        <v>613</v>
      </c>
      <c r="U3670" s="132" t="s">
        <v>154</v>
      </c>
      <c r="V3670" s="132" t="s">
        <v>305</v>
      </c>
      <c r="W3670" s="132" t="s">
        <v>267</v>
      </c>
      <c r="X3670" s="133">
        <v>41743</v>
      </c>
      <c r="Y3670" s="134">
        <v>480</v>
      </c>
    </row>
    <row r="3671" spans="6:25" x14ac:dyDescent="0.25">
      <c r="F3671" s="76" t="s">
        <v>150</v>
      </c>
      <c r="G3671" s="77" t="s">
        <v>176</v>
      </c>
      <c r="H3671" s="77" t="s">
        <v>158</v>
      </c>
      <c r="I3671" s="86">
        <v>41670</v>
      </c>
      <c r="J3671" s="78">
        <v>1505</v>
      </c>
      <c r="U3671" s="132" t="s">
        <v>154</v>
      </c>
      <c r="V3671" s="132" t="s">
        <v>305</v>
      </c>
      <c r="W3671" s="132" t="s">
        <v>267</v>
      </c>
      <c r="X3671" s="133">
        <v>41744</v>
      </c>
      <c r="Y3671" s="134">
        <v>773</v>
      </c>
    </row>
    <row r="3672" spans="6:25" x14ac:dyDescent="0.25">
      <c r="F3672" s="76" t="s">
        <v>150</v>
      </c>
      <c r="G3672" s="77" t="s">
        <v>176</v>
      </c>
      <c r="H3672" s="77" t="s">
        <v>158</v>
      </c>
      <c r="I3672" s="86">
        <v>41671</v>
      </c>
      <c r="J3672" s="78">
        <v>224</v>
      </c>
      <c r="U3672" s="132" t="s">
        <v>154</v>
      </c>
      <c r="V3672" s="132" t="s">
        <v>305</v>
      </c>
      <c r="W3672" s="132" t="s">
        <v>267</v>
      </c>
      <c r="X3672" s="133">
        <v>41745</v>
      </c>
      <c r="Y3672" s="134">
        <v>954</v>
      </c>
    </row>
    <row r="3673" spans="6:25" x14ac:dyDescent="0.25">
      <c r="F3673" s="76" t="s">
        <v>150</v>
      </c>
      <c r="G3673" s="77" t="s">
        <v>176</v>
      </c>
      <c r="H3673" s="77" t="s">
        <v>158</v>
      </c>
      <c r="I3673" s="86">
        <v>41674</v>
      </c>
      <c r="J3673" s="78">
        <v>1327</v>
      </c>
      <c r="U3673" s="132" t="s">
        <v>154</v>
      </c>
      <c r="V3673" s="132" t="s">
        <v>305</v>
      </c>
      <c r="W3673" s="132" t="s">
        <v>267</v>
      </c>
      <c r="X3673" s="133">
        <v>41756</v>
      </c>
      <c r="Y3673" s="134">
        <v>566</v>
      </c>
    </row>
    <row r="3674" spans="6:25" x14ac:dyDescent="0.25">
      <c r="F3674" s="76" t="s">
        <v>150</v>
      </c>
      <c r="G3674" s="77" t="s">
        <v>176</v>
      </c>
      <c r="H3674" s="77" t="s">
        <v>158</v>
      </c>
      <c r="I3674" s="86">
        <v>41675</v>
      </c>
      <c r="J3674" s="78">
        <v>684</v>
      </c>
      <c r="U3674" s="132" t="s">
        <v>154</v>
      </c>
      <c r="V3674" s="132" t="s">
        <v>305</v>
      </c>
      <c r="W3674" s="132" t="s">
        <v>267</v>
      </c>
      <c r="X3674" s="133">
        <v>41757</v>
      </c>
      <c r="Y3674" s="134">
        <v>715</v>
      </c>
    </row>
    <row r="3675" spans="6:25" x14ac:dyDescent="0.25">
      <c r="F3675" s="76" t="s">
        <v>150</v>
      </c>
      <c r="G3675" s="77" t="s">
        <v>176</v>
      </c>
      <c r="H3675" s="77" t="s">
        <v>158</v>
      </c>
      <c r="I3675" s="86">
        <v>41675</v>
      </c>
      <c r="J3675" s="78">
        <v>575</v>
      </c>
      <c r="U3675" s="132" t="s">
        <v>154</v>
      </c>
      <c r="V3675" s="132" t="s">
        <v>305</v>
      </c>
      <c r="W3675" s="132" t="s">
        <v>267</v>
      </c>
      <c r="X3675" s="133">
        <v>41758</v>
      </c>
      <c r="Y3675" s="134">
        <v>635</v>
      </c>
    </row>
    <row r="3676" spans="6:25" x14ac:dyDescent="0.25">
      <c r="F3676" s="76" t="s">
        <v>150</v>
      </c>
      <c r="G3676" s="77" t="s">
        <v>176</v>
      </c>
      <c r="H3676" s="77" t="s">
        <v>158</v>
      </c>
      <c r="I3676" s="86">
        <v>41676</v>
      </c>
      <c r="J3676" s="78">
        <v>1086</v>
      </c>
      <c r="U3676" s="132" t="s">
        <v>154</v>
      </c>
      <c r="V3676" s="132" t="s">
        <v>305</v>
      </c>
      <c r="W3676" s="132" t="s">
        <v>267</v>
      </c>
      <c r="X3676" s="133">
        <v>41759</v>
      </c>
      <c r="Y3676" s="134">
        <v>520</v>
      </c>
    </row>
    <row r="3677" spans="6:25" x14ac:dyDescent="0.25">
      <c r="F3677" s="76" t="s">
        <v>150</v>
      </c>
      <c r="G3677" s="77" t="s">
        <v>176</v>
      </c>
      <c r="H3677" s="77" t="s">
        <v>158</v>
      </c>
      <c r="I3677" s="86">
        <v>41677</v>
      </c>
      <c r="J3677" s="78">
        <v>846</v>
      </c>
      <c r="U3677" s="132" t="s">
        <v>154</v>
      </c>
      <c r="V3677" s="132" t="s">
        <v>305</v>
      </c>
      <c r="W3677" s="132" t="s">
        <v>267</v>
      </c>
      <c r="X3677" s="133">
        <v>41759</v>
      </c>
      <c r="Y3677" s="134">
        <v>816</v>
      </c>
    </row>
    <row r="3678" spans="6:25" x14ac:dyDescent="0.25">
      <c r="F3678" s="76" t="s">
        <v>150</v>
      </c>
      <c r="G3678" s="77" t="s">
        <v>176</v>
      </c>
      <c r="H3678" s="77" t="s">
        <v>158</v>
      </c>
      <c r="I3678" s="86">
        <v>41678</v>
      </c>
      <c r="J3678" s="78">
        <v>885</v>
      </c>
      <c r="U3678" s="132" t="s">
        <v>154</v>
      </c>
      <c r="V3678" s="132" t="s">
        <v>305</v>
      </c>
      <c r="W3678" s="132" t="s">
        <v>267</v>
      </c>
      <c r="X3678" s="133">
        <v>41760</v>
      </c>
      <c r="Y3678" s="134">
        <v>636</v>
      </c>
    </row>
    <row r="3679" spans="6:25" x14ac:dyDescent="0.25">
      <c r="F3679" s="76" t="s">
        <v>150</v>
      </c>
      <c r="G3679" s="77" t="s">
        <v>176</v>
      </c>
      <c r="H3679" s="77" t="s">
        <v>158</v>
      </c>
      <c r="I3679" s="86">
        <v>41679</v>
      </c>
      <c r="J3679" s="78">
        <v>924</v>
      </c>
      <c r="U3679" s="132" t="s">
        <v>154</v>
      </c>
      <c r="V3679" s="132" t="s">
        <v>305</v>
      </c>
      <c r="W3679" s="132" t="s">
        <v>267</v>
      </c>
      <c r="X3679" s="133">
        <v>41761</v>
      </c>
      <c r="Y3679" s="134">
        <v>715</v>
      </c>
    </row>
    <row r="3680" spans="6:25" x14ac:dyDescent="0.25">
      <c r="F3680" s="76" t="s">
        <v>150</v>
      </c>
      <c r="G3680" s="77" t="s">
        <v>176</v>
      </c>
      <c r="H3680" s="77" t="s">
        <v>158</v>
      </c>
      <c r="I3680" s="86">
        <v>41680</v>
      </c>
      <c r="J3680" s="78">
        <v>931</v>
      </c>
      <c r="U3680" s="132" t="s">
        <v>154</v>
      </c>
      <c r="V3680" s="132" t="s">
        <v>305</v>
      </c>
      <c r="W3680" s="132" t="s">
        <v>267</v>
      </c>
      <c r="X3680" s="133">
        <v>41762</v>
      </c>
      <c r="Y3680" s="134">
        <v>525</v>
      </c>
    </row>
    <row r="3681" spans="6:25" x14ac:dyDescent="0.25">
      <c r="F3681" s="76" t="s">
        <v>150</v>
      </c>
      <c r="G3681" s="77" t="s">
        <v>176</v>
      </c>
      <c r="H3681" s="77" t="s">
        <v>158</v>
      </c>
      <c r="I3681" s="86">
        <v>41683</v>
      </c>
      <c r="J3681" s="78">
        <v>1678</v>
      </c>
      <c r="U3681" s="132" t="s">
        <v>154</v>
      </c>
      <c r="V3681" s="132" t="s">
        <v>305</v>
      </c>
      <c r="W3681" s="132" t="s">
        <v>267</v>
      </c>
      <c r="X3681" s="133">
        <v>41763</v>
      </c>
      <c r="Y3681" s="134">
        <v>813</v>
      </c>
    </row>
    <row r="3682" spans="6:25" x14ac:dyDescent="0.25">
      <c r="F3682" s="76" t="s">
        <v>150</v>
      </c>
      <c r="G3682" s="77" t="s">
        <v>176</v>
      </c>
      <c r="H3682" s="77" t="s">
        <v>158</v>
      </c>
      <c r="I3682" s="86">
        <v>41686</v>
      </c>
      <c r="J3682" s="78">
        <v>1406</v>
      </c>
      <c r="U3682" s="132" t="s">
        <v>154</v>
      </c>
      <c r="V3682" s="132" t="s">
        <v>305</v>
      </c>
      <c r="W3682" s="132" t="s">
        <v>267</v>
      </c>
      <c r="X3682" s="133">
        <v>41763</v>
      </c>
      <c r="Y3682" s="134">
        <v>528</v>
      </c>
    </row>
    <row r="3683" spans="6:25" x14ac:dyDescent="0.25">
      <c r="F3683" s="76" t="s">
        <v>150</v>
      </c>
      <c r="G3683" s="77" t="s">
        <v>176</v>
      </c>
      <c r="H3683" s="77" t="s">
        <v>158</v>
      </c>
      <c r="I3683" s="86">
        <v>41687</v>
      </c>
      <c r="J3683" s="78">
        <v>1010</v>
      </c>
      <c r="U3683" s="132" t="s">
        <v>154</v>
      </c>
      <c r="V3683" s="132" t="s">
        <v>305</v>
      </c>
      <c r="W3683" s="132" t="s">
        <v>267</v>
      </c>
      <c r="X3683" s="133">
        <v>41763</v>
      </c>
      <c r="Y3683" s="134">
        <v>265</v>
      </c>
    </row>
    <row r="3684" spans="6:25" x14ac:dyDescent="0.25">
      <c r="F3684" s="76" t="s">
        <v>150</v>
      </c>
      <c r="G3684" s="77" t="s">
        <v>176</v>
      </c>
      <c r="H3684" s="77" t="s">
        <v>158</v>
      </c>
      <c r="I3684" s="86">
        <v>41691</v>
      </c>
      <c r="J3684" s="78">
        <v>1302</v>
      </c>
      <c r="U3684" s="132" t="s">
        <v>154</v>
      </c>
      <c r="V3684" s="132" t="s">
        <v>305</v>
      </c>
      <c r="W3684" s="132" t="s">
        <v>267</v>
      </c>
      <c r="X3684" s="133">
        <v>41764</v>
      </c>
      <c r="Y3684" s="134">
        <v>586</v>
      </c>
    </row>
    <row r="3685" spans="6:25" x14ac:dyDescent="0.25">
      <c r="F3685" s="76" t="s">
        <v>150</v>
      </c>
      <c r="G3685" s="77" t="s">
        <v>176</v>
      </c>
      <c r="H3685" s="77" t="s">
        <v>158</v>
      </c>
      <c r="I3685" s="86">
        <v>41695</v>
      </c>
      <c r="J3685" s="78">
        <v>614</v>
      </c>
      <c r="U3685" s="132" t="s">
        <v>154</v>
      </c>
      <c r="V3685" s="132" t="s">
        <v>305</v>
      </c>
      <c r="W3685" s="132" t="s">
        <v>267</v>
      </c>
      <c r="X3685" s="133">
        <v>41764</v>
      </c>
      <c r="Y3685" s="134">
        <v>812</v>
      </c>
    </row>
    <row r="3686" spans="6:25" x14ac:dyDescent="0.25">
      <c r="F3686" s="76" t="s">
        <v>150</v>
      </c>
      <c r="G3686" s="77" t="s">
        <v>176</v>
      </c>
      <c r="H3686" s="77" t="s">
        <v>158</v>
      </c>
      <c r="I3686" s="86">
        <v>41697</v>
      </c>
      <c r="J3686" s="78">
        <v>1303</v>
      </c>
      <c r="U3686" s="132" t="s">
        <v>154</v>
      </c>
      <c r="V3686" s="132" t="s">
        <v>305</v>
      </c>
      <c r="W3686" s="132" t="s">
        <v>267</v>
      </c>
      <c r="X3686" s="133">
        <v>41765</v>
      </c>
      <c r="Y3686" s="134">
        <v>1051</v>
      </c>
    </row>
    <row r="3687" spans="6:25" x14ac:dyDescent="0.25">
      <c r="F3687" s="76" t="s">
        <v>150</v>
      </c>
      <c r="G3687" s="77" t="s">
        <v>176</v>
      </c>
      <c r="H3687" s="77" t="s">
        <v>158</v>
      </c>
      <c r="I3687" s="86">
        <v>41701</v>
      </c>
      <c r="J3687" s="78">
        <v>1100</v>
      </c>
      <c r="U3687" s="132" t="s">
        <v>154</v>
      </c>
      <c r="V3687" s="132" t="s">
        <v>305</v>
      </c>
      <c r="W3687" s="132" t="s">
        <v>267</v>
      </c>
      <c r="X3687" s="133">
        <v>41780</v>
      </c>
      <c r="Y3687" s="134">
        <v>577</v>
      </c>
    </row>
    <row r="3688" spans="6:25" x14ac:dyDescent="0.25">
      <c r="F3688" s="76" t="s">
        <v>150</v>
      </c>
      <c r="G3688" s="77" t="s">
        <v>176</v>
      </c>
      <c r="H3688" s="77" t="s">
        <v>158</v>
      </c>
      <c r="I3688" s="86">
        <v>41703</v>
      </c>
      <c r="J3688" s="78">
        <v>876</v>
      </c>
      <c r="U3688" s="132" t="s">
        <v>154</v>
      </c>
      <c r="V3688" s="132" t="s">
        <v>305</v>
      </c>
      <c r="W3688" s="132" t="s">
        <v>267</v>
      </c>
      <c r="X3688" s="133">
        <v>41781</v>
      </c>
      <c r="Y3688" s="134">
        <v>1076</v>
      </c>
    </row>
    <row r="3689" spans="6:25" x14ac:dyDescent="0.25">
      <c r="F3689" s="76" t="s">
        <v>150</v>
      </c>
      <c r="G3689" s="77" t="s">
        <v>176</v>
      </c>
      <c r="H3689" s="77" t="s">
        <v>158</v>
      </c>
      <c r="I3689" s="86">
        <v>41705</v>
      </c>
      <c r="J3689" s="78">
        <v>1049</v>
      </c>
      <c r="U3689" s="132" t="s">
        <v>154</v>
      </c>
      <c r="V3689" s="132" t="s">
        <v>305</v>
      </c>
      <c r="W3689" s="132" t="s">
        <v>267</v>
      </c>
      <c r="X3689" s="133">
        <v>41782</v>
      </c>
      <c r="Y3689" s="134">
        <v>425</v>
      </c>
    </row>
    <row r="3690" spans="6:25" x14ac:dyDescent="0.25">
      <c r="F3690" s="76" t="s">
        <v>150</v>
      </c>
      <c r="G3690" s="77" t="s">
        <v>176</v>
      </c>
      <c r="H3690" s="77" t="s">
        <v>158</v>
      </c>
      <c r="I3690" s="86">
        <v>41710</v>
      </c>
      <c r="J3690" s="78">
        <v>907</v>
      </c>
      <c r="U3690" s="132" t="s">
        <v>154</v>
      </c>
      <c r="V3690" s="132" t="s">
        <v>305</v>
      </c>
      <c r="W3690" s="132" t="s">
        <v>267</v>
      </c>
      <c r="X3690" s="133">
        <v>41784</v>
      </c>
      <c r="Y3690" s="134">
        <v>455</v>
      </c>
    </row>
    <row r="3691" spans="6:25" x14ac:dyDescent="0.25">
      <c r="F3691" s="76" t="s">
        <v>150</v>
      </c>
      <c r="G3691" s="77" t="s">
        <v>176</v>
      </c>
      <c r="H3691" s="77" t="s">
        <v>158</v>
      </c>
      <c r="I3691" s="86">
        <v>41711</v>
      </c>
      <c r="J3691" s="78">
        <v>1075</v>
      </c>
      <c r="U3691" s="132" t="s">
        <v>154</v>
      </c>
      <c r="V3691" s="132" t="s">
        <v>305</v>
      </c>
      <c r="W3691" s="132" t="s">
        <v>267</v>
      </c>
      <c r="X3691" s="133">
        <v>41785</v>
      </c>
      <c r="Y3691" s="134">
        <v>824</v>
      </c>
    </row>
    <row r="3692" spans="6:25" x14ac:dyDescent="0.25">
      <c r="F3692" s="76" t="s">
        <v>150</v>
      </c>
      <c r="G3692" s="77" t="s">
        <v>176</v>
      </c>
      <c r="H3692" s="77" t="s">
        <v>158</v>
      </c>
      <c r="I3692" s="86">
        <v>41712</v>
      </c>
      <c r="J3692" s="78">
        <v>814</v>
      </c>
      <c r="U3692" s="132" t="s">
        <v>154</v>
      </c>
      <c r="V3692" s="132" t="s">
        <v>305</v>
      </c>
      <c r="W3692" s="132" t="s">
        <v>267</v>
      </c>
      <c r="X3692" s="133">
        <v>41785</v>
      </c>
      <c r="Y3692" s="134">
        <v>525</v>
      </c>
    </row>
    <row r="3693" spans="6:25" x14ac:dyDescent="0.25">
      <c r="F3693" s="76" t="s">
        <v>150</v>
      </c>
      <c r="G3693" s="77" t="s">
        <v>176</v>
      </c>
      <c r="H3693" s="77" t="s">
        <v>158</v>
      </c>
      <c r="I3693" s="86">
        <v>41713</v>
      </c>
      <c r="J3693" s="78">
        <v>667</v>
      </c>
      <c r="U3693" s="132" t="s">
        <v>154</v>
      </c>
      <c r="V3693" s="132" t="s">
        <v>305</v>
      </c>
      <c r="W3693" s="132" t="s">
        <v>267</v>
      </c>
      <c r="X3693" s="133">
        <v>41785</v>
      </c>
      <c r="Y3693" s="134">
        <v>270</v>
      </c>
    </row>
    <row r="3694" spans="6:25" x14ac:dyDescent="0.25">
      <c r="F3694" s="76" t="s">
        <v>150</v>
      </c>
      <c r="G3694" s="77" t="s">
        <v>176</v>
      </c>
      <c r="H3694" s="77" t="s">
        <v>158</v>
      </c>
      <c r="I3694" s="86">
        <v>41714</v>
      </c>
      <c r="J3694" s="78">
        <v>904</v>
      </c>
      <c r="U3694" s="132" t="s">
        <v>154</v>
      </c>
      <c r="V3694" s="132" t="s">
        <v>305</v>
      </c>
      <c r="W3694" s="132" t="s">
        <v>267</v>
      </c>
      <c r="X3694" s="133">
        <v>41786</v>
      </c>
      <c r="Y3694" s="134">
        <v>634</v>
      </c>
    </row>
    <row r="3695" spans="6:25" x14ac:dyDescent="0.25">
      <c r="F3695" s="76" t="s">
        <v>150</v>
      </c>
      <c r="G3695" s="77" t="s">
        <v>176</v>
      </c>
      <c r="H3695" s="77" t="s">
        <v>158</v>
      </c>
      <c r="I3695" s="86">
        <v>41715</v>
      </c>
      <c r="J3695" s="78">
        <v>905</v>
      </c>
      <c r="U3695" s="132" t="s">
        <v>154</v>
      </c>
      <c r="V3695" s="132" t="s">
        <v>305</v>
      </c>
      <c r="W3695" s="132" t="s">
        <v>267</v>
      </c>
      <c r="X3695" s="133">
        <v>41786</v>
      </c>
      <c r="Y3695" s="134">
        <v>746</v>
      </c>
    </row>
    <row r="3696" spans="6:25" x14ac:dyDescent="0.25">
      <c r="F3696" s="76" t="s">
        <v>150</v>
      </c>
      <c r="G3696" s="77" t="s">
        <v>176</v>
      </c>
      <c r="H3696" s="77" t="s">
        <v>158</v>
      </c>
      <c r="I3696" s="86">
        <v>41716</v>
      </c>
      <c r="J3696" s="78">
        <v>909</v>
      </c>
      <c r="U3696" s="132" t="s">
        <v>154</v>
      </c>
      <c r="V3696" s="132" t="s">
        <v>305</v>
      </c>
      <c r="W3696" s="132" t="s">
        <v>267</v>
      </c>
      <c r="X3696" s="133">
        <v>41787</v>
      </c>
      <c r="Y3696" s="134">
        <v>620</v>
      </c>
    </row>
    <row r="3697" spans="6:25" x14ac:dyDescent="0.25">
      <c r="F3697" s="76" t="s">
        <v>150</v>
      </c>
      <c r="G3697" s="77" t="s">
        <v>176</v>
      </c>
      <c r="H3697" s="77" t="s">
        <v>158</v>
      </c>
      <c r="I3697" s="86">
        <v>41724</v>
      </c>
      <c r="J3697" s="78">
        <v>390</v>
      </c>
      <c r="U3697" s="132" t="s">
        <v>154</v>
      </c>
      <c r="V3697" s="132" t="s">
        <v>305</v>
      </c>
      <c r="W3697" s="132" t="s">
        <v>267</v>
      </c>
      <c r="X3697" s="133">
        <v>41788</v>
      </c>
      <c r="Y3697" s="134">
        <v>872</v>
      </c>
    </row>
    <row r="3698" spans="6:25" x14ac:dyDescent="0.25">
      <c r="F3698" s="76" t="s">
        <v>150</v>
      </c>
      <c r="G3698" s="77" t="s">
        <v>176</v>
      </c>
      <c r="H3698" s="77" t="s">
        <v>158</v>
      </c>
      <c r="I3698" s="86">
        <v>41729</v>
      </c>
      <c r="J3698" s="78">
        <v>1002</v>
      </c>
      <c r="U3698" s="132" t="s">
        <v>154</v>
      </c>
      <c r="V3698" s="132" t="s">
        <v>305</v>
      </c>
      <c r="W3698" s="132" t="s">
        <v>267</v>
      </c>
      <c r="X3698" s="133">
        <v>41789</v>
      </c>
      <c r="Y3698" s="134">
        <v>678</v>
      </c>
    </row>
    <row r="3699" spans="6:25" x14ac:dyDescent="0.25">
      <c r="F3699" s="76" t="s">
        <v>150</v>
      </c>
      <c r="G3699" s="77" t="s">
        <v>176</v>
      </c>
      <c r="H3699" s="77" t="s">
        <v>158</v>
      </c>
      <c r="I3699" s="86">
        <v>41730</v>
      </c>
      <c r="J3699" s="78">
        <v>111</v>
      </c>
      <c r="U3699" s="132" t="s">
        <v>154</v>
      </c>
      <c r="V3699" s="132" t="s">
        <v>305</v>
      </c>
      <c r="W3699" s="132" t="s">
        <v>267</v>
      </c>
      <c r="X3699" s="133">
        <v>41789</v>
      </c>
      <c r="Y3699" s="134">
        <v>638</v>
      </c>
    </row>
    <row r="3700" spans="6:25" x14ac:dyDescent="0.25">
      <c r="F3700" s="76" t="s">
        <v>150</v>
      </c>
      <c r="G3700" s="77" t="s">
        <v>176</v>
      </c>
      <c r="H3700" s="77" t="s">
        <v>158</v>
      </c>
      <c r="I3700" s="86">
        <v>41733</v>
      </c>
      <c r="J3700" s="78">
        <v>757</v>
      </c>
      <c r="U3700" s="132" t="s">
        <v>154</v>
      </c>
      <c r="V3700" s="132" t="s">
        <v>305</v>
      </c>
      <c r="W3700" s="132" t="s">
        <v>267</v>
      </c>
      <c r="X3700" s="133">
        <v>41792</v>
      </c>
      <c r="Y3700" s="134">
        <v>524</v>
      </c>
    </row>
    <row r="3701" spans="6:25" x14ac:dyDescent="0.25">
      <c r="F3701" s="76" t="s">
        <v>150</v>
      </c>
      <c r="G3701" s="77" t="s">
        <v>176</v>
      </c>
      <c r="H3701" s="77" t="s">
        <v>158</v>
      </c>
      <c r="I3701" s="86">
        <v>41737</v>
      </c>
      <c r="J3701" s="78">
        <v>927</v>
      </c>
      <c r="U3701" s="132" t="s">
        <v>154</v>
      </c>
      <c r="V3701" s="132" t="s">
        <v>305</v>
      </c>
      <c r="W3701" s="132" t="s">
        <v>267</v>
      </c>
      <c r="X3701" s="133">
        <v>41793</v>
      </c>
      <c r="Y3701" s="134">
        <v>856</v>
      </c>
    </row>
    <row r="3702" spans="6:25" x14ac:dyDescent="0.25">
      <c r="F3702" s="76" t="s">
        <v>150</v>
      </c>
      <c r="G3702" s="77" t="s">
        <v>176</v>
      </c>
      <c r="H3702" s="77" t="s">
        <v>158</v>
      </c>
      <c r="I3702" s="86">
        <v>41745</v>
      </c>
      <c r="J3702" s="78">
        <v>660</v>
      </c>
      <c r="U3702" s="132" t="s">
        <v>154</v>
      </c>
      <c r="V3702" s="132" t="s">
        <v>305</v>
      </c>
      <c r="W3702" s="132" t="s">
        <v>267</v>
      </c>
      <c r="X3702" s="133">
        <v>41794</v>
      </c>
      <c r="Y3702" s="134">
        <v>1049</v>
      </c>
    </row>
    <row r="3703" spans="6:25" x14ac:dyDescent="0.25">
      <c r="F3703" s="76" t="s">
        <v>150</v>
      </c>
      <c r="G3703" s="77" t="s">
        <v>176</v>
      </c>
      <c r="H3703" s="77" t="s">
        <v>158</v>
      </c>
      <c r="I3703" s="86">
        <v>41747</v>
      </c>
      <c r="J3703" s="78">
        <v>919</v>
      </c>
      <c r="U3703" s="132" t="s">
        <v>154</v>
      </c>
      <c r="V3703" s="132" t="s">
        <v>305</v>
      </c>
      <c r="W3703" s="132" t="s">
        <v>267</v>
      </c>
      <c r="X3703" s="133">
        <v>41795</v>
      </c>
      <c r="Y3703" s="134">
        <v>883</v>
      </c>
    </row>
    <row r="3704" spans="6:25" x14ac:dyDescent="0.25">
      <c r="F3704" s="76" t="s">
        <v>150</v>
      </c>
      <c r="G3704" s="77" t="s">
        <v>176</v>
      </c>
      <c r="H3704" s="77" t="s">
        <v>158</v>
      </c>
      <c r="I3704" s="86">
        <v>41749</v>
      </c>
      <c r="J3704" s="78">
        <v>974</v>
      </c>
      <c r="U3704" s="132" t="s">
        <v>154</v>
      </c>
      <c r="V3704" s="132" t="s">
        <v>305</v>
      </c>
      <c r="W3704" s="132" t="s">
        <v>267</v>
      </c>
      <c r="X3704" s="133">
        <v>41796</v>
      </c>
      <c r="Y3704" s="134">
        <v>867</v>
      </c>
    </row>
    <row r="3705" spans="6:25" x14ac:dyDescent="0.25">
      <c r="F3705" s="76" t="s">
        <v>150</v>
      </c>
      <c r="G3705" s="77" t="s">
        <v>176</v>
      </c>
      <c r="H3705" s="77" t="s">
        <v>158</v>
      </c>
      <c r="I3705" s="86">
        <v>41751</v>
      </c>
      <c r="J3705" s="78">
        <v>819</v>
      </c>
      <c r="U3705" s="132" t="s">
        <v>154</v>
      </c>
      <c r="V3705" s="132" t="s">
        <v>305</v>
      </c>
      <c r="W3705" s="132" t="s">
        <v>267</v>
      </c>
      <c r="X3705" s="133">
        <v>41798</v>
      </c>
      <c r="Y3705" s="134">
        <v>921</v>
      </c>
    </row>
    <row r="3706" spans="6:25" x14ac:dyDescent="0.25">
      <c r="F3706" s="76" t="s">
        <v>150</v>
      </c>
      <c r="G3706" s="77" t="s">
        <v>176</v>
      </c>
      <c r="H3706" s="77" t="s">
        <v>158</v>
      </c>
      <c r="I3706" s="86">
        <v>41752</v>
      </c>
      <c r="J3706" s="78">
        <v>705</v>
      </c>
      <c r="U3706" s="132" t="s">
        <v>154</v>
      </c>
      <c r="V3706" s="132" t="s">
        <v>305</v>
      </c>
      <c r="W3706" s="132" t="s">
        <v>267</v>
      </c>
      <c r="X3706" s="133">
        <v>41824</v>
      </c>
      <c r="Y3706" s="134">
        <v>1153</v>
      </c>
    </row>
    <row r="3707" spans="6:25" x14ac:dyDescent="0.25">
      <c r="F3707" s="76" t="s">
        <v>150</v>
      </c>
      <c r="G3707" s="77" t="s">
        <v>176</v>
      </c>
      <c r="H3707" s="77" t="s">
        <v>158</v>
      </c>
      <c r="I3707" s="86">
        <v>41757</v>
      </c>
      <c r="J3707" s="78">
        <v>680</v>
      </c>
      <c r="U3707" s="132" t="s">
        <v>154</v>
      </c>
      <c r="V3707" s="132" t="s">
        <v>305</v>
      </c>
      <c r="W3707" s="132" t="s">
        <v>267</v>
      </c>
      <c r="X3707" s="133">
        <v>41826</v>
      </c>
      <c r="Y3707" s="134">
        <v>506</v>
      </c>
    </row>
    <row r="3708" spans="6:25" x14ac:dyDescent="0.25">
      <c r="F3708" s="76" t="s">
        <v>150</v>
      </c>
      <c r="G3708" s="77" t="s">
        <v>176</v>
      </c>
      <c r="H3708" s="77" t="s">
        <v>158</v>
      </c>
      <c r="I3708" s="86">
        <v>41761</v>
      </c>
      <c r="J3708" s="78">
        <v>729</v>
      </c>
      <c r="U3708" s="132" t="s">
        <v>154</v>
      </c>
      <c r="V3708" s="132" t="s">
        <v>305</v>
      </c>
      <c r="W3708" s="132" t="s">
        <v>267</v>
      </c>
      <c r="X3708" s="133">
        <v>41827</v>
      </c>
      <c r="Y3708" s="134">
        <v>654</v>
      </c>
    </row>
    <row r="3709" spans="6:25" x14ac:dyDescent="0.25">
      <c r="F3709" s="76" t="s">
        <v>150</v>
      </c>
      <c r="G3709" s="77" t="s">
        <v>176</v>
      </c>
      <c r="H3709" s="77" t="s">
        <v>158</v>
      </c>
      <c r="I3709" s="86">
        <v>41764</v>
      </c>
      <c r="J3709" s="78">
        <v>800</v>
      </c>
      <c r="U3709" s="132" t="s">
        <v>154</v>
      </c>
      <c r="V3709" s="132" t="s">
        <v>305</v>
      </c>
      <c r="W3709" s="132" t="s">
        <v>267</v>
      </c>
      <c r="X3709" s="133">
        <v>41827</v>
      </c>
      <c r="Y3709" s="134">
        <v>771</v>
      </c>
    </row>
    <row r="3710" spans="6:25" x14ac:dyDescent="0.25">
      <c r="F3710" s="76" t="s">
        <v>150</v>
      </c>
      <c r="G3710" s="77" t="s">
        <v>176</v>
      </c>
      <c r="H3710" s="77" t="s">
        <v>158</v>
      </c>
      <c r="I3710" s="86">
        <v>41768</v>
      </c>
      <c r="J3710" s="78">
        <v>806</v>
      </c>
      <c r="U3710" s="132" t="s">
        <v>154</v>
      </c>
      <c r="V3710" s="132" t="s">
        <v>305</v>
      </c>
      <c r="W3710" s="132" t="s">
        <v>267</v>
      </c>
      <c r="X3710" s="133">
        <v>41827</v>
      </c>
      <c r="Y3710" s="134">
        <v>571</v>
      </c>
    </row>
    <row r="3711" spans="6:25" x14ac:dyDescent="0.25">
      <c r="F3711" s="76" t="s">
        <v>150</v>
      </c>
      <c r="G3711" s="77" t="s">
        <v>176</v>
      </c>
      <c r="H3711" s="77" t="s">
        <v>158</v>
      </c>
      <c r="I3711" s="86">
        <v>41773</v>
      </c>
      <c r="J3711" s="78">
        <v>1286</v>
      </c>
      <c r="U3711" s="132" t="s">
        <v>154</v>
      </c>
      <c r="V3711" s="132" t="s">
        <v>305</v>
      </c>
      <c r="W3711" s="132" t="s">
        <v>267</v>
      </c>
      <c r="X3711" s="133">
        <v>41828</v>
      </c>
      <c r="Y3711" s="134">
        <v>606</v>
      </c>
    </row>
    <row r="3712" spans="6:25" x14ac:dyDescent="0.25">
      <c r="F3712" s="76" t="s">
        <v>150</v>
      </c>
      <c r="G3712" s="77" t="s">
        <v>176</v>
      </c>
      <c r="H3712" s="77" t="s">
        <v>158</v>
      </c>
      <c r="I3712" s="86">
        <v>41806</v>
      </c>
      <c r="J3712" s="78">
        <v>266</v>
      </c>
      <c r="U3712" s="132" t="s">
        <v>154</v>
      </c>
      <c r="V3712" s="132" t="s">
        <v>305</v>
      </c>
      <c r="W3712" s="132" t="s">
        <v>267</v>
      </c>
      <c r="X3712" s="133">
        <v>41829</v>
      </c>
      <c r="Y3712" s="134">
        <v>1115</v>
      </c>
    </row>
    <row r="3713" spans="6:25" x14ac:dyDescent="0.25">
      <c r="F3713" s="76" t="s">
        <v>150</v>
      </c>
      <c r="G3713" s="77" t="s">
        <v>176</v>
      </c>
      <c r="H3713" s="77" t="s">
        <v>158</v>
      </c>
      <c r="I3713" s="86">
        <v>41810</v>
      </c>
      <c r="J3713" s="78">
        <v>1363</v>
      </c>
      <c r="U3713" s="132" t="s">
        <v>154</v>
      </c>
      <c r="V3713" s="132" t="s">
        <v>305</v>
      </c>
      <c r="W3713" s="132" t="s">
        <v>267</v>
      </c>
      <c r="X3713" s="133">
        <v>41830</v>
      </c>
      <c r="Y3713" s="134">
        <v>1075</v>
      </c>
    </row>
    <row r="3714" spans="6:25" x14ac:dyDescent="0.25">
      <c r="F3714" s="76" t="s">
        <v>150</v>
      </c>
      <c r="G3714" s="77" t="s">
        <v>176</v>
      </c>
      <c r="H3714" s="77" t="s">
        <v>158</v>
      </c>
      <c r="I3714" s="86">
        <v>41879</v>
      </c>
      <c r="J3714" s="78">
        <v>821</v>
      </c>
      <c r="U3714" s="132" t="s">
        <v>154</v>
      </c>
      <c r="V3714" s="132" t="s">
        <v>305</v>
      </c>
      <c r="W3714" s="132" t="s">
        <v>267</v>
      </c>
      <c r="X3714" s="133">
        <v>41979</v>
      </c>
      <c r="Y3714" s="134">
        <v>444</v>
      </c>
    </row>
    <row r="3715" spans="6:25" x14ac:dyDescent="0.25">
      <c r="F3715" s="76" t="s">
        <v>150</v>
      </c>
      <c r="G3715" s="77" t="s">
        <v>176</v>
      </c>
      <c r="H3715" s="77" t="s">
        <v>158</v>
      </c>
      <c r="I3715" s="86">
        <v>41880</v>
      </c>
      <c r="J3715" s="78">
        <v>650</v>
      </c>
      <c r="U3715" s="132" t="s">
        <v>154</v>
      </c>
      <c r="V3715" s="132" t="s">
        <v>306</v>
      </c>
      <c r="W3715" s="132" t="s">
        <v>267</v>
      </c>
      <c r="X3715" s="133">
        <v>41698</v>
      </c>
      <c r="Y3715" s="134">
        <v>580</v>
      </c>
    </row>
    <row r="3716" spans="6:25" x14ac:dyDescent="0.25">
      <c r="F3716" s="76" t="s">
        <v>150</v>
      </c>
      <c r="G3716" s="77" t="s">
        <v>176</v>
      </c>
      <c r="H3716" s="77" t="s">
        <v>158</v>
      </c>
      <c r="I3716" s="86">
        <v>41883</v>
      </c>
      <c r="J3716" s="78">
        <v>794</v>
      </c>
      <c r="U3716" s="132" t="s">
        <v>154</v>
      </c>
      <c r="V3716" s="132" t="s">
        <v>306</v>
      </c>
      <c r="W3716" s="132" t="s">
        <v>267</v>
      </c>
      <c r="X3716" s="133">
        <v>41702</v>
      </c>
      <c r="Y3716" s="134">
        <v>976</v>
      </c>
    </row>
    <row r="3717" spans="6:25" x14ac:dyDescent="0.25">
      <c r="F3717" s="76" t="s">
        <v>150</v>
      </c>
      <c r="G3717" s="77" t="s">
        <v>176</v>
      </c>
      <c r="H3717" s="77" t="s">
        <v>158</v>
      </c>
      <c r="I3717" s="86">
        <v>41884</v>
      </c>
      <c r="J3717" s="78">
        <v>1195</v>
      </c>
      <c r="U3717" s="132" t="s">
        <v>154</v>
      </c>
      <c r="V3717" s="132" t="s">
        <v>306</v>
      </c>
      <c r="W3717" s="132" t="s">
        <v>267</v>
      </c>
      <c r="X3717" s="133">
        <v>41702</v>
      </c>
      <c r="Y3717" s="134">
        <v>650</v>
      </c>
    </row>
    <row r="3718" spans="6:25" x14ac:dyDescent="0.25">
      <c r="F3718" s="76" t="s">
        <v>150</v>
      </c>
      <c r="G3718" s="77" t="s">
        <v>176</v>
      </c>
      <c r="H3718" s="77" t="s">
        <v>158</v>
      </c>
      <c r="I3718" s="86">
        <v>41885</v>
      </c>
      <c r="J3718" s="78">
        <v>634</v>
      </c>
      <c r="U3718" s="132" t="s">
        <v>154</v>
      </c>
      <c r="V3718" s="132" t="s">
        <v>306</v>
      </c>
      <c r="W3718" s="132" t="s">
        <v>267</v>
      </c>
      <c r="X3718" s="133">
        <v>41705</v>
      </c>
      <c r="Y3718" s="134">
        <v>290</v>
      </c>
    </row>
    <row r="3719" spans="6:25" x14ac:dyDescent="0.25">
      <c r="F3719" s="76" t="s">
        <v>150</v>
      </c>
      <c r="G3719" s="77" t="s">
        <v>176</v>
      </c>
      <c r="H3719" s="77" t="s">
        <v>158</v>
      </c>
      <c r="I3719" s="86">
        <v>41886</v>
      </c>
      <c r="J3719" s="78">
        <v>1085</v>
      </c>
      <c r="U3719" s="132" t="s">
        <v>154</v>
      </c>
      <c r="V3719" s="132" t="s">
        <v>306</v>
      </c>
      <c r="W3719" s="132" t="s">
        <v>267</v>
      </c>
      <c r="X3719" s="133">
        <v>41707</v>
      </c>
      <c r="Y3719" s="134">
        <v>761</v>
      </c>
    </row>
    <row r="3720" spans="6:25" x14ac:dyDescent="0.25">
      <c r="F3720" s="76" t="s">
        <v>150</v>
      </c>
      <c r="G3720" s="77" t="s">
        <v>176</v>
      </c>
      <c r="H3720" s="77" t="s">
        <v>158</v>
      </c>
      <c r="I3720" s="86">
        <v>41887</v>
      </c>
      <c r="J3720" s="78">
        <v>669</v>
      </c>
      <c r="U3720" s="132" t="s">
        <v>154</v>
      </c>
      <c r="V3720" s="132" t="s">
        <v>306</v>
      </c>
      <c r="W3720" s="132" t="s">
        <v>267</v>
      </c>
      <c r="X3720" s="133">
        <v>41707</v>
      </c>
      <c r="Y3720" s="134">
        <v>416</v>
      </c>
    </row>
    <row r="3721" spans="6:25" x14ac:dyDescent="0.25">
      <c r="F3721" s="76" t="s">
        <v>150</v>
      </c>
      <c r="G3721" s="77" t="s">
        <v>176</v>
      </c>
      <c r="H3721" s="77" t="s">
        <v>158</v>
      </c>
      <c r="I3721" s="86">
        <v>41890</v>
      </c>
      <c r="J3721" s="78">
        <v>1545</v>
      </c>
      <c r="U3721" s="132" t="s">
        <v>154</v>
      </c>
      <c r="V3721" s="132" t="s">
        <v>306</v>
      </c>
      <c r="W3721" s="132" t="s">
        <v>267</v>
      </c>
      <c r="X3721" s="133">
        <v>41707</v>
      </c>
      <c r="Y3721" s="134">
        <v>449</v>
      </c>
    </row>
    <row r="3722" spans="6:25" x14ac:dyDescent="0.25">
      <c r="F3722" s="76" t="s">
        <v>150</v>
      </c>
      <c r="G3722" s="77" t="s">
        <v>176</v>
      </c>
      <c r="H3722" s="77" t="s">
        <v>158</v>
      </c>
      <c r="I3722" s="86">
        <v>41891</v>
      </c>
      <c r="J3722" s="78">
        <v>1208</v>
      </c>
      <c r="U3722" s="132" t="s">
        <v>154</v>
      </c>
      <c r="V3722" s="132" t="s">
        <v>306</v>
      </c>
      <c r="W3722" s="132" t="s">
        <v>267</v>
      </c>
      <c r="X3722" s="133">
        <v>41708</v>
      </c>
      <c r="Y3722" s="134">
        <v>514</v>
      </c>
    </row>
    <row r="3723" spans="6:25" x14ac:dyDescent="0.25">
      <c r="F3723" s="76" t="s">
        <v>150</v>
      </c>
      <c r="G3723" s="77" t="s">
        <v>176</v>
      </c>
      <c r="H3723" s="77" t="s">
        <v>158</v>
      </c>
      <c r="I3723" s="86">
        <v>41893</v>
      </c>
      <c r="J3723" s="78">
        <v>1257</v>
      </c>
      <c r="U3723" s="132" t="s">
        <v>154</v>
      </c>
      <c r="V3723" s="132" t="s">
        <v>306</v>
      </c>
      <c r="W3723" s="132" t="s">
        <v>267</v>
      </c>
      <c r="X3723" s="133">
        <v>41708</v>
      </c>
      <c r="Y3723" s="134">
        <v>690</v>
      </c>
    </row>
    <row r="3724" spans="6:25" x14ac:dyDescent="0.25">
      <c r="F3724" s="76" t="s">
        <v>150</v>
      </c>
      <c r="G3724" s="77" t="s">
        <v>176</v>
      </c>
      <c r="H3724" s="77" t="s">
        <v>158</v>
      </c>
      <c r="I3724" s="86">
        <v>41919</v>
      </c>
      <c r="J3724" s="78">
        <v>408</v>
      </c>
      <c r="U3724" s="132" t="s">
        <v>154</v>
      </c>
      <c r="V3724" s="132" t="s">
        <v>306</v>
      </c>
      <c r="W3724" s="132" t="s">
        <v>267</v>
      </c>
      <c r="X3724" s="133">
        <v>41711</v>
      </c>
      <c r="Y3724" s="134">
        <v>970</v>
      </c>
    </row>
    <row r="3725" spans="6:25" x14ac:dyDescent="0.25">
      <c r="F3725" s="76" t="s">
        <v>150</v>
      </c>
      <c r="G3725" s="77" t="s">
        <v>176</v>
      </c>
      <c r="H3725" s="77" t="s">
        <v>158</v>
      </c>
      <c r="I3725" s="86">
        <v>41921</v>
      </c>
      <c r="J3725" s="78">
        <v>1047</v>
      </c>
      <c r="U3725" s="132" t="s">
        <v>154</v>
      </c>
      <c r="V3725" s="132" t="s">
        <v>306</v>
      </c>
      <c r="W3725" s="132" t="s">
        <v>267</v>
      </c>
      <c r="X3725" s="133">
        <v>41712</v>
      </c>
      <c r="Y3725" s="134">
        <v>517</v>
      </c>
    </row>
    <row r="3726" spans="6:25" x14ac:dyDescent="0.25">
      <c r="F3726" s="76" t="s">
        <v>150</v>
      </c>
      <c r="G3726" s="77" t="s">
        <v>176</v>
      </c>
      <c r="H3726" s="77" t="s">
        <v>158</v>
      </c>
      <c r="I3726" s="86">
        <v>41925</v>
      </c>
      <c r="J3726" s="78">
        <v>790</v>
      </c>
      <c r="U3726" s="132" t="s">
        <v>154</v>
      </c>
      <c r="V3726" s="132" t="s">
        <v>306</v>
      </c>
      <c r="W3726" s="132" t="s">
        <v>267</v>
      </c>
      <c r="X3726" s="133">
        <v>41714</v>
      </c>
      <c r="Y3726" s="134">
        <v>535</v>
      </c>
    </row>
    <row r="3727" spans="6:25" x14ac:dyDescent="0.25">
      <c r="F3727" s="76" t="s">
        <v>150</v>
      </c>
      <c r="G3727" s="77" t="s">
        <v>176</v>
      </c>
      <c r="H3727" s="77" t="s">
        <v>158</v>
      </c>
      <c r="I3727" s="86">
        <v>41927</v>
      </c>
      <c r="J3727" s="78">
        <v>1157</v>
      </c>
      <c r="U3727" s="132" t="s">
        <v>154</v>
      </c>
      <c r="V3727" s="132" t="s">
        <v>306</v>
      </c>
      <c r="W3727" s="132" t="s">
        <v>267</v>
      </c>
      <c r="X3727" s="133">
        <v>41714</v>
      </c>
      <c r="Y3727" s="134">
        <v>198</v>
      </c>
    </row>
    <row r="3728" spans="6:25" x14ac:dyDescent="0.25">
      <c r="F3728" s="76" t="s">
        <v>150</v>
      </c>
      <c r="G3728" s="77" t="s">
        <v>176</v>
      </c>
      <c r="H3728" s="77" t="s">
        <v>158</v>
      </c>
      <c r="I3728" s="86">
        <v>41928</v>
      </c>
      <c r="J3728" s="78">
        <v>1044</v>
      </c>
      <c r="U3728" s="132" t="s">
        <v>154</v>
      </c>
      <c r="V3728" s="132" t="s">
        <v>306</v>
      </c>
      <c r="W3728" s="132" t="s">
        <v>267</v>
      </c>
      <c r="X3728" s="133">
        <v>41715</v>
      </c>
      <c r="Y3728" s="134">
        <v>765</v>
      </c>
    </row>
    <row r="3729" spans="6:25" x14ac:dyDescent="0.25">
      <c r="F3729" s="76" t="s">
        <v>150</v>
      </c>
      <c r="G3729" s="77" t="s">
        <v>176</v>
      </c>
      <c r="H3729" s="77" t="s">
        <v>158</v>
      </c>
      <c r="I3729" s="86">
        <v>41932</v>
      </c>
      <c r="J3729" s="78">
        <v>861</v>
      </c>
      <c r="U3729" s="132" t="s">
        <v>154</v>
      </c>
      <c r="V3729" s="132" t="s">
        <v>306</v>
      </c>
      <c r="W3729" s="132" t="s">
        <v>267</v>
      </c>
      <c r="X3729" s="133">
        <v>41716</v>
      </c>
      <c r="Y3729" s="134">
        <v>635</v>
      </c>
    </row>
    <row r="3730" spans="6:25" x14ac:dyDescent="0.25">
      <c r="F3730" s="76" t="s">
        <v>150</v>
      </c>
      <c r="G3730" s="77" t="s">
        <v>176</v>
      </c>
      <c r="H3730" s="77" t="s">
        <v>158</v>
      </c>
      <c r="I3730" s="86">
        <v>41935</v>
      </c>
      <c r="J3730" s="78">
        <v>1083</v>
      </c>
      <c r="U3730" s="132" t="s">
        <v>154</v>
      </c>
      <c r="V3730" s="132" t="s">
        <v>306</v>
      </c>
      <c r="W3730" s="132" t="s">
        <v>267</v>
      </c>
      <c r="X3730" s="133">
        <v>41717</v>
      </c>
      <c r="Y3730" s="134">
        <v>510</v>
      </c>
    </row>
    <row r="3731" spans="6:25" x14ac:dyDescent="0.25">
      <c r="F3731" s="76" t="s">
        <v>150</v>
      </c>
      <c r="G3731" s="77" t="s">
        <v>176</v>
      </c>
      <c r="H3731" s="77" t="s">
        <v>158</v>
      </c>
      <c r="I3731" s="86">
        <v>41941</v>
      </c>
      <c r="J3731" s="78">
        <v>1335</v>
      </c>
      <c r="U3731" s="132" t="s">
        <v>154</v>
      </c>
      <c r="V3731" s="132" t="s">
        <v>306</v>
      </c>
      <c r="W3731" s="132" t="s">
        <v>267</v>
      </c>
      <c r="X3731" s="133">
        <v>41718</v>
      </c>
      <c r="Y3731" s="134">
        <v>1050</v>
      </c>
    </row>
    <row r="3732" spans="6:25" x14ac:dyDescent="0.25">
      <c r="F3732" s="76" t="s">
        <v>150</v>
      </c>
      <c r="G3732" s="77" t="s">
        <v>176</v>
      </c>
      <c r="H3732" s="77" t="s">
        <v>158</v>
      </c>
      <c r="I3732" s="86">
        <v>41955</v>
      </c>
      <c r="J3732" s="78">
        <v>558</v>
      </c>
      <c r="U3732" s="132" t="s">
        <v>154</v>
      </c>
      <c r="V3732" s="132" t="s">
        <v>306</v>
      </c>
      <c r="W3732" s="132" t="s">
        <v>267</v>
      </c>
      <c r="X3732" s="133">
        <v>41719</v>
      </c>
      <c r="Y3732" s="134">
        <v>990</v>
      </c>
    </row>
    <row r="3733" spans="6:25" x14ac:dyDescent="0.25">
      <c r="F3733" s="76" t="s">
        <v>150</v>
      </c>
      <c r="G3733" s="77" t="s">
        <v>176</v>
      </c>
      <c r="H3733" s="77" t="s">
        <v>158</v>
      </c>
      <c r="I3733" s="86">
        <v>41955</v>
      </c>
      <c r="J3733" s="78">
        <v>666</v>
      </c>
      <c r="U3733" s="132" t="s">
        <v>154</v>
      </c>
      <c r="V3733" s="132" t="s">
        <v>306</v>
      </c>
      <c r="W3733" s="132" t="s">
        <v>267</v>
      </c>
      <c r="X3733" s="133">
        <v>41721</v>
      </c>
      <c r="Y3733" s="134">
        <v>820</v>
      </c>
    </row>
    <row r="3734" spans="6:25" x14ac:dyDescent="0.25">
      <c r="F3734" s="76" t="s">
        <v>150</v>
      </c>
      <c r="G3734" s="77" t="s">
        <v>176</v>
      </c>
      <c r="H3734" s="77" t="s">
        <v>158</v>
      </c>
      <c r="I3734" s="86">
        <v>41957</v>
      </c>
      <c r="J3734" s="78">
        <v>1301</v>
      </c>
      <c r="U3734" s="132" t="s">
        <v>154</v>
      </c>
      <c r="V3734" s="132" t="s">
        <v>306</v>
      </c>
      <c r="W3734" s="132" t="s">
        <v>267</v>
      </c>
      <c r="X3734" s="133">
        <v>41722</v>
      </c>
      <c r="Y3734" s="134">
        <v>1019</v>
      </c>
    </row>
    <row r="3735" spans="6:25" x14ac:dyDescent="0.25">
      <c r="F3735" s="76" t="s">
        <v>150</v>
      </c>
      <c r="G3735" s="77" t="s">
        <v>176</v>
      </c>
      <c r="H3735" s="77" t="s">
        <v>158</v>
      </c>
      <c r="I3735" s="86">
        <v>41958</v>
      </c>
      <c r="J3735" s="78">
        <v>405</v>
      </c>
      <c r="U3735" s="132" t="s">
        <v>154</v>
      </c>
      <c r="V3735" s="132" t="s">
        <v>306</v>
      </c>
      <c r="W3735" s="132" t="s">
        <v>267</v>
      </c>
      <c r="X3735" s="133">
        <v>41723</v>
      </c>
      <c r="Y3735" s="134">
        <v>885</v>
      </c>
    </row>
    <row r="3736" spans="6:25" x14ac:dyDescent="0.25">
      <c r="F3736" s="76" t="s">
        <v>150</v>
      </c>
      <c r="G3736" s="77" t="s">
        <v>176</v>
      </c>
      <c r="H3736" s="77" t="s">
        <v>158</v>
      </c>
      <c r="I3736" s="86">
        <v>41958</v>
      </c>
      <c r="J3736" s="78">
        <v>1054</v>
      </c>
      <c r="U3736" s="132" t="s">
        <v>154</v>
      </c>
      <c r="V3736" s="132" t="s">
        <v>306</v>
      </c>
      <c r="W3736" s="132" t="s">
        <v>267</v>
      </c>
      <c r="X3736" s="133">
        <v>41724</v>
      </c>
      <c r="Y3736" s="134">
        <v>1170</v>
      </c>
    </row>
    <row r="3737" spans="6:25" x14ac:dyDescent="0.25">
      <c r="F3737" s="76" t="s">
        <v>150</v>
      </c>
      <c r="G3737" s="77" t="s">
        <v>176</v>
      </c>
      <c r="H3737" s="77" t="s">
        <v>158</v>
      </c>
      <c r="I3737" s="86">
        <v>41959</v>
      </c>
      <c r="J3737" s="78">
        <v>571</v>
      </c>
      <c r="U3737" s="132" t="s">
        <v>154</v>
      </c>
      <c r="V3737" s="132" t="s">
        <v>306</v>
      </c>
      <c r="W3737" s="132" t="s">
        <v>267</v>
      </c>
      <c r="X3737" s="133">
        <v>41725</v>
      </c>
      <c r="Y3737" s="134">
        <v>923</v>
      </c>
    </row>
    <row r="3738" spans="6:25" x14ac:dyDescent="0.25">
      <c r="F3738" s="76" t="s">
        <v>150</v>
      </c>
      <c r="G3738" s="77" t="s">
        <v>176</v>
      </c>
      <c r="H3738" s="77" t="s">
        <v>158</v>
      </c>
      <c r="I3738" s="86">
        <v>41960</v>
      </c>
      <c r="J3738" s="78">
        <v>1011</v>
      </c>
      <c r="U3738" s="132" t="s">
        <v>154</v>
      </c>
      <c r="V3738" s="132" t="s">
        <v>306</v>
      </c>
      <c r="W3738" s="132" t="s">
        <v>267</v>
      </c>
      <c r="X3738" s="133">
        <v>41726</v>
      </c>
      <c r="Y3738" s="134">
        <v>615</v>
      </c>
    </row>
    <row r="3739" spans="6:25" x14ac:dyDescent="0.25">
      <c r="F3739" s="76" t="s">
        <v>150</v>
      </c>
      <c r="G3739" s="77" t="s">
        <v>176</v>
      </c>
      <c r="H3739" s="77" t="s">
        <v>158</v>
      </c>
      <c r="I3739" s="86">
        <v>41962</v>
      </c>
      <c r="J3739" s="78">
        <v>1212</v>
      </c>
      <c r="U3739" s="132" t="s">
        <v>154</v>
      </c>
      <c r="V3739" s="132" t="s">
        <v>306</v>
      </c>
      <c r="W3739" s="132" t="s">
        <v>267</v>
      </c>
      <c r="X3739" s="133">
        <v>41726</v>
      </c>
      <c r="Y3739" s="134">
        <v>605</v>
      </c>
    </row>
    <row r="3740" spans="6:25" x14ac:dyDescent="0.25">
      <c r="F3740" s="76" t="s">
        <v>150</v>
      </c>
      <c r="G3740" s="77" t="s">
        <v>176</v>
      </c>
      <c r="H3740" s="77" t="s">
        <v>158</v>
      </c>
      <c r="I3740" s="86">
        <v>41963</v>
      </c>
      <c r="J3740" s="78">
        <v>1408</v>
      </c>
      <c r="U3740" s="132" t="s">
        <v>154</v>
      </c>
      <c r="V3740" s="132" t="s">
        <v>306</v>
      </c>
      <c r="W3740" s="132" t="s">
        <v>267</v>
      </c>
      <c r="X3740" s="133">
        <v>41728</v>
      </c>
      <c r="Y3740" s="134">
        <v>851</v>
      </c>
    </row>
    <row r="3741" spans="6:25" x14ac:dyDescent="0.25">
      <c r="F3741" s="76" t="s">
        <v>150</v>
      </c>
      <c r="G3741" s="77" t="s">
        <v>176</v>
      </c>
      <c r="H3741" s="77" t="s">
        <v>158</v>
      </c>
      <c r="I3741" s="86">
        <v>41964</v>
      </c>
      <c r="J3741" s="78">
        <v>561</v>
      </c>
      <c r="U3741" s="132" t="s">
        <v>154</v>
      </c>
      <c r="V3741" s="132" t="s">
        <v>306</v>
      </c>
      <c r="W3741" s="132" t="s">
        <v>267</v>
      </c>
      <c r="X3741" s="133">
        <v>41729</v>
      </c>
      <c r="Y3741" s="134">
        <v>846</v>
      </c>
    </row>
    <row r="3742" spans="6:25" x14ac:dyDescent="0.25">
      <c r="F3742" s="76" t="s">
        <v>150</v>
      </c>
      <c r="G3742" s="77" t="s">
        <v>176</v>
      </c>
      <c r="H3742" s="77" t="s">
        <v>158</v>
      </c>
      <c r="I3742" s="86">
        <v>41966</v>
      </c>
      <c r="J3742" s="78">
        <v>965</v>
      </c>
      <c r="U3742" s="132" t="s">
        <v>154</v>
      </c>
      <c r="V3742" s="132" t="s">
        <v>306</v>
      </c>
      <c r="W3742" s="132" t="s">
        <v>267</v>
      </c>
      <c r="X3742" s="133">
        <v>41730</v>
      </c>
      <c r="Y3742" s="134">
        <v>875</v>
      </c>
    </row>
    <row r="3743" spans="6:25" x14ac:dyDescent="0.25">
      <c r="F3743" s="76" t="s">
        <v>150</v>
      </c>
      <c r="G3743" s="77" t="s">
        <v>176</v>
      </c>
      <c r="H3743" s="77" t="s">
        <v>158</v>
      </c>
      <c r="I3743" s="86">
        <v>41967</v>
      </c>
      <c r="J3743" s="78">
        <v>691</v>
      </c>
      <c r="U3743" s="132" t="s">
        <v>154</v>
      </c>
      <c r="V3743" s="132" t="s">
        <v>306</v>
      </c>
      <c r="W3743" s="132" t="s">
        <v>267</v>
      </c>
      <c r="X3743" s="133">
        <v>41731</v>
      </c>
      <c r="Y3743" s="134">
        <v>896</v>
      </c>
    </row>
    <row r="3744" spans="6:25" x14ac:dyDescent="0.25">
      <c r="F3744" s="76" t="s">
        <v>150</v>
      </c>
      <c r="G3744" s="77" t="s">
        <v>176</v>
      </c>
      <c r="H3744" s="77" t="s">
        <v>158</v>
      </c>
      <c r="I3744" s="86">
        <v>41969</v>
      </c>
      <c r="J3744" s="78">
        <v>938</v>
      </c>
      <c r="U3744" s="132" t="s">
        <v>154</v>
      </c>
      <c r="V3744" s="132" t="s">
        <v>306</v>
      </c>
      <c r="W3744" s="132" t="s">
        <v>267</v>
      </c>
      <c r="X3744" s="133">
        <v>41731</v>
      </c>
      <c r="Y3744" s="134">
        <v>638</v>
      </c>
    </row>
    <row r="3745" spans="6:25" x14ac:dyDescent="0.25">
      <c r="F3745" s="76" t="s">
        <v>150</v>
      </c>
      <c r="G3745" s="77" t="s">
        <v>176</v>
      </c>
      <c r="H3745" s="77" t="s">
        <v>158</v>
      </c>
      <c r="I3745" s="86">
        <v>41970</v>
      </c>
      <c r="J3745" s="78">
        <v>801</v>
      </c>
      <c r="U3745" s="132" t="s">
        <v>154</v>
      </c>
      <c r="V3745" s="132" t="s">
        <v>306</v>
      </c>
      <c r="W3745" s="132" t="s">
        <v>267</v>
      </c>
      <c r="X3745" s="133">
        <v>41732</v>
      </c>
      <c r="Y3745" s="134">
        <v>981</v>
      </c>
    </row>
    <row r="3746" spans="6:25" x14ac:dyDescent="0.25">
      <c r="F3746" s="76" t="s">
        <v>150</v>
      </c>
      <c r="G3746" s="77" t="s">
        <v>176</v>
      </c>
      <c r="H3746" s="77" t="s">
        <v>158</v>
      </c>
      <c r="I3746" s="86">
        <v>41973</v>
      </c>
      <c r="J3746" s="78">
        <v>1589</v>
      </c>
      <c r="U3746" s="132" t="s">
        <v>154</v>
      </c>
      <c r="V3746" s="132" t="s">
        <v>306</v>
      </c>
      <c r="W3746" s="132" t="s">
        <v>267</v>
      </c>
      <c r="X3746" s="133">
        <v>41733</v>
      </c>
      <c r="Y3746" s="134">
        <v>567</v>
      </c>
    </row>
    <row r="3747" spans="6:25" x14ac:dyDescent="0.25">
      <c r="F3747" s="76" t="s">
        <v>150</v>
      </c>
      <c r="G3747" s="77" t="s">
        <v>176</v>
      </c>
      <c r="H3747" s="77" t="s">
        <v>158</v>
      </c>
      <c r="I3747" s="86">
        <v>41974</v>
      </c>
      <c r="J3747" s="78">
        <v>1208</v>
      </c>
      <c r="U3747" s="132" t="s">
        <v>154</v>
      </c>
      <c r="V3747" s="132" t="s">
        <v>306</v>
      </c>
      <c r="W3747" s="132" t="s">
        <v>267</v>
      </c>
      <c r="X3747" s="133">
        <v>41733</v>
      </c>
      <c r="Y3747" s="134">
        <v>663</v>
      </c>
    </row>
    <row r="3748" spans="6:25" x14ac:dyDescent="0.25">
      <c r="F3748" s="76" t="s">
        <v>150</v>
      </c>
      <c r="G3748" s="77" t="s">
        <v>176</v>
      </c>
      <c r="H3748" s="77" t="s">
        <v>158</v>
      </c>
      <c r="I3748" s="86">
        <v>41975</v>
      </c>
      <c r="J3748" s="78">
        <v>930</v>
      </c>
      <c r="U3748" s="132" t="s">
        <v>154</v>
      </c>
      <c r="V3748" s="132" t="s">
        <v>306</v>
      </c>
      <c r="W3748" s="132" t="s">
        <v>267</v>
      </c>
      <c r="X3748" s="133">
        <v>41736</v>
      </c>
      <c r="Y3748" s="134">
        <v>645</v>
      </c>
    </row>
    <row r="3749" spans="6:25" x14ac:dyDescent="0.25">
      <c r="F3749" s="76" t="s">
        <v>150</v>
      </c>
      <c r="G3749" s="77" t="s">
        <v>176</v>
      </c>
      <c r="H3749" s="77" t="s">
        <v>158</v>
      </c>
      <c r="I3749" s="86">
        <v>41985</v>
      </c>
      <c r="J3749" s="78">
        <v>1044</v>
      </c>
      <c r="U3749" s="132" t="s">
        <v>154</v>
      </c>
      <c r="V3749" s="132" t="s">
        <v>306</v>
      </c>
      <c r="W3749" s="132" t="s">
        <v>267</v>
      </c>
      <c r="X3749" s="133">
        <v>41736</v>
      </c>
      <c r="Y3749" s="134">
        <v>576</v>
      </c>
    </row>
    <row r="3750" spans="6:25" x14ac:dyDescent="0.25">
      <c r="F3750" s="76" t="s">
        <v>150</v>
      </c>
      <c r="G3750" s="77" t="s">
        <v>176</v>
      </c>
      <c r="H3750" s="77" t="s">
        <v>158</v>
      </c>
      <c r="I3750" s="86">
        <v>41989</v>
      </c>
      <c r="J3750" s="78">
        <v>732</v>
      </c>
      <c r="U3750" s="132" t="s">
        <v>154</v>
      </c>
      <c r="V3750" s="132" t="s">
        <v>306</v>
      </c>
      <c r="W3750" s="132" t="s">
        <v>267</v>
      </c>
      <c r="X3750" s="133">
        <v>41737</v>
      </c>
      <c r="Y3750" s="134">
        <v>638</v>
      </c>
    </row>
    <row r="3751" spans="6:25" x14ac:dyDescent="0.25">
      <c r="F3751" s="76" t="s">
        <v>150</v>
      </c>
      <c r="G3751" s="77" t="s">
        <v>176</v>
      </c>
      <c r="H3751" s="77" t="s">
        <v>158</v>
      </c>
      <c r="I3751" s="86">
        <v>41996</v>
      </c>
      <c r="J3751" s="78">
        <v>453</v>
      </c>
      <c r="U3751" s="132" t="s">
        <v>154</v>
      </c>
      <c r="V3751" s="132" t="s">
        <v>306</v>
      </c>
      <c r="W3751" s="132" t="s">
        <v>267</v>
      </c>
      <c r="X3751" s="133">
        <v>41737</v>
      </c>
      <c r="Y3751" s="134">
        <v>632</v>
      </c>
    </row>
    <row r="3752" spans="6:25" x14ac:dyDescent="0.25">
      <c r="F3752" s="76" t="s">
        <v>150</v>
      </c>
      <c r="G3752" s="77" t="s">
        <v>176</v>
      </c>
      <c r="H3752" s="77" t="s">
        <v>158</v>
      </c>
      <c r="I3752" s="86">
        <v>42002</v>
      </c>
      <c r="J3752" s="78">
        <v>780</v>
      </c>
      <c r="U3752" s="132" t="s">
        <v>154</v>
      </c>
      <c r="V3752" s="132" t="s">
        <v>306</v>
      </c>
      <c r="W3752" s="132" t="s">
        <v>267</v>
      </c>
      <c r="X3752" s="133">
        <v>41738</v>
      </c>
      <c r="Y3752" s="134">
        <v>508</v>
      </c>
    </row>
    <row r="3753" spans="6:25" x14ac:dyDescent="0.25">
      <c r="F3753" s="76" t="s">
        <v>150</v>
      </c>
      <c r="G3753" s="77" t="s">
        <v>182</v>
      </c>
      <c r="H3753" s="77" t="s">
        <v>158</v>
      </c>
      <c r="I3753" s="86">
        <v>41646</v>
      </c>
      <c r="J3753" s="78">
        <v>824</v>
      </c>
      <c r="U3753" s="132" t="s">
        <v>154</v>
      </c>
      <c r="V3753" s="132" t="s">
        <v>306</v>
      </c>
      <c r="W3753" s="132" t="s">
        <v>267</v>
      </c>
      <c r="X3753" s="133">
        <v>41738</v>
      </c>
      <c r="Y3753" s="134">
        <v>441</v>
      </c>
    </row>
    <row r="3754" spans="6:25" x14ac:dyDescent="0.25">
      <c r="F3754" s="76" t="s">
        <v>150</v>
      </c>
      <c r="G3754" s="77" t="s">
        <v>182</v>
      </c>
      <c r="H3754" s="77" t="s">
        <v>158</v>
      </c>
      <c r="I3754" s="86">
        <v>41648</v>
      </c>
      <c r="J3754" s="78">
        <v>1553</v>
      </c>
      <c r="U3754" s="132" t="s">
        <v>154</v>
      </c>
      <c r="V3754" s="132" t="s">
        <v>306</v>
      </c>
      <c r="W3754" s="132" t="s">
        <v>267</v>
      </c>
      <c r="X3754" s="133">
        <v>41739</v>
      </c>
      <c r="Y3754" s="134">
        <v>788</v>
      </c>
    </row>
    <row r="3755" spans="6:25" x14ac:dyDescent="0.25">
      <c r="F3755" s="76" t="s">
        <v>150</v>
      </c>
      <c r="G3755" s="77" t="s">
        <v>182</v>
      </c>
      <c r="H3755" s="77" t="s">
        <v>158</v>
      </c>
      <c r="I3755" s="86">
        <v>41653</v>
      </c>
      <c r="J3755" s="78">
        <v>722</v>
      </c>
      <c r="U3755" s="132" t="s">
        <v>154</v>
      </c>
      <c r="V3755" s="132" t="s">
        <v>306</v>
      </c>
      <c r="W3755" s="132" t="s">
        <v>267</v>
      </c>
      <c r="X3755" s="133">
        <v>41740</v>
      </c>
      <c r="Y3755" s="134">
        <v>995</v>
      </c>
    </row>
    <row r="3756" spans="6:25" x14ac:dyDescent="0.25">
      <c r="F3756" s="76" t="s">
        <v>150</v>
      </c>
      <c r="G3756" s="77" t="s">
        <v>182</v>
      </c>
      <c r="H3756" s="77" t="s">
        <v>158</v>
      </c>
      <c r="I3756" s="86">
        <v>41654</v>
      </c>
      <c r="J3756" s="78">
        <v>806</v>
      </c>
      <c r="U3756" s="132" t="s">
        <v>154</v>
      </c>
      <c r="V3756" s="132" t="s">
        <v>306</v>
      </c>
      <c r="W3756" s="132" t="s">
        <v>267</v>
      </c>
      <c r="X3756" s="133">
        <v>41742</v>
      </c>
      <c r="Y3756" s="134">
        <v>879</v>
      </c>
    </row>
    <row r="3757" spans="6:25" x14ac:dyDescent="0.25">
      <c r="F3757" s="76" t="s">
        <v>150</v>
      </c>
      <c r="G3757" s="77" t="s">
        <v>182</v>
      </c>
      <c r="H3757" s="77" t="s">
        <v>158</v>
      </c>
      <c r="I3757" s="86">
        <v>41656</v>
      </c>
      <c r="J3757" s="78">
        <v>806</v>
      </c>
      <c r="U3757" s="132" t="s">
        <v>154</v>
      </c>
      <c r="V3757" s="132" t="s">
        <v>306</v>
      </c>
      <c r="W3757" s="132" t="s">
        <v>267</v>
      </c>
      <c r="X3757" s="133">
        <v>41743</v>
      </c>
      <c r="Y3757" s="134">
        <v>981</v>
      </c>
    </row>
    <row r="3758" spans="6:25" x14ac:dyDescent="0.25">
      <c r="F3758" s="76" t="s">
        <v>150</v>
      </c>
      <c r="G3758" s="77" t="s">
        <v>182</v>
      </c>
      <c r="H3758" s="77" t="s">
        <v>158</v>
      </c>
      <c r="I3758" s="86">
        <v>41660</v>
      </c>
      <c r="J3758" s="78">
        <v>669</v>
      </c>
      <c r="U3758" s="132" t="s">
        <v>154</v>
      </c>
      <c r="V3758" s="132" t="s">
        <v>306</v>
      </c>
      <c r="W3758" s="132" t="s">
        <v>267</v>
      </c>
      <c r="X3758" s="133">
        <v>41744</v>
      </c>
      <c r="Y3758" s="134">
        <v>621</v>
      </c>
    </row>
    <row r="3759" spans="6:25" x14ac:dyDescent="0.25">
      <c r="F3759" s="76" t="s">
        <v>150</v>
      </c>
      <c r="G3759" s="77" t="s">
        <v>182</v>
      </c>
      <c r="H3759" s="77" t="s">
        <v>158</v>
      </c>
      <c r="I3759" s="86">
        <v>41663</v>
      </c>
      <c r="J3759" s="78">
        <v>900</v>
      </c>
      <c r="U3759" s="132" t="s">
        <v>154</v>
      </c>
      <c r="V3759" s="132" t="s">
        <v>306</v>
      </c>
      <c r="W3759" s="132" t="s">
        <v>267</v>
      </c>
      <c r="X3759" s="133">
        <v>41744</v>
      </c>
      <c r="Y3759" s="134">
        <v>745</v>
      </c>
    </row>
    <row r="3760" spans="6:25" x14ac:dyDescent="0.25">
      <c r="F3760" s="76" t="s">
        <v>150</v>
      </c>
      <c r="G3760" s="77" t="s">
        <v>182</v>
      </c>
      <c r="H3760" s="77" t="s">
        <v>158</v>
      </c>
      <c r="I3760" s="86">
        <v>41666</v>
      </c>
      <c r="J3760" s="78">
        <v>1301</v>
      </c>
      <c r="U3760" s="132" t="s">
        <v>154</v>
      </c>
      <c r="V3760" s="132" t="s">
        <v>306</v>
      </c>
      <c r="W3760" s="132" t="s">
        <v>267</v>
      </c>
      <c r="X3760" s="133">
        <v>41745</v>
      </c>
      <c r="Y3760" s="134">
        <v>460</v>
      </c>
    </row>
    <row r="3761" spans="6:25" x14ac:dyDescent="0.25">
      <c r="F3761" s="76" t="s">
        <v>150</v>
      </c>
      <c r="G3761" s="77" t="s">
        <v>182</v>
      </c>
      <c r="H3761" s="77" t="s">
        <v>158</v>
      </c>
      <c r="I3761" s="86">
        <v>41667</v>
      </c>
      <c r="J3761" s="78">
        <v>882</v>
      </c>
      <c r="U3761" s="132" t="s">
        <v>154</v>
      </c>
      <c r="V3761" s="132" t="s">
        <v>306</v>
      </c>
      <c r="W3761" s="132" t="s">
        <v>267</v>
      </c>
      <c r="X3761" s="133">
        <v>41758</v>
      </c>
      <c r="Y3761" s="134">
        <v>875</v>
      </c>
    </row>
    <row r="3762" spans="6:25" x14ac:dyDescent="0.25">
      <c r="F3762" s="76" t="s">
        <v>150</v>
      </c>
      <c r="G3762" s="77" t="s">
        <v>182</v>
      </c>
      <c r="H3762" s="77" t="s">
        <v>158</v>
      </c>
      <c r="I3762" s="86">
        <v>41668</v>
      </c>
      <c r="J3762" s="78">
        <v>1090</v>
      </c>
      <c r="U3762" s="132" t="s">
        <v>154</v>
      </c>
      <c r="V3762" s="132" t="s">
        <v>306</v>
      </c>
      <c r="W3762" s="132" t="s">
        <v>267</v>
      </c>
      <c r="X3762" s="133">
        <v>41759</v>
      </c>
      <c r="Y3762" s="134">
        <v>825</v>
      </c>
    </row>
    <row r="3763" spans="6:25" x14ac:dyDescent="0.25">
      <c r="F3763" s="76" t="s">
        <v>150</v>
      </c>
      <c r="G3763" s="77" t="s">
        <v>182</v>
      </c>
      <c r="H3763" s="77" t="s">
        <v>158</v>
      </c>
      <c r="I3763" s="86">
        <v>41670</v>
      </c>
      <c r="J3763" s="78">
        <v>400</v>
      </c>
      <c r="U3763" s="132" t="s">
        <v>154</v>
      </c>
      <c r="V3763" s="132" t="s">
        <v>306</v>
      </c>
      <c r="W3763" s="132" t="s">
        <v>267</v>
      </c>
      <c r="X3763" s="133">
        <v>41760</v>
      </c>
      <c r="Y3763" s="134">
        <v>490</v>
      </c>
    </row>
    <row r="3764" spans="6:25" x14ac:dyDescent="0.25">
      <c r="F3764" s="76" t="s">
        <v>150</v>
      </c>
      <c r="G3764" s="77" t="s">
        <v>182</v>
      </c>
      <c r="H3764" s="77" t="s">
        <v>158</v>
      </c>
      <c r="I3764" s="86">
        <v>41676</v>
      </c>
      <c r="J3764" s="78">
        <v>1004</v>
      </c>
      <c r="U3764" s="132" t="s">
        <v>154</v>
      </c>
      <c r="V3764" s="132" t="s">
        <v>306</v>
      </c>
      <c r="W3764" s="132" t="s">
        <v>267</v>
      </c>
      <c r="X3764" s="133">
        <v>41761</v>
      </c>
      <c r="Y3764" s="134">
        <v>880</v>
      </c>
    </row>
    <row r="3765" spans="6:25" x14ac:dyDescent="0.25">
      <c r="F3765" s="76" t="s">
        <v>150</v>
      </c>
      <c r="G3765" s="77" t="s">
        <v>182</v>
      </c>
      <c r="H3765" s="77" t="s">
        <v>158</v>
      </c>
      <c r="I3765" s="86">
        <v>41680</v>
      </c>
      <c r="J3765" s="78">
        <v>802</v>
      </c>
      <c r="U3765" s="132" t="s">
        <v>154</v>
      </c>
      <c r="V3765" s="132" t="s">
        <v>306</v>
      </c>
      <c r="W3765" s="132" t="s">
        <v>267</v>
      </c>
      <c r="X3765" s="133">
        <v>41762</v>
      </c>
      <c r="Y3765" s="134">
        <v>976</v>
      </c>
    </row>
    <row r="3766" spans="6:25" x14ac:dyDescent="0.25">
      <c r="F3766" s="76" t="s">
        <v>150</v>
      </c>
      <c r="G3766" s="77" t="s">
        <v>182</v>
      </c>
      <c r="H3766" s="77" t="s">
        <v>158</v>
      </c>
      <c r="I3766" s="86">
        <v>41682</v>
      </c>
      <c r="J3766" s="78">
        <v>618</v>
      </c>
      <c r="U3766" s="132" t="s">
        <v>154</v>
      </c>
      <c r="V3766" s="132" t="s">
        <v>306</v>
      </c>
      <c r="W3766" s="132" t="s">
        <v>267</v>
      </c>
      <c r="X3766" s="133">
        <v>41763</v>
      </c>
      <c r="Y3766" s="134">
        <v>547</v>
      </c>
    </row>
    <row r="3767" spans="6:25" x14ac:dyDescent="0.25">
      <c r="F3767" s="76" t="s">
        <v>150</v>
      </c>
      <c r="G3767" s="77" t="s">
        <v>182</v>
      </c>
      <c r="H3767" s="77" t="s">
        <v>158</v>
      </c>
      <c r="I3767" s="86">
        <v>41682</v>
      </c>
      <c r="J3767" s="78">
        <v>921</v>
      </c>
      <c r="U3767" s="132" t="s">
        <v>154</v>
      </c>
      <c r="V3767" s="132" t="s">
        <v>306</v>
      </c>
      <c r="W3767" s="132" t="s">
        <v>267</v>
      </c>
      <c r="X3767" s="133">
        <v>41764</v>
      </c>
      <c r="Y3767" s="134">
        <v>971</v>
      </c>
    </row>
    <row r="3768" spans="6:25" x14ac:dyDescent="0.25">
      <c r="F3768" s="76" t="s">
        <v>150</v>
      </c>
      <c r="G3768" s="77" t="s">
        <v>182</v>
      </c>
      <c r="H3768" s="77" t="s">
        <v>158</v>
      </c>
      <c r="I3768" s="86">
        <v>41685</v>
      </c>
      <c r="J3768" s="78">
        <v>1013</v>
      </c>
      <c r="U3768" s="132" t="s">
        <v>154</v>
      </c>
      <c r="V3768" s="132" t="s">
        <v>306</v>
      </c>
      <c r="W3768" s="132" t="s">
        <v>267</v>
      </c>
      <c r="X3768" s="133">
        <v>41765</v>
      </c>
      <c r="Y3768" s="134">
        <v>784</v>
      </c>
    </row>
    <row r="3769" spans="6:25" x14ac:dyDescent="0.25">
      <c r="F3769" s="76" t="s">
        <v>150</v>
      </c>
      <c r="G3769" s="77" t="s">
        <v>182</v>
      </c>
      <c r="H3769" s="77" t="s">
        <v>158</v>
      </c>
      <c r="I3769" s="86">
        <v>41687</v>
      </c>
      <c r="J3769" s="78">
        <v>694</v>
      </c>
      <c r="U3769" s="132" t="s">
        <v>154</v>
      </c>
      <c r="V3769" s="132" t="s">
        <v>306</v>
      </c>
      <c r="W3769" s="132" t="s">
        <v>267</v>
      </c>
      <c r="X3769" s="133">
        <v>41766</v>
      </c>
      <c r="Y3769" s="134">
        <v>1226</v>
      </c>
    </row>
    <row r="3770" spans="6:25" x14ac:dyDescent="0.25">
      <c r="F3770" s="76" t="s">
        <v>150</v>
      </c>
      <c r="G3770" s="77" t="s">
        <v>182</v>
      </c>
      <c r="H3770" s="77" t="s">
        <v>158</v>
      </c>
      <c r="I3770" s="86">
        <v>41690</v>
      </c>
      <c r="J3770" s="78">
        <v>1010</v>
      </c>
      <c r="U3770" s="132" t="s">
        <v>154</v>
      </c>
      <c r="V3770" s="132" t="s">
        <v>306</v>
      </c>
      <c r="W3770" s="132" t="s">
        <v>267</v>
      </c>
      <c r="X3770" s="133">
        <v>41767</v>
      </c>
      <c r="Y3770" s="134">
        <v>825</v>
      </c>
    </row>
    <row r="3771" spans="6:25" x14ac:dyDescent="0.25">
      <c r="F3771" s="76" t="s">
        <v>150</v>
      </c>
      <c r="G3771" s="77" t="s">
        <v>182</v>
      </c>
      <c r="H3771" s="77" t="s">
        <v>158</v>
      </c>
      <c r="I3771" s="86">
        <v>41691</v>
      </c>
      <c r="J3771" s="78">
        <v>605</v>
      </c>
      <c r="U3771" s="132" t="s">
        <v>154</v>
      </c>
      <c r="V3771" s="132" t="s">
        <v>306</v>
      </c>
      <c r="W3771" s="132" t="s">
        <v>267</v>
      </c>
      <c r="X3771" s="133">
        <v>41768</v>
      </c>
      <c r="Y3771" s="134">
        <v>974</v>
      </c>
    </row>
    <row r="3772" spans="6:25" x14ac:dyDescent="0.25">
      <c r="F3772" s="76" t="s">
        <v>150</v>
      </c>
      <c r="G3772" s="77" t="s">
        <v>182</v>
      </c>
      <c r="H3772" s="77" t="s">
        <v>158</v>
      </c>
      <c r="I3772" s="86">
        <v>41695</v>
      </c>
      <c r="J3772" s="78">
        <v>962</v>
      </c>
      <c r="U3772" s="132" t="s">
        <v>154</v>
      </c>
      <c r="V3772" s="132" t="s">
        <v>306</v>
      </c>
      <c r="W3772" s="132" t="s">
        <v>267</v>
      </c>
      <c r="X3772" s="133">
        <v>41769</v>
      </c>
      <c r="Y3772" s="134">
        <v>851</v>
      </c>
    </row>
    <row r="3773" spans="6:25" x14ac:dyDescent="0.25">
      <c r="F3773" s="76" t="s">
        <v>150</v>
      </c>
      <c r="G3773" s="77" t="s">
        <v>182</v>
      </c>
      <c r="H3773" s="77" t="s">
        <v>158</v>
      </c>
      <c r="I3773" s="86">
        <v>41697</v>
      </c>
      <c r="J3773" s="78">
        <v>913</v>
      </c>
      <c r="U3773" s="132" t="s">
        <v>154</v>
      </c>
      <c r="V3773" s="132" t="s">
        <v>306</v>
      </c>
      <c r="W3773" s="132" t="s">
        <v>267</v>
      </c>
      <c r="X3773" s="133">
        <v>41770</v>
      </c>
      <c r="Y3773" s="134">
        <v>574</v>
      </c>
    </row>
    <row r="3774" spans="6:25" x14ac:dyDescent="0.25">
      <c r="F3774" s="76" t="s">
        <v>150</v>
      </c>
      <c r="G3774" s="77" t="s">
        <v>182</v>
      </c>
      <c r="H3774" s="77" t="s">
        <v>158</v>
      </c>
      <c r="I3774" s="86">
        <v>41701</v>
      </c>
      <c r="J3774" s="78">
        <v>1558</v>
      </c>
      <c r="U3774" s="132" t="s">
        <v>154</v>
      </c>
      <c r="V3774" s="132" t="s">
        <v>306</v>
      </c>
      <c r="W3774" s="132" t="s">
        <v>267</v>
      </c>
      <c r="X3774" s="133">
        <v>41771</v>
      </c>
      <c r="Y3774" s="134">
        <v>651</v>
      </c>
    </row>
    <row r="3775" spans="6:25" x14ac:dyDescent="0.25">
      <c r="F3775" s="76" t="s">
        <v>150</v>
      </c>
      <c r="G3775" s="77" t="s">
        <v>182</v>
      </c>
      <c r="H3775" s="77" t="s">
        <v>158</v>
      </c>
      <c r="I3775" s="86">
        <v>41709</v>
      </c>
      <c r="J3775" s="78">
        <v>816</v>
      </c>
      <c r="U3775" s="132" t="s">
        <v>154</v>
      </c>
      <c r="V3775" s="132" t="s">
        <v>306</v>
      </c>
      <c r="W3775" s="132" t="s">
        <v>267</v>
      </c>
      <c r="X3775" s="133">
        <v>41771</v>
      </c>
      <c r="Y3775" s="134">
        <v>684</v>
      </c>
    </row>
    <row r="3776" spans="6:25" x14ac:dyDescent="0.25">
      <c r="F3776" s="76" t="s">
        <v>150</v>
      </c>
      <c r="G3776" s="77" t="s">
        <v>182</v>
      </c>
      <c r="H3776" s="77" t="s">
        <v>158</v>
      </c>
      <c r="I3776" s="86">
        <v>41712</v>
      </c>
      <c r="J3776" s="78">
        <v>706</v>
      </c>
      <c r="U3776" s="132" t="s">
        <v>154</v>
      </c>
      <c r="V3776" s="132" t="s">
        <v>306</v>
      </c>
      <c r="W3776" s="132" t="s">
        <v>267</v>
      </c>
      <c r="X3776" s="133">
        <v>41772</v>
      </c>
      <c r="Y3776" s="134">
        <v>725</v>
      </c>
    </row>
    <row r="3777" spans="6:25" x14ac:dyDescent="0.25">
      <c r="F3777" s="76" t="s">
        <v>150</v>
      </c>
      <c r="G3777" s="77" t="s">
        <v>182</v>
      </c>
      <c r="H3777" s="77" t="s">
        <v>158</v>
      </c>
      <c r="I3777" s="86">
        <v>41713</v>
      </c>
      <c r="J3777" s="78">
        <v>600</v>
      </c>
      <c r="U3777" s="132" t="s">
        <v>154</v>
      </c>
      <c r="V3777" s="132" t="s">
        <v>306</v>
      </c>
      <c r="W3777" s="132" t="s">
        <v>267</v>
      </c>
      <c r="X3777" s="133">
        <v>41773</v>
      </c>
      <c r="Y3777" s="134">
        <v>876</v>
      </c>
    </row>
    <row r="3778" spans="6:25" x14ac:dyDescent="0.25">
      <c r="F3778" s="76" t="s">
        <v>150</v>
      </c>
      <c r="G3778" s="77" t="s">
        <v>182</v>
      </c>
      <c r="H3778" s="77" t="s">
        <v>158</v>
      </c>
      <c r="I3778" s="86">
        <v>41717</v>
      </c>
      <c r="J3778" s="78">
        <v>1027</v>
      </c>
      <c r="U3778" s="132" t="s">
        <v>154</v>
      </c>
      <c r="V3778" s="132" t="s">
        <v>306</v>
      </c>
      <c r="W3778" s="132" t="s">
        <v>267</v>
      </c>
      <c r="X3778" s="133">
        <v>41774</v>
      </c>
      <c r="Y3778" s="134">
        <v>704</v>
      </c>
    </row>
    <row r="3779" spans="6:25" x14ac:dyDescent="0.25">
      <c r="F3779" s="76" t="s">
        <v>150</v>
      </c>
      <c r="G3779" s="77" t="s">
        <v>182</v>
      </c>
      <c r="H3779" s="77" t="s">
        <v>158</v>
      </c>
      <c r="I3779" s="86">
        <v>41719</v>
      </c>
      <c r="J3779" s="78">
        <v>1019</v>
      </c>
      <c r="U3779" s="132" t="s">
        <v>154</v>
      </c>
      <c r="V3779" s="132" t="s">
        <v>306</v>
      </c>
      <c r="W3779" s="132" t="s">
        <v>267</v>
      </c>
      <c r="X3779" s="133">
        <v>41774</v>
      </c>
      <c r="Y3779" s="134">
        <v>680</v>
      </c>
    </row>
    <row r="3780" spans="6:25" x14ac:dyDescent="0.25">
      <c r="F3780" s="76" t="s">
        <v>150</v>
      </c>
      <c r="G3780" s="77" t="s">
        <v>182</v>
      </c>
      <c r="H3780" s="77" t="s">
        <v>158</v>
      </c>
      <c r="I3780" s="86">
        <v>41722</v>
      </c>
      <c r="J3780" s="78">
        <v>1201</v>
      </c>
      <c r="U3780" s="132" t="s">
        <v>154</v>
      </c>
      <c r="V3780" s="132" t="s">
        <v>306</v>
      </c>
      <c r="W3780" s="132" t="s">
        <v>267</v>
      </c>
      <c r="X3780" s="133">
        <v>41775</v>
      </c>
      <c r="Y3780" s="134">
        <v>856</v>
      </c>
    </row>
    <row r="3781" spans="6:25" x14ac:dyDescent="0.25">
      <c r="F3781" s="76" t="s">
        <v>150</v>
      </c>
      <c r="G3781" s="77" t="s">
        <v>182</v>
      </c>
      <c r="H3781" s="77" t="s">
        <v>158</v>
      </c>
      <c r="I3781" s="86">
        <v>41723</v>
      </c>
      <c r="J3781" s="78">
        <v>930</v>
      </c>
      <c r="U3781" s="132" t="s">
        <v>154</v>
      </c>
      <c r="V3781" s="132" t="s">
        <v>306</v>
      </c>
      <c r="W3781" s="132" t="s">
        <v>267</v>
      </c>
      <c r="X3781" s="133">
        <v>41777</v>
      </c>
      <c r="Y3781" s="134">
        <v>967</v>
      </c>
    </row>
    <row r="3782" spans="6:25" x14ac:dyDescent="0.25">
      <c r="F3782" s="76" t="s">
        <v>150</v>
      </c>
      <c r="G3782" s="77" t="s">
        <v>182</v>
      </c>
      <c r="H3782" s="77" t="s">
        <v>158</v>
      </c>
      <c r="I3782" s="86">
        <v>41732</v>
      </c>
      <c r="J3782" s="78">
        <v>859</v>
      </c>
      <c r="U3782" s="132" t="s">
        <v>154</v>
      </c>
      <c r="V3782" s="132" t="s">
        <v>306</v>
      </c>
      <c r="W3782" s="132" t="s">
        <v>267</v>
      </c>
      <c r="X3782" s="133">
        <v>41778</v>
      </c>
      <c r="Y3782" s="134">
        <v>531</v>
      </c>
    </row>
    <row r="3783" spans="6:25" x14ac:dyDescent="0.25">
      <c r="F3783" s="76" t="s">
        <v>150</v>
      </c>
      <c r="G3783" s="77" t="s">
        <v>182</v>
      </c>
      <c r="H3783" s="77" t="s">
        <v>158</v>
      </c>
      <c r="I3783" s="86">
        <v>41738</v>
      </c>
      <c r="J3783" s="78">
        <v>1130</v>
      </c>
      <c r="U3783" s="132" t="s">
        <v>154</v>
      </c>
      <c r="V3783" s="132" t="s">
        <v>306</v>
      </c>
      <c r="W3783" s="132" t="s">
        <v>267</v>
      </c>
      <c r="X3783" s="133">
        <v>41779</v>
      </c>
      <c r="Y3783" s="134">
        <v>990</v>
      </c>
    </row>
    <row r="3784" spans="6:25" x14ac:dyDescent="0.25">
      <c r="F3784" s="76" t="s">
        <v>150</v>
      </c>
      <c r="G3784" s="77" t="s">
        <v>182</v>
      </c>
      <c r="H3784" s="77" t="s">
        <v>158</v>
      </c>
      <c r="I3784" s="86">
        <v>41739</v>
      </c>
      <c r="J3784" s="78">
        <v>894</v>
      </c>
      <c r="U3784" s="132" t="s">
        <v>154</v>
      </c>
      <c r="V3784" s="132" t="s">
        <v>306</v>
      </c>
      <c r="W3784" s="132" t="s">
        <v>267</v>
      </c>
      <c r="X3784" s="133">
        <v>41819</v>
      </c>
      <c r="Y3784" s="134">
        <v>929</v>
      </c>
    </row>
    <row r="3785" spans="6:25" x14ac:dyDescent="0.25">
      <c r="F3785" s="76" t="s">
        <v>150</v>
      </c>
      <c r="G3785" s="77" t="s">
        <v>182</v>
      </c>
      <c r="H3785" s="77" t="s">
        <v>158</v>
      </c>
      <c r="I3785" s="86">
        <v>41745</v>
      </c>
      <c r="J3785" s="78">
        <v>1327</v>
      </c>
      <c r="U3785" s="132" t="s">
        <v>154</v>
      </c>
      <c r="V3785" s="132" t="s">
        <v>306</v>
      </c>
      <c r="W3785" s="132" t="s">
        <v>267</v>
      </c>
      <c r="X3785" s="133">
        <v>41941</v>
      </c>
      <c r="Y3785" s="134">
        <v>740</v>
      </c>
    </row>
    <row r="3786" spans="6:25" x14ac:dyDescent="0.25">
      <c r="F3786" s="76" t="s">
        <v>150</v>
      </c>
      <c r="G3786" s="77" t="s">
        <v>182</v>
      </c>
      <c r="H3786" s="77" t="s">
        <v>158</v>
      </c>
      <c r="I3786" s="86">
        <v>41752</v>
      </c>
      <c r="J3786" s="78">
        <v>530</v>
      </c>
      <c r="U3786" s="132" t="s">
        <v>154</v>
      </c>
      <c r="V3786" s="132" t="s">
        <v>306</v>
      </c>
      <c r="W3786" s="132" t="s">
        <v>267</v>
      </c>
      <c r="X3786" s="133">
        <v>41942</v>
      </c>
      <c r="Y3786" s="134">
        <v>807</v>
      </c>
    </row>
    <row r="3787" spans="6:25" x14ac:dyDescent="0.25">
      <c r="F3787" s="76" t="s">
        <v>150</v>
      </c>
      <c r="G3787" s="77" t="s">
        <v>182</v>
      </c>
      <c r="H3787" s="77" t="s">
        <v>158</v>
      </c>
      <c r="I3787" s="86">
        <v>41753</v>
      </c>
      <c r="J3787" s="78">
        <v>924</v>
      </c>
      <c r="U3787" s="132" t="s">
        <v>154</v>
      </c>
      <c r="V3787" s="132" t="s">
        <v>306</v>
      </c>
      <c r="W3787" s="132" t="s">
        <v>267</v>
      </c>
      <c r="X3787" s="133">
        <v>41943</v>
      </c>
      <c r="Y3787" s="134">
        <v>822</v>
      </c>
    </row>
    <row r="3788" spans="6:25" x14ac:dyDescent="0.25">
      <c r="F3788" s="76" t="s">
        <v>150</v>
      </c>
      <c r="G3788" s="77" t="s">
        <v>182</v>
      </c>
      <c r="H3788" s="77" t="s">
        <v>158</v>
      </c>
      <c r="I3788" s="86">
        <v>41755</v>
      </c>
      <c r="J3788" s="78">
        <v>802</v>
      </c>
      <c r="U3788" s="132" t="s">
        <v>154</v>
      </c>
      <c r="V3788" s="132" t="s">
        <v>306</v>
      </c>
      <c r="W3788" s="132" t="s">
        <v>267</v>
      </c>
      <c r="X3788" s="133">
        <v>41946</v>
      </c>
      <c r="Y3788" s="134">
        <v>794</v>
      </c>
    </row>
    <row r="3789" spans="6:25" x14ac:dyDescent="0.25">
      <c r="F3789" s="76" t="s">
        <v>150</v>
      </c>
      <c r="G3789" s="77" t="s">
        <v>182</v>
      </c>
      <c r="H3789" s="77" t="s">
        <v>158</v>
      </c>
      <c r="I3789" s="86">
        <v>41755</v>
      </c>
      <c r="J3789" s="78">
        <v>900</v>
      </c>
      <c r="U3789" s="132" t="s">
        <v>154</v>
      </c>
      <c r="V3789" s="132" t="s">
        <v>306</v>
      </c>
      <c r="W3789" s="132" t="s">
        <v>267</v>
      </c>
      <c r="X3789" s="133">
        <v>41947</v>
      </c>
      <c r="Y3789" s="134">
        <v>771</v>
      </c>
    </row>
    <row r="3790" spans="6:25" x14ac:dyDescent="0.25">
      <c r="F3790" s="76" t="s">
        <v>150</v>
      </c>
      <c r="G3790" s="77" t="s">
        <v>182</v>
      </c>
      <c r="H3790" s="77" t="s">
        <v>158</v>
      </c>
      <c r="I3790" s="86">
        <v>41756</v>
      </c>
      <c r="J3790" s="78">
        <v>800</v>
      </c>
      <c r="U3790" s="132" t="s">
        <v>154</v>
      </c>
      <c r="V3790" s="132" t="s">
        <v>306</v>
      </c>
      <c r="W3790" s="132" t="s">
        <v>267</v>
      </c>
      <c r="X3790" s="133">
        <v>41948</v>
      </c>
      <c r="Y3790" s="134">
        <v>804</v>
      </c>
    </row>
    <row r="3791" spans="6:25" x14ac:dyDescent="0.25">
      <c r="F3791" s="76" t="s">
        <v>150</v>
      </c>
      <c r="G3791" s="77" t="s">
        <v>182</v>
      </c>
      <c r="H3791" s="77" t="s">
        <v>158</v>
      </c>
      <c r="I3791" s="86">
        <v>41758</v>
      </c>
      <c r="J3791" s="78">
        <v>1015</v>
      </c>
      <c r="U3791" s="132" t="s">
        <v>154</v>
      </c>
      <c r="V3791" s="132" t="s">
        <v>306</v>
      </c>
      <c r="W3791" s="132" t="s">
        <v>267</v>
      </c>
      <c r="X3791" s="133">
        <v>41949</v>
      </c>
      <c r="Y3791" s="134">
        <v>991</v>
      </c>
    </row>
    <row r="3792" spans="6:25" x14ac:dyDescent="0.25">
      <c r="F3792" s="76" t="s">
        <v>150</v>
      </c>
      <c r="G3792" s="77" t="s">
        <v>182</v>
      </c>
      <c r="H3792" s="77" t="s">
        <v>158</v>
      </c>
      <c r="I3792" s="86">
        <v>41760</v>
      </c>
      <c r="J3792" s="78">
        <v>721</v>
      </c>
      <c r="U3792" s="132" t="s">
        <v>154</v>
      </c>
      <c r="V3792" s="132" t="s">
        <v>306</v>
      </c>
      <c r="W3792" s="132" t="s">
        <v>267</v>
      </c>
      <c r="X3792" s="133">
        <v>41950</v>
      </c>
      <c r="Y3792" s="134">
        <v>502</v>
      </c>
    </row>
    <row r="3793" spans="6:25" x14ac:dyDescent="0.25">
      <c r="F3793" s="76" t="s">
        <v>150</v>
      </c>
      <c r="G3793" s="77" t="s">
        <v>182</v>
      </c>
      <c r="H3793" s="77" t="s">
        <v>158</v>
      </c>
      <c r="I3793" s="86">
        <v>41762</v>
      </c>
      <c r="J3793" s="78">
        <v>1010</v>
      </c>
      <c r="U3793" s="132" t="s">
        <v>154</v>
      </c>
      <c r="V3793" s="132" t="s">
        <v>306</v>
      </c>
      <c r="W3793" s="132" t="s">
        <v>267</v>
      </c>
      <c r="X3793" s="133">
        <v>41951</v>
      </c>
      <c r="Y3793" s="134">
        <v>680</v>
      </c>
    </row>
    <row r="3794" spans="6:25" x14ac:dyDescent="0.25">
      <c r="F3794" s="76" t="s">
        <v>150</v>
      </c>
      <c r="G3794" s="77" t="s">
        <v>182</v>
      </c>
      <c r="H3794" s="77" t="s">
        <v>158</v>
      </c>
      <c r="I3794" s="86">
        <v>41763</v>
      </c>
      <c r="J3794" s="78">
        <v>705</v>
      </c>
      <c r="U3794" s="132" t="s">
        <v>154</v>
      </c>
      <c r="V3794" s="132" t="s">
        <v>306</v>
      </c>
      <c r="W3794" s="132" t="s">
        <v>267</v>
      </c>
      <c r="X3794" s="133">
        <v>41952</v>
      </c>
      <c r="Y3794" s="134">
        <v>714</v>
      </c>
    </row>
    <row r="3795" spans="6:25" x14ac:dyDescent="0.25">
      <c r="F3795" s="76" t="s">
        <v>150</v>
      </c>
      <c r="G3795" s="77" t="s">
        <v>182</v>
      </c>
      <c r="H3795" s="77" t="s">
        <v>158</v>
      </c>
      <c r="I3795" s="86">
        <v>41844</v>
      </c>
      <c r="J3795" s="78">
        <v>1501</v>
      </c>
      <c r="U3795" s="132" t="s">
        <v>154</v>
      </c>
      <c r="V3795" s="132" t="s">
        <v>306</v>
      </c>
      <c r="W3795" s="132" t="s">
        <v>267</v>
      </c>
      <c r="X3795" s="133">
        <v>41952</v>
      </c>
      <c r="Y3795" s="134">
        <v>449</v>
      </c>
    </row>
    <row r="3796" spans="6:25" x14ac:dyDescent="0.25">
      <c r="F3796" s="76" t="s">
        <v>150</v>
      </c>
      <c r="G3796" s="77" t="s">
        <v>182</v>
      </c>
      <c r="H3796" s="77" t="s">
        <v>158</v>
      </c>
      <c r="I3796" s="86">
        <v>41845</v>
      </c>
      <c r="J3796" s="78">
        <v>1002</v>
      </c>
      <c r="U3796" s="132" t="s">
        <v>154</v>
      </c>
      <c r="V3796" s="132" t="s">
        <v>306</v>
      </c>
      <c r="W3796" s="132" t="s">
        <v>267</v>
      </c>
      <c r="X3796" s="133">
        <v>41952</v>
      </c>
      <c r="Y3796" s="134">
        <v>241</v>
      </c>
    </row>
    <row r="3797" spans="6:25" x14ac:dyDescent="0.25">
      <c r="F3797" s="76" t="s">
        <v>150</v>
      </c>
      <c r="G3797" s="77" t="s">
        <v>182</v>
      </c>
      <c r="H3797" s="77" t="s">
        <v>158</v>
      </c>
      <c r="I3797" s="86">
        <v>41871</v>
      </c>
      <c r="J3797" s="78">
        <v>1207</v>
      </c>
      <c r="U3797" s="132" t="s">
        <v>154</v>
      </c>
      <c r="V3797" s="132" t="s">
        <v>306</v>
      </c>
      <c r="W3797" s="132" t="s">
        <v>267</v>
      </c>
      <c r="X3797" s="133">
        <v>41953</v>
      </c>
      <c r="Y3797" s="134">
        <v>896</v>
      </c>
    </row>
    <row r="3798" spans="6:25" x14ac:dyDescent="0.25">
      <c r="F3798" s="76" t="s">
        <v>150</v>
      </c>
      <c r="G3798" s="77" t="s">
        <v>182</v>
      </c>
      <c r="H3798" s="77" t="s">
        <v>158</v>
      </c>
      <c r="I3798" s="86">
        <v>41873</v>
      </c>
      <c r="J3798" s="78">
        <v>1319</v>
      </c>
      <c r="U3798" s="132" t="s">
        <v>154</v>
      </c>
      <c r="V3798" s="132" t="s">
        <v>306</v>
      </c>
      <c r="W3798" s="132" t="s">
        <v>267</v>
      </c>
      <c r="X3798" s="133">
        <v>41954</v>
      </c>
      <c r="Y3798" s="134">
        <v>465</v>
      </c>
    </row>
    <row r="3799" spans="6:25" x14ac:dyDescent="0.25">
      <c r="F3799" s="76" t="s">
        <v>150</v>
      </c>
      <c r="G3799" s="77" t="s">
        <v>182</v>
      </c>
      <c r="H3799" s="77" t="s">
        <v>158</v>
      </c>
      <c r="I3799" s="86">
        <v>41877</v>
      </c>
      <c r="J3799" s="78">
        <v>1303</v>
      </c>
      <c r="U3799" s="132" t="s">
        <v>154</v>
      </c>
      <c r="V3799" s="132" t="s">
        <v>306</v>
      </c>
      <c r="W3799" s="132" t="s">
        <v>267</v>
      </c>
      <c r="X3799" s="133">
        <v>41955</v>
      </c>
      <c r="Y3799" s="134">
        <v>847</v>
      </c>
    </row>
    <row r="3800" spans="6:25" x14ac:dyDescent="0.25">
      <c r="F3800" s="76" t="s">
        <v>150</v>
      </c>
      <c r="G3800" s="77" t="s">
        <v>182</v>
      </c>
      <c r="H3800" s="77" t="s">
        <v>158</v>
      </c>
      <c r="I3800" s="86">
        <v>41879</v>
      </c>
      <c r="J3800" s="78">
        <v>1320</v>
      </c>
      <c r="U3800" s="132" t="s">
        <v>154</v>
      </c>
      <c r="V3800" s="132" t="s">
        <v>306</v>
      </c>
      <c r="W3800" s="132" t="s">
        <v>267</v>
      </c>
      <c r="X3800" s="133">
        <v>41956</v>
      </c>
      <c r="Y3800" s="134">
        <v>592</v>
      </c>
    </row>
    <row r="3801" spans="6:25" x14ac:dyDescent="0.25">
      <c r="F3801" s="76" t="s">
        <v>150</v>
      </c>
      <c r="G3801" s="77" t="s">
        <v>182</v>
      </c>
      <c r="H3801" s="77" t="s">
        <v>158</v>
      </c>
      <c r="I3801" s="86">
        <v>41880</v>
      </c>
      <c r="J3801" s="78">
        <v>526</v>
      </c>
      <c r="U3801" s="132" t="s">
        <v>154</v>
      </c>
      <c r="V3801" s="132" t="s">
        <v>306</v>
      </c>
      <c r="W3801" s="132" t="s">
        <v>267</v>
      </c>
      <c r="X3801" s="133">
        <v>41957</v>
      </c>
      <c r="Y3801" s="134">
        <v>701</v>
      </c>
    </row>
    <row r="3802" spans="6:25" x14ac:dyDescent="0.25">
      <c r="F3802" s="76" t="s">
        <v>150</v>
      </c>
      <c r="G3802" s="77" t="s">
        <v>182</v>
      </c>
      <c r="H3802" s="77" t="s">
        <v>158</v>
      </c>
      <c r="I3802" s="86">
        <v>41885</v>
      </c>
      <c r="J3802" s="78">
        <v>1383</v>
      </c>
      <c r="U3802" s="132" t="s">
        <v>154</v>
      </c>
      <c r="V3802" s="132" t="s">
        <v>306</v>
      </c>
      <c r="W3802" s="132" t="s">
        <v>267</v>
      </c>
      <c r="X3802" s="133">
        <v>41958</v>
      </c>
      <c r="Y3802" s="134">
        <v>789</v>
      </c>
    </row>
    <row r="3803" spans="6:25" x14ac:dyDescent="0.25">
      <c r="F3803" s="76" t="s">
        <v>150</v>
      </c>
      <c r="G3803" s="77" t="s">
        <v>182</v>
      </c>
      <c r="H3803" s="77" t="s">
        <v>158</v>
      </c>
      <c r="I3803" s="86">
        <v>41905</v>
      </c>
      <c r="J3803" s="78">
        <v>969</v>
      </c>
      <c r="U3803" s="132" t="s">
        <v>154</v>
      </c>
      <c r="V3803" s="132" t="s">
        <v>306</v>
      </c>
      <c r="W3803" s="132" t="s">
        <v>267</v>
      </c>
      <c r="X3803" s="133">
        <v>41958</v>
      </c>
      <c r="Y3803" s="134">
        <v>637</v>
      </c>
    </row>
    <row r="3804" spans="6:25" x14ac:dyDescent="0.25">
      <c r="F3804" s="76" t="s">
        <v>150</v>
      </c>
      <c r="G3804" s="77" t="s">
        <v>182</v>
      </c>
      <c r="H3804" s="77" t="s">
        <v>158</v>
      </c>
      <c r="I3804" s="86">
        <v>41906</v>
      </c>
      <c r="J3804" s="78">
        <v>369</v>
      </c>
      <c r="U3804" s="132" t="s">
        <v>154</v>
      </c>
      <c r="V3804" s="132" t="s">
        <v>306</v>
      </c>
      <c r="W3804" s="132" t="s">
        <v>267</v>
      </c>
      <c r="X3804" s="133">
        <v>41959</v>
      </c>
      <c r="Y3804" s="134">
        <v>653</v>
      </c>
    </row>
    <row r="3805" spans="6:25" x14ac:dyDescent="0.25">
      <c r="F3805" s="76" t="s">
        <v>150</v>
      </c>
      <c r="G3805" s="77" t="s">
        <v>182</v>
      </c>
      <c r="H3805" s="77" t="s">
        <v>158</v>
      </c>
      <c r="I3805" s="86">
        <v>41908</v>
      </c>
      <c r="J3805" s="78">
        <v>1328</v>
      </c>
      <c r="U3805" s="132" t="s">
        <v>154</v>
      </c>
      <c r="V3805" s="132" t="s">
        <v>306</v>
      </c>
      <c r="W3805" s="132" t="s">
        <v>267</v>
      </c>
      <c r="X3805" s="133">
        <v>41960</v>
      </c>
      <c r="Y3805" s="134">
        <v>820</v>
      </c>
    </row>
    <row r="3806" spans="6:25" x14ac:dyDescent="0.25">
      <c r="F3806" s="76" t="s">
        <v>150</v>
      </c>
      <c r="G3806" s="77" t="s">
        <v>182</v>
      </c>
      <c r="H3806" s="77" t="s">
        <v>158</v>
      </c>
      <c r="I3806" s="86">
        <v>41912</v>
      </c>
      <c r="J3806" s="78">
        <v>801</v>
      </c>
      <c r="U3806" s="132" t="s">
        <v>154</v>
      </c>
      <c r="V3806" s="132" t="s">
        <v>306</v>
      </c>
      <c r="W3806" s="132" t="s">
        <v>267</v>
      </c>
      <c r="X3806" s="133">
        <v>41961</v>
      </c>
      <c r="Y3806" s="134">
        <v>717</v>
      </c>
    </row>
    <row r="3807" spans="6:25" x14ac:dyDescent="0.25">
      <c r="F3807" s="76" t="s">
        <v>150</v>
      </c>
      <c r="G3807" s="77" t="s">
        <v>182</v>
      </c>
      <c r="H3807" s="77" t="s">
        <v>158</v>
      </c>
      <c r="I3807" s="86">
        <v>41914</v>
      </c>
      <c r="J3807" s="78">
        <v>594</v>
      </c>
      <c r="U3807" s="132" t="s">
        <v>154</v>
      </c>
      <c r="V3807" s="132" t="s">
        <v>306</v>
      </c>
      <c r="W3807" s="132" t="s">
        <v>267</v>
      </c>
      <c r="X3807" s="133">
        <v>41962</v>
      </c>
      <c r="Y3807" s="134">
        <v>476</v>
      </c>
    </row>
    <row r="3808" spans="6:25" x14ac:dyDescent="0.25">
      <c r="F3808" s="76" t="s">
        <v>150</v>
      </c>
      <c r="G3808" s="77" t="s">
        <v>182</v>
      </c>
      <c r="H3808" s="77" t="s">
        <v>158</v>
      </c>
      <c r="I3808" s="86">
        <v>41915</v>
      </c>
      <c r="J3808" s="78">
        <v>893</v>
      </c>
      <c r="U3808" s="132" t="s">
        <v>154</v>
      </c>
      <c r="V3808" s="132" t="s">
        <v>306</v>
      </c>
      <c r="W3808" s="132" t="s">
        <v>267</v>
      </c>
      <c r="X3808" s="133">
        <v>41962</v>
      </c>
      <c r="Y3808" s="134">
        <v>332</v>
      </c>
    </row>
    <row r="3809" spans="6:25" x14ac:dyDescent="0.25">
      <c r="F3809" s="76" t="s">
        <v>150</v>
      </c>
      <c r="G3809" s="77" t="s">
        <v>182</v>
      </c>
      <c r="H3809" s="77" t="s">
        <v>158</v>
      </c>
      <c r="I3809" s="86">
        <v>41919</v>
      </c>
      <c r="J3809" s="78">
        <v>1101</v>
      </c>
      <c r="U3809" s="132" t="s">
        <v>154</v>
      </c>
      <c r="V3809" s="132" t="s">
        <v>306</v>
      </c>
      <c r="W3809" s="132" t="s">
        <v>267</v>
      </c>
      <c r="X3809" s="133">
        <v>41963</v>
      </c>
      <c r="Y3809" s="134">
        <v>684</v>
      </c>
    </row>
    <row r="3810" spans="6:25" x14ac:dyDescent="0.25">
      <c r="F3810" s="76" t="s">
        <v>150</v>
      </c>
      <c r="G3810" s="77" t="s">
        <v>182</v>
      </c>
      <c r="H3810" s="77" t="s">
        <v>158</v>
      </c>
      <c r="I3810" s="86">
        <v>41920</v>
      </c>
      <c r="J3810" s="78">
        <v>604</v>
      </c>
      <c r="U3810" s="132" t="s">
        <v>154</v>
      </c>
      <c r="V3810" s="132" t="s">
        <v>306</v>
      </c>
      <c r="W3810" s="132" t="s">
        <v>267</v>
      </c>
      <c r="X3810" s="133">
        <v>41964</v>
      </c>
      <c r="Y3810" s="134">
        <v>701</v>
      </c>
    </row>
    <row r="3811" spans="6:25" x14ac:dyDescent="0.25">
      <c r="F3811" s="76" t="s">
        <v>150</v>
      </c>
      <c r="G3811" s="77" t="s">
        <v>182</v>
      </c>
      <c r="H3811" s="77" t="s">
        <v>158</v>
      </c>
      <c r="I3811" s="86">
        <v>41921</v>
      </c>
      <c r="J3811" s="78">
        <v>604</v>
      </c>
      <c r="U3811" s="132" t="s">
        <v>154</v>
      </c>
      <c r="V3811" s="132" t="s">
        <v>306</v>
      </c>
      <c r="W3811" s="132" t="s">
        <v>267</v>
      </c>
      <c r="X3811" s="133">
        <v>41966</v>
      </c>
      <c r="Y3811" s="134">
        <v>368</v>
      </c>
    </row>
    <row r="3812" spans="6:25" x14ac:dyDescent="0.25">
      <c r="F3812" s="76" t="s">
        <v>150</v>
      </c>
      <c r="G3812" s="77" t="s">
        <v>182</v>
      </c>
      <c r="H3812" s="77" t="s">
        <v>158</v>
      </c>
      <c r="I3812" s="86">
        <v>41936</v>
      </c>
      <c r="J3812" s="78">
        <v>1170</v>
      </c>
      <c r="U3812" s="132" t="s">
        <v>154</v>
      </c>
      <c r="V3812" s="132" t="s">
        <v>306</v>
      </c>
      <c r="W3812" s="132" t="s">
        <v>267</v>
      </c>
      <c r="X3812" s="133">
        <v>41967</v>
      </c>
      <c r="Y3812" s="134">
        <v>572</v>
      </c>
    </row>
    <row r="3813" spans="6:25" x14ac:dyDescent="0.25">
      <c r="F3813" s="76" t="s">
        <v>150</v>
      </c>
      <c r="G3813" s="77" t="s">
        <v>182</v>
      </c>
      <c r="H3813" s="77" t="s">
        <v>158</v>
      </c>
      <c r="I3813" s="86">
        <v>41941</v>
      </c>
      <c r="J3813" s="78">
        <v>1071</v>
      </c>
      <c r="U3813" s="132" t="s">
        <v>154</v>
      </c>
      <c r="V3813" s="132" t="s">
        <v>306</v>
      </c>
      <c r="W3813" s="132" t="s">
        <v>267</v>
      </c>
      <c r="X3813" s="133">
        <v>41968</v>
      </c>
      <c r="Y3813" s="134">
        <v>773</v>
      </c>
    </row>
    <row r="3814" spans="6:25" x14ac:dyDescent="0.25">
      <c r="F3814" s="76" t="s">
        <v>150</v>
      </c>
      <c r="G3814" s="77" t="s">
        <v>182</v>
      </c>
      <c r="H3814" s="77" t="s">
        <v>158</v>
      </c>
      <c r="I3814" s="86">
        <v>41943</v>
      </c>
      <c r="J3814" s="78">
        <v>1068</v>
      </c>
      <c r="U3814" s="132" t="s">
        <v>154</v>
      </c>
      <c r="V3814" s="132" t="s">
        <v>306</v>
      </c>
      <c r="W3814" s="132" t="s">
        <v>267</v>
      </c>
      <c r="X3814" s="133">
        <v>41969</v>
      </c>
      <c r="Y3814" s="134">
        <v>500</v>
      </c>
    </row>
    <row r="3815" spans="6:25" x14ac:dyDescent="0.25">
      <c r="F3815" s="76" t="s">
        <v>150</v>
      </c>
      <c r="G3815" s="77" t="s">
        <v>182</v>
      </c>
      <c r="H3815" s="77" t="s">
        <v>158</v>
      </c>
      <c r="I3815" s="86">
        <v>41948</v>
      </c>
      <c r="J3815" s="78">
        <v>1196</v>
      </c>
      <c r="U3815" s="132" t="s">
        <v>154</v>
      </c>
      <c r="V3815" s="132" t="s">
        <v>306</v>
      </c>
      <c r="W3815" s="132" t="s">
        <v>267</v>
      </c>
      <c r="X3815" s="133">
        <v>41970</v>
      </c>
      <c r="Y3815" s="134">
        <v>656</v>
      </c>
    </row>
    <row r="3816" spans="6:25" x14ac:dyDescent="0.25">
      <c r="F3816" s="76" t="s">
        <v>150</v>
      </c>
      <c r="G3816" s="77" t="s">
        <v>182</v>
      </c>
      <c r="H3816" s="77" t="s">
        <v>158</v>
      </c>
      <c r="I3816" s="86">
        <v>41950</v>
      </c>
      <c r="J3816" s="78">
        <v>793</v>
      </c>
      <c r="U3816" s="132" t="s">
        <v>154</v>
      </c>
      <c r="V3816" s="132" t="s">
        <v>306</v>
      </c>
      <c r="W3816" s="132" t="s">
        <v>267</v>
      </c>
      <c r="X3816" s="133">
        <v>41971</v>
      </c>
      <c r="Y3816" s="134">
        <v>715</v>
      </c>
    </row>
    <row r="3817" spans="6:25" x14ac:dyDescent="0.25">
      <c r="F3817" s="76" t="s">
        <v>150</v>
      </c>
      <c r="G3817" s="77" t="s">
        <v>182</v>
      </c>
      <c r="H3817" s="77" t="s">
        <v>158</v>
      </c>
      <c r="I3817" s="86">
        <v>41955</v>
      </c>
      <c r="J3817" s="78">
        <v>921</v>
      </c>
      <c r="U3817" s="132" t="s">
        <v>154</v>
      </c>
      <c r="V3817" s="132" t="s">
        <v>306</v>
      </c>
      <c r="W3817" s="132" t="s">
        <v>267</v>
      </c>
      <c r="X3817" s="133">
        <v>41972</v>
      </c>
      <c r="Y3817" s="134">
        <v>751</v>
      </c>
    </row>
    <row r="3818" spans="6:25" x14ac:dyDescent="0.25">
      <c r="F3818" s="76" t="s">
        <v>150</v>
      </c>
      <c r="G3818" s="77" t="s">
        <v>182</v>
      </c>
      <c r="H3818" s="77" t="s">
        <v>158</v>
      </c>
      <c r="I3818" s="86">
        <v>41956</v>
      </c>
      <c r="J3818" s="78">
        <v>750</v>
      </c>
      <c r="U3818" s="132" t="s">
        <v>154</v>
      </c>
      <c r="V3818" s="132" t="s">
        <v>306</v>
      </c>
      <c r="W3818" s="132" t="s">
        <v>267</v>
      </c>
      <c r="X3818" s="133">
        <v>41973</v>
      </c>
      <c r="Y3818" s="134">
        <v>457</v>
      </c>
    </row>
    <row r="3819" spans="6:25" x14ac:dyDescent="0.25">
      <c r="F3819" s="76" t="s">
        <v>150</v>
      </c>
      <c r="G3819" s="77" t="s">
        <v>182</v>
      </c>
      <c r="H3819" s="77" t="s">
        <v>158</v>
      </c>
      <c r="I3819" s="86">
        <v>42002</v>
      </c>
      <c r="J3819" s="78">
        <v>1213</v>
      </c>
      <c r="U3819" s="132" t="s">
        <v>154</v>
      </c>
      <c r="V3819" s="132" t="s">
        <v>306</v>
      </c>
      <c r="W3819" s="132" t="s">
        <v>267</v>
      </c>
      <c r="X3819" s="133">
        <v>41973</v>
      </c>
      <c r="Y3819" s="134">
        <v>216</v>
      </c>
    </row>
    <row r="3820" spans="6:25" x14ac:dyDescent="0.25">
      <c r="F3820" s="76" t="s">
        <v>150</v>
      </c>
      <c r="G3820" s="77" t="s">
        <v>198</v>
      </c>
      <c r="H3820" s="77" t="s">
        <v>158</v>
      </c>
      <c r="I3820" s="86">
        <v>41674</v>
      </c>
      <c r="J3820" s="78">
        <v>1229</v>
      </c>
      <c r="U3820" s="132" t="s">
        <v>154</v>
      </c>
      <c r="V3820" s="132" t="s">
        <v>306</v>
      </c>
      <c r="W3820" s="132" t="s">
        <v>267</v>
      </c>
      <c r="X3820" s="133">
        <v>41973</v>
      </c>
      <c r="Y3820" s="134">
        <v>648</v>
      </c>
    </row>
    <row r="3821" spans="6:25" x14ac:dyDescent="0.25">
      <c r="F3821" s="76" t="s">
        <v>150</v>
      </c>
      <c r="G3821" s="77" t="s">
        <v>198</v>
      </c>
      <c r="H3821" s="77" t="s">
        <v>158</v>
      </c>
      <c r="I3821" s="86">
        <v>41678</v>
      </c>
      <c r="J3821" s="78">
        <v>1302</v>
      </c>
      <c r="U3821" s="132" t="s">
        <v>154</v>
      </c>
      <c r="V3821" s="132" t="s">
        <v>307</v>
      </c>
      <c r="W3821" s="132" t="s">
        <v>267</v>
      </c>
      <c r="X3821" s="133">
        <v>41746</v>
      </c>
      <c r="Y3821" s="134">
        <v>830</v>
      </c>
    </row>
    <row r="3822" spans="6:25" x14ac:dyDescent="0.25">
      <c r="F3822" s="76" t="s">
        <v>150</v>
      </c>
      <c r="G3822" s="77" t="s">
        <v>198</v>
      </c>
      <c r="H3822" s="77" t="s">
        <v>158</v>
      </c>
      <c r="I3822" s="86">
        <v>41681</v>
      </c>
      <c r="J3822" s="78">
        <v>849</v>
      </c>
      <c r="U3822" s="132" t="s">
        <v>154</v>
      </c>
      <c r="V3822" s="132" t="s">
        <v>307</v>
      </c>
      <c r="W3822" s="132" t="s">
        <v>267</v>
      </c>
      <c r="X3822" s="133">
        <v>41746</v>
      </c>
      <c r="Y3822" s="134">
        <v>620</v>
      </c>
    </row>
    <row r="3823" spans="6:25" x14ac:dyDescent="0.25">
      <c r="F3823" s="76" t="s">
        <v>150</v>
      </c>
      <c r="G3823" s="77" t="s">
        <v>198</v>
      </c>
      <c r="H3823" s="77" t="s">
        <v>158</v>
      </c>
      <c r="I3823" s="86">
        <v>41682</v>
      </c>
      <c r="J3823" s="78">
        <v>502</v>
      </c>
      <c r="U3823" s="132" t="s">
        <v>154</v>
      </c>
      <c r="V3823" s="132" t="s">
        <v>307</v>
      </c>
      <c r="W3823" s="132" t="s">
        <v>267</v>
      </c>
      <c r="X3823" s="133">
        <v>41747</v>
      </c>
      <c r="Y3823" s="134">
        <v>454</v>
      </c>
    </row>
    <row r="3824" spans="6:25" x14ac:dyDescent="0.25">
      <c r="F3824" s="76" t="s">
        <v>150</v>
      </c>
      <c r="G3824" s="77" t="s">
        <v>205</v>
      </c>
      <c r="H3824" s="77" t="s">
        <v>158</v>
      </c>
      <c r="I3824" s="86">
        <v>41655</v>
      </c>
      <c r="J3824" s="78">
        <v>1068</v>
      </c>
      <c r="U3824" s="132" t="s">
        <v>154</v>
      </c>
      <c r="V3824" s="132" t="s">
        <v>307</v>
      </c>
      <c r="W3824" s="132" t="s">
        <v>267</v>
      </c>
      <c r="X3824" s="133">
        <v>41748</v>
      </c>
      <c r="Y3824" s="134">
        <v>630</v>
      </c>
    </row>
    <row r="3825" spans="6:25" x14ac:dyDescent="0.25">
      <c r="F3825" s="76" t="s">
        <v>150</v>
      </c>
      <c r="G3825" s="77" t="s">
        <v>205</v>
      </c>
      <c r="H3825" s="77" t="s">
        <v>158</v>
      </c>
      <c r="I3825" s="86">
        <v>41660</v>
      </c>
      <c r="J3825" s="78">
        <v>763</v>
      </c>
      <c r="U3825" s="132" t="s">
        <v>154</v>
      </c>
      <c r="V3825" s="132" t="s">
        <v>307</v>
      </c>
      <c r="W3825" s="132" t="s">
        <v>267</v>
      </c>
      <c r="X3825" s="133">
        <v>41748</v>
      </c>
      <c r="Y3825" s="134">
        <v>477</v>
      </c>
    </row>
    <row r="3826" spans="6:25" x14ac:dyDescent="0.25">
      <c r="F3826" s="76" t="s">
        <v>150</v>
      </c>
      <c r="G3826" s="77" t="s">
        <v>205</v>
      </c>
      <c r="H3826" s="77" t="s">
        <v>158</v>
      </c>
      <c r="I3826" s="86">
        <v>41662</v>
      </c>
      <c r="J3826" s="78">
        <v>749</v>
      </c>
      <c r="U3826" s="132" t="s">
        <v>154</v>
      </c>
      <c r="V3826" s="132" t="s">
        <v>307</v>
      </c>
      <c r="W3826" s="132" t="s">
        <v>267</v>
      </c>
      <c r="X3826" s="133">
        <v>41749</v>
      </c>
      <c r="Y3826" s="134">
        <v>355</v>
      </c>
    </row>
    <row r="3827" spans="6:25" x14ac:dyDescent="0.25">
      <c r="F3827" s="76" t="s">
        <v>150</v>
      </c>
      <c r="G3827" s="77" t="s">
        <v>205</v>
      </c>
      <c r="H3827" s="77" t="s">
        <v>158</v>
      </c>
      <c r="I3827" s="86">
        <v>41663</v>
      </c>
      <c r="J3827" s="78">
        <v>1038</v>
      </c>
      <c r="U3827" s="132" t="s">
        <v>154</v>
      </c>
      <c r="V3827" s="132" t="s">
        <v>307</v>
      </c>
      <c r="W3827" s="132" t="s">
        <v>267</v>
      </c>
      <c r="X3827" s="133">
        <v>41750</v>
      </c>
      <c r="Y3827" s="134">
        <v>625</v>
      </c>
    </row>
    <row r="3828" spans="6:25" x14ac:dyDescent="0.25">
      <c r="F3828" s="76" t="s">
        <v>150</v>
      </c>
      <c r="G3828" s="77" t="s">
        <v>205</v>
      </c>
      <c r="H3828" s="77" t="s">
        <v>158</v>
      </c>
      <c r="I3828" s="86">
        <v>41664</v>
      </c>
      <c r="J3828" s="78">
        <v>1115</v>
      </c>
      <c r="U3828" s="132" t="s">
        <v>154</v>
      </c>
      <c r="V3828" s="132" t="s">
        <v>307</v>
      </c>
      <c r="W3828" s="132" t="s">
        <v>267</v>
      </c>
      <c r="X3828" s="133">
        <v>41751</v>
      </c>
      <c r="Y3828" s="134">
        <v>600</v>
      </c>
    </row>
    <row r="3829" spans="6:25" x14ac:dyDescent="0.25">
      <c r="F3829" s="76" t="s">
        <v>150</v>
      </c>
      <c r="G3829" s="77" t="s">
        <v>205</v>
      </c>
      <c r="H3829" s="77" t="s">
        <v>158</v>
      </c>
      <c r="I3829" s="86">
        <v>41665</v>
      </c>
      <c r="J3829" s="78">
        <v>938</v>
      </c>
      <c r="U3829" s="132" t="s">
        <v>154</v>
      </c>
      <c r="V3829" s="132" t="s">
        <v>307</v>
      </c>
      <c r="W3829" s="132" t="s">
        <v>267</v>
      </c>
      <c r="X3829" s="133">
        <v>41752</v>
      </c>
      <c r="Y3829" s="134">
        <v>381</v>
      </c>
    </row>
    <row r="3830" spans="6:25" x14ac:dyDescent="0.25">
      <c r="F3830" s="76" t="s">
        <v>150</v>
      </c>
      <c r="G3830" s="77" t="s">
        <v>205</v>
      </c>
      <c r="H3830" s="77" t="s">
        <v>158</v>
      </c>
      <c r="I3830" s="86">
        <v>41668</v>
      </c>
      <c r="J3830" s="78">
        <v>1202</v>
      </c>
      <c r="U3830" s="132" t="s">
        <v>154</v>
      </c>
      <c r="V3830" s="132" t="s">
        <v>307</v>
      </c>
      <c r="W3830" s="132" t="s">
        <v>267</v>
      </c>
      <c r="X3830" s="133">
        <v>41752</v>
      </c>
      <c r="Y3830" s="134">
        <v>740</v>
      </c>
    </row>
    <row r="3831" spans="6:25" x14ac:dyDescent="0.25">
      <c r="F3831" s="76" t="s">
        <v>150</v>
      </c>
      <c r="G3831" s="77" t="s">
        <v>205</v>
      </c>
      <c r="H3831" s="77" t="s">
        <v>158</v>
      </c>
      <c r="I3831" s="86">
        <v>41669</v>
      </c>
      <c r="J3831" s="78">
        <v>1128</v>
      </c>
      <c r="U3831" s="132" t="s">
        <v>154</v>
      </c>
      <c r="V3831" s="132" t="s">
        <v>307</v>
      </c>
      <c r="W3831" s="132" t="s">
        <v>267</v>
      </c>
      <c r="X3831" s="133">
        <v>41753</v>
      </c>
      <c r="Y3831" s="134">
        <v>1085</v>
      </c>
    </row>
    <row r="3832" spans="6:25" x14ac:dyDescent="0.25">
      <c r="F3832" s="76" t="s">
        <v>150</v>
      </c>
      <c r="G3832" s="77" t="s">
        <v>205</v>
      </c>
      <c r="H3832" s="77" t="s">
        <v>158</v>
      </c>
      <c r="I3832" s="86">
        <v>41670</v>
      </c>
      <c r="J3832" s="78">
        <v>416</v>
      </c>
      <c r="U3832" s="132" t="s">
        <v>154</v>
      </c>
      <c r="V3832" s="132" t="s">
        <v>307</v>
      </c>
      <c r="W3832" s="132" t="s">
        <v>267</v>
      </c>
      <c r="X3832" s="133">
        <v>41754</v>
      </c>
      <c r="Y3832" s="134">
        <v>1050</v>
      </c>
    </row>
    <row r="3833" spans="6:25" x14ac:dyDescent="0.25">
      <c r="F3833" s="76" t="s">
        <v>150</v>
      </c>
      <c r="G3833" s="77" t="s">
        <v>205</v>
      </c>
      <c r="H3833" s="77" t="s">
        <v>158</v>
      </c>
      <c r="I3833" s="86">
        <v>41671</v>
      </c>
      <c r="J3833" s="78">
        <v>895</v>
      </c>
      <c r="U3833" s="132" t="s">
        <v>154</v>
      </c>
      <c r="V3833" s="132" t="s">
        <v>307</v>
      </c>
      <c r="W3833" s="132" t="s">
        <v>267</v>
      </c>
      <c r="X3833" s="133">
        <v>41755</v>
      </c>
      <c r="Y3833" s="134">
        <v>595</v>
      </c>
    </row>
    <row r="3834" spans="6:25" x14ac:dyDescent="0.25">
      <c r="F3834" s="76" t="s">
        <v>150</v>
      </c>
      <c r="G3834" s="77" t="s">
        <v>205</v>
      </c>
      <c r="H3834" s="77" t="s">
        <v>158</v>
      </c>
      <c r="I3834" s="86">
        <v>41672</v>
      </c>
      <c r="J3834" s="78">
        <v>692</v>
      </c>
      <c r="U3834" s="132" t="s">
        <v>154</v>
      </c>
      <c r="V3834" s="132" t="s">
        <v>307</v>
      </c>
      <c r="W3834" s="132" t="s">
        <v>267</v>
      </c>
      <c r="X3834" s="133">
        <v>41755</v>
      </c>
      <c r="Y3834" s="134">
        <v>263</v>
      </c>
    </row>
    <row r="3835" spans="6:25" x14ac:dyDescent="0.25">
      <c r="F3835" s="76" t="s">
        <v>150</v>
      </c>
      <c r="G3835" s="77" t="s">
        <v>205</v>
      </c>
      <c r="H3835" s="77" t="s">
        <v>158</v>
      </c>
      <c r="I3835" s="86">
        <v>41673</v>
      </c>
      <c r="J3835" s="78">
        <v>1102</v>
      </c>
      <c r="U3835" s="132" t="s">
        <v>154</v>
      </c>
      <c r="V3835" s="132" t="s">
        <v>307</v>
      </c>
      <c r="W3835" s="132" t="s">
        <v>267</v>
      </c>
      <c r="X3835" s="133">
        <v>41756</v>
      </c>
      <c r="Y3835" s="134">
        <v>598</v>
      </c>
    </row>
    <row r="3836" spans="6:25" x14ac:dyDescent="0.25">
      <c r="F3836" s="76" t="s">
        <v>150</v>
      </c>
      <c r="G3836" s="77" t="s">
        <v>205</v>
      </c>
      <c r="H3836" s="77" t="s">
        <v>158</v>
      </c>
      <c r="I3836" s="86">
        <v>41682</v>
      </c>
      <c r="J3836" s="78">
        <v>1024</v>
      </c>
      <c r="U3836" s="132" t="s">
        <v>154</v>
      </c>
      <c r="V3836" s="132" t="s">
        <v>307</v>
      </c>
      <c r="W3836" s="132" t="s">
        <v>267</v>
      </c>
      <c r="X3836" s="133">
        <v>41757</v>
      </c>
      <c r="Y3836" s="134">
        <v>965</v>
      </c>
    </row>
    <row r="3837" spans="6:25" x14ac:dyDescent="0.25">
      <c r="F3837" s="76" t="s">
        <v>150</v>
      </c>
      <c r="G3837" s="77" t="s">
        <v>205</v>
      </c>
      <c r="H3837" s="77" t="s">
        <v>158</v>
      </c>
      <c r="I3837" s="86">
        <v>41688</v>
      </c>
      <c r="J3837" s="78">
        <v>1026</v>
      </c>
      <c r="U3837" s="132" t="s">
        <v>154</v>
      </c>
      <c r="V3837" s="132" t="s">
        <v>307</v>
      </c>
      <c r="W3837" s="132" t="s">
        <v>267</v>
      </c>
      <c r="X3837" s="133">
        <v>41758</v>
      </c>
      <c r="Y3837" s="134">
        <v>973</v>
      </c>
    </row>
    <row r="3838" spans="6:25" x14ac:dyDescent="0.25">
      <c r="F3838" s="76" t="s">
        <v>150</v>
      </c>
      <c r="G3838" s="77" t="s">
        <v>205</v>
      </c>
      <c r="H3838" s="77" t="s">
        <v>158</v>
      </c>
      <c r="I3838" s="86">
        <v>41689</v>
      </c>
      <c r="J3838" s="78">
        <v>704</v>
      </c>
      <c r="U3838" s="132" t="s">
        <v>154</v>
      </c>
      <c r="V3838" s="132" t="s">
        <v>307</v>
      </c>
      <c r="W3838" s="132" t="s">
        <v>267</v>
      </c>
      <c r="X3838" s="133">
        <v>41759</v>
      </c>
      <c r="Y3838" s="134">
        <v>647</v>
      </c>
    </row>
    <row r="3839" spans="6:25" x14ac:dyDescent="0.25">
      <c r="F3839" s="76" t="s">
        <v>150</v>
      </c>
      <c r="G3839" s="77" t="s">
        <v>205</v>
      </c>
      <c r="H3839" s="77" t="s">
        <v>158</v>
      </c>
      <c r="I3839" s="86">
        <v>41694</v>
      </c>
      <c r="J3839" s="78">
        <v>1414</v>
      </c>
      <c r="U3839" s="132" t="s">
        <v>154</v>
      </c>
      <c r="V3839" s="132" t="s">
        <v>307</v>
      </c>
      <c r="W3839" s="132" t="s">
        <v>267</v>
      </c>
      <c r="X3839" s="133">
        <v>41760</v>
      </c>
      <c r="Y3839" s="134">
        <v>1025</v>
      </c>
    </row>
    <row r="3840" spans="6:25" x14ac:dyDescent="0.25">
      <c r="F3840" s="76" t="s">
        <v>150</v>
      </c>
      <c r="G3840" s="77" t="s">
        <v>205</v>
      </c>
      <c r="H3840" s="77" t="s">
        <v>158</v>
      </c>
      <c r="I3840" s="86">
        <v>41698</v>
      </c>
      <c r="J3840" s="78">
        <v>1167</v>
      </c>
      <c r="U3840" s="132" t="s">
        <v>154</v>
      </c>
      <c r="V3840" s="132" t="s">
        <v>307</v>
      </c>
      <c r="W3840" s="132" t="s">
        <v>267</v>
      </c>
      <c r="X3840" s="133">
        <v>41761</v>
      </c>
      <c r="Y3840" s="134">
        <v>1155</v>
      </c>
    </row>
    <row r="3841" spans="6:25" x14ac:dyDescent="0.25">
      <c r="F3841" s="76" t="s">
        <v>150</v>
      </c>
      <c r="G3841" s="77" t="s">
        <v>205</v>
      </c>
      <c r="H3841" s="77" t="s">
        <v>158</v>
      </c>
      <c r="I3841" s="86">
        <v>41702</v>
      </c>
      <c r="J3841" s="78">
        <v>1422</v>
      </c>
      <c r="U3841" s="132" t="s">
        <v>154</v>
      </c>
      <c r="V3841" s="132" t="s">
        <v>307</v>
      </c>
      <c r="W3841" s="132" t="s">
        <v>267</v>
      </c>
      <c r="X3841" s="133">
        <v>41768</v>
      </c>
      <c r="Y3841" s="134">
        <v>905</v>
      </c>
    </row>
    <row r="3842" spans="6:25" x14ac:dyDescent="0.25">
      <c r="F3842" s="76" t="s">
        <v>150</v>
      </c>
      <c r="G3842" s="77" t="s">
        <v>205</v>
      </c>
      <c r="H3842" s="77" t="s">
        <v>158</v>
      </c>
      <c r="I3842" s="86">
        <v>41715</v>
      </c>
      <c r="J3842" s="78">
        <v>873</v>
      </c>
      <c r="U3842" s="132" t="s">
        <v>154</v>
      </c>
      <c r="V3842" s="132" t="s">
        <v>307</v>
      </c>
      <c r="W3842" s="132" t="s">
        <v>267</v>
      </c>
      <c r="X3842" s="133">
        <v>41769</v>
      </c>
      <c r="Y3842" s="134">
        <v>969</v>
      </c>
    </row>
    <row r="3843" spans="6:25" x14ac:dyDescent="0.25">
      <c r="F3843" s="76" t="s">
        <v>150</v>
      </c>
      <c r="G3843" s="77" t="s">
        <v>205</v>
      </c>
      <c r="H3843" s="77" t="s">
        <v>158</v>
      </c>
      <c r="I3843" s="86">
        <v>41718</v>
      </c>
      <c r="J3843" s="78">
        <v>1240</v>
      </c>
      <c r="U3843" s="132" t="s">
        <v>154</v>
      </c>
      <c r="V3843" s="132" t="s">
        <v>307</v>
      </c>
      <c r="W3843" s="132" t="s">
        <v>267</v>
      </c>
      <c r="X3843" s="133">
        <v>41769</v>
      </c>
      <c r="Y3843" s="134">
        <v>791</v>
      </c>
    </row>
    <row r="3844" spans="6:25" x14ac:dyDescent="0.25">
      <c r="F3844" s="76" t="s">
        <v>150</v>
      </c>
      <c r="G3844" s="77" t="s">
        <v>205</v>
      </c>
      <c r="H3844" s="77" t="s">
        <v>158</v>
      </c>
      <c r="I3844" s="86">
        <v>41719</v>
      </c>
      <c r="J3844" s="78">
        <v>802</v>
      </c>
      <c r="U3844" s="132" t="s">
        <v>154</v>
      </c>
      <c r="V3844" s="132" t="s">
        <v>307</v>
      </c>
      <c r="W3844" s="132" t="s">
        <v>267</v>
      </c>
      <c r="X3844" s="133">
        <v>41770</v>
      </c>
      <c r="Y3844" s="134">
        <v>269</v>
      </c>
    </row>
    <row r="3845" spans="6:25" x14ac:dyDescent="0.25">
      <c r="F3845" s="76" t="s">
        <v>150</v>
      </c>
      <c r="G3845" s="77" t="s">
        <v>205</v>
      </c>
      <c r="H3845" s="77" t="s">
        <v>158</v>
      </c>
      <c r="I3845" s="86">
        <v>41720</v>
      </c>
      <c r="J3845" s="78">
        <v>653</v>
      </c>
      <c r="U3845" s="132" t="s">
        <v>154</v>
      </c>
      <c r="V3845" s="132" t="s">
        <v>307</v>
      </c>
      <c r="W3845" s="132" t="s">
        <v>267</v>
      </c>
      <c r="X3845" s="133">
        <v>41771</v>
      </c>
      <c r="Y3845" s="134">
        <v>730</v>
      </c>
    </row>
    <row r="3846" spans="6:25" x14ac:dyDescent="0.25">
      <c r="F3846" s="76" t="s">
        <v>150</v>
      </c>
      <c r="G3846" s="77" t="s">
        <v>205</v>
      </c>
      <c r="H3846" s="77" t="s">
        <v>158</v>
      </c>
      <c r="I3846" s="86">
        <v>41721</v>
      </c>
      <c r="J3846" s="78">
        <v>545</v>
      </c>
      <c r="U3846" s="132" t="s">
        <v>154</v>
      </c>
      <c r="V3846" s="132" t="s">
        <v>307</v>
      </c>
      <c r="W3846" s="132" t="s">
        <v>267</v>
      </c>
      <c r="X3846" s="133">
        <v>41772</v>
      </c>
      <c r="Y3846" s="134">
        <v>740</v>
      </c>
    </row>
    <row r="3847" spans="6:25" x14ac:dyDescent="0.25">
      <c r="F3847" s="76" t="s">
        <v>150</v>
      </c>
      <c r="G3847" s="77" t="s">
        <v>205</v>
      </c>
      <c r="H3847" s="77" t="s">
        <v>158</v>
      </c>
      <c r="I3847" s="86">
        <v>41723</v>
      </c>
      <c r="J3847" s="78">
        <v>880</v>
      </c>
      <c r="U3847" s="132" t="s">
        <v>154</v>
      </c>
      <c r="V3847" s="132" t="s">
        <v>307</v>
      </c>
      <c r="W3847" s="132" t="s">
        <v>267</v>
      </c>
      <c r="X3847" s="133">
        <v>41773</v>
      </c>
      <c r="Y3847" s="134">
        <v>670</v>
      </c>
    </row>
    <row r="3848" spans="6:25" x14ac:dyDescent="0.25">
      <c r="F3848" s="76" t="s">
        <v>150</v>
      </c>
      <c r="G3848" s="77" t="s">
        <v>205</v>
      </c>
      <c r="H3848" s="77" t="s">
        <v>158</v>
      </c>
      <c r="I3848" s="86">
        <v>41724</v>
      </c>
      <c r="J3848" s="78">
        <v>554</v>
      </c>
      <c r="U3848" s="132" t="s">
        <v>154</v>
      </c>
      <c r="V3848" s="132" t="s">
        <v>307</v>
      </c>
      <c r="W3848" s="132" t="s">
        <v>267</v>
      </c>
      <c r="X3848" s="133">
        <v>41774</v>
      </c>
      <c r="Y3848" s="134">
        <v>648</v>
      </c>
    </row>
    <row r="3849" spans="6:25" x14ac:dyDescent="0.25">
      <c r="F3849" s="76" t="s">
        <v>150</v>
      </c>
      <c r="G3849" s="77" t="s">
        <v>205</v>
      </c>
      <c r="H3849" s="77" t="s">
        <v>158</v>
      </c>
      <c r="I3849" s="86">
        <v>41725</v>
      </c>
      <c r="J3849" s="78">
        <v>805</v>
      </c>
      <c r="U3849" s="132" t="s">
        <v>154</v>
      </c>
      <c r="V3849" s="132" t="s">
        <v>307</v>
      </c>
      <c r="W3849" s="132" t="s">
        <v>267</v>
      </c>
      <c r="X3849" s="133">
        <v>41774</v>
      </c>
      <c r="Y3849" s="134">
        <v>620</v>
      </c>
    </row>
    <row r="3850" spans="6:25" x14ac:dyDescent="0.25">
      <c r="F3850" s="76" t="s">
        <v>150</v>
      </c>
      <c r="G3850" s="77" t="s">
        <v>205</v>
      </c>
      <c r="H3850" s="77" t="s">
        <v>158</v>
      </c>
      <c r="I3850" s="86">
        <v>41730</v>
      </c>
      <c r="J3850" s="78">
        <v>613</v>
      </c>
      <c r="U3850" s="132" t="s">
        <v>154</v>
      </c>
      <c r="V3850" s="132" t="s">
        <v>307</v>
      </c>
      <c r="W3850" s="132" t="s">
        <v>267</v>
      </c>
      <c r="X3850" s="133">
        <v>41775</v>
      </c>
      <c r="Y3850" s="134">
        <v>647</v>
      </c>
    </row>
    <row r="3851" spans="6:25" x14ac:dyDescent="0.25">
      <c r="F3851" s="76" t="s">
        <v>150</v>
      </c>
      <c r="G3851" s="77" t="s">
        <v>205</v>
      </c>
      <c r="H3851" s="77" t="s">
        <v>158</v>
      </c>
      <c r="I3851" s="86">
        <v>41733</v>
      </c>
      <c r="J3851" s="78">
        <v>1195</v>
      </c>
      <c r="U3851" s="132" t="s">
        <v>154</v>
      </c>
      <c r="V3851" s="132" t="s">
        <v>307</v>
      </c>
      <c r="W3851" s="132" t="s">
        <v>267</v>
      </c>
      <c r="X3851" s="133">
        <v>41775</v>
      </c>
      <c r="Y3851" s="134">
        <v>592</v>
      </c>
    </row>
    <row r="3852" spans="6:25" x14ac:dyDescent="0.25">
      <c r="F3852" s="76" t="s">
        <v>150</v>
      </c>
      <c r="G3852" s="77" t="s">
        <v>205</v>
      </c>
      <c r="H3852" s="77" t="s">
        <v>158</v>
      </c>
      <c r="I3852" s="86">
        <v>41735</v>
      </c>
      <c r="J3852" s="78">
        <v>631</v>
      </c>
      <c r="U3852" s="132" t="s">
        <v>154</v>
      </c>
      <c r="V3852" s="132" t="s">
        <v>307</v>
      </c>
      <c r="W3852" s="132" t="s">
        <v>267</v>
      </c>
      <c r="X3852" s="133">
        <v>41777</v>
      </c>
      <c r="Y3852" s="134">
        <v>879</v>
      </c>
    </row>
    <row r="3853" spans="6:25" x14ac:dyDescent="0.25">
      <c r="F3853" s="76" t="s">
        <v>150</v>
      </c>
      <c r="G3853" s="77" t="s">
        <v>205</v>
      </c>
      <c r="H3853" s="77" t="s">
        <v>158</v>
      </c>
      <c r="I3853" s="86">
        <v>41737</v>
      </c>
      <c r="J3853" s="78">
        <v>1172</v>
      </c>
      <c r="U3853" s="132" t="s">
        <v>154</v>
      </c>
      <c r="V3853" s="132" t="s">
        <v>307</v>
      </c>
      <c r="W3853" s="132" t="s">
        <v>267</v>
      </c>
      <c r="X3853" s="133">
        <v>41778</v>
      </c>
      <c r="Y3853" s="134">
        <v>910</v>
      </c>
    </row>
    <row r="3854" spans="6:25" x14ac:dyDescent="0.25">
      <c r="F3854" s="76" t="s">
        <v>150</v>
      </c>
      <c r="G3854" s="77" t="s">
        <v>205</v>
      </c>
      <c r="H3854" s="77" t="s">
        <v>158</v>
      </c>
      <c r="I3854" s="86">
        <v>41738</v>
      </c>
      <c r="J3854" s="78">
        <v>638</v>
      </c>
      <c r="U3854" s="132" t="s">
        <v>154</v>
      </c>
      <c r="V3854" s="132" t="s">
        <v>307</v>
      </c>
      <c r="W3854" s="132" t="s">
        <v>267</v>
      </c>
      <c r="X3854" s="133">
        <v>41865</v>
      </c>
      <c r="Y3854" s="134">
        <v>503</v>
      </c>
    </row>
    <row r="3855" spans="6:25" x14ac:dyDescent="0.25">
      <c r="F3855" s="76" t="s">
        <v>150</v>
      </c>
      <c r="G3855" s="77" t="s">
        <v>205</v>
      </c>
      <c r="H3855" s="77" t="s">
        <v>158</v>
      </c>
      <c r="I3855" s="86">
        <v>41743</v>
      </c>
      <c r="J3855" s="78">
        <v>569</v>
      </c>
      <c r="U3855" s="132" t="s">
        <v>154</v>
      </c>
      <c r="V3855" s="132" t="s">
        <v>307</v>
      </c>
      <c r="W3855" s="132" t="s">
        <v>267</v>
      </c>
      <c r="X3855" s="133">
        <v>41866</v>
      </c>
      <c r="Y3855" s="134">
        <v>518</v>
      </c>
    </row>
    <row r="3856" spans="6:25" x14ac:dyDescent="0.25">
      <c r="F3856" s="76" t="s">
        <v>150</v>
      </c>
      <c r="G3856" s="77" t="s">
        <v>205</v>
      </c>
      <c r="H3856" s="77" t="s">
        <v>158</v>
      </c>
      <c r="I3856" s="86">
        <v>41767</v>
      </c>
      <c r="J3856" s="78">
        <v>603</v>
      </c>
      <c r="U3856" s="132" t="s">
        <v>154</v>
      </c>
      <c r="V3856" s="132" t="s">
        <v>307</v>
      </c>
      <c r="W3856" s="132" t="s">
        <v>267</v>
      </c>
      <c r="X3856" s="133">
        <v>41869</v>
      </c>
      <c r="Y3856" s="134">
        <v>749</v>
      </c>
    </row>
    <row r="3857" spans="6:25" x14ac:dyDescent="0.25">
      <c r="F3857" s="76" t="s">
        <v>150</v>
      </c>
      <c r="G3857" s="77" t="s">
        <v>210</v>
      </c>
      <c r="H3857" s="77" t="s">
        <v>158</v>
      </c>
      <c r="I3857" s="86">
        <v>41652</v>
      </c>
      <c r="J3857" s="78">
        <v>1315</v>
      </c>
      <c r="U3857" s="132" t="s">
        <v>154</v>
      </c>
      <c r="V3857" s="132" t="s">
        <v>307</v>
      </c>
      <c r="W3857" s="132" t="s">
        <v>267</v>
      </c>
      <c r="X3857" s="133">
        <v>41870</v>
      </c>
      <c r="Y3857" s="134">
        <v>868</v>
      </c>
    </row>
    <row r="3858" spans="6:25" x14ac:dyDescent="0.25">
      <c r="F3858" s="76" t="s">
        <v>150</v>
      </c>
      <c r="G3858" s="77" t="s">
        <v>210</v>
      </c>
      <c r="H3858" s="77" t="s">
        <v>158</v>
      </c>
      <c r="I3858" s="86">
        <v>41655</v>
      </c>
      <c r="J3858" s="78">
        <v>699</v>
      </c>
      <c r="U3858" s="132" t="s">
        <v>154</v>
      </c>
      <c r="V3858" s="132" t="s">
        <v>307</v>
      </c>
      <c r="W3858" s="132" t="s">
        <v>267</v>
      </c>
      <c r="X3858" s="133">
        <v>41871</v>
      </c>
      <c r="Y3858" s="134">
        <v>998</v>
      </c>
    </row>
    <row r="3859" spans="6:25" x14ac:dyDescent="0.25">
      <c r="F3859" s="76" t="s">
        <v>150</v>
      </c>
      <c r="G3859" s="77" t="s">
        <v>210</v>
      </c>
      <c r="H3859" s="77" t="s">
        <v>158</v>
      </c>
      <c r="I3859" s="86">
        <v>41657</v>
      </c>
      <c r="J3859" s="78">
        <v>1211</v>
      </c>
      <c r="U3859" s="132" t="s">
        <v>154</v>
      </c>
      <c r="V3859" s="132" t="s">
        <v>307</v>
      </c>
      <c r="W3859" s="132" t="s">
        <v>267</v>
      </c>
      <c r="X3859" s="133">
        <v>41872</v>
      </c>
      <c r="Y3859" s="134">
        <v>591</v>
      </c>
    </row>
    <row r="3860" spans="6:25" x14ac:dyDescent="0.25">
      <c r="F3860" s="76" t="s">
        <v>150</v>
      </c>
      <c r="G3860" s="77" t="s">
        <v>210</v>
      </c>
      <c r="H3860" s="77" t="s">
        <v>158</v>
      </c>
      <c r="I3860" s="86">
        <v>41660</v>
      </c>
      <c r="J3860" s="78">
        <v>694</v>
      </c>
      <c r="U3860" s="132" t="s">
        <v>154</v>
      </c>
      <c r="V3860" s="132" t="s">
        <v>307</v>
      </c>
      <c r="W3860" s="132" t="s">
        <v>267</v>
      </c>
      <c r="X3860" s="133">
        <v>41873</v>
      </c>
      <c r="Y3860" s="134">
        <v>485</v>
      </c>
    </row>
    <row r="3861" spans="6:25" x14ac:dyDescent="0.25">
      <c r="F3861" s="76" t="s">
        <v>150</v>
      </c>
      <c r="G3861" s="77" t="s">
        <v>210</v>
      </c>
      <c r="H3861" s="77" t="s">
        <v>158</v>
      </c>
      <c r="I3861" s="86">
        <v>41662</v>
      </c>
      <c r="J3861" s="78">
        <v>1701</v>
      </c>
      <c r="U3861" s="132" t="s">
        <v>154</v>
      </c>
      <c r="V3861" s="132" t="s">
        <v>307</v>
      </c>
      <c r="W3861" s="132" t="s">
        <v>267</v>
      </c>
      <c r="X3861" s="133">
        <v>41875</v>
      </c>
      <c r="Y3861" s="134">
        <v>697</v>
      </c>
    </row>
    <row r="3862" spans="6:25" x14ac:dyDescent="0.25">
      <c r="F3862" s="76" t="s">
        <v>150</v>
      </c>
      <c r="G3862" s="77" t="s">
        <v>210</v>
      </c>
      <c r="H3862" s="77" t="s">
        <v>158</v>
      </c>
      <c r="I3862" s="86">
        <v>41664</v>
      </c>
      <c r="J3862" s="78">
        <v>1036</v>
      </c>
      <c r="U3862" s="132" t="s">
        <v>154</v>
      </c>
      <c r="V3862" s="132" t="s">
        <v>307</v>
      </c>
      <c r="W3862" s="132" t="s">
        <v>267</v>
      </c>
      <c r="X3862" s="133">
        <v>41875</v>
      </c>
      <c r="Y3862" s="134">
        <v>741</v>
      </c>
    </row>
    <row r="3863" spans="6:25" x14ac:dyDescent="0.25">
      <c r="F3863" s="76" t="s">
        <v>150</v>
      </c>
      <c r="G3863" s="77" t="s">
        <v>210</v>
      </c>
      <c r="H3863" s="77" t="s">
        <v>158</v>
      </c>
      <c r="I3863" s="86">
        <v>41665</v>
      </c>
      <c r="J3863" s="78">
        <v>635</v>
      </c>
      <c r="U3863" s="132" t="s">
        <v>154</v>
      </c>
      <c r="V3863" s="132" t="s">
        <v>307</v>
      </c>
      <c r="W3863" s="132" t="s">
        <v>267</v>
      </c>
      <c r="X3863" s="133">
        <v>41876</v>
      </c>
      <c r="Y3863" s="134">
        <v>1171</v>
      </c>
    </row>
    <row r="3864" spans="6:25" x14ac:dyDescent="0.25">
      <c r="F3864" s="76" t="s">
        <v>150</v>
      </c>
      <c r="G3864" s="77" t="s">
        <v>210</v>
      </c>
      <c r="H3864" s="77" t="s">
        <v>158</v>
      </c>
      <c r="I3864" s="86">
        <v>41732</v>
      </c>
      <c r="J3864" s="78">
        <v>850</v>
      </c>
      <c r="U3864" s="132" t="s">
        <v>154</v>
      </c>
      <c r="V3864" s="132" t="s">
        <v>307</v>
      </c>
      <c r="W3864" s="132" t="s">
        <v>267</v>
      </c>
      <c r="X3864" s="133">
        <v>41877</v>
      </c>
      <c r="Y3864" s="134">
        <v>879</v>
      </c>
    </row>
    <row r="3865" spans="6:25" x14ac:dyDescent="0.25">
      <c r="F3865" s="76" t="s">
        <v>150</v>
      </c>
      <c r="G3865" s="77" t="s">
        <v>210</v>
      </c>
      <c r="H3865" s="77" t="s">
        <v>158</v>
      </c>
      <c r="I3865" s="86">
        <v>41734</v>
      </c>
      <c r="J3865" s="78">
        <v>501</v>
      </c>
      <c r="U3865" s="132" t="s">
        <v>154</v>
      </c>
      <c r="V3865" s="132" t="s">
        <v>307</v>
      </c>
      <c r="W3865" s="132" t="s">
        <v>267</v>
      </c>
      <c r="X3865" s="133">
        <v>41878</v>
      </c>
      <c r="Y3865" s="134">
        <v>888</v>
      </c>
    </row>
    <row r="3866" spans="6:25" x14ac:dyDescent="0.25">
      <c r="F3866" s="76" t="s">
        <v>150</v>
      </c>
      <c r="G3866" s="77" t="s">
        <v>210</v>
      </c>
      <c r="H3866" s="77" t="s">
        <v>158</v>
      </c>
      <c r="I3866" s="86">
        <v>41734</v>
      </c>
      <c r="J3866" s="78">
        <v>1001</v>
      </c>
      <c r="U3866" s="132" t="s">
        <v>154</v>
      </c>
      <c r="V3866" s="132" t="s">
        <v>307</v>
      </c>
      <c r="W3866" s="132" t="s">
        <v>267</v>
      </c>
      <c r="X3866" s="133">
        <v>41879</v>
      </c>
      <c r="Y3866" s="134">
        <v>861</v>
      </c>
    </row>
    <row r="3867" spans="6:25" x14ac:dyDescent="0.25">
      <c r="F3867" s="76" t="s">
        <v>150</v>
      </c>
      <c r="G3867" s="77" t="s">
        <v>210</v>
      </c>
      <c r="H3867" s="77" t="s">
        <v>158</v>
      </c>
      <c r="I3867" s="86">
        <v>41735</v>
      </c>
      <c r="J3867" s="78">
        <v>776</v>
      </c>
      <c r="U3867" s="132" t="s">
        <v>154</v>
      </c>
      <c r="V3867" s="132" t="s">
        <v>307</v>
      </c>
      <c r="W3867" s="132" t="s">
        <v>267</v>
      </c>
      <c r="X3867" s="133">
        <v>41880</v>
      </c>
      <c r="Y3867" s="134">
        <v>850</v>
      </c>
    </row>
    <row r="3868" spans="6:25" x14ac:dyDescent="0.25">
      <c r="F3868" s="76" t="s">
        <v>150</v>
      </c>
      <c r="G3868" s="77" t="s">
        <v>210</v>
      </c>
      <c r="H3868" s="77" t="s">
        <v>158</v>
      </c>
      <c r="I3868" s="86">
        <v>41754</v>
      </c>
      <c r="J3868" s="78">
        <v>1002</v>
      </c>
      <c r="U3868" s="132" t="s">
        <v>154</v>
      </c>
      <c r="V3868" s="132" t="s">
        <v>307</v>
      </c>
      <c r="W3868" s="132" t="s">
        <v>267</v>
      </c>
      <c r="X3868" s="133">
        <v>41880</v>
      </c>
      <c r="Y3868" s="134">
        <v>496</v>
      </c>
    </row>
    <row r="3869" spans="6:25" x14ac:dyDescent="0.25">
      <c r="F3869" s="76" t="s">
        <v>150</v>
      </c>
      <c r="G3869" s="77" t="s">
        <v>210</v>
      </c>
      <c r="H3869" s="77" t="s">
        <v>158</v>
      </c>
      <c r="I3869" s="86">
        <v>41758</v>
      </c>
      <c r="J3869" s="78">
        <v>1224</v>
      </c>
      <c r="U3869" s="132" t="s">
        <v>154</v>
      </c>
      <c r="V3869" s="132" t="s">
        <v>307</v>
      </c>
      <c r="W3869" s="132" t="s">
        <v>267</v>
      </c>
      <c r="X3869" s="133">
        <v>41882</v>
      </c>
      <c r="Y3869" s="134">
        <v>582</v>
      </c>
    </row>
    <row r="3870" spans="6:25" x14ac:dyDescent="0.25">
      <c r="F3870" s="76" t="s">
        <v>150</v>
      </c>
      <c r="G3870" s="77" t="s">
        <v>210</v>
      </c>
      <c r="H3870" s="77" t="s">
        <v>158</v>
      </c>
      <c r="I3870" s="86">
        <v>41771</v>
      </c>
      <c r="J3870" s="78">
        <v>1050</v>
      </c>
      <c r="U3870" s="132" t="s">
        <v>154</v>
      </c>
      <c r="V3870" s="132" t="s">
        <v>307</v>
      </c>
      <c r="W3870" s="132" t="s">
        <v>267</v>
      </c>
      <c r="X3870" s="133">
        <v>41884</v>
      </c>
      <c r="Y3870" s="134">
        <v>660</v>
      </c>
    </row>
    <row r="3871" spans="6:25" x14ac:dyDescent="0.25">
      <c r="F3871" s="76" t="s">
        <v>150</v>
      </c>
      <c r="G3871" s="77" t="s">
        <v>210</v>
      </c>
      <c r="H3871" s="77" t="s">
        <v>158</v>
      </c>
      <c r="I3871" s="86">
        <v>41773</v>
      </c>
      <c r="J3871" s="78">
        <v>1085</v>
      </c>
      <c r="U3871" s="132" t="s">
        <v>154</v>
      </c>
      <c r="V3871" s="132" t="s">
        <v>307</v>
      </c>
      <c r="W3871" s="132" t="s">
        <v>267</v>
      </c>
      <c r="X3871" s="133">
        <v>41884</v>
      </c>
      <c r="Y3871" s="134">
        <v>837</v>
      </c>
    </row>
    <row r="3872" spans="6:25" x14ac:dyDescent="0.25">
      <c r="F3872" s="76" t="s">
        <v>150</v>
      </c>
      <c r="G3872" s="77" t="s">
        <v>210</v>
      </c>
      <c r="H3872" s="77" t="s">
        <v>158</v>
      </c>
      <c r="I3872" s="86">
        <v>41775</v>
      </c>
      <c r="J3872" s="78">
        <v>1020</v>
      </c>
      <c r="U3872" s="132" t="s">
        <v>154</v>
      </c>
      <c r="V3872" s="132" t="s">
        <v>307</v>
      </c>
      <c r="W3872" s="132" t="s">
        <v>267</v>
      </c>
      <c r="X3872" s="133">
        <v>41885</v>
      </c>
      <c r="Y3872" s="134">
        <v>656</v>
      </c>
    </row>
    <row r="3873" spans="6:25" x14ac:dyDescent="0.25">
      <c r="F3873" s="76" t="s">
        <v>150</v>
      </c>
      <c r="G3873" s="77" t="s">
        <v>210</v>
      </c>
      <c r="H3873" s="77" t="s">
        <v>158</v>
      </c>
      <c r="I3873" s="86">
        <v>41779</v>
      </c>
      <c r="J3873" s="78">
        <v>1030</v>
      </c>
      <c r="U3873" s="132" t="s">
        <v>154</v>
      </c>
      <c r="V3873" s="132" t="s">
        <v>307</v>
      </c>
      <c r="W3873" s="132" t="s">
        <v>267</v>
      </c>
      <c r="X3873" s="133">
        <v>41885</v>
      </c>
      <c r="Y3873" s="134">
        <v>557</v>
      </c>
    </row>
    <row r="3874" spans="6:25" x14ac:dyDescent="0.25">
      <c r="F3874" s="76" t="s">
        <v>150</v>
      </c>
      <c r="G3874" s="77" t="s">
        <v>210</v>
      </c>
      <c r="H3874" s="77" t="s">
        <v>158</v>
      </c>
      <c r="I3874" s="86">
        <v>41783</v>
      </c>
      <c r="J3874" s="78">
        <v>1267</v>
      </c>
      <c r="U3874" s="132" t="s">
        <v>154</v>
      </c>
      <c r="V3874" s="132" t="s">
        <v>307</v>
      </c>
      <c r="W3874" s="132" t="s">
        <v>267</v>
      </c>
      <c r="X3874" s="133">
        <v>41886</v>
      </c>
      <c r="Y3874" s="134">
        <v>864</v>
      </c>
    </row>
    <row r="3875" spans="6:25" x14ac:dyDescent="0.25">
      <c r="F3875" s="76" t="s">
        <v>150</v>
      </c>
      <c r="G3875" s="77" t="s">
        <v>210</v>
      </c>
      <c r="H3875" s="77" t="s">
        <v>158</v>
      </c>
      <c r="I3875" s="86">
        <v>41787</v>
      </c>
      <c r="J3875" s="78">
        <v>1152</v>
      </c>
      <c r="U3875" s="132" t="s">
        <v>154</v>
      </c>
      <c r="V3875" s="132" t="s">
        <v>307</v>
      </c>
      <c r="W3875" s="132" t="s">
        <v>267</v>
      </c>
      <c r="X3875" s="133">
        <v>41887</v>
      </c>
      <c r="Y3875" s="134">
        <v>922</v>
      </c>
    </row>
    <row r="3876" spans="6:25" x14ac:dyDescent="0.25">
      <c r="F3876" s="76" t="s">
        <v>150</v>
      </c>
      <c r="G3876" s="77" t="s">
        <v>210</v>
      </c>
      <c r="H3876" s="77" t="s">
        <v>158</v>
      </c>
      <c r="I3876" s="86">
        <v>41836</v>
      </c>
      <c r="J3876" s="78">
        <v>1349</v>
      </c>
      <c r="U3876" s="132" t="s">
        <v>154</v>
      </c>
      <c r="V3876" s="132" t="s">
        <v>307</v>
      </c>
      <c r="W3876" s="132" t="s">
        <v>267</v>
      </c>
      <c r="X3876" s="133">
        <v>41889</v>
      </c>
      <c r="Y3876" s="134">
        <v>257</v>
      </c>
    </row>
    <row r="3877" spans="6:25" x14ac:dyDescent="0.25">
      <c r="F3877" s="76" t="s">
        <v>150</v>
      </c>
      <c r="G3877" s="77" t="s">
        <v>210</v>
      </c>
      <c r="H3877" s="77" t="s">
        <v>158</v>
      </c>
      <c r="I3877" s="86">
        <v>41862</v>
      </c>
      <c r="J3877" s="78">
        <v>532</v>
      </c>
      <c r="U3877" s="132" t="s">
        <v>154</v>
      </c>
      <c r="V3877" s="132" t="s">
        <v>307</v>
      </c>
      <c r="W3877" s="132" t="s">
        <v>267</v>
      </c>
      <c r="X3877" s="133">
        <v>41889</v>
      </c>
      <c r="Y3877" s="134">
        <v>917</v>
      </c>
    </row>
    <row r="3878" spans="6:25" x14ac:dyDescent="0.25">
      <c r="F3878" s="76" t="s">
        <v>150</v>
      </c>
      <c r="G3878" s="77" t="s">
        <v>211</v>
      </c>
      <c r="H3878" s="77" t="s">
        <v>158</v>
      </c>
      <c r="I3878" s="86">
        <v>41947</v>
      </c>
      <c r="J3878" s="78">
        <v>939</v>
      </c>
      <c r="U3878" s="132" t="s">
        <v>154</v>
      </c>
      <c r="V3878" s="132" t="s">
        <v>307</v>
      </c>
      <c r="W3878" s="132" t="s">
        <v>267</v>
      </c>
      <c r="X3878" s="133">
        <v>41890</v>
      </c>
      <c r="Y3878" s="134">
        <v>808</v>
      </c>
    </row>
    <row r="3879" spans="6:25" x14ac:dyDescent="0.25">
      <c r="F3879" s="76" t="s">
        <v>150</v>
      </c>
      <c r="G3879" s="77" t="s">
        <v>211</v>
      </c>
      <c r="H3879" s="77" t="s">
        <v>158</v>
      </c>
      <c r="I3879" s="86">
        <v>41947</v>
      </c>
      <c r="J3879" s="78">
        <v>301</v>
      </c>
      <c r="U3879" s="132" t="s">
        <v>154</v>
      </c>
      <c r="V3879" s="132" t="s">
        <v>307</v>
      </c>
      <c r="W3879" s="132" t="s">
        <v>267</v>
      </c>
      <c r="X3879" s="133">
        <v>41891</v>
      </c>
      <c r="Y3879" s="134">
        <v>455</v>
      </c>
    </row>
    <row r="3880" spans="6:25" x14ac:dyDescent="0.25">
      <c r="F3880" s="76" t="s">
        <v>150</v>
      </c>
      <c r="G3880" s="77" t="s">
        <v>211</v>
      </c>
      <c r="H3880" s="77" t="s">
        <v>158</v>
      </c>
      <c r="I3880" s="86">
        <v>41960</v>
      </c>
      <c r="J3880" s="78">
        <v>846</v>
      </c>
      <c r="U3880" s="132" t="s">
        <v>154</v>
      </c>
      <c r="V3880" s="132" t="s">
        <v>307</v>
      </c>
      <c r="W3880" s="132" t="s">
        <v>267</v>
      </c>
      <c r="X3880" s="133">
        <v>41891</v>
      </c>
      <c r="Y3880" s="134">
        <v>599</v>
      </c>
    </row>
    <row r="3881" spans="6:25" x14ac:dyDescent="0.25">
      <c r="F3881" s="76" t="s">
        <v>150</v>
      </c>
      <c r="G3881" s="77" t="s">
        <v>211</v>
      </c>
      <c r="H3881" s="77" t="s">
        <v>158</v>
      </c>
      <c r="I3881" s="86">
        <v>41961</v>
      </c>
      <c r="J3881" s="78">
        <v>1005</v>
      </c>
      <c r="U3881" s="132" t="s">
        <v>154</v>
      </c>
      <c r="V3881" s="132" t="s">
        <v>307</v>
      </c>
      <c r="W3881" s="132" t="s">
        <v>267</v>
      </c>
      <c r="X3881" s="133">
        <v>41892</v>
      </c>
      <c r="Y3881" s="134">
        <v>819</v>
      </c>
    </row>
    <row r="3882" spans="6:25" x14ac:dyDescent="0.25">
      <c r="F3882" s="76" t="s">
        <v>150</v>
      </c>
      <c r="G3882" s="77" t="s">
        <v>211</v>
      </c>
      <c r="H3882" s="77" t="s">
        <v>158</v>
      </c>
      <c r="I3882" s="86">
        <v>41962</v>
      </c>
      <c r="J3882" s="78">
        <v>837</v>
      </c>
      <c r="U3882" s="132" t="s">
        <v>154</v>
      </c>
      <c r="V3882" s="132" t="s">
        <v>307</v>
      </c>
      <c r="W3882" s="132" t="s">
        <v>267</v>
      </c>
      <c r="X3882" s="133">
        <v>41893</v>
      </c>
      <c r="Y3882" s="134">
        <v>1042</v>
      </c>
    </row>
    <row r="3883" spans="6:25" x14ac:dyDescent="0.25">
      <c r="F3883" s="76" t="s">
        <v>150</v>
      </c>
      <c r="G3883" s="77" t="s">
        <v>211</v>
      </c>
      <c r="H3883" s="77" t="s">
        <v>158</v>
      </c>
      <c r="I3883" s="86">
        <v>41969</v>
      </c>
      <c r="J3883" s="78">
        <v>1010</v>
      </c>
      <c r="U3883" s="132" t="s">
        <v>154</v>
      </c>
      <c r="V3883" s="132" t="s">
        <v>307</v>
      </c>
      <c r="W3883" s="132" t="s">
        <v>267</v>
      </c>
      <c r="X3883" s="133">
        <v>41894</v>
      </c>
      <c r="Y3883" s="134">
        <v>651</v>
      </c>
    </row>
    <row r="3884" spans="6:25" x14ac:dyDescent="0.25">
      <c r="F3884" s="76" t="s">
        <v>150</v>
      </c>
      <c r="G3884" s="77" t="s">
        <v>211</v>
      </c>
      <c r="H3884" s="77" t="s">
        <v>158</v>
      </c>
      <c r="I3884" s="86">
        <v>41970</v>
      </c>
      <c r="J3884" s="78">
        <v>466</v>
      </c>
      <c r="U3884" s="132" t="s">
        <v>154</v>
      </c>
      <c r="V3884" s="132" t="s">
        <v>307</v>
      </c>
      <c r="W3884" s="132" t="s">
        <v>267</v>
      </c>
      <c r="X3884" s="133">
        <v>41894</v>
      </c>
      <c r="Y3884" s="134">
        <v>552</v>
      </c>
    </row>
    <row r="3885" spans="6:25" x14ac:dyDescent="0.25">
      <c r="F3885" s="76" t="s">
        <v>150</v>
      </c>
      <c r="G3885" s="77" t="s">
        <v>211</v>
      </c>
      <c r="H3885" s="77" t="s">
        <v>158</v>
      </c>
      <c r="I3885" s="86">
        <v>41974</v>
      </c>
      <c r="J3885" s="78">
        <v>1042</v>
      </c>
      <c r="U3885" s="132" t="s">
        <v>154</v>
      </c>
      <c r="V3885" s="132" t="s">
        <v>307</v>
      </c>
      <c r="W3885" s="132" t="s">
        <v>267</v>
      </c>
      <c r="X3885" s="133">
        <v>41896</v>
      </c>
      <c r="Y3885" s="134">
        <v>713</v>
      </c>
    </row>
    <row r="3886" spans="6:25" x14ac:dyDescent="0.25">
      <c r="F3886" s="76" t="s">
        <v>150</v>
      </c>
      <c r="G3886" s="77" t="s">
        <v>211</v>
      </c>
      <c r="H3886" s="77" t="s">
        <v>158</v>
      </c>
      <c r="I3886" s="86">
        <v>41988</v>
      </c>
      <c r="J3886" s="78">
        <v>629</v>
      </c>
      <c r="U3886" s="132" t="s">
        <v>154</v>
      </c>
      <c r="V3886" s="132" t="s">
        <v>307</v>
      </c>
      <c r="W3886" s="132" t="s">
        <v>267</v>
      </c>
      <c r="X3886" s="133">
        <v>41896</v>
      </c>
      <c r="Y3886" s="134">
        <v>272</v>
      </c>
    </row>
    <row r="3887" spans="6:25" x14ac:dyDescent="0.25">
      <c r="F3887" s="76" t="s">
        <v>150</v>
      </c>
      <c r="G3887" s="77" t="s">
        <v>211</v>
      </c>
      <c r="H3887" s="77" t="s">
        <v>158</v>
      </c>
      <c r="I3887" s="86">
        <v>41990</v>
      </c>
      <c r="J3887" s="78">
        <v>1004</v>
      </c>
      <c r="U3887" s="132" t="s">
        <v>154</v>
      </c>
      <c r="V3887" s="132" t="s">
        <v>307</v>
      </c>
      <c r="W3887" s="132" t="s">
        <v>267</v>
      </c>
      <c r="X3887" s="133">
        <v>41897</v>
      </c>
      <c r="Y3887" s="134">
        <v>730</v>
      </c>
    </row>
    <row r="3888" spans="6:25" x14ac:dyDescent="0.25">
      <c r="F3888" s="76" t="s">
        <v>150</v>
      </c>
      <c r="G3888" s="77" t="s">
        <v>211</v>
      </c>
      <c r="H3888" s="77" t="s">
        <v>158</v>
      </c>
      <c r="I3888" s="86">
        <v>41995</v>
      </c>
      <c r="J3888" s="78">
        <v>1175</v>
      </c>
      <c r="U3888" s="132" t="s">
        <v>154</v>
      </c>
      <c r="V3888" s="132" t="s">
        <v>307</v>
      </c>
      <c r="W3888" s="132" t="s">
        <v>267</v>
      </c>
      <c r="X3888" s="133">
        <v>41898</v>
      </c>
      <c r="Y3888" s="134">
        <v>781</v>
      </c>
    </row>
    <row r="3889" spans="6:25" x14ac:dyDescent="0.25">
      <c r="F3889" s="76" t="s">
        <v>150</v>
      </c>
      <c r="G3889" s="77" t="s">
        <v>211</v>
      </c>
      <c r="H3889" s="77" t="s">
        <v>158</v>
      </c>
      <c r="I3889" s="86">
        <v>41996</v>
      </c>
      <c r="J3889" s="78">
        <v>519</v>
      </c>
      <c r="U3889" s="132" t="s">
        <v>154</v>
      </c>
      <c r="V3889" s="132" t="s">
        <v>307</v>
      </c>
      <c r="W3889" s="132" t="s">
        <v>267</v>
      </c>
      <c r="X3889" s="133">
        <v>41899</v>
      </c>
      <c r="Y3889" s="134">
        <v>594</v>
      </c>
    </row>
    <row r="3890" spans="6:25" x14ac:dyDescent="0.25">
      <c r="F3890" s="76" t="s">
        <v>150</v>
      </c>
      <c r="G3890" s="77" t="s">
        <v>211</v>
      </c>
      <c r="H3890" s="77" t="s">
        <v>158</v>
      </c>
      <c r="I3890" s="86">
        <v>41997</v>
      </c>
      <c r="J3890" s="78">
        <v>429</v>
      </c>
      <c r="U3890" s="132" t="s">
        <v>154</v>
      </c>
      <c r="V3890" s="132" t="s">
        <v>307</v>
      </c>
      <c r="W3890" s="132" t="s">
        <v>267</v>
      </c>
      <c r="X3890" s="133">
        <v>41899</v>
      </c>
      <c r="Y3890" s="134">
        <v>622</v>
      </c>
    </row>
    <row r="3891" spans="6:25" x14ac:dyDescent="0.25">
      <c r="F3891" s="76" t="s">
        <v>150</v>
      </c>
      <c r="G3891" s="77" t="s">
        <v>211</v>
      </c>
      <c r="H3891" s="77" t="s">
        <v>158</v>
      </c>
      <c r="I3891" s="86">
        <v>41998</v>
      </c>
      <c r="J3891" s="78">
        <v>394</v>
      </c>
      <c r="U3891" s="132" t="s">
        <v>154</v>
      </c>
      <c r="V3891" s="132" t="s">
        <v>307</v>
      </c>
      <c r="W3891" s="132" t="s">
        <v>267</v>
      </c>
      <c r="X3891" s="133">
        <v>41900</v>
      </c>
      <c r="Y3891" s="134">
        <v>526</v>
      </c>
    </row>
    <row r="3892" spans="6:25" x14ac:dyDescent="0.25">
      <c r="F3892" s="76" t="s">
        <v>150</v>
      </c>
      <c r="G3892" s="77" t="s">
        <v>211</v>
      </c>
      <c r="H3892" s="77" t="s">
        <v>158</v>
      </c>
      <c r="I3892" s="86">
        <v>41999</v>
      </c>
      <c r="J3892" s="78">
        <v>876</v>
      </c>
      <c r="U3892" s="132" t="s">
        <v>154</v>
      </c>
      <c r="V3892" s="132" t="s">
        <v>307</v>
      </c>
      <c r="W3892" s="132" t="s">
        <v>267</v>
      </c>
      <c r="X3892" s="133">
        <v>41901</v>
      </c>
      <c r="Y3892" s="134">
        <v>833</v>
      </c>
    </row>
    <row r="3893" spans="6:25" x14ac:dyDescent="0.25">
      <c r="F3893" s="76" t="s">
        <v>150</v>
      </c>
      <c r="G3893" s="77" t="s">
        <v>211</v>
      </c>
      <c r="H3893" s="77" t="s">
        <v>158</v>
      </c>
      <c r="I3893" s="86">
        <v>42000</v>
      </c>
      <c r="J3893" s="78">
        <v>510</v>
      </c>
      <c r="U3893" s="132" t="s">
        <v>154</v>
      </c>
      <c r="V3893" s="132" t="s">
        <v>307</v>
      </c>
      <c r="W3893" s="132" t="s">
        <v>267</v>
      </c>
      <c r="X3893" s="133">
        <v>41902</v>
      </c>
      <c r="Y3893" s="134">
        <v>704</v>
      </c>
    </row>
    <row r="3894" spans="6:25" x14ac:dyDescent="0.25">
      <c r="F3894" s="76" t="s">
        <v>150</v>
      </c>
      <c r="G3894" s="77" t="s">
        <v>211</v>
      </c>
      <c r="H3894" s="77" t="s">
        <v>158</v>
      </c>
      <c r="I3894" s="86">
        <v>42001</v>
      </c>
      <c r="J3894" s="78">
        <v>446</v>
      </c>
      <c r="U3894" s="132" t="s">
        <v>154</v>
      </c>
      <c r="V3894" s="132" t="s">
        <v>307</v>
      </c>
      <c r="W3894" s="132" t="s">
        <v>267</v>
      </c>
      <c r="X3894" s="133">
        <v>41902</v>
      </c>
      <c r="Y3894" s="134">
        <v>869</v>
      </c>
    </row>
    <row r="3895" spans="6:25" x14ac:dyDescent="0.25">
      <c r="F3895" s="76" t="s">
        <v>150</v>
      </c>
      <c r="G3895" s="77" t="s">
        <v>211</v>
      </c>
      <c r="H3895" s="77" t="s">
        <v>158</v>
      </c>
      <c r="I3895" s="86">
        <v>42002</v>
      </c>
      <c r="J3895" s="78">
        <v>524</v>
      </c>
      <c r="U3895" s="132" t="s">
        <v>154</v>
      </c>
      <c r="V3895" s="132" t="s">
        <v>307</v>
      </c>
      <c r="W3895" s="132" t="s">
        <v>267</v>
      </c>
      <c r="X3895" s="133">
        <v>41903</v>
      </c>
      <c r="Y3895" s="134">
        <v>321</v>
      </c>
    </row>
    <row r="3896" spans="6:25" x14ac:dyDescent="0.25">
      <c r="F3896" s="76" t="s">
        <v>150</v>
      </c>
      <c r="G3896" s="77" t="s">
        <v>213</v>
      </c>
      <c r="H3896" s="77" t="s">
        <v>158</v>
      </c>
      <c r="I3896" s="86">
        <v>41638</v>
      </c>
      <c r="J3896" s="78">
        <v>1168</v>
      </c>
      <c r="U3896" s="132" t="s">
        <v>154</v>
      </c>
      <c r="V3896" s="132" t="s">
        <v>307</v>
      </c>
      <c r="W3896" s="132" t="s">
        <v>267</v>
      </c>
      <c r="X3896" s="133">
        <v>41903</v>
      </c>
      <c r="Y3896" s="134">
        <v>473</v>
      </c>
    </row>
    <row r="3897" spans="6:25" x14ac:dyDescent="0.25">
      <c r="F3897" s="76" t="s">
        <v>150</v>
      </c>
      <c r="G3897" s="77" t="s">
        <v>213</v>
      </c>
      <c r="H3897" s="77" t="s">
        <v>158</v>
      </c>
      <c r="I3897" s="86">
        <v>41638</v>
      </c>
      <c r="J3897" s="78">
        <v>201</v>
      </c>
      <c r="U3897" s="132" t="s">
        <v>154</v>
      </c>
      <c r="V3897" s="132" t="s">
        <v>307</v>
      </c>
      <c r="W3897" s="132" t="s">
        <v>267</v>
      </c>
      <c r="X3897" s="133">
        <v>41904</v>
      </c>
      <c r="Y3897" s="134">
        <v>688</v>
      </c>
    </row>
    <row r="3898" spans="6:25" x14ac:dyDescent="0.25">
      <c r="F3898" s="76" t="s">
        <v>150</v>
      </c>
      <c r="G3898" s="77" t="s">
        <v>213</v>
      </c>
      <c r="H3898" s="77" t="s">
        <v>158</v>
      </c>
      <c r="I3898" s="86">
        <v>41639</v>
      </c>
      <c r="J3898" s="78">
        <v>466</v>
      </c>
      <c r="U3898" s="132" t="s">
        <v>154</v>
      </c>
      <c r="V3898" s="132" t="s">
        <v>307</v>
      </c>
      <c r="W3898" s="132" t="s">
        <v>267</v>
      </c>
      <c r="X3898" s="133">
        <v>41905</v>
      </c>
      <c r="Y3898" s="134">
        <v>823</v>
      </c>
    </row>
    <row r="3899" spans="6:25" x14ac:dyDescent="0.25">
      <c r="F3899" s="76" t="s">
        <v>150</v>
      </c>
      <c r="G3899" s="77" t="s">
        <v>213</v>
      </c>
      <c r="H3899" s="77" t="s">
        <v>158</v>
      </c>
      <c r="I3899" s="86">
        <v>41640</v>
      </c>
      <c r="J3899" s="78">
        <v>463</v>
      </c>
      <c r="U3899" s="132" t="s">
        <v>154</v>
      </c>
      <c r="V3899" s="132" t="s">
        <v>307</v>
      </c>
      <c r="W3899" s="132" t="s">
        <v>267</v>
      </c>
      <c r="X3899" s="133">
        <v>41906</v>
      </c>
      <c r="Y3899" s="134">
        <v>981</v>
      </c>
    </row>
    <row r="3900" spans="6:25" x14ac:dyDescent="0.25">
      <c r="F3900" s="76" t="s">
        <v>150</v>
      </c>
      <c r="G3900" s="77" t="s">
        <v>213</v>
      </c>
      <c r="H3900" s="77" t="s">
        <v>158</v>
      </c>
      <c r="I3900" s="86">
        <v>41645</v>
      </c>
      <c r="J3900" s="78">
        <v>1145</v>
      </c>
      <c r="U3900" s="132" t="s">
        <v>154</v>
      </c>
      <c r="V3900" s="132" t="s">
        <v>307</v>
      </c>
      <c r="W3900" s="132" t="s">
        <v>267</v>
      </c>
      <c r="X3900" s="133">
        <v>41907</v>
      </c>
      <c r="Y3900" s="134">
        <v>831</v>
      </c>
    </row>
    <row r="3901" spans="6:25" x14ac:dyDescent="0.25">
      <c r="F3901" s="76" t="s">
        <v>150</v>
      </c>
      <c r="G3901" s="77" t="s">
        <v>213</v>
      </c>
      <c r="H3901" s="77" t="s">
        <v>158</v>
      </c>
      <c r="I3901" s="86">
        <v>41647</v>
      </c>
      <c r="J3901" s="78">
        <v>746</v>
      </c>
      <c r="U3901" s="132" t="s">
        <v>154</v>
      </c>
      <c r="V3901" s="132" t="s">
        <v>307</v>
      </c>
      <c r="W3901" s="132" t="s">
        <v>267</v>
      </c>
      <c r="X3901" s="133">
        <v>41908</v>
      </c>
      <c r="Y3901" s="134">
        <v>1067</v>
      </c>
    </row>
    <row r="3902" spans="6:25" x14ac:dyDescent="0.25">
      <c r="F3902" s="76" t="s">
        <v>150</v>
      </c>
      <c r="G3902" s="77" t="s">
        <v>213</v>
      </c>
      <c r="H3902" s="77" t="s">
        <v>158</v>
      </c>
      <c r="I3902" s="86">
        <v>41650</v>
      </c>
      <c r="J3902" s="78">
        <v>378</v>
      </c>
      <c r="U3902" s="132" t="s">
        <v>154</v>
      </c>
      <c r="V3902" s="132" t="s">
        <v>307</v>
      </c>
      <c r="W3902" s="132" t="s">
        <v>267</v>
      </c>
      <c r="X3902" s="133">
        <v>41911</v>
      </c>
      <c r="Y3902" s="134">
        <v>565</v>
      </c>
    </row>
    <row r="3903" spans="6:25" x14ac:dyDescent="0.25">
      <c r="F3903" s="76" t="s">
        <v>150</v>
      </c>
      <c r="G3903" s="77" t="s">
        <v>213</v>
      </c>
      <c r="H3903" s="77" t="s">
        <v>158</v>
      </c>
      <c r="I3903" s="86">
        <v>41650</v>
      </c>
      <c r="J3903" s="78">
        <v>1025</v>
      </c>
      <c r="U3903" s="132" t="s">
        <v>154</v>
      </c>
      <c r="V3903" s="132" t="s">
        <v>307</v>
      </c>
      <c r="W3903" s="132" t="s">
        <v>267</v>
      </c>
      <c r="X3903" s="133">
        <v>41912</v>
      </c>
      <c r="Y3903" s="134">
        <v>649</v>
      </c>
    </row>
    <row r="3904" spans="6:25" x14ac:dyDescent="0.25">
      <c r="F3904" s="76" t="s">
        <v>150</v>
      </c>
      <c r="G3904" s="77" t="s">
        <v>213</v>
      </c>
      <c r="H3904" s="77" t="s">
        <v>158</v>
      </c>
      <c r="I3904" s="86">
        <v>41651</v>
      </c>
      <c r="J3904" s="78">
        <v>618</v>
      </c>
      <c r="U3904" s="132" t="s">
        <v>154</v>
      </c>
      <c r="V3904" s="132" t="s">
        <v>307</v>
      </c>
      <c r="W3904" s="132" t="s">
        <v>267</v>
      </c>
      <c r="X3904" s="133">
        <v>41912</v>
      </c>
      <c r="Y3904" s="134">
        <v>849</v>
      </c>
    </row>
    <row r="3905" spans="6:25" x14ac:dyDescent="0.25">
      <c r="F3905" s="76" t="s">
        <v>150</v>
      </c>
      <c r="G3905" s="77" t="s">
        <v>213</v>
      </c>
      <c r="H3905" s="77" t="s">
        <v>158</v>
      </c>
      <c r="I3905" s="86">
        <v>41655</v>
      </c>
      <c r="J3905" s="78">
        <v>1418</v>
      </c>
      <c r="U3905" s="132" t="s">
        <v>154</v>
      </c>
      <c r="V3905" s="132" t="s">
        <v>307</v>
      </c>
      <c r="W3905" s="132" t="s">
        <v>267</v>
      </c>
      <c r="X3905" s="133">
        <v>41913</v>
      </c>
      <c r="Y3905" s="134">
        <v>507</v>
      </c>
    </row>
    <row r="3906" spans="6:25" x14ac:dyDescent="0.25">
      <c r="F3906" s="76" t="s">
        <v>150</v>
      </c>
      <c r="G3906" s="77" t="s">
        <v>213</v>
      </c>
      <c r="H3906" s="77" t="s">
        <v>158</v>
      </c>
      <c r="I3906" s="86">
        <v>41662</v>
      </c>
      <c r="J3906" s="78">
        <v>1504</v>
      </c>
      <c r="U3906" s="132" t="s">
        <v>154</v>
      </c>
      <c r="V3906" s="132" t="s">
        <v>307</v>
      </c>
      <c r="W3906" s="132" t="s">
        <v>267</v>
      </c>
      <c r="X3906" s="133">
        <v>41914</v>
      </c>
      <c r="Y3906" s="134">
        <v>968</v>
      </c>
    </row>
    <row r="3907" spans="6:25" x14ac:dyDescent="0.25">
      <c r="F3907" s="76" t="s">
        <v>150</v>
      </c>
      <c r="G3907" s="77" t="s">
        <v>213</v>
      </c>
      <c r="H3907" s="77" t="s">
        <v>158</v>
      </c>
      <c r="I3907" s="86">
        <v>41667</v>
      </c>
      <c r="J3907" s="78">
        <v>1707</v>
      </c>
      <c r="U3907" s="132" t="s">
        <v>154</v>
      </c>
      <c r="V3907" s="132" t="s">
        <v>307</v>
      </c>
      <c r="W3907" s="132" t="s">
        <v>267</v>
      </c>
      <c r="X3907" s="133">
        <v>41915</v>
      </c>
      <c r="Y3907" s="134">
        <v>603</v>
      </c>
    </row>
    <row r="3908" spans="6:25" x14ac:dyDescent="0.25">
      <c r="F3908" s="76" t="s">
        <v>150</v>
      </c>
      <c r="G3908" s="77" t="s">
        <v>213</v>
      </c>
      <c r="H3908" s="77" t="s">
        <v>158</v>
      </c>
      <c r="I3908" s="86">
        <v>41668</v>
      </c>
      <c r="J3908" s="78">
        <v>406</v>
      </c>
      <c r="U3908" s="132" t="s">
        <v>154</v>
      </c>
      <c r="V3908" s="132" t="s">
        <v>307</v>
      </c>
      <c r="W3908" s="132" t="s">
        <v>267</v>
      </c>
      <c r="X3908" s="133">
        <v>41915</v>
      </c>
      <c r="Y3908" s="134">
        <v>619</v>
      </c>
    </row>
    <row r="3909" spans="6:25" x14ac:dyDescent="0.25">
      <c r="F3909" s="76" t="s">
        <v>150</v>
      </c>
      <c r="G3909" s="77" t="s">
        <v>213</v>
      </c>
      <c r="H3909" s="77" t="s">
        <v>158</v>
      </c>
      <c r="I3909" s="86">
        <v>41767</v>
      </c>
      <c r="J3909" s="78">
        <v>1159</v>
      </c>
      <c r="U3909" s="132" t="s">
        <v>154</v>
      </c>
      <c r="V3909" s="132" t="s">
        <v>307</v>
      </c>
      <c r="W3909" s="132" t="s">
        <v>267</v>
      </c>
      <c r="X3909" s="133">
        <v>41917</v>
      </c>
      <c r="Y3909" s="134">
        <v>560</v>
      </c>
    </row>
    <row r="3910" spans="6:25" x14ac:dyDescent="0.25">
      <c r="F3910" s="76" t="s">
        <v>150</v>
      </c>
      <c r="G3910" s="77" t="s">
        <v>213</v>
      </c>
      <c r="H3910" s="77" t="s">
        <v>158</v>
      </c>
      <c r="I3910" s="86">
        <v>41771</v>
      </c>
      <c r="J3910" s="78">
        <v>413</v>
      </c>
      <c r="U3910" s="132" t="s">
        <v>154</v>
      </c>
      <c r="V3910" s="132" t="s">
        <v>307</v>
      </c>
      <c r="W3910" s="132" t="s">
        <v>267</v>
      </c>
      <c r="X3910" s="133">
        <v>41918</v>
      </c>
      <c r="Y3910" s="134">
        <v>804</v>
      </c>
    </row>
    <row r="3911" spans="6:25" x14ac:dyDescent="0.25">
      <c r="F3911" s="76" t="s">
        <v>150</v>
      </c>
      <c r="G3911" s="77" t="s">
        <v>213</v>
      </c>
      <c r="H3911" s="77" t="s">
        <v>158</v>
      </c>
      <c r="I3911" s="86">
        <v>41774</v>
      </c>
      <c r="J3911" s="78">
        <v>1283</v>
      </c>
      <c r="U3911" s="132" t="s">
        <v>154</v>
      </c>
      <c r="V3911" s="132" t="s">
        <v>307</v>
      </c>
      <c r="W3911" s="132" t="s">
        <v>267</v>
      </c>
      <c r="X3911" s="133">
        <v>41919</v>
      </c>
      <c r="Y3911" s="134">
        <v>767</v>
      </c>
    </row>
    <row r="3912" spans="6:25" x14ac:dyDescent="0.25">
      <c r="F3912" s="76" t="s">
        <v>150</v>
      </c>
      <c r="G3912" s="77" t="s">
        <v>213</v>
      </c>
      <c r="H3912" s="77" t="s">
        <v>158</v>
      </c>
      <c r="I3912" s="86">
        <v>41778</v>
      </c>
      <c r="J3912" s="78">
        <v>1163</v>
      </c>
      <c r="U3912" s="132" t="s">
        <v>154</v>
      </c>
      <c r="V3912" s="132" t="s">
        <v>307</v>
      </c>
      <c r="W3912" s="132" t="s">
        <v>267</v>
      </c>
      <c r="X3912" s="133">
        <v>41920</v>
      </c>
      <c r="Y3912" s="134">
        <v>679</v>
      </c>
    </row>
    <row r="3913" spans="6:25" x14ac:dyDescent="0.25">
      <c r="F3913" s="76" t="s">
        <v>150</v>
      </c>
      <c r="G3913" s="77" t="s">
        <v>213</v>
      </c>
      <c r="H3913" s="77" t="s">
        <v>158</v>
      </c>
      <c r="I3913" s="86">
        <v>41780</v>
      </c>
      <c r="J3913" s="78">
        <v>883</v>
      </c>
      <c r="U3913" s="132" t="s">
        <v>154</v>
      </c>
      <c r="V3913" s="132" t="s">
        <v>307</v>
      </c>
      <c r="W3913" s="132" t="s">
        <v>267</v>
      </c>
      <c r="X3913" s="133">
        <v>41920</v>
      </c>
      <c r="Y3913" s="134">
        <v>556</v>
      </c>
    </row>
    <row r="3914" spans="6:25" x14ac:dyDescent="0.25">
      <c r="F3914" s="76" t="s">
        <v>150</v>
      </c>
      <c r="G3914" s="77" t="s">
        <v>213</v>
      </c>
      <c r="H3914" s="77" t="s">
        <v>158</v>
      </c>
      <c r="I3914" s="86">
        <v>41781</v>
      </c>
      <c r="J3914" s="78">
        <v>871</v>
      </c>
      <c r="U3914" s="132" t="s">
        <v>154</v>
      </c>
      <c r="V3914" s="132" t="s">
        <v>307</v>
      </c>
      <c r="W3914" s="132" t="s">
        <v>267</v>
      </c>
      <c r="X3914" s="133">
        <v>41921</v>
      </c>
      <c r="Y3914" s="134">
        <v>984</v>
      </c>
    </row>
    <row r="3915" spans="6:25" x14ac:dyDescent="0.25">
      <c r="F3915" s="76" t="s">
        <v>150</v>
      </c>
      <c r="G3915" s="77" t="s">
        <v>213</v>
      </c>
      <c r="H3915" s="77" t="s">
        <v>158</v>
      </c>
      <c r="I3915" s="86">
        <v>41786</v>
      </c>
      <c r="J3915" s="78">
        <v>916</v>
      </c>
      <c r="U3915" s="132" t="s">
        <v>154</v>
      </c>
      <c r="V3915" s="132" t="s">
        <v>307</v>
      </c>
      <c r="W3915" s="132" t="s">
        <v>267</v>
      </c>
      <c r="X3915" s="133">
        <v>41922</v>
      </c>
      <c r="Y3915" s="134">
        <v>395</v>
      </c>
    </row>
    <row r="3916" spans="6:25" x14ac:dyDescent="0.25">
      <c r="F3916" s="76" t="s">
        <v>150</v>
      </c>
      <c r="G3916" s="77" t="s">
        <v>213</v>
      </c>
      <c r="H3916" s="77" t="s">
        <v>158</v>
      </c>
      <c r="I3916" s="86">
        <v>41819</v>
      </c>
      <c r="J3916" s="78">
        <v>1635</v>
      </c>
      <c r="U3916" s="132" t="s">
        <v>154</v>
      </c>
      <c r="V3916" s="132" t="s">
        <v>307</v>
      </c>
      <c r="W3916" s="132" t="s">
        <v>267</v>
      </c>
      <c r="X3916" s="133">
        <v>41922</v>
      </c>
      <c r="Y3916" s="134">
        <v>917</v>
      </c>
    </row>
    <row r="3917" spans="6:25" x14ac:dyDescent="0.25">
      <c r="F3917" s="76" t="s">
        <v>150</v>
      </c>
      <c r="G3917" s="77" t="s">
        <v>213</v>
      </c>
      <c r="H3917" s="77" t="s">
        <v>158</v>
      </c>
      <c r="I3917" s="86">
        <v>41828</v>
      </c>
      <c r="J3917" s="78">
        <v>1305</v>
      </c>
      <c r="U3917" s="132" t="s">
        <v>154</v>
      </c>
      <c r="V3917" s="132" t="s">
        <v>307</v>
      </c>
      <c r="W3917" s="132" t="s">
        <v>267</v>
      </c>
      <c r="X3917" s="133">
        <v>41925</v>
      </c>
      <c r="Y3917" s="134">
        <v>965</v>
      </c>
    </row>
    <row r="3918" spans="6:25" x14ac:dyDescent="0.25">
      <c r="F3918" s="76" t="s">
        <v>150</v>
      </c>
      <c r="G3918" s="77" t="s">
        <v>213</v>
      </c>
      <c r="H3918" s="77" t="s">
        <v>158</v>
      </c>
      <c r="I3918" s="86">
        <v>41829</v>
      </c>
      <c r="J3918" s="78">
        <v>856</v>
      </c>
      <c r="U3918" s="132" t="s">
        <v>154</v>
      </c>
      <c r="V3918" s="132" t="s">
        <v>307</v>
      </c>
      <c r="W3918" s="132" t="s">
        <v>267</v>
      </c>
      <c r="X3918" s="133">
        <v>41926</v>
      </c>
      <c r="Y3918" s="134">
        <v>692</v>
      </c>
    </row>
    <row r="3919" spans="6:25" x14ac:dyDescent="0.25">
      <c r="F3919" s="76" t="s">
        <v>150</v>
      </c>
      <c r="G3919" s="77" t="s">
        <v>213</v>
      </c>
      <c r="H3919" s="77" t="s">
        <v>158</v>
      </c>
      <c r="I3919" s="86">
        <v>41831</v>
      </c>
      <c r="J3919" s="78">
        <v>1397</v>
      </c>
      <c r="U3919" s="132" t="s">
        <v>154</v>
      </c>
      <c r="V3919" s="132" t="s">
        <v>307</v>
      </c>
      <c r="W3919" s="132" t="s">
        <v>267</v>
      </c>
      <c r="X3919" s="133">
        <v>41926</v>
      </c>
      <c r="Y3919" s="134">
        <v>570</v>
      </c>
    </row>
    <row r="3920" spans="6:25" x14ac:dyDescent="0.25">
      <c r="F3920" s="76" t="s">
        <v>150</v>
      </c>
      <c r="G3920" s="77" t="s">
        <v>213</v>
      </c>
      <c r="H3920" s="77" t="s">
        <v>158</v>
      </c>
      <c r="I3920" s="86">
        <v>41835</v>
      </c>
      <c r="J3920" s="78">
        <v>1002</v>
      </c>
      <c r="U3920" s="132" t="s">
        <v>154</v>
      </c>
      <c r="V3920" s="132" t="s">
        <v>308</v>
      </c>
      <c r="W3920" s="132" t="s">
        <v>267</v>
      </c>
      <c r="X3920" s="133">
        <v>41762</v>
      </c>
      <c r="Y3920" s="134">
        <v>839</v>
      </c>
    </row>
    <row r="3921" spans="6:25" x14ac:dyDescent="0.25">
      <c r="F3921" s="76" t="s">
        <v>150</v>
      </c>
      <c r="G3921" s="77" t="s">
        <v>213</v>
      </c>
      <c r="H3921" s="77" t="s">
        <v>158</v>
      </c>
      <c r="I3921" s="86">
        <v>41836</v>
      </c>
      <c r="J3921" s="78">
        <v>643</v>
      </c>
      <c r="U3921" s="132" t="s">
        <v>154</v>
      </c>
      <c r="V3921" s="132" t="s">
        <v>308</v>
      </c>
      <c r="W3921" s="132" t="s">
        <v>267</v>
      </c>
      <c r="X3921" s="133">
        <v>41896</v>
      </c>
      <c r="Y3921" s="134">
        <v>535</v>
      </c>
    </row>
    <row r="3922" spans="6:25" x14ac:dyDescent="0.25">
      <c r="F3922" s="76" t="s">
        <v>150</v>
      </c>
      <c r="G3922" s="77" t="s">
        <v>213</v>
      </c>
      <c r="H3922" s="77" t="s">
        <v>158</v>
      </c>
      <c r="I3922" s="86">
        <v>41837</v>
      </c>
      <c r="J3922" s="78">
        <v>588</v>
      </c>
      <c r="U3922" s="132" t="s">
        <v>154</v>
      </c>
      <c r="V3922" s="132" t="s">
        <v>308</v>
      </c>
      <c r="W3922" s="132" t="s">
        <v>267</v>
      </c>
      <c r="X3922" s="133">
        <v>41897</v>
      </c>
      <c r="Y3922" s="134">
        <v>621</v>
      </c>
    </row>
    <row r="3923" spans="6:25" x14ac:dyDescent="0.25">
      <c r="F3923" s="76" t="s">
        <v>150</v>
      </c>
      <c r="G3923" s="77" t="s">
        <v>213</v>
      </c>
      <c r="H3923" s="77" t="s">
        <v>158</v>
      </c>
      <c r="I3923" s="86">
        <v>41842</v>
      </c>
      <c r="J3923" s="78">
        <v>1291</v>
      </c>
      <c r="U3923" s="132" t="s">
        <v>154</v>
      </c>
      <c r="V3923" s="132" t="s">
        <v>308</v>
      </c>
      <c r="W3923" s="132" t="s">
        <v>267</v>
      </c>
      <c r="X3923" s="133">
        <v>41898</v>
      </c>
      <c r="Y3923" s="134">
        <v>676</v>
      </c>
    </row>
    <row r="3924" spans="6:25" x14ac:dyDescent="0.25">
      <c r="F3924" s="76" t="s">
        <v>150</v>
      </c>
      <c r="G3924" s="77" t="s">
        <v>213</v>
      </c>
      <c r="H3924" s="77" t="s">
        <v>158</v>
      </c>
      <c r="I3924" s="86">
        <v>41844</v>
      </c>
      <c r="J3924" s="78">
        <v>852</v>
      </c>
      <c r="U3924" s="132" t="s">
        <v>154</v>
      </c>
      <c r="V3924" s="132" t="s">
        <v>308</v>
      </c>
      <c r="W3924" s="132" t="s">
        <v>267</v>
      </c>
      <c r="X3924" s="133">
        <v>41898</v>
      </c>
      <c r="Y3924" s="134">
        <v>575</v>
      </c>
    </row>
    <row r="3925" spans="6:25" x14ac:dyDescent="0.25">
      <c r="F3925" s="76" t="s">
        <v>150</v>
      </c>
      <c r="G3925" s="77" t="s">
        <v>213</v>
      </c>
      <c r="H3925" s="77" t="s">
        <v>158</v>
      </c>
      <c r="I3925" s="86">
        <v>41845</v>
      </c>
      <c r="J3925" s="78">
        <v>708</v>
      </c>
      <c r="U3925" s="132" t="s">
        <v>154</v>
      </c>
      <c r="V3925" s="132" t="s">
        <v>308</v>
      </c>
      <c r="W3925" s="132" t="s">
        <v>267</v>
      </c>
      <c r="X3925" s="133">
        <v>41899</v>
      </c>
      <c r="Y3925" s="134">
        <v>805</v>
      </c>
    </row>
    <row r="3926" spans="6:25" x14ac:dyDescent="0.25">
      <c r="F3926" s="76" t="s">
        <v>150</v>
      </c>
      <c r="G3926" s="77" t="s">
        <v>213</v>
      </c>
      <c r="H3926" s="77" t="s">
        <v>158</v>
      </c>
      <c r="I3926" s="86">
        <v>41847</v>
      </c>
      <c r="J3926" s="78">
        <v>1088</v>
      </c>
      <c r="U3926" s="132" t="s">
        <v>154</v>
      </c>
      <c r="V3926" s="132" t="s">
        <v>308</v>
      </c>
      <c r="W3926" s="132" t="s">
        <v>267</v>
      </c>
      <c r="X3926" s="133">
        <v>41900</v>
      </c>
      <c r="Y3926" s="134">
        <v>675</v>
      </c>
    </row>
    <row r="3927" spans="6:25" x14ac:dyDescent="0.25">
      <c r="F3927" s="76" t="s">
        <v>150</v>
      </c>
      <c r="G3927" s="77" t="s">
        <v>213</v>
      </c>
      <c r="H3927" s="77" t="s">
        <v>158</v>
      </c>
      <c r="I3927" s="86">
        <v>41849</v>
      </c>
      <c r="J3927" s="78">
        <v>773</v>
      </c>
      <c r="U3927" s="132" t="s">
        <v>154</v>
      </c>
      <c r="V3927" s="132" t="s">
        <v>308</v>
      </c>
      <c r="W3927" s="132" t="s">
        <v>267</v>
      </c>
      <c r="X3927" s="133">
        <v>41900</v>
      </c>
      <c r="Y3927" s="134">
        <v>885</v>
      </c>
    </row>
    <row r="3928" spans="6:25" x14ac:dyDescent="0.25">
      <c r="F3928" s="76" t="s">
        <v>150</v>
      </c>
      <c r="G3928" s="77" t="s">
        <v>213</v>
      </c>
      <c r="H3928" s="77" t="s">
        <v>158</v>
      </c>
      <c r="I3928" s="86">
        <v>41850</v>
      </c>
      <c r="J3928" s="78">
        <v>612</v>
      </c>
      <c r="U3928" s="132" t="s">
        <v>154</v>
      </c>
      <c r="V3928" s="132" t="s">
        <v>308</v>
      </c>
      <c r="W3928" s="132" t="s">
        <v>267</v>
      </c>
      <c r="X3928" s="133">
        <v>41901</v>
      </c>
      <c r="Y3928" s="134">
        <v>521</v>
      </c>
    </row>
    <row r="3929" spans="6:25" x14ac:dyDescent="0.25">
      <c r="F3929" s="76" t="s">
        <v>150</v>
      </c>
      <c r="G3929" s="77" t="s">
        <v>213</v>
      </c>
      <c r="H3929" s="77" t="s">
        <v>158</v>
      </c>
      <c r="I3929" s="86">
        <v>41853</v>
      </c>
      <c r="J3929" s="78">
        <v>1399</v>
      </c>
      <c r="U3929" s="132" t="s">
        <v>154</v>
      </c>
      <c r="V3929" s="132" t="s">
        <v>308</v>
      </c>
      <c r="W3929" s="132" t="s">
        <v>267</v>
      </c>
      <c r="X3929" s="133">
        <v>41902</v>
      </c>
      <c r="Y3929" s="134">
        <v>698</v>
      </c>
    </row>
    <row r="3930" spans="6:25" x14ac:dyDescent="0.25">
      <c r="F3930" s="76" t="s">
        <v>150</v>
      </c>
      <c r="G3930" s="77" t="s">
        <v>213</v>
      </c>
      <c r="H3930" s="77" t="s">
        <v>158</v>
      </c>
      <c r="I3930" s="86">
        <v>41853</v>
      </c>
      <c r="J3930" s="78">
        <v>700</v>
      </c>
      <c r="U3930" s="132" t="s">
        <v>154</v>
      </c>
      <c r="V3930" s="132" t="s">
        <v>308</v>
      </c>
      <c r="W3930" s="132" t="s">
        <v>267</v>
      </c>
      <c r="X3930" s="133">
        <v>41903</v>
      </c>
      <c r="Y3930" s="134">
        <v>218</v>
      </c>
    </row>
    <row r="3931" spans="6:25" x14ac:dyDescent="0.25">
      <c r="F3931" s="76" t="s">
        <v>150</v>
      </c>
      <c r="G3931" s="77" t="s">
        <v>213</v>
      </c>
      <c r="H3931" s="77" t="s">
        <v>158</v>
      </c>
      <c r="I3931" s="86">
        <v>41854</v>
      </c>
      <c r="J3931" s="78">
        <v>856</v>
      </c>
      <c r="U3931" s="132" t="s">
        <v>154</v>
      </c>
      <c r="V3931" s="132" t="s">
        <v>308</v>
      </c>
      <c r="W3931" s="132" t="s">
        <v>267</v>
      </c>
      <c r="X3931" s="133">
        <v>41903</v>
      </c>
      <c r="Y3931" s="134">
        <v>728</v>
      </c>
    </row>
    <row r="3932" spans="6:25" x14ac:dyDescent="0.25">
      <c r="F3932" s="76" t="s">
        <v>150</v>
      </c>
      <c r="G3932" s="77" t="s">
        <v>213</v>
      </c>
      <c r="H3932" s="77" t="s">
        <v>158</v>
      </c>
      <c r="I3932" s="86">
        <v>41856</v>
      </c>
      <c r="J3932" s="78">
        <v>1150</v>
      </c>
      <c r="U3932" s="132" t="s">
        <v>154</v>
      </c>
      <c r="V3932" s="132" t="s">
        <v>308</v>
      </c>
      <c r="W3932" s="132" t="s">
        <v>267</v>
      </c>
      <c r="X3932" s="133">
        <v>41904</v>
      </c>
      <c r="Y3932" s="134">
        <v>778</v>
      </c>
    </row>
    <row r="3933" spans="6:25" x14ac:dyDescent="0.25">
      <c r="F3933" s="76" t="s">
        <v>150</v>
      </c>
      <c r="G3933" s="77" t="s">
        <v>213</v>
      </c>
      <c r="H3933" s="77" t="s">
        <v>158</v>
      </c>
      <c r="I3933" s="86">
        <v>41858</v>
      </c>
      <c r="J3933" s="78">
        <v>753</v>
      </c>
      <c r="U3933" s="132" t="s">
        <v>154</v>
      </c>
      <c r="V3933" s="132" t="s">
        <v>308</v>
      </c>
      <c r="W3933" s="132" t="s">
        <v>267</v>
      </c>
      <c r="X3933" s="133">
        <v>41905</v>
      </c>
      <c r="Y3933" s="134">
        <v>720</v>
      </c>
    </row>
    <row r="3934" spans="6:25" x14ac:dyDescent="0.25">
      <c r="F3934" s="76" t="s">
        <v>150</v>
      </c>
      <c r="G3934" s="77" t="s">
        <v>213</v>
      </c>
      <c r="H3934" s="77" t="s">
        <v>158</v>
      </c>
      <c r="I3934" s="86">
        <v>41859</v>
      </c>
      <c r="J3934" s="78">
        <v>990</v>
      </c>
      <c r="U3934" s="132" t="s">
        <v>154</v>
      </c>
      <c r="V3934" s="132" t="s">
        <v>308</v>
      </c>
      <c r="W3934" s="132" t="s">
        <v>267</v>
      </c>
      <c r="X3934" s="133">
        <v>41906</v>
      </c>
      <c r="Y3934" s="134">
        <v>738</v>
      </c>
    </row>
    <row r="3935" spans="6:25" x14ac:dyDescent="0.25">
      <c r="F3935" s="76" t="s">
        <v>150</v>
      </c>
      <c r="G3935" s="77" t="s">
        <v>213</v>
      </c>
      <c r="H3935" s="77" t="s">
        <v>158</v>
      </c>
      <c r="I3935" s="86">
        <v>41859</v>
      </c>
      <c r="J3935" s="78">
        <v>727</v>
      </c>
      <c r="U3935" s="132" t="s">
        <v>154</v>
      </c>
      <c r="V3935" s="132" t="s">
        <v>308</v>
      </c>
      <c r="W3935" s="132" t="s">
        <v>267</v>
      </c>
      <c r="X3935" s="133">
        <v>41907</v>
      </c>
      <c r="Y3935" s="134">
        <v>887</v>
      </c>
    </row>
    <row r="3936" spans="6:25" x14ac:dyDescent="0.25">
      <c r="F3936" s="76" t="s">
        <v>150</v>
      </c>
      <c r="G3936" s="77" t="s">
        <v>213</v>
      </c>
      <c r="H3936" s="77" t="s">
        <v>158</v>
      </c>
      <c r="I3936" s="86">
        <v>41860</v>
      </c>
      <c r="J3936" s="78">
        <v>667</v>
      </c>
      <c r="U3936" s="132" t="s">
        <v>154</v>
      </c>
      <c r="V3936" s="132" t="s">
        <v>308</v>
      </c>
      <c r="W3936" s="132" t="s">
        <v>267</v>
      </c>
      <c r="X3936" s="133">
        <v>41908</v>
      </c>
      <c r="Y3936" s="134">
        <v>637</v>
      </c>
    </row>
    <row r="3937" spans="6:25" x14ac:dyDescent="0.25">
      <c r="F3937" s="76" t="s">
        <v>150</v>
      </c>
      <c r="G3937" s="77" t="s">
        <v>213</v>
      </c>
      <c r="H3937" s="77" t="s">
        <v>158</v>
      </c>
      <c r="I3937" s="86">
        <v>41861</v>
      </c>
      <c r="J3937" s="78">
        <v>1094</v>
      </c>
      <c r="U3937" s="132" t="s">
        <v>154</v>
      </c>
      <c r="V3937" s="132" t="s">
        <v>308</v>
      </c>
      <c r="W3937" s="132" t="s">
        <v>267</v>
      </c>
      <c r="X3937" s="133">
        <v>41908</v>
      </c>
      <c r="Y3937" s="134">
        <v>567</v>
      </c>
    </row>
    <row r="3938" spans="6:25" x14ac:dyDescent="0.25">
      <c r="F3938" s="76" t="s">
        <v>150</v>
      </c>
      <c r="G3938" s="77" t="s">
        <v>213</v>
      </c>
      <c r="H3938" s="77" t="s">
        <v>158</v>
      </c>
      <c r="I3938" s="86">
        <v>41862</v>
      </c>
      <c r="J3938" s="78">
        <v>1437</v>
      </c>
      <c r="U3938" s="132" t="s">
        <v>154</v>
      </c>
      <c r="V3938" s="132" t="s">
        <v>308</v>
      </c>
      <c r="W3938" s="132" t="s">
        <v>267</v>
      </c>
      <c r="X3938" s="133">
        <v>41909</v>
      </c>
      <c r="Y3938" s="134">
        <v>526</v>
      </c>
    </row>
    <row r="3939" spans="6:25" x14ac:dyDescent="0.25">
      <c r="F3939" s="76" t="s">
        <v>150</v>
      </c>
      <c r="G3939" s="77" t="s">
        <v>213</v>
      </c>
      <c r="H3939" s="77" t="s">
        <v>158</v>
      </c>
      <c r="I3939" s="86">
        <v>41903</v>
      </c>
      <c r="J3939" s="78">
        <v>854</v>
      </c>
      <c r="U3939" s="132" t="s">
        <v>154</v>
      </c>
      <c r="V3939" s="132" t="s">
        <v>308</v>
      </c>
      <c r="W3939" s="132" t="s">
        <v>267</v>
      </c>
      <c r="X3939" s="133">
        <v>41910</v>
      </c>
      <c r="Y3939" s="134">
        <v>845</v>
      </c>
    </row>
    <row r="3940" spans="6:25" x14ac:dyDescent="0.25">
      <c r="F3940" s="76" t="s">
        <v>150</v>
      </c>
      <c r="G3940" s="77" t="s">
        <v>213</v>
      </c>
      <c r="H3940" s="77" t="s">
        <v>158</v>
      </c>
      <c r="I3940" s="86">
        <v>41915</v>
      </c>
      <c r="J3940" s="78">
        <v>1552</v>
      </c>
      <c r="U3940" s="132" t="s">
        <v>154</v>
      </c>
      <c r="V3940" s="132" t="s">
        <v>308</v>
      </c>
      <c r="W3940" s="132" t="s">
        <v>267</v>
      </c>
      <c r="X3940" s="133">
        <v>41911</v>
      </c>
      <c r="Y3940" s="134">
        <v>610</v>
      </c>
    </row>
    <row r="3941" spans="6:25" x14ac:dyDescent="0.25">
      <c r="F3941" s="76" t="s">
        <v>150</v>
      </c>
      <c r="G3941" s="77" t="s">
        <v>213</v>
      </c>
      <c r="H3941" s="77" t="s">
        <v>158</v>
      </c>
      <c r="I3941" s="86">
        <v>41918</v>
      </c>
      <c r="J3941" s="78">
        <v>403</v>
      </c>
      <c r="U3941" s="132" t="s">
        <v>154</v>
      </c>
      <c r="V3941" s="132" t="s">
        <v>308</v>
      </c>
      <c r="W3941" s="132" t="s">
        <v>267</v>
      </c>
      <c r="X3941" s="133">
        <v>41911</v>
      </c>
      <c r="Y3941" s="134">
        <v>825</v>
      </c>
    </row>
    <row r="3942" spans="6:25" x14ac:dyDescent="0.25">
      <c r="F3942" s="76" t="s">
        <v>150</v>
      </c>
      <c r="G3942" s="77" t="s">
        <v>213</v>
      </c>
      <c r="H3942" s="77" t="s">
        <v>158</v>
      </c>
      <c r="I3942" s="86">
        <v>41921</v>
      </c>
      <c r="J3942" s="78">
        <v>1142</v>
      </c>
      <c r="U3942" s="132" t="s">
        <v>154</v>
      </c>
      <c r="V3942" s="132" t="s">
        <v>308</v>
      </c>
      <c r="W3942" s="132" t="s">
        <v>267</v>
      </c>
      <c r="X3942" s="133">
        <v>41912</v>
      </c>
      <c r="Y3942" s="134">
        <v>490</v>
      </c>
    </row>
    <row r="3943" spans="6:25" x14ac:dyDescent="0.25">
      <c r="F3943" s="76" t="s">
        <v>150</v>
      </c>
      <c r="G3943" s="77" t="s">
        <v>213</v>
      </c>
      <c r="H3943" s="77" t="s">
        <v>158</v>
      </c>
      <c r="I3943" s="86">
        <v>41923</v>
      </c>
      <c r="J3943" s="78">
        <v>1108</v>
      </c>
      <c r="U3943" s="132" t="s">
        <v>154</v>
      </c>
      <c r="V3943" s="132" t="s">
        <v>308</v>
      </c>
      <c r="W3943" s="132" t="s">
        <v>267</v>
      </c>
      <c r="X3943" s="133">
        <v>41913</v>
      </c>
      <c r="Y3943" s="134">
        <v>1223</v>
      </c>
    </row>
    <row r="3944" spans="6:25" x14ac:dyDescent="0.25">
      <c r="F3944" s="76" t="s">
        <v>150</v>
      </c>
      <c r="G3944" s="77" t="s">
        <v>213</v>
      </c>
      <c r="H3944" s="77" t="s">
        <v>158</v>
      </c>
      <c r="I3944" s="86">
        <v>41923</v>
      </c>
      <c r="J3944" s="78">
        <v>514</v>
      </c>
      <c r="U3944" s="132" t="s">
        <v>154</v>
      </c>
      <c r="V3944" s="132" t="s">
        <v>308</v>
      </c>
      <c r="W3944" s="132" t="s">
        <v>267</v>
      </c>
      <c r="X3944" s="133">
        <v>41914</v>
      </c>
      <c r="Y3944" s="134">
        <v>1150</v>
      </c>
    </row>
    <row r="3945" spans="6:25" x14ac:dyDescent="0.25">
      <c r="F3945" s="76" t="s">
        <v>150</v>
      </c>
      <c r="G3945" s="77" t="s">
        <v>213</v>
      </c>
      <c r="H3945" s="77" t="s">
        <v>158</v>
      </c>
      <c r="I3945" s="86">
        <v>41924</v>
      </c>
      <c r="J3945" s="78">
        <v>761</v>
      </c>
      <c r="U3945" s="132" t="s">
        <v>154</v>
      </c>
      <c r="V3945" s="132" t="s">
        <v>308</v>
      </c>
      <c r="W3945" s="132" t="s">
        <v>267</v>
      </c>
      <c r="X3945" s="133">
        <v>41915</v>
      </c>
      <c r="Y3945" s="134">
        <v>841</v>
      </c>
    </row>
    <row r="3946" spans="6:25" x14ac:dyDescent="0.25">
      <c r="F3946" s="76" t="s">
        <v>150</v>
      </c>
      <c r="G3946" s="77" t="s">
        <v>213</v>
      </c>
      <c r="H3946" s="77" t="s">
        <v>158</v>
      </c>
      <c r="I3946" s="86">
        <v>41926</v>
      </c>
      <c r="J3946" s="78">
        <v>1200</v>
      </c>
      <c r="U3946" s="132" t="s">
        <v>154</v>
      </c>
      <c r="V3946" s="132" t="s">
        <v>308</v>
      </c>
      <c r="W3946" s="132" t="s">
        <v>267</v>
      </c>
      <c r="X3946" s="133">
        <v>41918</v>
      </c>
      <c r="Y3946" s="134">
        <v>906</v>
      </c>
    </row>
    <row r="3947" spans="6:25" x14ac:dyDescent="0.25">
      <c r="F3947" s="76" t="s">
        <v>150</v>
      </c>
      <c r="G3947" s="77" t="s">
        <v>213</v>
      </c>
      <c r="H3947" s="77" t="s">
        <v>158</v>
      </c>
      <c r="I3947" s="86">
        <v>41929</v>
      </c>
      <c r="J3947" s="78">
        <v>955</v>
      </c>
      <c r="U3947" s="132" t="s">
        <v>154</v>
      </c>
      <c r="V3947" s="132" t="s">
        <v>308</v>
      </c>
      <c r="W3947" s="132" t="s">
        <v>267</v>
      </c>
      <c r="X3947" s="133">
        <v>41919</v>
      </c>
      <c r="Y3947" s="134">
        <v>825</v>
      </c>
    </row>
    <row r="3948" spans="6:25" x14ac:dyDescent="0.25">
      <c r="F3948" s="76" t="s">
        <v>150</v>
      </c>
      <c r="G3948" s="77" t="s">
        <v>213</v>
      </c>
      <c r="H3948" s="77" t="s">
        <v>158</v>
      </c>
      <c r="I3948" s="86">
        <v>41933</v>
      </c>
      <c r="J3948" s="78">
        <v>910</v>
      </c>
      <c r="U3948" s="132" t="s">
        <v>154</v>
      </c>
      <c r="V3948" s="132" t="s">
        <v>308</v>
      </c>
      <c r="W3948" s="132" t="s">
        <v>267</v>
      </c>
      <c r="X3948" s="133">
        <v>41920</v>
      </c>
      <c r="Y3948" s="134">
        <v>804</v>
      </c>
    </row>
    <row r="3949" spans="6:25" x14ac:dyDescent="0.25">
      <c r="F3949" s="76" t="s">
        <v>150</v>
      </c>
      <c r="G3949" s="77" t="s">
        <v>213</v>
      </c>
      <c r="H3949" s="77" t="s">
        <v>158</v>
      </c>
      <c r="I3949" s="86">
        <v>41935</v>
      </c>
      <c r="J3949" s="78">
        <v>715</v>
      </c>
      <c r="U3949" s="132" t="s">
        <v>154</v>
      </c>
      <c r="V3949" s="132" t="s">
        <v>308</v>
      </c>
      <c r="W3949" s="132" t="s">
        <v>267</v>
      </c>
      <c r="X3949" s="133">
        <v>41921</v>
      </c>
      <c r="Y3949" s="134">
        <v>338</v>
      </c>
    </row>
    <row r="3950" spans="6:25" x14ac:dyDescent="0.25">
      <c r="F3950" s="76" t="s">
        <v>150</v>
      </c>
      <c r="G3950" s="77" t="s">
        <v>213</v>
      </c>
      <c r="H3950" s="77" t="s">
        <v>158</v>
      </c>
      <c r="I3950" s="86">
        <v>41940</v>
      </c>
      <c r="J3950" s="78">
        <v>1355</v>
      </c>
      <c r="U3950" s="132" t="s">
        <v>154</v>
      </c>
      <c r="V3950" s="132" t="s">
        <v>269</v>
      </c>
      <c r="W3950" s="132" t="s">
        <v>174</v>
      </c>
      <c r="X3950" s="133">
        <v>41670</v>
      </c>
      <c r="Y3950" s="134">
        <v>753</v>
      </c>
    </row>
    <row r="3951" spans="6:25" x14ac:dyDescent="0.25">
      <c r="F3951" s="76" t="s">
        <v>150</v>
      </c>
      <c r="G3951" s="77" t="s">
        <v>213</v>
      </c>
      <c r="H3951" s="77" t="s">
        <v>158</v>
      </c>
      <c r="I3951" s="86">
        <v>41942</v>
      </c>
      <c r="J3951" s="78">
        <v>692</v>
      </c>
      <c r="U3951" s="132" t="s">
        <v>154</v>
      </c>
      <c r="V3951" s="132" t="s">
        <v>269</v>
      </c>
      <c r="W3951" s="132" t="s">
        <v>174</v>
      </c>
      <c r="X3951" s="133">
        <v>41673</v>
      </c>
      <c r="Y3951" s="134">
        <v>805</v>
      </c>
    </row>
    <row r="3952" spans="6:25" x14ac:dyDescent="0.25">
      <c r="F3952" s="76" t="s">
        <v>150</v>
      </c>
      <c r="G3952" s="77" t="s">
        <v>213</v>
      </c>
      <c r="H3952" s="77" t="s">
        <v>158</v>
      </c>
      <c r="I3952" s="86">
        <v>41943</v>
      </c>
      <c r="J3952" s="78">
        <v>300</v>
      </c>
      <c r="U3952" s="132" t="s">
        <v>154</v>
      </c>
      <c r="V3952" s="132" t="s">
        <v>269</v>
      </c>
      <c r="W3952" s="132" t="s">
        <v>174</v>
      </c>
      <c r="X3952" s="133">
        <v>41674</v>
      </c>
      <c r="Y3952" s="134">
        <v>675</v>
      </c>
    </row>
    <row r="3953" spans="6:25" x14ac:dyDescent="0.25">
      <c r="F3953" s="76" t="s">
        <v>150</v>
      </c>
      <c r="G3953" s="77" t="s">
        <v>213</v>
      </c>
      <c r="H3953" s="77" t="s">
        <v>158</v>
      </c>
      <c r="I3953" s="86">
        <v>41944</v>
      </c>
      <c r="J3953" s="78">
        <v>285</v>
      </c>
      <c r="U3953" s="132" t="s">
        <v>154</v>
      </c>
      <c r="V3953" s="132" t="s">
        <v>269</v>
      </c>
      <c r="W3953" s="132" t="s">
        <v>174</v>
      </c>
      <c r="X3953" s="133">
        <v>41675</v>
      </c>
      <c r="Y3953" s="134">
        <v>625</v>
      </c>
    </row>
    <row r="3954" spans="6:25" x14ac:dyDescent="0.25">
      <c r="F3954" s="76" t="s">
        <v>150</v>
      </c>
      <c r="G3954" s="77" t="s">
        <v>213</v>
      </c>
      <c r="H3954" s="77" t="s">
        <v>158</v>
      </c>
      <c r="I3954" s="86">
        <v>41945</v>
      </c>
      <c r="J3954" s="78">
        <v>789</v>
      </c>
      <c r="U3954" s="132" t="s">
        <v>154</v>
      </c>
      <c r="V3954" s="132" t="s">
        <v>269</v>
      </c>
      <c r="W3954" s="132" t="s">
        <v>174</v>
      </c>
      <c r="X3954" s="133">
        <v>41676</v>
      </c>
      <c r="Y3954" s="134">
        <v>808</v>
      </c>
    </row>
    <row r="3955" spans="6:25" x14ac:dyDescent="0.25">
      <c r="F3955" s="76" t="s">
        <v>150</v>
      </c>
      <c r="G3955" s="77" t="s">
        <v>213</v>
      </c>
      <c r="H3955" s="77" t="s">
        <v>158</v>
      </c>
      <c r="I3955" s="86">
        <v>41949</v>
      </c>
      <c r="J3955" s="78">
        <v>956</v>
      </c>
      <c r="U3955" s="132" t="s">
        <v>154</v>
      </c>
      <c r="V3955" s="132" t="s">
        <v>269</v>
      </c>
      <c r="W3955" s="132" t="s">
        <v>174</v>
      </c>
      <c r="X3955" s="133">
        <v>41676</v>
      </c>
      <c r="Y3955" s="134">
        <v>300</v>
      </c>
    </row>
    <row r="3956" spans="6:25" x14ac:dyDescent="0.25">
      <c r="F3956" s="76" t="s">
        <v>150</v>
      </c>
      <c r="G3956" s="77" t="s">
        <v>213</v>
      </c>
      <c r="H3956" s="77" t="s">
        <v>158</v>
      </c>
      <c r="I3956" s="86">
        <v>41950</v>
      </c>
      <c r="J3956" s="78">
        <v>1017</v>
      </c>
      <c r="U3956" s="132" t="s">
        <v>154</v>
      </c>
      <c r="V3956" s="132" t="s">
        <v>269</v>
      </c>
      <c r="W3956" s="132" t="s">
        <v>174</v>
      </c>
      <c r="X3956" s="133">
        <v>41677</v>
      </c>
      <c r="Y3956" s="134">
        <v>798</v>
      </c>
    </row>
    <row r="3957" spans="6:25" x14ac:dyDescent="0.25">
      <c r="F3957" s="76" t="s">
        <v>150</v>
      </c>
      <c r="G3957" s="77" t="s">
        <v>213</v>
      </c>
      <c r="H3957" s="77" t="s">
        <v>158</v>
      </c>
      <c r="I3957" s="86">
        <v>41951</v>
      </c>
      <c r="J3957" s="78">
        <v>803</v>
      </c>
      <c r="U3957" s="132" t="s">
        <v>154</v>
      </c>
      <c r="V3957" s="132" t="s">
        <v>269</v>
      </c>
      <c r="W3957" s="132" t="s">
        <v>174</v>
      </c>
      <c r="X3957" s="133">
        <v>41680</v>
      </c>
      <c r="Y3957" s="134">
        <v>850</v>
      </c>
    </row>
    <row r="3958" spans="6:25" x14ac:dyDescent="0.25">
      <c r="F3958" s="76" t="s">
        <v>150</v>
      </c>
      <c r="G3958" s="77" t="s">
        <v>213</v>
      </c>
      <c r="H3958" s="77" t="s">
        <v>158</v>
      </c>
      <c r="I3958" s="86">
        <v>41952</v>
      </c>
      <c r="J3958" s="78">
        <v>667</v>
      </c>
      <c r="U3958" s="132" t="s">
        <v>154</v>
      </c>
      <c r="V3958" s="132" t="s">
        <v>269</v>
      </c>
      <c r="W3958" s="132" t="s">
        <v>174</v>
      </c>
      <c r="X3958" s="133">
        <v>41681</v>
      </c>
      <c r="Y3958" s="134">
        <v>518</v>
      </c>
    </row>
    <row r="3959" spans="6:25" x14ac:dyDescent="0.25">
      <c r="F3959" s="76" t="s">
        <v>150</v>
      </c>
      <c r="G3959" s="77" t="s">
        <v>213</v>
      </c>
      <c r="H3959" s="77" t="s">
        <v>158</v>
      </c>
      <c r="I3959" s="86">
        <v>41954</v>
      </c>
      <c r="J3959" s="78">
        <v>1027</v>
      </c>
      <c r="U3959" s="132" t="s">
        <v>154</v>
      </c>
      <c r="V3959" s="132" t="s">
        <v>269</v>
      </c>
      <c r="W3959" s="132" t="s">
        <v>174</v>
      </c>
      <c r="X3959" s="133">
        <v>41681</v>
      </c>
      <c r="Y3959" s="134">
        <v>762</v>
      </c>
    </row>
    <row r="3960" spans="6:25" x14ac:dyDescent="0.25">
      <c r="F3960" s="76" t="s">
        <v>150</v>
      </c>
      <c r="G3960" s="77" t="s">
        <v>213</v>
      </c>
      <c r="H3960" s="77" t="s">
        <v>158</v>
      </c>
      <c r="I3960" s="86">
        <v>41956</v>
      </c>
      <c r="J3960" s="78">
        <v>1258</v>
      </c>
      <c r="U3960" s="132" t="s">
        <v>154</v>
      </c>
      <c r="V3960" s="132" t="s">
        <v>269</v>
      </c>
      <c r="W3960" s="132" t="s">
        <v>174</v>
      </c>
      <c r="X3960" s="133">
        <v>41682</v>
      </c>
      <c r="Y3960" s="134">
        <v>968</v>
      </c>
    </row>
    <row r="3961" spans="6:25" x14ac:dyDescent="0.25">
      <c r="F3961" s="76" t="s">
        <v>150</v>
      </c>
      <c r="G3961" s="77" t="s">
        <v>213</v>
      </c>
      <c r="H3961" s="77" t="s">
        <v>158</v>
      </c>
      <c r="I3961" s="86">
        <v>41957</v>
      </c>
      <c r="J3961" s="78">
        <v>397</v>
      </c>
      <c r="U3961" s="132" t="s">
        <v>154</v>
      </c>
      <c r="V3961" s="132" t="s">
        <v>269</v>
      </c>
      <c r="W3961" s="132" t="s">
        <v>174</v>
      </c>
      <c r="X3961" s="133">
        <v>41684</v>
      </c>
      <c r="Y3961" s="134">
        <v>715</v>
      </c>
    </row>
    <row r="3962" spans="6:25" x14ac:dyDescent="0.25">
      <c r="F3962" s="76" t="s">
        <v>150</v>
      </c>
      <c r="G3962" s="77" t="s">
        <v>213</v>
      </c>
      <c r="H3962" s="77" t="s">
        <v>158</v>
      </c>
      <c r="I3962" s="86">
        <v>41958</v>
      </c>
      <c r="J3962" s="78">
        <v>685</v>
      </c>
      <c r="U3962" s="132" t="s">
        <v>154</v>
      </c>
      <c r="V3962" s="132" t="s">
        <v>269</v>
      </c>
      <c r="W3962" s="132" t="s">
        <v>174</v>
      </c>
      <c r="X3962" s="133">
        <v>41688</v>
      </c>
      <c r="Y3962" s="134">
        <v>586</v>
      </c>
    </row>
    <row r="3963" spans="6:25" x14ac:dyDescent="0.25">
      <c r="F3963" s="76" t="s">
        <v>150</v>
      </c>
      <c r="G3963" s="77" t="s">
        <v>213</v>
      </c>
      <c r="H3963" s="77" t="s">
        <v>158</v>
      </c>
      <c r="I3963" s="86">
        <v>41959</v>
      </c>
      <c r="J3963" s="78">
        <v>884</v>
      </c>
      <c r="U3963" s="132" t="s">
        <v>154</v>
      </c>
      <c r="V3963" s="132" t="s">
        <v>269</v>
      </c>
      <c r="W3963" s="132" t="s">
        <v>174</v>
      </c>
      <c r="X3963" s="133">
        <v>41689</v>
      </c>
      <c r="Y3963" s="134">
        <v>549</v>
      </c>
    </row>
    <row r="3964" spans="6:25" x14ac:dyDescent="0.25">
      <c r="F3964" s="76" t="s">
        <v>150</v>
      </c>
      <c r="G3964" s="77" t="s">
        <v>213</v>
      </c>
      <c r="H3964" s="77" t="s">
        <v>158</v>
      </c>
      <c r="I3964" s="86">
        <v>41960</v>
      </c>
      <c r="J3964" s="78">
        <v>1075</v>
      </c>
      <c r="U3964" s="132" t="s">
        <v>154</v>
      </c>
      <c r="V3964" s="132" t="s">
        <v>269</v>
      </c>
      <c r="W3964" s="132" t="s">
        <v>174</v>
      </c>
      <c r="X3964" s="133">
        <v>41690</v>
      </c>
      <c r="Y3964" s="134">
        <v>970</v>
      </c>
    </row>
    <row r="3965" spans="6:25" x14ac:dyDescent="0.25">
      <c r="F3965" s="76" t="s">
        <v>150</v>
      </c>
      <c r="G3965" s="77" t="s">
        <v>213</v>
      </c>
      <c r="H3965" s="77" t="s">
        <v>158</v>
      </c>
      <c r="I3965" s="86">
        <v>41961</v>
      </c>
      <c r="J3965" s="78">
        <v>510</v>
      </c>
      <c r="U3965" s="132" t="s">
        <v>154</v>
      </c>
      <c r="V3965" s="132" t="s">
        <v>269</v>
      </c>
      <c r="W3965" s="132" t="s">
        <v>174</v>
      </c>
      <c r="X3965" s="133">
        <v>41691</v>
      </c>
      <c r="Y3965" s="134">
        <v>920</v>
      </c>
    </row>
    <row r="3966" spans="6:25" x14ac:dyDescent="0.25">
      <c r="F3966" s="76" t="s">
        <v>150</v>
      </c>
      <c r="G3966" s="77" t="s">
        <v>213</v>
      </c>
      <c r="H3966" s="77" t="s">
        <v>158</v>
      </c>
      <c r="I3966" s="86">
        <v>41962</v>
      </c>
      <c r="J3966" s="78">
        <v>805</v>
      </c>
      <c r="U3966" s="132" t="s">
        <v>154</v>
      </c>
      <c r="V3966" s="132" t="s">
        <v>269</v>
      </c>
      <c r="W3966" s="132" t="s">
        <v>174</v>
      </c>
      <c r="X3966" s="133">
        <v>41693</v>
      </c>
      <c r="Y3966" s="134">
        <v>475</v>
      </c>
    </row>
    <row r="3967" spans="6:25" x14ac:dyDescent="0.25">
      <c r="F3967" s="76" t="s">
        <v>150</v>
      </c>
      <c r="G3967" s="77" t="s">
        <v>216</v>
      </c>
      <c r="H3967" s="77" t="s">
        <v>158</v>
      </c>
      <c r="I3967" s="86">
        <v>41670</v>
      </c>
      <c r="J3967" s="78">
        <v>2031</v>
      </c>
      <c r="U3967" s="132" t="s">
        <v>154</v>
      </c>
      <c r="V3967" s="132" t="s">
        <v>269</v>
      </c>
      <c r="W3967" s="132" t="s">
        <v>174</v>
      </c>
      <c r="X3967" s="133">
        <v>41694</v>
      </c>
      <c r="Y3967" s="134">
        <v>810</v>
      </c>
    </row>
    <row r="3968" spans="6:25" x14ac:dyDescent="0.25">
      <c r="F3968" s="76" t="s">
        <v>150</v>
      </c>
      <c r="G3968" s="77" t="s">
        <v>216</v>
      </c>
      <c r="H3968" s="77" t="s">
        <v>158</v>
      </c>
      <c r="I3968" s="86">
        <v>41671</v>
      </c>
      <c r="J3968" s="78">
        <v>259</v>
      </c>
      <c r="U3968" s="132" t="s">
        <v>154</v>
      </c>
      <c r="V3968" s="132" t="s">
        <v>269</v>
      </c>
      <c r="W3968" s="132" t="s">
        <v>174</v>
      </c>
      <c r="X3968" s="133">
        <v>41695</v>
      </c>
      <c r="Y3968" s="134">
        <v>629</v>
      </c>
    </row>
    <row r="3969" spans="6:25" x14ac:dyDescent="0.25">
      <c r="F3969" s="76" t="s">
        <v>150</v>
      </c>
      <c r="G3969" s="77" t="s">
        <v>216</v>
      </c>
      <c r="H3969" s="77" t="s">
        <v>158</v>
      </c>
      <c r="I3969" s="86">
        <v>41672</v>
      </c>
      <c r="J3969" s="78">
        <v>600</v>
      </c>
      <c r="U3969" s="132" t="s">
        <v>154</v>
      </c>
      <c r="V3969" s="132" t="s">
        <v>269</v>
      </c>
      <c r="W3969" s="132" t="s">
        <v>174</v>
      </c>
      <c r="X3969" s="133">
        <v>41695</v>
      </c>
      <c r="Y3969" s="134">
        <v>605</v>
      </c>
    </row>
    <row r="3970" spans="6:25" x14ac:dyDescent="0.25">
      <c r="F3970" s="76" t="s">
        <v>150</v>
      </c>
      <c r="G3970" s="77" t="s">
        <v>216</v>
      </c>
      <c r="H3970" s="77" t="s">
        <v>158</v>
      </c>
      <c r="I3970" s="86">
        <v>41674</v>
      </c>
      <c r="J3970" s="78">
        <v>1000</v>
      </c>
      <c r="U3970" s="132" t="s">
        <v>154</v>
      </c>
      <c r="V3970" s="132" t="s">
        <v>269</v>
      </c>
      <c r="W3970" s="132" t="s">
        <v>174</v>
      </c>
      <c r="X3970" s="133">
        <v>41696</v>
      </c>
      <c r="Y3970" s="134">
        <v>606</v>
      </c>
    </row>
    <row r="3971" spans="6:25" x14ac:dyDescent="0.25">
      <c r="F3971" s="76" t="s">
        <v>150</v>
      </c>
      <c r="G3971" s="77" t="s">
        <v>216</v>
      </c>
      <c r="H3971" s="77" t="s">
        <v>158</v>
      </c>
      <c r="I3971" s="86">
        <v>41680</v>
      </c>
      <c r="J3971" s="78">
        <v>1001</v>
      </c>
      <c r="U3971" s="132" t="s">
        <v>154</v>
      </c>
      <c r="V3971" s="132" t="s">
        <v>269</v>
      </c>
      <c r="W3971" s="132" t="s">
        <v>174</v>
      </c>
      <c r="X3971" s="133">
        <v>41697</v>
      </c>
      <c r="Y3971" s="134">
        <v>740</v>
      </c>
    </row>
    <row r="3972" spans="6:25" x14ac:dyDescent="0.25">
      <c r="F3972" s="76" t="s">
        <v>150</v>
      </c>
      <c r="G3972" s="77" t="s">
        <v>216</v>
      </c>
      <c r="H3972" s="77" t="s">
        <v>158</v>
      </c>
      <c r="I3972" s="86">
        <v>41684</v>
      </c>
      <c r="J3972" s="78">
        <v>1068</v>
      </c>
      <c r="U3972" s="132" t="s">
        <v>154</v>
      </c>
      <c r="V3972" s="132" t="s">
        <v>269</v>
      </c>
      <c r="W3972" s="132" t="s">
        <v>174</v>
      </c>
      <c r="X3972" s="133">
        <v>41698</v>
      </c>
      <c r="Y3972" s="134">
        <v>1300</v>
      </c>
    </row>
    <row r="3973" spans="6:25" x14ac:dyDescent="0.25">
      <c r="F3973" s="76" t="s">
        <v>150</v>
      </c>
      <c r="G3973" s="77" t="s">
        <v>216</v>
      </c>
      <c r="H3973" s="77" t="s">
        <v>158</v>
      </c>
      <c r="I3973" s="86">
        <v>41687</v>
      </c>
      <c r="J3973" s="78">
        <v>629</v>
      </c>
      <c r="U3973" s="132" t="s">
        <v>154</v>
      </c>
      <c r="V3973" s="132" t="s">
        <v>269</v>
      </c>
      <c r="W3973" s="132" t="s">
        <v>174</v>
      </c>
      <c r="X3973" s="133">
        <v>41746</v>
      </c>
      <c r="Y3973" s="134">
        <v>898</v>
      </c>
    </row>
    <row r="3974" spans="6:25" x14ac:dyDescent="0.25">
      <c r="F3974" s="76" t="s">
        <v>150</v>
      </c>
      <c r="G3974" s="77" t="s">
        <v>216</v>
      </c>
      <c r="H3974" s="77" t="s">
        <v>158</v>
      </c>
      <c r="I3974" s="86">
        <v>41689</v>
      </c>
      <c r="J3974" s="78">
        <v>1296</v>
      </c>
      <c r="U3974" s="132" t="s">
        <v>154</v>
      </c>
      <c r="V3974" s="132" t="s">
        <v>269</v>
      </c>
      <c r="W3974" s="132" t="s">
        <v>174</v>
      </c>
      <c r="X3974" s="133">
        <v>41830</v>
      </c>
      <c r="Y3974" s="134">
        <v>1244</v>
      </c>
    </row>
    <row r="3975" spans="6:25" x14ac:dyDescent="0.25">
      <c r="F3975" s="76" t="s">
        <v>150</v>
      </c>
      <c r="G3975" s="77" t="s">
        <v>216</v>
      </c>
      <c r="H3975" s="77" t="s">
        <v>158</v>
      </c>
      <c r="I3975" s="86">
        <v>41697</v>
      </c>
      <c r="J3975" s="78">
        <v>987</v>
      </c>
      <c r="U3975" s="132" t="s">
        <v>154</v>
      </c>
      <c r="V3975" s="132" t="s">
        <v>269</v>
      </c>
      <c r="W3975" s="132" t="s">
        <v>174</v>
      </c>
      <c r="X3975" s="133">
        <v>41831</v>
      </c>
      <c r="Y3975" s="134">
        <v>880</v>
      </c>
    </row>
    <row r="3976" spans="6:25" x14ac:dyDescent="0.25">
      <c r="F3976" s="76" t="s">
        <v>150</v>
      </c>
      <c r="G3976" s="77" t="s">
        <v>216</v>
      </c>
      <c r="H3976" s="77" t="s">
        <v>158</v>
      </c>
      <c r="I3976" s="86">
        <v>41699</v>
      </c>
      <c r="J3976" s="78">
        <v>1067</v>
      </c>
      <c r="U3976" s="132" t="s">
        <v>154</v>
      </c>
      <c r="V3976" s="132" t="s">
        <v>269</v>
      </c>
      <c r="W3976" s="132" t="s">
        <v>174</v>
      </c>
      <c r="X3976" s="133">
        <v>41891</v>
      </c>
      <c r="Y3976" s="134">
        <v>267</v>
      </c>
    </row>
    <row r="3977" spans="6:25" x14ac:dyDescent="0.25">
      <c r="F3977" s="76" t="s">
        <v>150</v>
      </c>
      <c r="G3977" s="77" t="s">
        <v>216</v>
      </c>
      <c r="H3977" s="77" t="s">
        <v>158</v>
      </c>
      <c r="I3977" s="86">
        <v>41700</v>
      </c>
      <c r="J3977" s="78">
        <v>1423</v>
      </c>
      <c r="U3977" s="132" t="s">
        <v>154</v>
      </c>
      <c r="V3977" s="132" t="s">
        <v>269</v>
      </c>
      <c r="W3977" s="132" t="s">
        <v>174</v>
      </c>
      <c r="X3977" s="133">
        <v>41892</v>
      </c>
      <c r="Y3977" s="134">
        <v>560</v>
      </c>
    </row>
    <row r="3978" spans="6:25" x14ac:dyDescent="0.25">
      <c r="F3978" s="76" t="s">
        <v>150</v>
      </c>
      <c r="G3978" s="77" t="s">
        <v>216</v>
      </c>
      <c r="H3978" s="77" t="s">
        <v>158</v>
      </c>
      <c r="I3978" s="86">
        <v>41703</v>
      </c>
      <c r="J3978" s="78">
        <v>1442</v>
      </c>
      <c r="U3978" s="132" t="s">
        <v>154</v>
      </c>
      <c r="V3978" s="132" t="s">
        <v>269</v>
      </c>
      <c r="W3978" s="132" t="s">
        <v>174</v>
      </c>
      <c r="X3978" s="133">
        <v>41893</v>
      </c>
      <c r="Y3978" s="134">
        <v>480</v>
      </c>
    </row>
    <row r="3979" spans="6:25" x14ac:dyDescent="0.25">
      <c r="F3979" s="76" t="s">
        <v>150</v>
      </c>
      <c r="G3979" s="77" t="s">
        <v>216</v>
      </c>
      <c r="H3979" s="77" t="s">
        <v>158</v>
      </c>
      <c r="I3979" s="86">
        <v>41704</v>
      </c>
      <c r="J3979" s="78">
        <v>1385</v>
      </c>
      <c r="U3979" s="132" t="s">
        <v>154</v>
      </c>
      <c r="V3979" s="132" t="s">
        <v>269</v>
      </c>
      <c r="W3979" s="132" t="s">
        <v>174</v>
      </c>
      <c r="X3979" s="133">
        <v>41894</v>
      </c>
      <c r="Y3979" s="134">
        <v>770</v>
      </c>
    </row>
    <row r="3980" spans="6:25" x14ac:dyDescent="0.25">
      <c r="F3980" s="76" t="s">
        <v>150</v>
      </c>
      <c r="G3980" s="77" t="s">
        <v>216</v>
      </c>
      <c r="H3980" s="77" t="s">
        <v>158</v>
      </c>
      <c r="I3980" s="86">
        <v>41705</v>
      </c>
      <c r="J3980" s="78">
        <v>618</v>
      </c>
      <c r="U3980" s="132" t="s">
        <v>154</v>
      </c>
      <c r="V3980" s="132" t="s">
        <v>269</v>
      </c>
      <c r="W3980" s="132" t="s">
        <v>174</v>
      </c>
      <c r="X3980" s="133">
        <v>41897</v>
      </c>
      <c r="Y3980" s="134">
        <v>820</v>
      </c>
    </row>
    <row r="3981" spans="6:25" x14ac:dyDescent="0.25">
      <c r="F3981" s="76" t="s">
        <v>150</v>
      </c>
      <c r="G3981" s="77" t="s">
        <v>216</v>
      </c>
      <c r="H3981" s="77" t="s">
        <v>158</v>
      </c>
      <c r="I3981" s="86">
        <v>41724</v>
      </c>
      <c r="J3981" s="78">
        <v>767</v>
      </c>
      <c r="U3981" s="132" t="s">
        <v>154</v>
      </c>
      <c r="V3981" s="132" t="s">
        <v>269</v>
      </c>
      <c r="W3981" s="132" t="s">
        <v>174</v>
      </c>
      <c r="X3981" s="133">
        <v>41898</v>
      </c>
      <c r="Y3981" s="134">
        <v>721</v>
      </c>
    </row>
    <row r="3982" spans="6:25" x14ac:dyDescent="0.25">
      <c r="F3982" s="76" t="s">
        <v>150</v>
      </c>
      <c r="G3982" s="77" t="s">
        <v>216</v>
      </c>
      <c r="H3982" s="77" t="s">
        <v>158</v>
      </c>
      <c r="I3982" s="86">
        <v>41726</v>
      </c>
      <c r="J3982" s="78">
        <v>885</v>
      </c>
      <c r="U3982" s="132" t="s">
        <v>154</v>
      </c>
      <c r="V3982" s="132" t="s">
        <v>269</v>
      </c>
      <c r="W3982" s="132" t="s">
        <v>174</v>
      </c>
      <c r="X3982" s="133">
        <v>41904</v>
      </c>
      <c r="Y3982" s="134">
        <v>355</v>
      </c>
    </row>
    <row r="3983" spans="6:25" x14ac:dyDescent="0.25">
      <c r="F3983" s="76" t="s">
        <v>150</v>
      </c>
      <c r="G3983" s="77" t="s">
        <v>216</v>
      </c>
      <c r="H3983" s="77" t="s">
        <v>158</v>
      </c>
      <c r="I3983" s="86">
        <v>41731</v>
      </c>
      <c r="J3983" s="78">
        <v>1195</v>
      </c>
      <c r="U3983" s="132" t="s">
        <v>154</v>
      </c>
      <c r="V3983" s="132" t="s">
        <v>269</v>
      </c>
      <c r="W3983" s="132" t="s">
        <v>174</v>
      </c>
      <c r="X3983" s="133">
        <v>41905</v>
      </c>
      <c r="Y3983" s="134">
        <v>1110</v>
      </c>
    </row>
    <row r="3984" spans="6:25" x14ac:dyDescent="0.25">
      <c r="F3984" s="76" t="s">
        <v>150</v>
      </c>
      <c r="G3984" s="77" t="s">
        <v>216</v>
      </c>
      <c r="H3984" s="77" t="s">
        <v>158</v>
      </c>
      <c r="I3984" s="86">
        <v>41736</v>
      </c>
      <c r="J3984" s="78">
        <v>1159</v>
      </c>
      <c r="U3984" s="132" t="s">
        <v>154</v>
      </c>
      <c r="V3984" s="132" t="s">
        <v>269</v>
      </c>
      <c r="W3984" s="132" t="s">
        <v>174</v>
      </c>
      <c r="X3984" s="133">
        <v>41906</v>
      </c>
      <c r="Y3984" s="134">
        <v>870</v>
      </c>
    </row>
    <row r="3985" spans="6:25" x14ac:dyDescent="0.25">
      <c r="F3985" s="76" t="s">
        <v>150</v>
      </c>
      <c r="G3985" s="77" t="s">
        <v>216</v>
      </c>
      <c r="H3985" s="77" t="s">
        <v>158</v>
      </c>
      <c r="I3985" s="86">
        <v>41739</v>
      </c>
      <c r="J3985" s="78">
        <v>1416</v>
      </c>
      <c r="U3985" s="132" t="s">
        <v>154</v>
      </c>
      <c r="V3985" s="132" t="s">
        <v>269</v>
      </c>
      <c r="W3985" s="132" t="s">
        <v>174</v>
      </c>
      <c r="X3985" s="133">
        <v>41907</v>
      </c>
      <c r="Y3985" s="134">
        <v>840</v>
      </c>
    </row>
    <row r="3986" spans="6:25" x14ac:dyDescent="0.25">
      <c r="F3986" s="76" t="s">
        <v>150</v>
      </c>
      <c r="G3986" s="77" t="s">
        <v>216</v>
      </c>
      <c r="H3986" s="77" t="s">
        <v>158</v>
      </c>
      <c r="I3986" s="86">
        <v>41743</v>
      </c>
      <c r="J3986" s="78">
        <v>1518</v>
      </c>
      <c r="U3986" s="132" t="s">
        <v>154</v>
      </c>
      <c r="V3986" s="132" t="s">
        <v>269</v>
      </c>
      <c r="W3986" s="132" t="s">
        <v>174</v>
      </c>
      <c r="X3986" s="133">
        <v>41908</v>
      </c>
      <c r="Y3986" s="134">
        <v>1051</v>
      </c>
    </row>
    <row r="3987" spans="6:25" x14ac:dyDescent="0.25">
      <c r="F3987" s="76" t="s">
        <v>150</v>
      </c>
      <c r="G3987" s="77" t="s">
        <v>216</v>
      </c>
      <c r="H3987" s="77" t="s">
        <v>158</v>
      </c>
      <c r="I3987" s="86">
        <v>41745</v>
      </c>
      <c r="J3987" s="78">
        <v>653</v>
      </c>
      <c r="U3987" s="132" t="s">
        <v>154</v>
      </c>
      <c r="V3987" s="132" t="s">
        <v>269</v>
      </c>
      <c r="W3987" s="132" t="s">
        <v>174</v>
      </c>
      <c r="X3987" s="133">
        <v>41911</v>
      </c>
      <c r="Y3987" s="134">
        <v>450</v>
      </c>
    </row>
    <row r="3988" spans="6:25" x14ac:dyDescent="0.25">
      <c r="F3988" s="76" t="s">
        <v>150</v>
      </c>
      <c r="G3988" s="77" t="s">
        <v>216</v>
      </c>
      <c r="H3988" s="77" t="s">
        <v>158</v>
      </c>
      <c r="I3988" s="86">
        <v>41746</v>
      </c>
      <c r="J3988" s="78">
        <v>784</v>
      </c>
      <c r="U3988" s="132" t="s">
        <v>154</v>
      </c>
      <c r="V3988" s="132" t="s">
        <v>269</v>
      </c>
      <c r="W3988" s="132" t="s">
        <v>174</v>
      </c>
      <c r="X3988" s="133">
        <v>41912</v>
      </c>
      <c r="Y3988" s="134">
        <v>635</v>
      </c>
    </row>
    <row r="3989" spans="6:25" x14ac:dyDescent="0.25">
      <c r="F3989" s="76" t="s">
        <v>150</v>
      </c>
      <c r="G3989" s="77" t="s">
        <v>216</v>
      </c>
      <c r="H3989" s="77" t="s">
        <v>158</v>
      </c>
      <c r="I3989" s="86">
        <v>41748</v>
      </c>
      <c r="J3989" s="78">
        <v>924</v>
      </c>
      <c r="U3989" s="132" t="s">
        <v>154</v>
      </c>
      <c r="V3989" s="132" t="s">
        <v>269</v>
      </c>
      <c r="W3989" s="132" t="s">
        <v>174</v>
      </c>
      <c r="X3989" s="133">
        <v>41914</v>
      </c>
      <c r="Y3989" s="134">
        <v>980</v>
      </c>
    </row>
    <row r="3990" spans="6:25" x14ac:dyDescent="0.25">
      <c r="F3990" s="76" t="s">
        <v>150</v>
      </c>
      <c r="G3990" s="77" t="s">
        <v>216</v>
      </c>
      <c r="H3990" s="77" t="s">
        <v>158</v>
      </c>
      <c r="I3990" s="86">
        <v>41750</v>
      </c>
      <c r="J3990" s="78">
        <v>912</v>
      </c>
      <c r="U3990" s="132" t="s">
        <v>154</v>
      </c>
      <c r="V3990" s="132" t="s">
        <v>270</v>
      </c>
      <c r="W3990" s="132" t="s">
        <v>174</v>
      </c>
      <c r="X3990" s="133">
        <v>41718</v>
      </c>
      <c r="Y3990" s="134">
        <v>307</v>
      </c>
    </row>
    <row r="3991" spans="6:25" ht="30" x14ac:dyDescent="0.25">
      <c r="F3991" s="76" t="s">
        <v>150</v>
      </c>
      <c r="G3991" s="77" t="s">
        <v>216</v>
      </c>
      <c r="H3991" s="77" t="s">
        <v>158</v>
      </c>
      <c r="I3991" s="86">
        <v>41759</v>
      </c>
      <c r="J3991" s="78">
        <v>553</v>
      </c>
      <c r="U3991" s="132" t="s">
        <v>154</v>
      </c>
      <c r="V3991" s="132" t="s">
        <v>327</v>
      </c>
      <c r="W3991" s="132" t="s">
        <v>328</v>
      </c>
      <c r="X3991" s="133">
        <v>41954</v>
      </c>
      <c r="Y3991" s="134">
        <v>19</v>
      </c>
    </row>
    <row r="3992" spans="6:25" x14ac:dyDescent="0.25">
      <c r="F3992" s="76" t="s">
        <v>150</v>
      </c>
      <c r="G3992" s="77" t="s">
        <v>216</v>
      </c>
      <c r="H3992" s="77" t="s">
        <v>158</v>
      </c>
      <c r="I3992" s="86">
        <v>41760</v>
      </c>
      <c r="J3992" s="78">
        <v>822</v>
      </c>
      <c r="U3992" s="132" t="s">
        <v>154</v>
      </c>
      <c r="V3992" s="132" t="s">
        <v>241</v>
      </c>
      <c r="W3992" s="132" t="s">
        <v>163</v>
      </c>
      <c r="X3992" s="133">
        <v>41806</v>
      </c>
      <c r="Y3992" s="134">
        <v>16</v>
      </c>
    </row>
    <row r="3993" spans="6:25" x14ac:dyDescent="0.25">
      <c r="F3993" s="76" t="s">
        <v>150</v>
      </c>
      <c r="G3993" s="77" t="s">
        <v>216</v>
      </c>
      <c r="H3993" s="77" t="s">
        <v>158</v>
      </c>
      <c r="I3993" s="86">
        <v>41773</v>
      </c>
      <c r="J3993" s="78">
        <v>1707</v>
      </c>
      <c r="U3993" s="132" t="s">
        <v>154</v>
      </c>
      <c r="V3993" s="132" t="s">
        <v>241</v>
      </c>
      <c r="W3993" s="132" t="s">
        <v>163</v>
      </c>
      <c r="X3993" s="133">
        <v>41948</v>
      </c>
      <c r="Y3993" s="134">
        <v>14</v>
      </c>
    </row>
    <row r="3994" spans="6:25" x14ac:dyDescent="0.25">
      <c r="F3994" s="76" t="s">
        <v>150</v>
      </c>
      <c r="G3994" s="77" t="s">
        <v>216</v>
      </c>
      <c r="H3994" s="77" t="s">
        <v>158</v>
      </c>
      <c r="I3994" s="86">
        <v>41774</v>
      </c>
      <c r="J3994" s="78">
        <v>543</v>
      </c>
      <c r="U3994" s="132" t="s">
        <v>154</v>
      </c>
      <c r="V3994" s="132" t="s">
        <v>241</v>
      </c>
      <c r="W3994" s="132" t="s">
        <v>163</v>
      </c>
      <c r="X3994" s="133">
        <v>41951</v>
      </c>
      <c r="Y3994" s="134">
        <v>6</v>
      </c>
    </row>
    <row r="3995" spans="6:25" x14ac:dyDescent="0.25">
      <c r="F3995" s="76" t="s">
        <v>150</v>
      </c>
      <c r="G3995" s="77" t="s">
        <v>216</v>
      </c>
      <c r="H3995" s="77" t="s">
        <v>158</v>
      </c>
      <c r="I3995" s="86">
        <v>41774</v>
      </c>
      <c r="J3995" s="78">
        <v>452</v>
      </c>
      <c r="U3995" s="132" t="s">
        <v>154</v>
      </c>
      <c r="V3995" s="132" t="s">
        <v>241</v>
      </c>
      <c r="W3995" s="132" t="s">
        <v>163</v>
      </c>
      <c r="X3995" s="133">
        <v>41968</v>
      </c>
      <c r="Y3995" s="134">
        <v>7</v>
      </c>
    </row>
    <row r="3996" spans="6:25" x14ac:dyDescent="0.25">
      <c r="F3996" s="76" t="s">
        <v>150</v>
      </c>
      <c r="G3996" s="77" t="s">
        <v>216</v>
      </c>
      <c r="H3996" s="77" t="s">
        <v>158</v>
      </c>
      <c r="I3996" s="86">
        <v>41775</v>
      </c>
      <c r="J3996" s="78">
        <v>1383</v>
      </c>
      <c r="U3996" s="132" t="s">
        <v>154</v>
      </c>
      <c r="V3996" s="132" t="s">
        <v>329</v>
      </c>
      <c r="W3996" s="132" t="s">
        <v>163</v>
      </c>
      <c r="X3996" s="133">
        <v>41649</v>
      </c>
      <c r="Y3996" s="134">
        <v>2</v>
      </c>
    </row>
    <row r="3997" spans="6:25" x14ac:dyDescent="0.25">
      <c r="F3997" s="76" t="s">
        <v>150</v>
      </c>
      <c r="G3997" s="77" t="s">
        <v>216</v>
      </c>
      <c r="H3997" s="77" t="s">
        <v>158</v>
      </c>
      <c r="I3997" s="86">
        <v>41777</v>
      </c>
      <c r="J3997" s="78">
        <v>513</v>
      </c>
      <c r="U3997" s="132" t="s">
        <v>154</v>
      </c>
      <c r="V3997" s="132" t="s">
        <v>329</v>
      </c>
      <c r="W3997" s="132" t="s">
        <v>163</v>
      </c>
      <c r="X3997" s="133">
        <v>41665</v>
      </c>
      <c r="Y3997" s="134">
        <v>3</v>
      </c>
    </row>
    <row r="3998" spans="6:25" x14ac:dyDescent="0.25">
      <c r="F3998" s="76" t="s">
        <v>150</v>
      </c>
      <c r="G3998" s="77" t="s">
        <v>216</v>
      </c>
      <c r="H3998" s="77" t="s">
        <v>158</v>
      </c>
      <c r="I3998" s="86">
        <v>41777</v>
      </c>
      <c r="J3998" s="78">
        <v>1227</v>
      </c>
      <c r="U3998" s="132" t="s">
        <v>154</v>
      </c>
      <c r="V3998" s="132" t="s">
        <v>272</v>
      </c>
      <c r="W3998" s="132" t="s">
        <v>163</v>
      </c>
      <c r="X3998" s="133">
        <v>41801</v>
      </c>
      <c r="Y3998" s="134">
        <v>20</v>
      </c>
    </row>
    <row r="3999" spans="6:25" x14ac:dyDescent="0.25">
      <c r="F3999" s="76" t="s">
        <v>150</v>
      </c>
      <c r="G3999" s="77" t="s">
        <v>216</v>
      </c>
      <c r="H3999" s="77" t="s">
        <v>158</v>
      </c>
      <c r="I3999" s="86">
        <v>41778</v>
      </c>
      <c r="J3999" s="78">
        <v>501</v>
      </c>
      <c r="X3999" s="135" t="s">
        <v>274</v>
      </c>
      <c r="Y3999" s="136">
        <f>SUM(Y4:Y3990)</f>
        <v>2803156</v>
      </c>
    </row>
    <row r="4000" spans="6:25" ht="30" x14ac:dyDescent="0.25">
      <c r="F4000" s="76" t="s">
        <v>150</v>
      </c>
      <c r="G4000" s="77" t="s">
        <v>216</v>
      </c>
      <c r="H4000" s="77" t="s">
        <v>158</v>
      </c>
      <c r="I4000" s="86">
        <v>41780</v>
      </c>
      <c r="J4000" s="78">
        <v>1404</v>
      </c>
      <c r="U4000" s="132" t="s">
        <v>154</v>
      </c>
      <c r="V4000" s="132" t="s">
        <v>236</v>
      </c>
      <c r="W4000" s="132" t="s">
        <v>234</v>
      </c>
      <c r="X4000" s="133">
        <v>41926</v>
      </c>
      <c r="Y4000" s="134">
        <v>1661</v>
      </c>
    </row>
    <row r="4001" spans="6:10" x14ac:dyDescent="0.25">
      <c r="F4001" s="76" t="s">
        <v>150</v>
      </c>
      <c r="G4001" s="77" t="s">
        <v>216</v>
      </c>
      <c r="H4001" s="77" t="s">
        <v>158</v>
      </c>
      <c r="I4001" s="86">
        <v>41781</v>
      </c>
      <c r="J4001" s="78">
        <v>777</v>
      </c>
    </row>
    <row r="4002" spans="6:10" x14ac:dyDescent="0.25">
      <c r="F4002" s="76" t="s">
        <v>150</v>
      </c>
      <c r="G4002" s="77" t="s">
        <v>216</v>
      </c>
      <c r="H4002" s="77" t="s">
        <v>158</v>
      </c>
      <c r="I4002" s="86">
        <v>41785</v>
      </c>
      <c r="J4002" s="78">
        <v>1246</v>
      </c>
    </row>
    <row r="4003" spans="6:10" x14ac:dyDescent="0.25">
      <c r="F4003" s="76" t="s">
        <v>150</v>
      </c>
      <c r="G4003" s="77" t="s">
        <v>216</v>
      </c>
      <c r="H4003" s="77" t="s">
        <v>158</v>
      </c>
      <c r="I4003" s="86">
        <v>41786</v>
      </c>
      <c r="J4003" s="78">
        <v>1316</v>
      </c>
    </row>
    <row r="4004" spans="6:10" x14ac:dyDescent="0.25">
      <c r="F4004" s="76" t="s">
        <v>150</v>
      </c>
      <c r="G4004" s="77" t="s">
        <v>216</v>
      </c>
      <c r="H4004" s="77" t="s">
        <v>158</v>
      </c>
      <c r="I4004" s="86">
        <v>41787</v>
      </c>
      <c r="J4004" s="78">
        <v>532</v>
      </c>
    </row>
    <row r="4005" spans="6:10" x14ac:dyDescent="0.25">
      <c r="F4005" s="76" t="s">
        <v>150</v>
      </c>
      <c r="G4005" s="77" t="s">
        <v>216</v>
      </c>
      <c r="H4005" s="77" t="s">
        <v>158</v>
      </c>
      <c r="I4005" s="86">
        <v>41788</v>
      </c>
      <c r="J4005" s="78">
        <v>1314</v>
      </c>
    </row>
    <row r="4006" spans="6:10" x14ac:dyDescent="0.25">
      <c r="F4006" s="76" t="s">
        <v>150</v>
      </c>
      <c r="G4006" s="77" t="s">
        <v>216</v>
      </c>
      <c r="H4006" s="77" t="s">
        <v>158</v>
      </c>
      <c r="I4006" s="86">
        <v>41789</v>
      </c>
      <c r="J4006" s="78">
        <v>530</v>
      </c>
    </row>
    <row r="4007" spans="6:10" x14ac:dyDescent="0.25">
      <c r="F4007" s="76" t="s">
        <v>150</v>
      </c>
      <c r="G4007" s="77" t="s">
        <v>216</v>
      </c>
      <c r="H4007" s="77" t="s">
        <v>158</v>
      </c>
      <c r="I4007" s="86">
        <v>41790</v>
      </c>
      <c r="J4007" s="78">
        <v>774</v>
      </c>
    </row>
    <row r="4008" spans="6:10" x14ac:dyDescent="0.25">
      <c r="F4008" s="76" t="s">
        <v>150</v>
      </c>
      <c r="G4008" s="77" t="s">
        <v>216</v>
      </c>
      <c r="H4008" s="77" t="s">
        <v>158</v>
      </c>
      <c r="I4008" s="86">
        <v>41848</v>
      </c>
      <c r="J4008" s="78">
        <v>737</v>
      </c>
    </row>
    <row r="4009" spans="6:10" x14ac:dyDescent="0.25">
      <c r="F4009" s="76" t="s">
        <v>150</v>
      </c>
      <c r="G4009" s="77" t="s">
        <v>216</v>
      </c>
      <c r="H4009" s="77" t="s">
        <v>158</v>
      </c>
      <c r="I4009" s="86">
        <v>41850</v>
      </c>
      <c r="J4009" s="78">
        <v>1046</v>
      </c>
    </row>
    <row r="4010" spans="6:10" x14ac:dyDescent="0.25">
      <c r="F4010" s="76" t="s">
        <v>150</v>
      </c>
      <c r="G4010" s="77" t="s">
        <v>216</v>
      </c>
      <c r="H4010" s="77" t="s">
        <v>158</v>
      </c>
      <c r="I4010" s="86">
        <v>41851</v>
      </c>
      <c r="J4010" s="78">
        <v>1045</v>
      </c>
    </row>
    <row r="4011" spans="6:10" x14ac:dyDescent="0.25">
      <c r="F4011" s="76" t="s">
        <v>150</v>
      </c>
      <c r="G4011" s="77" t="s">
        <v>216</v>
      </c>
      <c r="H4011" s="77" t="s">
        <v>158</v>
      </c>
      <c r="I4011" s="86">
        <v>41857</v>
      </c>
      <c r="J4011" s="78">
        <v>1202</v>
      </c>
    </row>
    <row r="4012" spans="6:10" x14ac:dyDescent="0.25">
      <c r="F4012" s="76" t="s">
        <v>150</v>
      </c>
      <c r="G4012" s="77" t="s">
        <v>216</v>
      </c>
      <c r="H4012" s="77" t="s">
        <v>158</v>
      </c>
      <c r="I4012" s="86">
        <v>41859</v>
      </c>
      <c r="J4012" s="78">
        <v>1090</v>
      </c>
    </row>
    <row r="4013" spans="6:10" x14ac:dyDescent="0.25">
      <c r="F4013" s="76" t="s">
        <v>150</v>
      </c>
      <c r="G4013" s="77" t="s">
        <v>216</v>
      </c>
      <c r="H4013" s="77" t="s">
        <v>158</v>
      </c>
      <c r="I4013" s="86">
        <v>41863</v>
      </c>
      <c r="J4013" s="78">
        <v>785</v>
      </c>
    </row>
    <row r="4014" spans="6:10" x14ac:dyDescent="0.25">
      <c r="F4014" s="76" t="s">
        <v>150</v>
      </c>
      <c r="G4014" s="77" t="s">
        <v>216</v>
      </c>
      <c r="H4014" s="77" t="s">
        <v>158</v>
      </c>
      <c r="I4014" s="86">
        <v>41876</v>
      </c>
      <c r="J4014" s="78">
        <v>491</v>
      </c>
    </row>
    <row r="4015" spans="6:10" x14ac:dyDescent="0.25">
      <c r="F4015" s="76" t="s">
        <v>150</v>
      </c>
      <c r="G4015" s="77" t="s">
        <v>216</v>
      </c>
      <c r="H4015" s="77" t="s">
        <v>158</v>
      </c>
      <c r="I4015" s="86">
        <v>41880</v>
      </c>
      <c r="J4015" s="78">
        <v>396</v>
      </c>
    </row>
    <row r="4016" spans="6:10" x14ac:dyDescent="0.25">
      <c r="F4016" s="76" t="s">
        <v>150</v>
      </c>
      <c r="G4016" s="77" t="s">
        <v>216</v>
      </c>
      <c r="H4016" s="77" t="s">
        <v>158</v>
      </c>
      <c r="I4016" s="86">
        <v>41883</v>
      </c>
      <c r="J4016" s="78">
        <v>1012</v>
      </c>
    </row>
    <row r="4017" spans="6:10" x14ac:dyDescent="0.25">
      <c r="F4017" s="76" t="s">
        <v>150</v>
      </c>
      <c r="G4017" s="77" t="s">
        <v>216</v>
      </c>
      <c r="H4017" s="77" t="s">
        <v>158</v>
      </c>
      <c r="I4017" s="86">
        <v>41888</v>
      </c>
      <c r="J4017" s="78">
        <v>937</v>
      </c>
    </row>
    <row r="4018" spans="6:10" x14ac:dyDescent="0.25">
      <c r="F4018" s="76" t="s">
        <v>150</v>
      </c>
      <c r="G4018" s="77" t="s">
        <v>216</v>
      </c>
      <c r="H4018" s="77" t="s">
        <v>158</v>
      </c>
      <c r="I4018" s="86">
        <v>41889</v>
      </c>
      <c r="J4018" s="78">
        <v>674</v>
      </c>
    </row>
    <row r="4019" spans="6:10" x14ac:dyDescent="0.25">
      <c r="F4019" s="76" t="s">
        <v>150</v>
      </c>
      <c r="G4019" s="77" t="s">
        <v>216</v>
      </c>
      <c r="H4019" s="77" t="s">
        <v>158</v>
      </c>
      <c r="I4019" s="86">
        <v>41892</v>
      </c>
      <c r="J4019" s="78">
        <v>1258</v>
      </c>
    </row>
    <row r="4020" spans="6:10" x14ac:dyDescent="0.25">
      <c r="F4020" s="76" t="s">
        <v>150</v>
      </c>
      <c r="G4020" s="77" t="s">
        <v>216</v>
      </c>
      <c r="H4020" s="77" t="s">
        <v>158</v>
      </c>
      <c r="I4020" s="86">
        <v>41893</v>
      </c>
      <c r="J4020" s="78">
        <v>514</v>
      </c>
    </row>
    <row r="4021" spans="6:10" x14ac:dyDescent="0.25">
      <c r="F4021" s="76" t="s">
        <v>150</v>
      </c>
      <c r="G4021" s="77" t="s">
        <v>216</v>
      </c>
      <c r="H4021" s="77" t="s">
        <v>158</v>
      </c>
      <c r="I4021" s="86">
        <v>41900</v>
      </c>
      <c r="J4021" s="78">
        <v>1332</v>
      </c>
    </row>
    <row r="4022" spans="6:10" x14ac:dyDescent="0.25">
      <c r="F4022" s="76" t="s">
        <v>150</v>
      </c>
      <c r="G4022" s="77" t="s">
        <v>216</v>
      </c>
      <c r="H4022" s="77" t="s">
        <v>158</v>
      </c>
      <c r="I4022" s="86">
        <v>41911</v>
      </c>
      <c r="J4022" s="78">
        <v>757</v>
      </c>
    </row>
    <row r="4023" spans="6:10" x14ac:dyDescent="0.25">
      <c r="F4023" s="76" t="s">
        <v>150</v>
      </c>
      <c r="G4023" s="77" t="s">
        <v>216</v>
      </c>
      <c r="H4023" s="77" t="s">
        <v>158</v>
      </c>
      <c r="I4023" s="86">
        <v>41912</v>
      </c>
      <c r="J4023" s="78">
        <v>720</v>
      </c>
    </row>
    <row r="4024" spans="6:10" x14ac:dyDescent="0.25">
      <c r="F4024" s="76" t="s">
        <v>150</v>
      </c>
      <c r="G4024" s="77" t="s">
        <v>216</v>
      </c>
      <c r="H4024" s="77" t="s">
        <v>158</v>
      </c>
      <c r="I4024" s="86">
        <v>41915</v>
      </c>
      <c r="J4024" s="78">
        <v>1068</v>
      </c>
    </row>
    <row r="4025" spans="6:10" x14ac:dyDescent="0.25">
      <c r="F4025" s="76" t="s">
        <v>150</v>
      </c>
      <c r="G4025" s="77" t="s">
        <v>216</v>
      </c>
      <c r="H4025" s="77" t="s">
        <v>158</v>
      </c>
      <c r="I4025" s="86">
        <v>41918</v>
      </c>
      <c r="J4025" s="78">
        <v>1430</v>
      </c>
    </row>
    <row r="4026" spans="6:10" x14ac:dyDescent="0.25">
      <c r="F4026" s="76" t="s">
        <v>150</v>
      </c>
      <c r="G4026" s="77" t="s">
        <v>216</v>
      </c>
      <c r="H4026" s="77" t="s">
        <v>158</v>
      </c>
      <c r="I4026" s="86">
        <v>41922</v>
      </c>
      <c r="J4026" s="78">
        <v>844</v>
      </c>
    </row>
    <row r="4027" spans="6:10" x14ac:dyDescent="0.25">
      <c r="F4027" s="76" t="s">
        <v>150</v>
      </c>
      <c r="G4027" s="77" t="s">
        <v>216</v>
      </c>
      <c r="H4027" s="77" t="s">
        <v>158</v>
      </c>
      <c r="I4027" s="86">
        <v>41923</v>
      </c>
      <c r="J4027" s="78">
        <v>1202</v>
      </c>
    </row>
    <row r="4028" spans="6:10" x14ac:dyDescent="0.25">
      <c r="F4028" s="76" t="s">
        <v>150</v>
      </c>
      <c r="G4028" s="77" t="s">
        <v>216</v>
      </c>
      <c r="H4028" s="77" t="s">
        <v>158</v>
      </c>
      <c r="I4028" s="86">
        <v>41924</v>
      </c>
      <c r="J4028" s="78">
        <v>745</v>
      </c>
    </row>
    <row r="4029" spans="6:10" x14ac:dyDescent="0.25">
      <c r="F4029" s="76" t="s">
        <v>150</v>
      </c>
      <c r="G4029" s="77" t="s">
        <v>216</v>
      </c>
      <c r="H4029" s="77" t="s">
        <v>158</v>
      </c>
      <c r="I4029" s="86">
        <v>41925</v>
      </c>
      <c r="J4029" s="78">
        <v>1047</v>
      </c>
    </row>
    <row r="4030" spans="6:10" x14ac:dyDescent="0.25">
      <c r="F4030" s="76" t="s">
        <v>150</v>
      </c>
      <c r="G4030" s="77" t="s">
        <v>216</v>
      </c>
      <c r="H4030" s="77" t="s">
        <v>158</v>
      </c>
      <c r="I4030" s="86">
        <v>41927</v>
      </c>
      <c r="J4030" s="78">
        <v>613</v>
      </c>
    </row>
    <row r="4031" spans="6:10" x14ac:dyDescent="0.25">
      <c r="F4031" s="76" t="s">
        <v>150</v>
      </c>
      <c r="G4031" s="77" t="s">
        <v>216</v>
      </c>
      <c r="H4031" s="77" t="s">
        <v>158</v>
      </c>
      <c r="I4031" s="86">
        <v>41927</v>
      </c>
      <c r="J4031" s="78">
        <v>1170</v>
      </c>
    </row>
    <row r="4032" spans="6:10" x14ac:dyDescent="0.25">
      <c r="F4032" s="76" t="s">
        <v>150</v>
      </c>
      <c r="G4032" s="77" t="s">
        <v>216</v>
      </c>
      <c r="H4032" s="77" t="s">
        <v>158</v>
      </c>
      <c r="I4032" s="86">
        <v>41928</v>
      </c>
      <c r="J4032" s="78">
        <v>882</v>
      </c>
    </row>
    <row r="4033" spans="6:10" x14ac:dyDescent="0.25">
      <c r="F4033" s="76" t="s">
        <v>150</v>
      </c>
      <c r="G4033" s="77" t="s">
        <v>216</v>
      </c>
      <c r="H4033" s="77" t="s">
        <v>158</v>
      </c>
      <c r="I4033" s="86">
        <v>41930</v>
      </c>
      <c r="J4033" s="78">
        <v>877</v>
      </c>
    </row>
    <row r="4034" spans="6:10" x14ac:dyDescent="0.25">
      <c r="F4034" s="76" t="s">
        <v>150</v>
      </c>
      <c r="G4034" s="77" t="s">
        <v>216</v>
      </c>
      <c r="H4034" s="77" t="s">
        <v>158</v>
      </c>
      <c r="I4034" s="86">
        <v>41931</v>
      </c>
      <c r="J4034" s="78">
        <v>1018</v>
      </c>
    </row>
    <row r="4035" spans="6:10" x14ac:dyDescent="0.25">
      <c r="F4035" s="76" t="s">
        <v>150</v>
      </c>
      <c r="G4035" s="77" t="s">
        <v>216</v>
      </c>
      <c r="H4035" s="77" t="s">
        <v>158</v>
      </c>
      <c r="I4035" s="86">
        <v>41932</v>
      </c>
      <c r="J4035" s="78">
        <v>1177</v>
      </c>
    </row>
    <row r="4036" spans="6:10" x14ac:dyDescent="0.25">
      <c r="F4036" s="76" t="s">
        <v>150</v>
      </c>
      <c r="G4036" s="77" t="s">
        <v>216</v>
      </c>
      <c r="H4036" s="77" t="s">
        <v>158</v>
      </c>
      <c r="I4036" s="86">
        <v>41934</v>
      </c>
      <c r="J4036" s="78">
        <v>1370</v>
      </c>
    </row>
    <row r="4037" spans="6:10" x14ac:dyDescent="0.25">
      <c r="F4037" s="76" t="s">
        <v>150</v>
      </c>
      <c r="G4037" s="77" t="s">
        <v>216</v>
      </c>
      <c r="H4037" s="77" t="s">
        <v>158</v>
      </c>
      <c r="I4037" s="86">
        <v>41936</v>
      </c>
      <c r="J4037" s="78">
        <v>988</v>
      </c>
    </row>
    <row r="4038" spans="6:10" x14ac:dyDescent="0.25">
      <c r="F4038" s="76" t="s">
        <v>150</v>
      </c>
      <c r="G4038" s="77" t="s">
        <v>216</v>
      </c>
      <c r="H4038" s="77" t="s">
        <v>158</v>
      </c>
      <c r="I4038" s="86">
        <v>41939</v>
      </c>
      <c r="J4038" s="78">
        <v>763</v>
      </c>
    </row>
    <row r="4039" spans="6:10" x14ac:dyDescent="0.25">
      <c r="F4039" s="76" t="s">
        <v>150</v>
      </c>
      <c r="G4039" s="77" t="s">
        <v>216</v>
      </c>
      <c r="H4039" s="77" t="s">
        <v>158</v>
      </c>
      <c r="I4039" s="86">
        <v>41940</v>
      </c>
      <c r="J4039" s="78">
        <v>768</v>
      </c>
    </row>
    <row r="4040" spans="6:10" x14ac:dyDescent="0.25">
      <c r="F4040" s="76" t="s">
        <v>150</v>
      </c>
      <c r="G4040" s="77" t="s">
        <v>216</v>
      </c>
      <c r="H4040" s="77" t="s">
        <v>158</v>
      </c>
      <c r="I4040" s="86">
        <v>41942</v>
      </c>
      <c r="J4040" s="78">
        <v>1016</v>
      </c>
    </row>
    <row r="4041" spans="6:10" x14ac:dyDescent="0.25">
      <c r="F4041" s="76" t="s">
        <v>150</v>
      </c>
      <c r="G4041" s="77" t="s">
        <v>216</v>
      </c>
      <c r="H4041" s="77" t="s">
        <v>158</v>
      </c>
      <c r="I4041" s="86">
        <v>41947</v>
      </c>
      <c r="J4041" s="78">
        <v>1117</v>
      </c>
    </row>
    <row r="4042" spans="6:10" x14ac:dyDescent="0.25">
      <c r="F4042" s="76" t="s">
        <v>150</v>
      </c>
      <c r="G4042" s="77" t="s">
        <v>216</v>
      </c>
      <c r="H4042" s="77" t="s">
        <v>158</v>
      </c>
      <c r="I4042" s="86">
        <v>41949</v>
      </c>
      <c r="J4042" s="78">
        <v>575</v>
      </c>
    </row>
    <row r="4043" spans="6:10" x14ac:dyDescent="0.25">
      <c r="F4043" s="76" t="s">
        <v>150</v>
      </c>
      <c r="G4043" s="77" t="s">
        <v>216</v>
      </c>
      <c r="H4043" s="77" t="s">
        <v>158</v>
      </c>
      <c r="I4043" s="86">
        <v>41953</v>
      </c>
      <c r="J4043" s="78">
        <v>1219</v>
      </c>
    </row>
    <row r="4044" spans="6:10" x14ac:dyDescent="0.25">
      <c r="F4044" s="76" t="s">
        <v>150</v>
      </c>
      <c r="G4044" s="77" t="s">
        <v>216</v>
      </c>
      <c r="H4044" s="77" t="s">
        <v>158</v>
      </c>
      <c r="I4044" s="86">
        <v>41978</v>
      </c>
      <c r="J4044" s="78">
        <v>446</v>
      </c>
    </row>
    <row r="4045" spans="6:10" x14ac:dyDescent="0.25">
      <c r="F4045" s="76" t="s">
        <v>150</v>
      </c>
      <c r="G4045" s="77" t="s">
        <v>216</v>
      </c>
      <c r="H4045" s="77" t="s">
        <v>158</v>
      </c>
      <c r="I4045" s="86">
        <v>41978</v>
      </c>
      <c r="J4045" s="78">
        <v>806</v>
      </c>
    </row>
    <row r="4046" spans="6:10" x14ac:dyDescent="0.25">
      <c r="F4046" s="76" t="s">
        <v>150</v>
      </c>
      <c r="G4046" s="77" t="s">
        <v>216</v>
      </c>
      <c r="H4046" s="77" t="s">
        <v>158</v>
      </c>
      <c r="I4046" s="86">
        <v>41979</v>
      </c>
      <c r="J4046" s="78">
        <v>923</v>
      </c>
    </row>
    <row r="4047" spans="6:10" x14ac:dyDescent="0.25">
      <c r="F4047" s="76" t="s">
        <v>150</v>
      </c>
      <c r="G4047" s="77" t="s">
        <v>216</v>
      </c>
      <c r="H4047" s="77" t="s">
        <v>158</v>
      </c>
      <c r="I4047" s="86">
        <v>41979</v>
      </c>
      <c r="J4047" s="78">
        <v>258</v>
      </c>
    </row>
    <row r="4048" spans="6:10" x14ac:dyDescent="0.25">
      <c r="F4048" s="76" t="s">
        <v>150</v>
      </c>
      <c r="G4048" s="77" t="s">
        <v>216</v>
      </c>
      <c r="H4048" s="77" t="s">
        <v>158</v>
      </c>
      <c r="I4048" s="86">
        <v>41979</v>
      </c>
      <c r="J4048" s="78">
        <v>967</v>
      </c>
    </row>
    <row r="4049" spans="6:10" x14ac:dyDescent="0.25">
      <c r="F4049" s="76" t="s">
        <v>150</v>
      </c>
      <c r="G4049" s="77" t="s">
        <v>216</v>
      </c>
      <c r="H4049" s="77" t="s">
        <v>158</v>
      </c>
      <c r="I4049" s="86">
        <v>41980</v>
      </c>
      <c r="J4049" s="78">
        <v>750</v>
      </c>
    </row>
    <row r="4050" spans="6:10" x14ac:dyDescent="0.25">
      <c r="F4050" s="76" t="s">
        <v>150</v>
      </c>
      <c r="G4050" s="77" t="s">
        <v>216</v>
      </c>
      <c r="H4050" s="77" t="s">
        <v>158</v>
      </c>
      <c r="I4050" s="86">
        <v>41981</v>
      </c>
      <c r="J4050" s="78">
        <v>966</v>
      </c>
    </row>
    <row r="4051" spans="6:10" x14ac:dyDescent="0.25">
      <c r="F4051" s="76" t="s">
        <v>150</v>
      </c>
      <c r="G4051" s="77" t="s">
        <v>216</v>
      </c>
      <c r="H4051" s="77" t="s">
        <v>158</v>
      </c>
      <c r="I4051" s="86">
        <v>41983</v>
      </c>
      <c r="J4051" s="78">
        <v>453</v>
      </c>
    </row>
    <row r="4052" spans="6:10" x14ac:dyDescent="0.25">
      <c r="F4052" s="76" t="s">
        <v>150</v>
      </c>
      <c r="G4052" s="77" t="s">
        <v>216</v>
      </c>
      <c r="H4052" s="77" t="s">
        <v>158</v>
      </c>
      <c r="I4052" s="86">
        <v>41983</v>
      </c>
      <c r="J4052" s="78">
        <v>1139</v>
      </c>
    </row>
    <row r="4053" spans="6:10" x14ac:dyDescent="0.25">
      <c r="F4053" s="76" t="s">
        <v>150</v>
      </c>
      <c r="G4053" s="77" t="s">
        <v>216</v>
      </c>
      <c r="H4053" s="77" t="s">
        <v>158</v>
      </c>
      <c r="I4053" s="86">
        <v>41985</v>
      </c>
      <c r="J4053" s="78">
        <v>1459</v>
      </c>
    </row>
    <row r="4054" spans="6:10" x14ac:dyDescent="0.25">
      <c r="F4054" s="76" t="s">
        <v>150</v>
      </c>
      <c r="G4054" s="77" t="s">
        <v>216</v>
      </c>
      <c r="H4054" s="77" t="s">
        <v>158</v>
      </c>
      <c r="I4054" s="86">
        <v>41986</v>
      </c>
      <c r="J4054" s="78">
        <v>854</v>
      </c>
    </row>
    <row r="4055" spans="6:10" x14ac:dyDescent="0.25">
      <c r="F4055" s="76" t="s">
        <v>150</v>
      </c>
      <c r="G4055" s="77" t="s">
        <v>216</v>
      </c>
      <c r="H4055" s="77" t="s">
        <v>158</v>
      </c>
      <c r="I4055" s="86">
        <v>41986</v>
      </c>
      <c r="J4055" s="78">
        <v>245</v>
      </c>
    </row>
    <row r="4056" spans="6:10" x14ac:dyDescent="0.25">
      <c r="F4056" s="76" t="s">
        <v>150</v>
      </c>
      <c r="G4056" s="77" t="s">
        <v>216</v>
      </c>
      <c r="H4056" s="77" t="s">
        <v>158</v>
      </c>
      <c r="I4056" s="86">
        <v>41988</v>
      </c>
      <c r="J4056" s="78">
        <v>1516</v>
      </c>
    </row>
    <row r="4057" spans="6:10" x14ac:dyDescent="0.25">
      <c r="F4057" s="76" t="s">
        <v>150</v>
      </c>
      <c r="G4057" s="77" t="s">
        <v>216</v>
      </c>
      <c r="H4057" s="77" t="s">
        <v>158</v>
      </c>
      <c r="I4057" s="86">
        <v>41989</v>
      </c>
      <c r="J4057" s="78">
        <v>674</v>
      </c>
    </row>
    <row r="4058" spans="6:10" x14ac:dyDescent="0.25">
      <c r="F4058" s="76" t="s">
        <v>150</v>
      </c>
      <c r="G4058" s="77" t="s">
        <v>216</v>
      </c>
      <c r="H4058" s="77" t="s">
        <v>158</v>
      </c>
      <c r="I4058" s="86">
        <v>41990</v>
      </c>
      <c r="J4058" s="78">
        <v>976</v>
      </c>
    </row>
    <row r="4059" spans="6:10" x14ac:dyDescent="0.25">
      <c r="F4059" s="76" t="s">
        <v>150</v>
      </c>
      <c r="G4059" s="77" t="s">
        <v>216</v>
      </c>
      <c r="H4059" s="77" t="s">
        <v>158</v>
      </c>
      <c r="I4059" s="86">
        <v>41990</v>
      </c>
      <c r="J4059" s="78">
        <v>400</v>
      </c>
    </row>
    <row r="4060" spans="6:10" x14ac:dyDescent="0.25">
      <c r="F4060" s="76" t="s">
        <v>150</v>
      </c>
      <c r="G4060" s="77" t="s">
        <v>216</v>
      </c>
      <c r="H4060" s="77" t="s">
        <v>158</v>
      </c>
      <c r="I4060" s="86">
        <v>41992</v>
      </c>
      <c r="J4060" s="78">
        <v>1068</v>
      </c>
    </row>
    <row r="4061" spans="6:10" x14ac:dyDescent="0.25">
      <c r="F4061" s="76" t="s">
        <v>150</v>
      </c>
      <c r="G4061" s="77" t="s">
        <v>216</v>
      </c>
      <c r="H4061" s="77" t="s">
        <v>158</v>
      </c>
      <c r="I4061" s="86">
        <v>41994</v>
      </c>
      <c r="J4061" s="78">
        <v>671</v>
      </c>
    </row>
    <row r="4062" spans="6:10" x14ac:dyDescent="0.25">
      <c r="F4062" s="76" t="s">
        <v>150</v>
      </c>
      <c r="G4062" s="77" t="s">
        <v>216</v>
      </c>
      <c r="H4062" s="77" t="s">
        <v>158</v>
      </c>
      <c r="I4062" s="86">
        <v>42000</v>
      </c>
      <c r="J4062" s="78">
        <v>446</v>
      </c>
    </row>
    <row r="4063" spans="6:10" x14ac:dyDescent="0.25">
      <c r="F4063" s="76" t="s">
        <v>150</v>
      </c>
      <c r="G4063" s="77" t="s">
        <v>216</v>
      </c>
      <c r="H4063" s="77" t="s">
        <v>158</v>
      </c>
      <c r="I4063" s="86">
        <v>42001</v>
      </c>
      <c r="J4063" s="78">
        <v>300</v>
      </c>
    </row>
    <row r="4064" spans="6:10" x14ac:dyDescent="0.25">
      <c r="F4064" s="76" t="s">
        <v>150</v>
      </c>
      <c r="G4064" s="77" t="s">
        <v>217</v>
      </c>
      <c r="H4064" s="77" t="s">
        <v>158</v>
      </c>
      <c r="I4064" s="86">
        <v>41669</v>
      </c>
      <c r="J4064" s="78">
        <v>799</v>
      </c>
    </row>
    <row r="4065" spans="6:10" x14ac:dyDescent="0.25">
      <c r="F4065" s="76" t="s">
        <v>150</v>
      </c>
      <c r="G4065" s="77" t="s">
        <v>217</v>
      </c>
      <c r="H4065" s="77" t="s">
        <v>158</v>
      </c>
      <c r="I4065" s="86">
        <v>41670</v>
      </c>
      <c r="J4065" s="78">
        <v>559</v>
      </c>
    </row>
    <row r="4066" spans="6:10" x14ac:dyDescent="0.25">
      <c r="F4066" s="76" t="s">
        <v>150</v>
      </c>
      <c r="G4066" s="77" t="s">
        <v>217</v>
      </c>
      <c r="H4066" s="77" t="s">
        <v>158</v>
      </c>
      <c r="I4066" s="86">
        <v>41677</v>
      </c>
      <c r="J4066" s="78">
        <v>1135</v>
      </c>
    </row>
    <row r="4067" spans="6:10" x14ac:dyDescent="0.25">
      <c r="F4067" s="76" t="s">
        <v>150</v>
      </c>
      <c r="G4067" s="77" t="s">
        <v>217</v>
      </c>
      <c r="H4067" s="77" t="s">
        <v>158</v>
      </c>
      <c r="I4067" s="86">
        <v>41690</v>
      </c>
      <c r="J4067" s="78">
        <v>1129</v>
      </c>
    </row>
    <row r="4068" spans="6:10" x14ac:dyDescent="0.25">
      <c r="F4068" s="76" t="s">
        <v>150</v>
      </c>
      <c r="G4068" s="77" t="s">
        <v>217</v>
      </c>
      <c r="H4068" s="77" t="s">
        <v>158</v>
      </c>
      <c r="I4068" s="86">
        <v>41691</v>
      </c>
      <c r="J4068" s="78">
        <v>575</v>
      </c>
    </row>
    <row r="4069" spans="6:10" x14ac:dyDescent="0.25">
      <c r="F4069" s="76" t="s">
        <v>150</v>
      </c>
      <c r="G4069" s="77" t="s">
        <v>217</v>
      </c>
      <c r="H4069" s="77" t="s">
        <v>158</v>
      </c>
      <c r="I4069" s="86">
        <v>41694</v>
      </c>
      <c r="J4069" s="78">
        <v>530</v>
      </c>
    </row>
    <row r="4070" spans="6:10" x14ac:dyDescent="0.25">
      <c r="F4070" s="76" t="s">
        <v>150</v>
      </c>
      <c r="G4070" s="77" t="s">
        <v>217</v>
      </c>
      <c r="H4070" s="77" t="s">
        <v>158</v>
      </c>
      <c r="I4070" s="86">
        <v>41696</v>
      </c>
      <c r="J4070" s="78">
        <v>1103</v>
      </c>
    </row>
    <row r="4071" spans="6:10" x14ac:dyDescent="0.25">
      <c r="F4071" s="76" t="s">
        <v>150</v>
      </c>
      <c r="G4071" s="77" t="s">
        <v>217</v>
      </c>
      <c r="H4071" s="77" t="s">
        <v>158</v>
      </c>
      <c r="I4071" s="86">
        <v>41702</v>
      </c>
      <c r="J4071" s="78">
        <v>848</v>
      </c>
    </row>
    <row r="4072" spans="6:10" x14ac:dyDescent="0.25">
      <c r="F4072" s="76" t="s">
        <v>150</v>
      </c>
      <c r="G4072" s="77" t="s">
        <v>217</v>
      </c>
      <c r="H4072" s="77" t="s">
        <v>158</v>
      </c>
      <c r="I4072" s="86">
        <v>41703</v>
      </c>
      <c r="J4072" s="78">
        <v>533</v>
      </c>
    </row>
    <row r="4073" spans="6:10" x14ac:dyDescent="0.25">
      <c r="F4073" s="76" t="s">
        <v>150</v>
      </c>
      <c r="G4073" s="77" t="s">
        <v>217</v>
      </c>
      <c r="H4073" s="77" t="s">
        <v>158</v>
      </c>
      <c r="I4073" s="86">
        <v>41705</v>
      </c>
      <c r="J4073" s="78">
        <v>1122</v>
      </c>
    </row>
    <row r="4074" spans="6:10" x14ac:dyDescent="0.25">
      <c r="F4074" s="76" t="s">
        <v>150</v>
      </c>
      <c r="G4074" s="77" t="s">
        <v>217</v>
      </c>
      <c r="H4074" s="77" t="s">
        <v>158</v>
      </c>
      <c r="I4074" s="86">
        <v>41706</v>
      </c>
      <c r="J4074" s="78">
        <v>520</v>
      </c>
    </row>
    <row r="4075" spans="6:10" x14ac:dyDescent="0.25">
      <c r="F4075" s="76" t="s">
        <v>150</v>
      </c>
      <c r="G4075" s="77" t="s">
        <v>217</v>
      </c>
      <c r="H4075" s="77" t="s">
        <v>158</v>
      </c>
      <c r="I4075" s="86">
        <v>41706</v>
      </c>
      <c r="J4075" s="78">
        <v>456</v>
      </c>
    </row>
    <row r="4076" spans="6:10" x14ac:dyDescent="0.25">
      <c r="F4076" s="76" t="s">
        <v>150</v>
      </c>
      <c r="G4076" s="77" t="s">
        <v>217</v>
      </c>
      <c r="H4076" s="77" t="s">
        <v>158</v>
      </c>
      <c r="I4076" s="86">
        <v>41707</v>
      </c>
      <c r="J4076" s="78">
        <v>724</v>
      </c>
    </row>
    <row r="4077" spans="6:10" x14ac:dyDescent="0.25">
      <c r="F4077" s="76" t="s">
        <v>150</v>
      </c>
      <c r="G4077" s="77" t="s">
        <v>217</v>
      </c>
      <c r="H4077" s="77" t="s">
        <v>158</v>
      </c>
      <c r="I4077" s="86">
        <v>41710</v>
      </c>
      <c r="J4077" s="78">
        <v>1470</v>
      </c>
    </row>
    <row r="4078" spans="6:10" x14ac:dyDescent="0.25">
      <c r="F4078" s="76" t="s">
        <v>150</v>
      </c>
      <c r="G4078" s="77" t="s">
        <v>217</v>
      </c>
      <c r="H4078" s="77" t="s">
        <v>158</v>
      </c>
      <c r="I4078" s="86">
        <v>41715</v>
      </c>
      <c r="J4078" s="78">
        <v>1507</v>
      </c>
    </row>
    <row r="4079" spans="6:10" x14ac:dyDescent="0.25">
      <c r="F4079" s="76" t="s">
        <v>150</v>
      </c>
      <c r="G4079" s="77" t="s">
        <v>217</v>
      </c>
      <c r="H4079" s="77" t="s">
        <v>158</v>
      </c>
      <c r="I4079" s="86">
        <v>41719</v>
      </c>
      <c r="J4079" s="78">
        <v>1048</v>
      </c>
    </row>
    <row r="4080" spans="6:10" x14ac:dyDescent="0.25">
      <c r="F4080" s="76" t="s">
        <v>150</v>
      </c>
      <c r="G4080" s="77" t="s">
        <v>217</v>
      </c>
      <c r="H4080" s="77" t="s">
        <v>158</v>
      </c>
      <c r="I4080" s="86">
        <v>41723</v>
      </c>
      <c r="J4080" s="78">
        <v>1082</v>
      </c>
    </row>
    <row r="4081" spans="6:10" x14ac:dyDescent="0.25">
      <c r="F4081" s="76" t="s">
        <v>150</v>
      </c>
      <c r="G4081" s="77" t="s">
        <v>217</v>
      </c>
      <c r="H4081" s="77" t="s">
        <v>158</v>
      </c>
      <c r="I4081" s="86">
        <v>41726</v>
      </c>
      <c r="J4081" s="78">
        <v>1111</v>
      </c>
    </row>
    <row r="4082" spans="6:10" x14ac:dyDescent="0.25">
      <c r="F4082" s="76" t="s">
        <v>150</v>
      </c>
      <c r="G4082" s="77" t="s">
        <v>217</v>
      </c>
      <c r="H4082" s="77" t="s">
        <v>158</v>
      </c>
      <c r="I4082" s="86">
        <v>41728</v>
      </c>
      <c r="J4082" s="78">
        <v>332</v>
      </c>
    </row>
    <row r="4083" spans="6:10" x14ac:dyDescent="0.25">
      <c r="F4083" s="76" t="s">
        <v>150</v>
      </c>
      <c r="G4083" s="77" t="s">
        <v>217</v>
      </c>
      <c r="H4083" s="77" t="s">
        <v>158</v>
      </c>
      <c r="I4083" s="86">
        <v>41729</v>
      </c>
      <c r="J4083" s="78">
        <v>772</v>
      </c>
    </row>
    <row r="4084" spans="6:10" x14ac:dyDescent="0.25">
      <c r="F4084" s="76" t="s">
        <v>150</v>
      </c>
      <c r="G4084" s="77" t="s">
        <v>217</v>
      </c>
      <c r="H4084" s="77" t="s">
        <v>158</v>
      </c>
      <c r="I4084" s="86">
        <v>41731</v>
      </c>
      <c r="J4084" s="78">
        <v>630</v>
      </c>
    </row>
    <row r="4085" spans="6:10" x14ac:dyDescent="0.25">
      <c r="F4085" s="76" t="s">
        <v>150</v>
      </c>
      <c r="G4085" s="77" t="s">
        <v>217</v>
      </c>
      <c r="H4085" s="77" t="s">
        <v>158</v>
      </c>
      <c r="I4085" s="86">
        <v>41731</v>
      </c>
      <c r="J4085" s="78">
        <v>1270</v>
      </c>
    </row>
    <row r="4086" spans="6:10" x14ac:dyDescent="0.25">
      <c r="F4086" s="76" t="s">
        <v>150</v>
      </c>
      <c r="G4086" s="77" t="s">
        <v>217</v>
      </c>
      <c r="H4086" s="77" t="s">
        <v>158</v>
      </c>
      <c r="I4086" s="86">
        <v>41732</v>
      </c>
      <c r="J4086" s="78">
        <v>625</v>
      </c>
    </row>
    <row r="4087" spans="6:10" x14ac:dyDescent="0.25">
      <c r="F4087" s="76" t="s">
        <v>150</v>
      </c>
      <c r="G4087" s="77" t="s">
        <v>217</v>
      </c>
      <c r="H4087" s="77" t="s">
        <v>158</v>
      </c>
      <c r="I4087" s="86">
        <v>41736</v>
      </c>
      <c r="J4087" s="78">
        <v>1100</v>
      </c>
    </row>
    <row r="4088" spans="6:10" x14ac:dyDescent="0.25">
      <c r="F4088" s="76" t="s">
        <v>150</v>
      </c>
      <c r="G4088" s="77" t="s">
        <v>217</v>
      </c>
      <c r="H4088" s="77" t="s">
        <v>158</v>
      </c>
      <c r="I4088" s="86">
        <v>41738</v>
      </c>
      <c r="J4088" s="78">
        <v>1012</v>
      </c>
    </row>
    <row r="4089" spans="6:10" x14ac:dyDescent="0.25">
      <c r="F4089" s="76" t="s">
        <v>150</v>
      </c>
      <c r="G4089" s="77" t="s">
        <v>217</v>
      </c>
      <c r="H4089" s="77" t="s">
        <v>158</v>
      </c>
      <c r="I4089" s="86">
        <v>41740</v>
      </c>
      <c r="J4089" s="78">
        <v>438</v>
      </c>
    </row>
    <row r="4090" spans="6:10" x14ac:dyDescent="0.25">
      <c r="F4090" s="76" t="s">
        <v>150</v>
      </c>
      <c r="G4090" s="77" t="s">
        <v>217</v>
      </c>
      <c r="H4090" s="77" t="s">
        <v>158</v>
      </c>
      <c r="I4090" s="86">
        <v>41740</v>
      </c>
      <c r="J4090" s="78">
        <v>814</v>
      </c>
    </row>
    <row r="4091" spans="6:10" x14ac:dyDescent="0.25">
      <c r="F4091" s="76" t="s">
        <v>150</v>
      </c>
      <c r="G4091" s="77" t="s">
        <v>217</v>
      </c>
      <c r="H4091" s="77" t="s">
        <v>158</v>
      </c>
      <c r="I4091" s="86">
        <v>41741</v>
      </c>
      <c r="J4091" s="78">
        <v>746</v>
      </c>
    </row>
    <row r="4092" spans="6:10" x14ac:dyDescent="0.25">
      <c r="F4092" s="76" t="s">
        <v>150</v>
      </c>
      <c r="G4092" s="77" t="s">
        <v>217</v>
      </c>
      <c r="H4092" s="77" t="s">
        <v>158</v>
      </c>
      <c r="I4092" s="86">
        <v>41743</v>
      </c>
      <c r="J4092" s="78">
        <v>1093</v>
      </c>
    </row>
    <row r="4093" spans="6:10" x14ac:dyDescent="0.25">
      <c r="F4093" s="76" t="s">
        <v>150</v>
      </c>
      <c r="G4093" s="77" t="s">
        <v>217</v>
      </c>
      <c r="H4093" s="77" t="s">
        <v>158</v>
      </c>
      <c r="I4093" s="86">
        <v>41745</v>
      </c>
      <c r="J4093" s="78">
        <v>952</v>
      </c>
    </row>
    <row r="4094" spans="6:10" x14ac:dyDescent="0.25">
      <c r="F4094" s="76" t="s">
        <v>150</v>
      </c>
      <c r="G4094" s="77" t="s">
        <v>217</v>
      </c>
      <c r="H4094" s="77" t="s">
        <v>158</v>
      </c>
      <c r="I4094" s="86">
        <v>41747</v>
      </c>
      <c r="J4094" s="78">
        <v>1151</v>
      </c>
    </row>
    <row r="4095" spans="6:10" x14ac:dyDescent="0.25">
      <c r="F4095" s="76" t="s">
        <v>150</v>
      </c>
      <c r="G4095" s="77" t="s">
        <v>217</v>
      </c>
      <c r="H4095" s="77" t="s">
        <v>158</v>
      </c>
      <c r="I4095" s="86">
        <v>41750</v>
      </c>
      <c r="J4095" s="78">
        <v>1031</v>
      </c>
    </row>
    <row r="4096" spans="6:10" x14ac:dyDescent="0.25">
      <c r="F4096" s="76" t="s">
        <v>150</v>
      </c>
      <c r="G4096" s="77" t="s">
        <v>217</v>
      </c>
      <c r="H4096" s="77" t="s">
        <v>158</v>
      </c>
      <c r="I4096" s="86">
        <v>41752</v>
      </c>
      <c r="J4096" s="78">
        <v>635</v>
      </c>
    </row>
    <row r="4097" spans="6:10" x14ac:dyDescent="0.25">
      <c r="F4097" s="76" t="s">
        <v>150</v>
      </c>
      <c r="G4097" s="77" t="s">
        <v>217</v>
      </c>
      <c r="H4097" s="77" t="s">
        <v>158</v>
      </c>
      <c r="I4097" s="86">
        <v>41759</v>
      </c>
      <c r="J4097" s="78">
        <v>1140</v>
      </c>
    </row>
    <row r="4098" spans="6:10" x14ac:dyDescent="0.25">
      <c r="F4098" s="76" t="s">
        <v>150</v>
      </c>
      <c r="G4098" s="77" t="s">
        <v>217</v>
      </c>
      <c r="H4098" s="77" t="s">
        <v>158</v>
      </c>
      <c r="I4098" s="86">
        <v>41761</v>
      </c>
      <c r="J4098" s="78">
        <v>1000</v>
      </c>
    </row>
    <row r="4099" spans="6:10" x14ac:dyDescent="0.25">
      <c r="F4099" s="76" t="s">
        <v>150</v>
      </c>
      <c r="G4099" s="77" t="s">
        <v>217</v>
      </c>
      <c r="H4099" s="77" t="s">
        <v>158</v>
      </c>
      <c r="I4099" s="86">
        <v>41764</v>
      </c>
      <c r="J4099" s="78">
        <v>1214</v>
      </c>
    </row>
    <row r="4100" spans="6:10" x14ac:dyDescent="0.25">
      <c r="F4100" s="76" t="s">
        <v>150</v>
      </c>
      <c r="G4100" s="77" t="s">
        <v>217</v>
      </c>
      <c r="H4100" s="77" t="s">
        <v>158</v>
      </c>
      <c r="I4100" s="86">
        <v>41766</v>
      </c>
      <c r="J4100" s="78">
        <v>1200</v>
      </c>
    </row>
    <row r="4101" spans="6:10" x14ac:dyDescent="0.25">
      <c r="F4101" s="76" t="s">
        <v>150</v>
      </c>
      <c r="G4101" s="77" t="s">
        <v>217</v>
      </c>
      <c r="H4101" s="77" t="s">
        <v>158</v>
      </c>
      <c r="I4101" s="86">
        <v>41768</v>
      </c>
      <c r="J4101" s="78">
        <v>1255</v>
      </c>
    </row>
    <row r="4102" spans="6:10" x14ac:dyDescent="0.25">
      <c r="F4102" s="76" t="s">
        <v>150</v>
      </c>
      <c r="G4102" s="77" t="s">
        <v>217</v>
      </c>
      <c r="H4102" s="77" t="s">
        <v>158</v>
      </c>
      <c r="I4102" s="86">
        <v>41771</v>
      </c>
      <c r="J4102" s="78">
        <v>610</v>
      </c>
    </row>
    <row r="4103" spans="6:10" x14ac:dyDescent="0.25">
      <c r="F4103" s="76" t="s">
        <v>150</v>
      </c>
      <c r="G4103" s="77" t="s">
        <v>217</v>
      </c>
      <c r="H4103" s="77" t="s">
        <v>158</v>
      </c>
      <c r="I4103" s="86">
        <v>41773</v>
      </c>
      <c r="J4103" s="78">
        <v>1044</v>
      </c>
    </row>
    <row r="4104" spans="6:10" x14ac:dyDescent="0.25">
      <c r="F4104" s="76" t="s">
        <v>150</v>
      </c>
      <c r="G4104" s="77" t="s">
        <v>217</v>
      </c>
      <c r="H4104" s="77" t="s">
        <v>158</v>
      </c>
      <c r="I4104" s="86">
        <v>41775</v>
      </c>
      <c r="J4104" s="78">
        <v>1145</v>
      </c>
    </row>
    <row r="4105" spans="6:10" x14ac:dyDescent="0.25">
      <c r="F4105" s="76" t="s">
        <v>150</v>
      </c>
      <c r="G4105" s="77" t="s">
        <v>217</v>
      </c>
      <c r="H4105" s="77" t="s">
        <v>158</v>
      </c>
      <c r="I4105" s="86">
        <v>41780</v>
      </c>
      <c r="J4105" s="78">
        <v>556</v>
      </c>
    </row>
    <row r="4106" spans="6:10" x14ac:dyDescent="0.25">
      <c r="F4106" s="76" t="s">
        <v>150</v>
      </c>
      <c r="G4106" s="77" t="s">
        <v>217</v>
      </c>
      <c r="H4106" s="77" t="s">
        <v>158</v>
      </c>
      <c r="I4106" s="86">
        <v>41984</v>
      </c>
      <c r="J4106" s="78">
        <v>1301</v>
      </c>
    </row>
    <row r="4107" spans="6:10" x14ac:dyDescent="0.25">
      <c r="F4107" s="76" t="s">
        <v>150</v>
      </c>
      <c r="G4107" s="77" t="s">
        <v>218</v>
      </c>
      <c r="H4107" s="77" t="s">
        <v>158</v>
      </c>
      <c r="I4107" s="86">
        <v>41636</v>
      </c>
      <c r="J4107" s="78">
        <v>935</v>
      </c>
    </row>
    <row r="4108" spans="6:10" x14ac:dyDescent="0.25">
      <c r="F4108" s="76" t="s">
        <v>150</v>
      </c>
      <c r="G4108" s="77" t="s">
        <v>218</v>
      </c>
      <c r="H4108" s="77" t="s">
        <v>158</v>
      </c>
      <c r="I4108" s="86">
        <v>41638</v>
      </c>
      <c r="J4108" s="78">
        <v>964</v>
      </c>
    </row>
    <row r="4109" spans="6:10" x14ac:dyDescent="0.25">
      <c r="F4109" s="76" t="s">
        <v>150</v>
      </c>
      <c r="G4109" s="77" t="s">
        <v>218</v>
      </c>
      <c r="H4109" s="77" t="s">
        <v>158</v>
      </c>
      <c r="I4109" s="86">
        <v>41640</v>
      </c>
      <c r="J4109" s="78">
        <v>616</v>
      </c>
    </row>
    <row r="4110" spans="6:10" x14ac:dyDescent="0.25">
      <c r="F4110" s="76" t="s">
        <v>150</v>
      </c>
      <c r="G4110" s="77" t="s">
        <v>218</v>
      </c>
      <c r="H4110" s="77" t="s">
        <v>158</v>
      </c>
      <c r="I4110" s="86">
        <v>41643</v>
      </c>
      <c r="J4110" s="78">
        <v>1130</v>
      </c>
    </row>
    <row r="4111" spans="6:10" x14ac:dyDescent="0.25">
      <c r="F4111" s="76" t="s">
        <v>150</v>
      </c>
      <c r="G4111" s="77" t="s">
        <v>218</v>
      </c>
      <c r="H4111" s="77" t="s">
        <v>158</v>
      </c>
      <c r="I4111" s="86">
        <v>41644</v>
      </c>
      <c r="J4111" s="78">
        <v>708</v>
      </c>
    </row>
    <row r="4112" spans="6:10" x14ac:dyDescent="0.25">
      <c r="F4112" s="76" t="s">
        <v>150</v>
      </c>
      <c r="G4112" s="77" t="s">
        <v>218</v>
      </c>
      <c r="H4112" s="77" t="s">
        <v>158</v>
      </c>
      <c r="I4112" s="86">
        <v>41646</v>
      </c>
      <c r="J4112" s="78">
        <v>1244</v>
      </c>
    </row>
    <row r="4113" spans="6:10" x14ac:dyDescent="0.25">
      <c r="F4113" s="76" t="s">
        <v>150</v>
      </c>
      <c r="G4113" s="77" t="s">
        <v>218</v>
      </c>
      <c r="H4113" s="77" t="s">
        <v>158</v>
      </c>
      <c r="I4113" s="86">
        <v>41667</v>
      </c>
      <c r="J4113" s="78">
        <v>885</v>
      </c>
    </row>
    <row r="4114" spans="6:10" x14ac:dyDescent="0.25">
      <c r="F4114" s="76" t="s">
        <v>150</v>
      </c>
      <c r="G4114" s="77" t="s">
        <v>218</v>
      </c>
      <c r="H4114" s="77" t="s">
        <v>158</v>
      </c>
      <c r="I4114" s="86">
        <v>41669</v>
      </c>
      <c r="J4114" s="78">
        <v>1473</v>
      </c>
    </row>
    <row r="4115" spans="6:10" x14ac:dyDescent="0.25">
      <c r="F4115" s="76" t="s">
        <v>150</v>
      </c>
      <c r="G4115" s="77" t="s">
        <v>218</v>
      </c>
      <c r="H4115" s="77" t="s">
        <v>158</v>
      </c>
      <c r="I4115" s="86">
        <v>41920</v>
      </c>
      <c r="J4115" s="78">
        <v>1056</v>
      </c>
    </row>
    <row r="4116" spans="6:10" x14ac:dyDescent="0.25">
      <c r="F4116" s="76" t="s">
        <v>150</v>
      </c>
      <c r="G4116" s="77" t="s">
        <v>219</v>
      </c>
      <c r="H4116" s="77" t="s">
        <v>158</v>
      </c>
      <c r="I4116" s="86">
        <v>41646</v>
      </c>
      <c r="J4116" s="78">
        <v>386</v>
      </c>
    </row>
    <row r="4117" spans="6:10" x14ac:dyDescent="0.25">
      <c r="F4117" s="76" t="s">
        <v>150</v>
      </c>
      <c r="G4117" s="77" t="s">
        <v>219</v>
      </c>
      <c r="H4117" s="77" t="s">
        <v>158</v>
      </c>
      <c r="I4117" s="86">
        <v>41652</v>
      </c>
      <c r="J4117" s="78">
        <v>632</v>
      </c>
    </row>
    <row r="4118" spans="6:10" x14ac:dyDescent="0.25">
      <c r="F4118" s="76" t="s">
        <v>150</v>
      </c>
      <c r="G4118" s="77" t="s">
        <v>219</v>
      </c>
      <c r="H4118" s="77" t="s">
        <v>158</v>
      </c>
      <c r="I4118" s="86">
        <v>41656</v>
      </c>
      <c r="J4118" s="78">
        <v>1233</v>
      </c>
    </row>
    <row r="4119" spans="6:10" x14ac:dyDescent="0.25">
      <c r="F4119" s="76" t="s">
        <v>150</v>
      </c>
      <c r="G4119" s="77" t="s">
        <v>219</v>
      </c>
      <c r="H4119" s="77" t="s">
        <v>158</v>
      </c>
      <c r="I4119" s="86">
        <v>41667</v>
      </c>
      <c r="J4119" s="78">
        <v>989</v>
      </c>
    </row>
    <row r="4120" spans="6:10" x14ac:dyDescent="0.25">
      <c r="F4120" s="76" t="s">
        <v>150</v>
      </c>
      <c r="G4120" s="77" t="s">
        <v>219</v>
      </c>
      <c r="H4120" s="77" t="s">
        <v>158</v>
      </c>
      <c r="I4120" s="86">
        <v>41668</v>
      </c>
      <c r="J4120" s="78">
        <v>443</v>
      </c>
    </row>
    <row r="4121" spans="6:10" x14ac:dyDescent="0.25">
      <c r="F4121" s="76" t="s">
        <v>150</v>
      </c>
      <c r="G4121" s="77" t="s">
        <v>219</v>
      </c>
      <c r="H4121" s="77" t="s">
        <v>158</v>
      </c>
      <c r="I4121" s="86">
        <v>41670</v>
      </c>
      <c r="J4121" s="78">
        <v>1389</v>
      </c>
    </row>
    <row r="4122" spans="6:10" x14ac:dyDescent="0.25">
      <c r="F4122" s="76" t="s">
        <v>150</v>
      </c>
      <c r="G4122" s="77" t="s">
        <v>219</v>
      </c>
      <c r="H4122" s="77" t="s">
        <v>158</v>
      </c>
      <c r="I4122" s="86">
        <v>41673</v>
      </c>
      <c r="J4122" s="78">
        <v>1136</v>
      </c>
    </row>
    <row r="4123" spans="6:10" x14ac:dyDescent="0.25">
      <c r="F4123" s="76" t="s">
        <v>150</v>
      </c>
      <c r="G4123" s="77" t="s">
        <v>219</v>
      </c>
      <c r="H4123" s="77" t="s">
        <v>158</v>
      </c>
      <c r="I4123" s="86">
        <v>41674</v>
      </c>
      <c r="J4123" s="78">
        <v>1230</v>
      </c>
    </row>
    <row r="4124" spans="6:10" x14ac:dyDescent="0.25">
      <c r="F4124" s="76" t="s">
        <v>150</v>
      </c>
      <c r="G4124" s="77" t="s">
        <v>219</v>
      </c>
      <c r="H4124" s="77" t="s">
        <v>158</v>
      </c>
      <c r="I4124" s="86">
        <v>41676</v>
      </c>
      <c r="J4124" s="78">
        <v>1502</v>
      </c>
    </row>
    <row r="4125" spans="6:10" x14ac:dyDescent="0.25">
      <c r="F4125" s="76" t="s">
        <v>150</v>
      </c>
      <c r="G4125" s="77" t="s">
        <v>219</v>
      </c>
      <c r="H4125" s="77" t="s">
        <v>158</v>
      </c>
      <c r="I4125" s="86">
        <v>41681</v>
      </c>
      <c r="J4125" s="78">
        <v>1308</v>
      </c>
    </row>
    <row r="4126" spans="6:10" x14ac:dyDescent="0.25">
      <c r="F4126" s="76" t="s">
        <v>150</v>
      </c>
      <c r="G4126" s="77" t="s">
        <v>219</v>
      </c>
      <c r="H4126" s="77" t="s">
        <v>158</v>
      </c>
      <c r="I4126" s="86">
        <v>41682</v>
      </c>
      <c r="J4126" s="78">
        <v>774</v>
      </c>
    </row>
    <row r="4127" spans="6:10" x14ac:dyDescent="0.25">
      <c r="F4127" s="76" t="s">
        <v>150</v>
      </c>
      <c r="G4127" s="77" t="s">
        <v>219</v>
      </c>
      <c r="H4127" s="77" t="s">
        <v>158</v>
      </c>
      <c r="I4127" s="86">
        <v>41684</v>
      </c>
      <c r="J4127" s="78">
        <v>1574</v>
      </c>
    </row>
    <row r="4128" spans="6:10" x14ac:dyDescent="0.25">
      <c r="F4128" s="76" t="s">
        <v>150</v>
      </c>
      <c r="G4128" s="77" t="s">
        <v>219</v>
      </c>
      <c r="H4128" s="77" t="s">
        <v>158</v>
      </c>
      <c r="I4128" s="86">
        <v>41685</v>
      </c>
      <c r="J4128" s="78">
        <v>662</v>
      </c>
    </row>
    <row r="4129" spans="6:10" x14ac:dyDescent="0.25">
      <c r="F4129" s="76" t="s">
        <v>150</v>
      </c>
      <c r="G4129" s="77" t="s">
        <v>219</v>
      </c>
      <c r="H4129" s="77" t="s">
        <v>158</v>
      </c>
      <c r="I4129" s="86">
        <v>41685</v>
      </c>
      <c r="J4129" s="78">
        <v>1010</v>
      </c>
    </row>
    <row r="4130" spans="6:10" x14ac:dyDescent="0.25">
      <c r="F4130" s="76" t="s">
        <v>150</v>
      </c>
      <c r="G4130" s="77" t="s">
        <v>219</v>
      </c>
      <c r="H4130" s="77" t="s">
        <v>158</v>
      </c>
      <c r="I4130" s="86">
        <v>41686</v>
      </c>
      <c r="J4130" s="78">
        <v>555</v>
      </c>
    </row>
    <row r="4131" spans="6:10" x14ac:dyDescent="0.25">
      <c r="F4131" s="76" t="s">
        <v>150</v>
      </c>
      <c r="G4131" s="77" t="s">
        <v>219</v>
      </c>
      <c r="H4131" s="77" t="s">
        <v>158</v>
      </c>
      <c r="I4131" s="86">
        <v>41687</v>
      </c>
      <c r="J4131" s="78">
        <v>940</v>
      </c>
    </row>
    <row r="4132" spans="6:10" x14ac:dyDescent="0.25">
      <c r="F4132" s="76" t="s">
        <v>150</v>
      </c>
      <c r="G4132" s="77" t="s">
        <v>219</v>
      </c>
      <c r="H4132" s="77" t="s">
        <v>158</v>
      </c>
      <c r="I4132" s="86">
        <v>41688</v>
      </c>
      <c r="J4132" s="78">
        <v>619</v>
      </c>
    </row>
    <row r="4133" spans="6:10" x14ac:dyDescent="0.25">
      <c r="F4133" s="76" t="s">
        <v>150</v>
      </c>
      <c r="G4133" s="77" t="s">
        <v>219</v>
      </c>
      <c r="H4133" s="77" t="s">
        <v>158</v>
      </c>
      <c r="I4133" s="86">
        <v>41689</v>
      </c>
      <c r="J4133" s="78">
        <v>859</v>
      </c>
    </row>
    <row r="4134" spans="6:10" x14ac:dyDescent="0.25">
      <c r="F4134" s="76" t="s">
        <v>150</v>
      </c>
      <c r="G4134" s="77" t="s">
        <v>219</v>
      </c>
      <c r="H4134" s="77" t="s">
        <v>158</v>
      </c>
      <c r="I4134" s="86">
        <v>41691</v>
      </c>
      <c r="J4134" s="78">
        <v>1309</v>
      </c>
    </row>
    <row r="4135" spans="6:10" x14ac:dyDescent="0.25">
      <c r="F4135" s="76" t="s">
        <v>150</v>
      </c>
      <c r="G4135" s="77" t="s">
        <v>219</v>
      </c>
      <c r="H4135" s="77" t="s">
        <v>158</v>
      </c>
      <c r="I4135" s="86">
        <v>41697</v>
      </c>
      <c r="J4135" s="78">
        <v>1361</v>
      </c>
    </row>
    <row r="4136" spans="6:10" x14ac:dyDescent="0.25">
      <c r="F4136" s="76" t="s">
        <v>150</v>
      </c>
      <c r="G4136" s="77" t="s">
        <v>219</v>
      </c>
      <c r="H4136" s="77" t="s">
        <v>158</v>
      </c>
      <c r="I4136" s="86">
        <v>41698</v>
      </c>
      <c r="J4136" s="78">
        <v>386</v>
      </c>
    </row>
    <row r="4137" spans="6:10" x14ac:dyDescent="0.25">
      <c r="F4137" s="76" t="s">
        <v>150</v>
      </c>
      <c r="G4137" s="77" t="s">
        <v>219</v>
      </c>
      <c r="H4137" s="77" t="s">
        <v>158</v>
      </c>
      <c r="I4137" s="86">
        <v>41701</v>
      </c>
      <c r="J4137" s="78">
        <v>1177</v>
      </c>
    </row>
    <row r="4138" spans="6:10" x14ac:dyDescent="0.25">
      <c r="F4138" s="76" t="s">
        <v>150</v>
      </c>
      <c r="G4138" s="77" t="s">
        <v>219</v>
      </c>
      <c r="H4138" s="77" t="s">
        <v>158</v>
      </c>
      <c r="I4138" s="86">
        <v>41702</v>
      </c>
      <c r="J4138" s="78">
        <v>993</v>
      </c>
    </row>
    <row r="4139" spans="6:10" x14ac:dyDescent="0.25">
      <c r="F4139" s="76" t="s">
        <v>150</v>
      </c>
      <c r="G4139" s="77" t="s">
        <v>219</v>
      </c>
      <c r="H4139" s="77" t="s">
        <v>158</v>
      </c>
      <c r="I4139" s="86">
        <v>41708</v>
      </c>
      <c r="J4139" s="78">
        <v>1337</v>
      </c>
    </row>
    <row r="4140" spans="6:10" x14ac:dyDescent="0.25">
      <c r="F4140" s="76" t="s">
        <v>150</v>
      </c>
      <c r="G4140" s="77" t="s">
        <v>219</v>
      </c>
      <c r="H4140" s="77" t="s">
        <v>158</v>
      </c>
      <c r="I4140" s="86">
        <v>41711</v>
      </c>
      <c r="J4140" s="78">
        <v>670</v>
      </c>
    </row>
    <row r="4141" spans="6:10" x14ac:dyDescent="0.25">
      <c r="F4141" s="76" t="s">
        <v>150</v>
      </c>
      <c r="G4141" s="77" t="s">
        <v>219</v>
      </c>
      <c r="H4141" s="77" t="s">
        <v>158</v>
      </c>
      <c r="I4141" s="86">
        <v>41716</v>
      </c>
      <c r="J4141" s="78">
        <v>757</v>
      </c>
    </row>
    <row r="4142" spans="6:10" x14ac:dyDescent="0.25">
      <c r="F4142" s="76" t="s">
        <v>150</v>
      </c>
      <c r="G4142" s="77" t="s">
        <v>219</v>
      </c>
      <c r="H4142" s="77" t="s">
        <v>158</v>
      </c>
      <c r="I4142" s="86">
        <v>41722</v>
      </c>
      <c r="J4142" s="78">
        <v>1287</v>
      </c>
    </row>
    <row r="4143" spans="6:10" x14ac:dyDescent="0.25">
      <c r="F4143" s="76" t="s">
        <v>150</v>
      </c>
      <c r="G4143" s="77" t="s">
        <v>219</v>
      </c>
      <c r="H4143" s="77" t="s">
        <v>158</v>
      </c>
      <c r="I4143" s="86">
        <v>41725</v>
      </c>
      <c r="J4143" s="78">
        <v>1044</v>
      </c>
    </row>
    <row r="4144" spans="6:10" x14ac:dyDescent="0.25">
      <c r="F4144" s="76" t="s">
        <v>150</v>
      </c>
      <c r="G4144" s="77" t="s">
        <v>219</v>
      </c>
      <c r="H4144" s="77" t="s">
        <v>158</v>
      </c>
      <c r="I4144" s="86">
        <v>41729</v>
      </c>
      <c r="J4144" s="78">
        <v>516</v>
      </c>
    </row>
    <row r="4145" spans="6:10" x14ac:dyDescent="0.25">
      <c r="F4145" s="76" t="s">
        <v>150</v>
      </c>
      <c r="G4145" s="77" t="s">
        <v>219</v>
      </c>
      <c r="H4145" s="77" t="s">
        <v>158</v>
      </c>
      <c r="I4145" s="86">
        <v>41732</v>
      </c>
      <c r="J4145" s="78">
        <v>583</v>
      </c>
    </row>
    <row r="4146" spans="6:10" x14ac:dyDescent="0.25">
      <c r="F4146" s="76" t="s">
        <v>150</v>
      </c>
      <c r="G4146" s="77" t="s">
        <v>219</v>
      </c>
      <c r="H4146" s="77" t="s">
        <v>158</v>
      </c>
      <c r="I4146" s="86">
        <v>41736</v>
      </c>
      <c r="J4146" s="78">
        <v>627</v>
      </c>
    </row>
    <row r="4147" spans="6:10" x14ac:dyDescent="0.25">
      <c r="F4147" s="76" t="s">
        <v>150</v>
      </c>
      <c r="G4147" s="77" t="s">
        <v>219</v>
      </c>
      <c r="H4147" s="77" t="s">
        <v>158</v>
      </c>
      <c r="I4147" s="86">
        <v>41739</v>
      </c>
      <c r="J4147" s="78">
        <v>446</v>
      </c>
    </row>
    <row r="4148" spans="6:10" x14ac:dyDescent="0.25">
      <c r="F4148" s="76" t="s">
        <v>150</v>
      </c>
      <c r="G4148" s="77" t="s">
        <v>219</v>
      </c>
      <c r="H4148" s="77" t="s">
        <v>158</v>
      </c>
      <c r="I4148" s="86">
        <v>41741</v>
      </c>
      <c r="J4148" s="78">
        <v>1142</v>
      </c>
    </row>
    <row r="4149" spans="6:10" x14ac:dyDescent="0.25">
      <c r="F4149" s="76" t="s">
        <v>150</v>
      </c>
      <c r="G4149" s="77" t="s">
        <v>219</v>
      </c>
      <c r="H4149" s="77" t="s">
        <v>158</v>
      </c>
      <c r="I4149" s="86">
        <v>41742</v>
      </c>
      <c r="J4149" s="78">
        <v>843</v>
      </c>
    </row>
    <row r="4150" spans="6:10" x14ac:dyDescent="0.25">
      <c r="F4150" s="76" t="s">
        <v>150</v>
      </c>
      <c r="G4150" s="77" t="s">
        <v>219</v>
      </c>
      <c r="H4150" s="77" t="s">
        <v>158</v>
      </c>
      <c r="I4150" s="86">
        <v>41744</v>
      </c>
      <c r="J4150" s="78">
        <v>678</v>
      </c>
    </row>
    <row r="4151" spans="6:10" x14ac:dyDescent="0.25">
      <c r="F4151" s="76" t="s">
        <v>150</v>
      </c>
      <c r="G4151" s="77" t="s">
        <v>219</v>
      </c>
      <c r="H4151" s="77" t="s">
        <v>158</v>
      </c>
      <c r="I4151" s="86">
        <v>41750</v>
      </c>
      <c r="J4151" s="78">
        <v>1365</v>
      </c>
    </row>
    <row r="4152" spans="6:10" x14ac:dyDescent="0.25">
      <c r="F4152" s="76" t="s">
        <v>150</v>
      </c>
      <c r="G4152" s="77" t="s">
        <v>219</v>
      </c>
      <c r="H4152" s="77" t="s">
        <v>158</v>
      </c>
      <c r="I4152" s="86">
        <v>41751</v>
      </c>
      <c r="J4152" s="78">
        <v>805</v>
      </c>
    </row>
    <row r="4153" spans="6:10" x14ac:dyDescent="0.25">
      <c r="F4153" s="76" t="s">
        <v>150</v>
      </c>
      <c r="G4153" s="77" t="s">
        <v>219</v>
      </c>
      <c r="H4153" s="77" t="s">
        <v>158</v>
      </c>
      <c r="I4153" s="86">
        <v>41753</v>
      </c>
      <c r="J4153" s="78">
        <v>1117</v>
      </c>
    </row>
    <row r="4154" spans="6:10" x14ac:dyDescent="0.25">
      <c r="F4154" s="76" t="s">
        <v>150</v>
      </c>
      <c r="G4154" s="77" t="s">
        <v>219</v>
      </c>
      <c r="H4154" s="77" t="s">
        <v>158</v>
      </c>
      <c r="I4154" s="86">
        <v>41759</v>
      </c>
      <c r="J4154" s="78">
        <v>1576</v>
      </c>
    </row>
    <row r="4155" spans="6:10" x14ac:dyDescent="0.25">
      <c r="F4155" s="76" t="s">
        <v>150</v>
      </c>
      <c r="G4155" s="77" t="s">
        <v>219</v>
      </c>
      <c r="H4155" s="77" t="s">
        <v>158</v>
      </c>
      <c r="I4155" s="86">
        <v>41762</v>
      </c>
      <c r="J4155" s="78">
        <v>708</v>
      </c>
    </row>
    <row r="4156" spans="6:10" x14ac:dyDescent="0.25">
      <c r="F4156" s="76" t="s">
        <v>150</v>
      </c>
      <c r="G4156" s="77" t="s">
        <v>219</v>
      </c>
      <c r="H4156" s="77" t="s">
        <v>158</v>
      </c>
      <c r="I4156" s="86">
        <v>41762</v>
      </c>
      <c r="J4156" s="78">
        <v>1341</v>
      </c>
    </row>
    <row r="4157" spans="6:10" x14ac:dyDescent="0.25">
      <c r="F4157" s="76" t="s">
        <v>150</v>
      </c>
      <c r="G4157" s="77" t="s">
        <v>219</v>
      </c>
      <c r="H4157" s="77" t="s">
        <v>158</v>
      </c>
      <c r="I4157" s="86">
        <v>41763</v>
      </c>
      <c r="J4157" s="78">
        <v>720</v>
      </c>
    </row>
    <row r="4158" spans="6:10" x14ac:dyDescent="0.25">
      <c r="F4158" s="76" t="s">
        <v>150</v>
      </c>
      <c r="G4158" s="77" t="s">
        <v>219</v>
      </c>
      <c r="H4158" s="77" t="s">
        <v>158</v>
      </c>
      <c r="I4158" s="86">
        <v>41764</v>
      </c>
      <c r="J4158" s="78">
        <v>998</v>
      </c>
    </row>
    <row r="4159" spans="6:10" x14ac:dyDescent="0.25">
      <c r="F4159" s="76" t="s">
        <v>150</v>
      </c>
      <c r="G4159" s="77" t="s">
        <v>219</v>
      </c>
      <c r="H4159" s="77" t="s">
        <v>158</v>
      </c>
      <c r="I4159" s="86">
        <v>41765</v>
      </c>
      <c r="J4159" s="78">
        <v>843</v>
      </c>
    </row>
    <row r="4160" spans="6:10" x14ac:dyDescent="0.25">
      <c r="F4160" s="76" t="s">
        <v>150</v>
      </c>
      <c r="G4160" s="77" t="s">
        <v>219</v>
      </c>
      <c r="H4160" s="77" t="s">
        <v>158</v>
      </c>
      <c r="I4160" s="86">
        <v>41767</v>
      </c>
      <c r="J4160" s="78">
        <v>1365</v>
      </c>
    </row>
    <row r="4161" spans="6:10" x14ac:dyDescent="0.25">
      <c r="F4161" s="76" t="s">
        <v>150</v>
      </c>
      <c r="G4161" s="77" t="s">
        <v>219</v>
      </c>
      <c r="H4161" s="77" t="s">
        <v>158</v>
      </c>
      <c r="I4161" s="86">
        <v>41779</v>
      </c>
      <c r="J4161" s="78">
        <v>346</v>
      </c>
    </row>
    <row r="4162" spans="6:10" x14ac:dyDescent="0.25">
      <c r="F4162" s="76" t="s">
        <v>150</v>
      </c>
      <c r="G4162" s="77" t="s">
        <v>219</v>
      </c>
      <c r="H4162" s="77" t="s">
        <v>158</v>
      </c>
      <c r="I4162" s="86">
        <v>41781</v>
      </c>
      <c r="J4162" s="78">
        <v>1014</v>
      </c>
    </row>
    <row r="4163" spans="6:10" x14ac:dyDescent="0.25">
      <c r="F4163" s="76" t="s">
        <v>150</v>
      </c>
      <c r="G4163" s="77" t="s">
        <v>219</v>
      </c>
      <c r="H4163" s="77" t="s">
        <v>158</v>
      </c>
      <c r="I4163" s="86">
        <v>41782</v>
      </c>
      <c r="J4163" s="78">
        <v>990</v>
      </c>
    </row>
    <row r="4164" spans="6:10" x14ac:dyDescent="0.25">
      <c r="F4164" s="76" t="s">
        <v>150</v>
      </c>
      <c r="G4164" s="77" t="s">
        <v>219</v>
      </c>
      <c r="H4164" s="77" t="s">
        <v>158</v>
      </c>
      <c r="I4164" s="86">
        <v>41783</v>
      </c>
      <c r="J4164" s="78">
        <v>759</v>
      </c>
    </row>
    <row r="4165" spans="6:10" x14ac:dyDescent="0.25">
      <c r="F4165" s="76" t="s">
        <v>150</v>
      </c>
      <c r="G4165" s="77" t="s">
        <v>219</v>
      </c>
      <c r="H4165" s="77" t="s">
        <v>158</v>
      </c>
      <c r="I4165" s="86">
        <v>41784</v>
      </c>
      <c r="J4165" s="78">
        <v>850</v>
      </c>
    </row>
    <row r="4166" spans="6:10" x14ac:dyDescent="0.25">
      <c r="F4166" s="76" t="s">
        <v>150</v>
      </c>
      <c r="G4166" s="77" t="s">
        <v>219</v>
      </c>
      <c r="H4166" s="77" t="s">
        <v>158</v>
      </c>
      <c r="I4166" s="86">
        <v>41785</v>
      </c>
      <c r="J4166" s="78">
        <v>762</v>
      </c>
    </row>
    <row r="4167" spans="6:10" x14ac:dyDescent="0.25">
      <c r="F4167" s="76" t="s">
        <v>150</v>
      </c>
      <c r="G4167" s="77" t="s">
        <v>219</v>
      </c>
      <c r="H4167" s="77" t="s">
        <v>158</v>
      </c>
      <c r="I4167" s="86">
        <v>41787</v>
      </c>
      <c r="J4167" s="78">
        <v>1542</v>
      </c>
    </row>
    <row r="4168" spans="6:10" x14ac:dyDescent="0.25">
      <c r="F4168" s="76" t="s">
        <v>150</v>
      </c>
      <c r="G4168" s="77" t="s">
        <v>219</v>
      </c>
      <c r="H4168" s="77" t="s">
        <v>158</v>
      </c>
      <c r="I4168" s="86">
        <v>41788</v>
      </c>
      <c r="J4168" s="78">
        <v>1002</v>
      </c>
    </row>
    <row r="4169" spans="6:10" x14ac:dyDescent="0.25">
      <c r="F4169" s="76" t="s">
        <v>150</v>
      </c>
      <c r="G4169" s="77" t="s">
        <v>219</v>
      </c>
      <c r="H4169" s="77" t="s">
        <v>158</v>
      </c>
      <c r="I4169" s="86">
        <v>41791</v>
      </c>
      <c r="J4169" s="78">
        <v>1096</v>
      </c>
    </row>
    <row r="4170" spans="6:10" x14ac:dyDescent="0.25">
      <c r="F4170" s="76" t="s">
        <v>150</v>
      </c>
      <c r="G4170" s="77" t="s">
        <v>219</v>
      </c>
      <c r="H4170" s="77" t="s">
        <v>158</v>
      </c>
      <c r="I4170" s="86">
        <v>41792</v>
      </c>
      <c r="J4170" s="78">
        <v>840</v>
      </c>
    </row>
    <row r="4171" spans="6:10" x14ac:dyDescent="0.25">
      <c r="F4171" s="76" t="s">
        <v>150</v>
      </c>
      <c r="G4171" s="77" t="s">
        <v>219</v>
      </c>
      <c r="H4171" s="77" t="s">
        <v>158</v>
      </c>
      <c r="I4171" s="86">
        <v>41793</v>
      </c>
      <c r="J4171" s="78">
        <v>588</v>
      </c>
    </row>
    <row r="4172" spans="6:10" x14ac:dyDescent="0.25">
      <c r="F4172" s="76" t="s">
        <v>150</v>
      </c>
      <c r="G4172" s="77" t="s">
        <v>219</v>
      </c>
      <c r="H4172" s="77" t="s">
        <v>158</v>
      </c>
      <c r="I4172" s="86">
        <v>41794</v>
      </c>
      <c r="J4172" s="78">
        <v>1109</v>
      </c>
    </row>
    <row r="4173" spans="6:10" x14ac:dyDescent="0.25">
      <c r="F4173" s="76" t="s">
        <v>150</v>
      </c>
      <c r="G4173" s="77" t="s">
        <v>219</v>
      </c>
      <c r="H4173" s="77" t="s">
        <v>158</v>
      </c>
      <c r="I4173" s="86">
        <v>41796</v>
      </c>
      <c r="J4173" s="78">
        <v>1475</v>
      </c>
    </row>
    <row r="4174" spans="6:10" x14ac:dyDescent="0.25">
      <c r="F4174" s="76" t="s">
        <v>150</v>
      </c>
      <c r="G4174" s="77" t="s">
        <v>219</v>
      </c>
      <c r="H4174" s="77" t="s">
        <v>158</v>
      </c>
      <c r="I4174" s="86">
        <v>41800</v>
      </c>
      <c r="J4174" s="78">
        <v>1296</v>
      </c>
    </row>
    <row r="4175" spans="6:10" x14ac:dyDescent="0.25">
      <c r="F4175" s="76" t="s">
        <v>150</v>
      </c>
      <c r="G4175" s="77" t="s">
        <v>219</v>
      </c>
      <c r="H4175" s="77" t="s">
        <v>158</v>
      </c>
      <c r="I4175" s="86">
        <v>41802</v>
      </c>
      <c r="J4175" s="78">
        <v>954</v>
      </c>
    </row>
    <row r="4176" spans="6:10" x14ac:dyDescent="0.25">
      <c r="F4176" s="76" t="s">
        <v>150</v>
      </c>
      <c r="G4176" s="77" t="s">
        <v>219</v>
      </c>
      <c r="H4176" s="77" t="s">
        <v>158</v>
      </c>
      <c r="I4176" s="86">
        <v>41804</v>
      </c>
      <c r="J4176" s="78">
        <v>723</v>
      </c>
    </row>
    <row r="4177" spans="6:10" x14ac:dyDescent="0.25">
      <c r="F4177" s="76" t="s">
        <v>150</v>
      </c>
      <c r="G4177" s="77" t="s">
        <v>219</v>
      </c>
      <c r="H4177" s="77" t="s">
        <v>158</v>
      </c>
      <c r="I4177" s="86">
        <v>41805</v>
      </c>
      <c r="J4177" s="78">
        <v>789</v>
      </c>
    </row>
    <row r="4178" spans="6:10" x14ac:dyDescent="0.25">
      <c r="F4178" s="76" t="s">
        <v>150</v>
      </c>
      <c r="G4178" s="77" t="s">
        <v>219</v>
      </c>
      <c r="H4178" s="77" t="s">
        <v>158</v>
      </c>
      <c r="I4178" s="86">
        <v>41808</v>
      </c>
      <c r="J4178" s="78">
        <v>1323</v>
      </c>
    </row>
    <row r="4179" spans="6:10" x14ac:dyDescent="0.25">
      <c r="F4179" s="76" t="s">
        <v>150</v>
      </c>
      <c r="G4179" s="77" t="s">
        <v>219</v>
      </c>
      <c r="H4179" s="77" t="s">
        <v>158</v>
      </c>
      <c r="I4179" s="86">
        <v>41810</v>
      </c>
      <c r="J4179" s="78">
        <v>588</v>
      </c>
    </row>
    <row r="4180" spans="6:10" x14ac:dyDescent="0.25">
      <c r="F4180" s="76" t="s">
        <v>150</v>
      </c>
      <c r="G4180" s="77" t="s">
        <v>219</v>
      </c>
      <c r="H4180" s="77" t="s">
        <v>158</v>
      </c>
      <c r="I4180" s="86">
        <v>41815</v>
      </c>
      <c r="J4180" s="78">
        <v>710</v>
      </c>
    </row>
    <row r="4181" spans="6:10" x14ac:dyDescent="0.25">
      <c r="F4181" s="76" t="s">
        <v>150</v>
      </c>
      <c r="G4181" s="77" t="s">
        <v>219</v>
      </c>
      <c r="H4181" s="77" t="s">
        <v>158</v>
      </c>
      <c r="I4181" s="86">
        <v>41821</v>
      </c>
      <c r="J4181" s="78">
        <v>1198</v>
      </c>
    </row>
    <row r="4182" spans="6:10" x14ac:dyDescent="0.25">
      <c r="F4182" s="76" t="s">
        <v>150</v>
      </c>
      <c r="G4182" s="77" t="s">
        <v>219</v>
      </c>
      <c r="H4182" s="77" t="s">
        <v>158</v>
      </c>
      <c r="I4182" s="86">
        <v>41822</v>
      </c>
      <c r="J4182" s="78">
        <v>940</v>
      </c>
    </row>
    <row r="4183" spans="6:10" x14ac:dyDescent="0.25">
      <c r="F4183" s="76" t="s">
        <v>150</v>
      </c>
      <c r="G4183" s="77" t="s">
        <v>219</v>
      </c>
      <c r="H4183" s="77" t="s">
        <v>158</v>
      </c>
      <c r="I4183" s="86">
        <v>41948</v>
      </c>
      <c r="J4183" s="78">
        <v>1506</v>
      </c>
    </row>
    <row r="4184" spans="6:10" x14ac:dyDescent="0.25">
      <c r="F4184" s="76" t="s">
        <v>150</v>
      </c>
      <c r="G4184" s="77" t="s">
        <v>219</v>
      </c>
      <c r="H4184" s="77" t="s">
        <v>158</v>
      </c>
      <c r="I4184" s="86">
        <v>41950</v>
      </c>
      <c r="J4184" s="78">
        <v>372</v>
      </c>
    </row>
    <row r="4185" spans="6:10" x14ac:dyDescent="0.25">
      <c r="F4185" s="76" t="s">
        <v>150</v>
      </c>
      <c r="G4185" s="77" t="s">
        <v>219</v>
      </c>
      <c r="H4185" s="77" t="s">
        <v>158</v>
      </c>
      <c r="I4185" s="86">
        <v>41952</v>
      </c>
      <c r="J4185" s="78">
        <v>698</v>
      </c>
    </row>
    <row r="4186" spans="6:10" x14ac:dyDescent="0.25">
      <c r="F4186" s="76" t="s">
        <v>150</v>
      </c>
      <c r="G4186" s="77" t="s">
        <v>219</v>
      </c>
      <c r="H4186" s="77" t="s">
        <v>158</v>
      </c>
      <c r="I4186" s="86">
        <v>41954</v>
      </c>
      <c r="J4186" s="78">
        <v>1025</v>
      </c>
    </row>
    <row r="4187" spans="6:10" x14ac:dyDescent="0.25">
      <c r="F4187" s="76" t="s">
        <v>150</v>
      </c>
      <c r="G4187" s="77" t="s">
        <v>219</v>
      </c>
      <c r="H4187" s="77" t="s">
        <v>158</v>
      </c>
      <c r="I4187" s="86">
        <v>41955</v>
      </c>
      <c r="J4187" s="78">
        <v>614</v>
      </c>
    </row>
    <row r="4188" spans="6:10" x14ac:dyDescent="0.25">
      <c r="F4188" s="76" t="s">
        <v>150</v>
      </c>
      <c r="G4188" s="77" t="s">
        <v>219</v>
      </c>
      <c r="H4188" s="77" t="s">
        <v>158</v>
      </c>
      <c r="I4188" s="86">
        <v>41960</v>
      </c>
      <c r="J4188" s="78">
        <v>680</v>
      </c>
    </row>
    <row r="4189" spans="6:10" x14ac:dyDescent="0.25">
      <c r="F4189" s="76" t="s">
        <v>150</v>
      </c>
      <c r="G4189" s="77" t="s">
        <v>219</v>
      </c>
      <c r="H4189" s="77" t="s">
        <v>158</v>
      </c>
      <c r="I4189" s="86">
        <v>41962</v>
      </c>
      <c r="J4189" s="78">
        <v>728</v>
      </c>
    </row>
    <row r="4190" spans="6:10" x14ac:dyDescent="0.25">
      <c r="F4190" s="76" t="s">
        <v>150</v>
      </c>
      <c r="G4190" s="77" t="s">
        <v>219</v>
      </c>
      <c r="H4190" s="77" t="s">
        <v>158</v>
      </c>
      <c r="I4190" s="86">
        <v>41963</v>
      </c>
      <c r="J4190" s="78">
        <v>428</v>
      </c>
    </row>
    <row r="4191" spans="6:10" x14ac:dyDescent="0.25">
      <c r="F4191" s="76" t="s">
        <v>150</v>
      </c>
      <c r="G4191" s="77" t="s">
        <v>219</v>
      </c>
      <c r="H4191" s="77" t="s">
        <v>158</v>
      </c>
      <c r="I4191" s="86">
        <v>41964</v>
      </c>
      <c r="J4191" s="78">
        <v>622</v>
      </c>
    </row>
    <row r="4192" spans="6:10" x14ac:dyDescent="0.25">
      <c r="F4192" s="76" t="s">
        <v>150</v>
      </c>
      <c r="G4192" s="77" t="s">
        <v>219</v>
      </c>
      <c r="H4192" s="77" t="s">
        <v>158</v>
      </c>
      <c r="I4192" s="86">
        <v>41966</v>
      </c>
      <c r="J4192" s="78">
        <v>823</v>
      </c>
    </row>
    <row r="4193" spans="6:10" x14ac:dyDescent="0.25">
      <c r="F4193" s="76" t="s">
        <v>150</v>
      </c>
      <c r="G4193" s="77" t="s">
        <v>219</v>
      </c>
      <c r="H4193" s="77" t="s">
        <v>158</v>
      </c>
      <c r="I4193" s="86">
        <v>41968</v>
      </c>
      <c r="J4193" s="78">
        <v>1145</v>
      </c>
    </row>
    <row r="4194" spans="6:10" x14ac:dyDescent="0.25">
      <c r="F4194" s="76" t="s">
        <v>150</v>
      </c>
      <c r="G4194" s="77" t="s">
        <v>219</v>
      </c>
      <c r="H4194" s="77" t="s">
        <v>158</v>
      </c>
      <c r="I4194" s="86">
        <v>41969</v>
      </c>
      <c r="J4194" s="78">
        <v>321</v>
      </c>
    </row>
    <row r="4195" spans="6:10" x14ac:dyDescent="0.25">
      <c r="F4195" s="76" t="s">
        <v>150</v>
      </c>
      <c r="G4195" s="77" t="s">
        <v>219</v>
      </c>
      <c r="H4195" s="77" t="s">
        <v>158</v>
      </c>
      <c r="I4195" s="86">
        <v>41983</v>
      </c>
      <c r="J4195" s="78">
        <v>451</v>
      </c>
    </row>
    <row r="4196" spans="6:10" x14ac:dyDescent="0.25">
      <c r="F4196" s="76" t="s">
        <v>150</v>
      </c>
      <c r="G4196" s="77" t="s">
        <v>219</v>
      </c>
      <c r="H4196" s="77" t="s">
        <v>158</v>
      </c>
      <c r="I4196" s="86">
        <v>41988</v>
      </c>
      <c r="J4196" s="78">
        <v>686</v>
      </c>
    </row>
    <row r="4197" spans="6:10" x14ac:dyDescent="0.25">
      <c r="F4197" s="76" t="s">
        <v>150</v>
      </c>
      <c r="G4197" s="77" t="s">
        <v>219</v>
      </c>
      <c r="H4197" s="77" t="s">
        <v>158</v>
      </c>
      <c r="I4197" s="86">
        <v>41991</v>
      </c>
      <c r="J4197" s="78">
        <v>1098</v>
      </c>
    </row>
    <row r="4198" spans="6:10" x14ac:dyDescent="0.25">
      <c r="F4198" s="76" t="s">
        <v>150</v>
      </c>
      <c r="G4198" s="77" t="s">
        <v>219</v>
      </c>
      <c r="H4198" s="77" t="s">
        <v>158</v>
      </c>
      <c r="I4198" s="86">
        <v>41994</v>
      </c>
      <c r="J4198" s="78">
        <v>420</v>
      </c>
    </row>
    <row r="4199" spans="6:10" x14ac:dyDescent="0.25">
      <c r="F4199" s="76" t="s">
        <v>150</v>
      </c>
      <c r="G4199" s="77" t="s">
        <v>219</v>
      </c>
      <c r="H4199" s="77" t="s">
        <v>158</v>
      </c>
      <c r="I4199" s="86">
        <v>41994</v>
      </c>
      <c r="J4199" s="78">
        <v>1103</v>
      </c>
    </row>
    <row r="4200" spans="6:10" x14ac:dyDescent="0.25">
      <c r="F4200" s="76" t="s">
        <v>150</v>
      </c>
      <c r="G4200" s="77" t="s">
        <v>219</v>
      </c>
      <c r="H4200" s="77" t="s">
        <v>158</v>
      </c>
      <c r="I4200" s="86">
        <v>41997</v>
      </c>
      <c r="J4200" s="78">
        <v>488</v>
      </c>
    </row>
    <row r="4201" spans="6:10" x14ac:dyDescent="0.25">
      <c r="F4201" s="76" t="s">
        <v>150</v>
      </c>
      <c r="G4201" s="77" t="s">
        <v>219</v>
      </c>
      <c r="H4201" s="77" t="s">
        <v>158</v>
      </c>
      <c r="I4201" s="86">
        <v>42000</v>
      </c>
      <c r="J4201" s="78">
        <v>1100</v>
      </c>
    </row>
    <row r="4202" spans="6:10" x14ac:dyDescent="0.25">
      <c r="F4202" s="76" t="s">
        <v>150</v>
      </c>
      <c r="G4202" s="77" t="s">
        <v>219</v>
      </c>
      <c r="H4202" s="77" t="s">
        <v>158</v>
      </c>
      <c r="I4202" s="86">
        <v>42002</v>
      </c>
      <c r="J4202" s="78">
        <v>844</v>
      </c>
    </row>
    <row r="4203" spans="6:10" x14ac:dyDescent="0.25">
      <c r="F4203" s="76" t="s">
        <v>150</v>
      </c>
      <c r="G4203" s="77" t="s">
        <v>220</v>
      </c>
      <c r="H4203" s="77" t="s">
        <v>158</v>
      </c>
      <c r="I4203" s="86">
        <v>41697</v>
      </c>
      <c r="J4203" s="78">
        <v>1301</v>
      </c>
    </row>
    <row r="4204" spans="6:10" x14ac:dyDescent="0.25">
      <c r="F4204" s="76" t="s">
        <v>150</v>
      </c>
      <c r="G4204" s="77" t="s">
        <v>220</v>
      </c>
      <c r="H4204" s="77" t="s">
        <v>158</v>
      </c>
      <c r="I4204" s="86">
        <v>41700</v>
      </c>
      <c r="J4204" s="78">
        <v>1603</v>
      </c>
    </row>
    <row r="4205" spans="6:10" x14ac:dyDescent="0.25">
      <c r="F4205" s="76" t="s">
        <v>150</v>
      </c>
      <c r="G4205" s="77" t="s">
        <v>220</v>
      </c>
      <c r="H4205" s="77" t="s">
        <v>158</v>
      </c>
      <c r="I4205" s="86">
        <v>41702</v>
      </c>
      <c r="J4205" s="78">
        <v>714</v>
      </c>
    </row>
    <row r="4206" spans="6:10" x14ac:dyDescent="0.25">
      <c r="F4206" s="76" t="s">
        <v>150</v>
      </c>
      <c r="G4206" s="77" t="s">
        <v>220</v>
      </c>
      <c r="H4206" s="77" t="s">
        <v>158</v>
      </c>
      <c r="I4206" s="86">
        <v>41702</v>
      </c>
      <c r="J4206" s="78">
        <v>1306</v>
      </c>
    </row>
    <row r="4207" spans="6:10" x14ac:dyDescent="0.25">
      <c r="F4207" s="76" t="s">
        <v>150</v>
      </c>
      <c r="G4207" s="77" t="s">
        <v>220</v>
      </c>
      <c r="H4207" s="77" t="s">
        <v>158</v>
      </c>
      <c r="I4207" s="86">
        <v>41702</v>
      </c>
      <c r="J4207" s="78">
        <v>1036</v>
      </c>
    </row>
    <row r="4208" spans="6:10" x14ac:dyDescent="0.25">
      <c r="F4208" s="76" t="s">
        <v>150</v>
      </c>
      <c r="G4208" s="77" t="s">
        <v>220</v>
      </c>
      <c r="H4208" s="77" t="s">
        <v>158</v>
      </c>
      <c r="I4208" s="86">
        <v>41704</v>
      </c>
      <c r="J4208" s="78">
        <v>1285</v>
      </c>
    </row>
    <row r="4209" spans="6:10" x14ac:dyDescent="0.25">
      <c r="F4209" s="76" t="s">
        <v>150</v>
      </c>
      <c r="G4209" s="77" t="s">
        <v>220</v>
      </c>
      <c r="H4209" s="77" t="s">
        <v>158</v>
      </c>
      <c r="I4209" s="86">
        <v>41705</v>
      </c>
      <c r="J4209" s="78">
        <v>1508</v>
      </c>
    </row>
    <row r="4210" spans="6:10" x14ac:dyDescent="0.25">
      <c r="F4210" s="76" t="s">
        <v>150</v>
      </c>
      <c r="G4210" s="77" t="s">
        <v>220</v>
      </c>
      <c r="H4210" s="77" t="s">
        <v>158</v>
      </c>
      <c r="I4210" s="86">
        <v>41708</v>
      </c>
      <c r="J4210" s="78">
        <v>747</v>
      </c>
    </row>
    <row r="4211" spans="6:10" x14ac:dyDescent="0.25">
      <c r="F4211" s="76" t="s">
        <v>150</v>
      </c>
      <c r="G4211" s="77" t="s">
        <v>220</v>
      </c>
      <c r="H4211" s="77" t="s">
        <v>158</v>
      </c>
      <c r="I4211" s="86">
        <v>41709</v>
      </c>
      <c r="J4211" s="78">
        <v>429</v>
      </c>
    </row>
    <row r="4212" spans="6:10" x14ac:dyDescent="0.25">
      <c r="F4212" s="76" t="s">
        <v>150</v>
      </c>
      <c r="G4212" s="77" t="s">
        <v>220</v>
      </c>
      <c r="H4212" s="77" t="s">
        <v>158</v>
      </c>
      <c r="I4212" s="86">
        <v>41711</v>
      </c>
      <c r="J4212" s="78">
        <v>1391</v>
      </c>
    </row>
    <row r="4213" spans="6:10" x14ac:dyDescent="0.25">
      <c r="F4213" s="76" t="s">
        <v>150</v>
      </c>
      <c r="G4213" s="77" t="s">
        <v>220</v>
      </c>
      <c r="H4213" s="77" t="s">
        <v>158</v>
      </c>
      <c r="I4213" s="86">
        <v>41717</v>
      </c>
      <c r="J4213" s="78">
        <v>1126</v>
      </c>
    </row>
    <row r="4214" spans="6:10" x14ac:dyDescent="0.25">
      <c r="F4214" s="76" t="s">
        <v>150</v>
      </c>
      <c r="G4214" s="77" t="s">
        <v>220</v>
      </c>
      <c r="H4214" s="77" t="s">
        <v>158</v>
      </c>
      <c r="I4214" s="86">
        <v>41719</v>
      </c>
      <c r="J4214" s="78">
        <v>1063</v>
      </c>
    </row>
    <row r="4215" spans="6:10" x14ac:dyDescent="0.25">
      <c r="F4215" s="76" t="s">
        <v>150</v>
      </c>
      <c r="G4215" s="77" t="s">
        <v>220</v>
      </c>
      <c r="H4215" s="77" t="s">
        <v>158</v>
      </c>
      <c r="I4215" s="86">
        <v>41723</v>
      </c>
      <c r="J4215" s="78">
        <v>1433</v>
      </c>
    </row>
    <row r="4216" spans="6:10" x14ac:dyDescent="0.25">
      <c r="F4216" s="76" t="s">
        <v>150</v>
      </c>
      <c r="G4216" s="77" t="s">
        <v>220</v>
      </c>
      <c r="H4216" s="77" t="s">
        <v>158</v>
      </c>
      <c r="I4216" s="86">
        <v>41725</v>
      </c>
      <c r="J4216" s="78">
        <v>1339</v>
      </c>
    </row>
    <row r="4217" spans="6:10" x14ac:dyDescent="0.25">
      <c r="F4217" s="76" t="s">
        <v>150</v>
      </c>
      <c r="G4217" s="77" t="s">
        <v>220</v>
      </c>
      <c r="H4217" s="77" t="s">
        <v>158</v>
      </c>
      <c r="I4217" s="86">
        <v>41727</v>
      </c>
      <c r="J4217" s="78">
        <v>558</v>
      </c>
    </row>
    <row r="4218" spans="6:10" x14ac:dyDescent="0.25">
      <c r="F4218" s="76" t="s">
        <v>150</v>
      </c>
      <c r="G4218" s="77" t="s">
        <v>220</v>
      </c>
      <c r="H4218" s="77" t="s">
        <v>158</v>
      </c>
      <c r="I4218" s="86">
        <v>41727</v>
      </c>
      <c r="J4218" s="78">
        <v>1315</v>
      </c>
    </row>
    <row r="4219" spans="6:10" x14ac:dyDescent="0.25">
      <c r="F4219" s="76" t="s">
        <v>150</v>
      </c>
      <c r="G4219" s="77" t="s">
        <v>220</v>
      </c>
      <c r="H4219" s="77" t="s">
        <v>158</v>
      </c>
      <c r="I4219" s="86">
        <v>41728</v>
      </c>
      <c r="J4219" s="78">
        <v>577</v>
      </c>
    </row>
    <row r="4220" spans="6:10" x14ac:dyDescent="0.25">
      <c r="F4220" s="76" t="s">
        <v>150</v>
      </c>
      <c r="G4220" s="77" t="s">
        <v>220</v>
      </c>
      <c r="H4220" s="77" t="s">
        <v>158</v>
      </c>
      <c r="I4220" s="86">
        <v>41729</v>
      </c>
      <c r="J4220" s="78">
        <v>817</v>
      </c>
    </row>
    <row r="4221" spans="6:10" x14ac:dyDescent="0.25">
      <c r="F4221" s="76" t="s">
        <v>150</v>
      </c>
      <c r="G4221" s="77" t="s">
        <v>220</v>
      </c>
      <c r="H4221" s="77" t="s">
        <v>158</v>
      </c>
      <c r="I4221" s="86">
        <v>41736</v>
      </c>
      <c r="J4221" s="78">
        <v>896</v>
      </c>
    </row>
    <row r="4222" spans="6:10" x14ac:dyDescent="0.25">
      <c r="F4222" s="76" t="s">
        <v>150</v>
      </c>
      <c r="G4222" s="77" t="s">
        <v>220</v>
      </c>
      <c r="H4222" s="77" t="s">
        <v>158</v>
      </c>
      <c r="I4222" s="86">
        <v>41738</v>
      </c>
      <c r="J4222" s="78">
        <v>1371</v>
      </c>
    </row>
    <row r="4223" spans="6:10" x14ac:dyDescent="0.25">
      <c r="F4223" s="76" t="s">
        <v>150</v>
      </c>
      <c r="G4223" s="77" t="s">
        <v>220</v>
      </c>
      <c r="H4223" s="77" t="s">
        <v>158</v>
      </c>
      <c r="I4223" s="86">
        <v>41740</v>
      </c>
      <c r="J4223" s="78">
        <v>1193</v>
      </c>
    </row>
    <row r="4224" spans="6:10" x14ac:dyDescent="0.25">
      <c r="F4224" s="76" t="s">
        <v>150</v>
      </c>
      <c r="G4224" s="77" t="s">
        <v>220</v>
      </c>
      <c r="H4224" s="77" t="s">
        <v>158</v>
      </c>
      <c r="I4224" s="86">
        <v>41743</v>
      </c>
      <c r="J4224" s="78">
        <v>1009</v>
      </c>
    </row>
    <row r="4225" spans="6:10" x14ac:dyDescent="0.25">
      <c r="F4225" s="76" t="s">
        <v>150</v>
      </c>
      <c r="G4225" s="77" t="s">
        <v>220</v>
      </c>
      <c r="H4225" s="77" t="s">
        <v>158</v>
      </c>
      <c r="I4225" s="86">
        <v>41746</v>
      </c>
      <c r="J4225" s="78">
        <v>1403</v>
      </c>
    </row>
    <row r="4226" spans="6:10" x14ac:dyDescent="0.25">
      <c r="F4226" s="76" t="s">
        <v>150</v>
      </c>
      <c r="G4226" s="77" t="s">
        <v>220</v>
      </c>
      <c r="H4226" s="77" t="s">
        <v>158</v>
      </c>
      <c r="I4226" s="86">
        <v>41748</v>
      </c>
      <c r="J4226" s="78">
        <v>533</v>
      </c>
    </row>
    <row r="4227" spans="6:10" x14ac:dyDescent="0.25">
      <c r="F4227" s="76" t="s">
        <v>150</v>
      </c>
      <c r="G4227" s="77" t="s">
        <v>220</v>
      </c>
      <c r="H4227" s="77" t="s">
        <v>158</v>
      </c>
      <c r="I4227" s="86">
        <v>41748</v>
      </c>
      <c r="J4227" s="78">
        <v>480</v>
      </c>
    </row>
    <row r="4228" spans="6:10" x14ac:dyDescent="0.25">
      <c r="F4228" s="76" t="s">
        <v>150</v>
      </c>
      <c r="G4228" s="77" t="s">
        <v>220</v>
      </c>
      <c r="H4228" s="77" t="s">
        <v>158</v>
      </c>
      <c r="I4228" s="86">
        <v>41754</v>
      </c>
      <c r="J4228" s="78">
        <v>1051</v>
      </c>
    </row>
    <row r="4229" spans="6:10" x14ac:dyDescent="0.25">
      <c r="F4229" s="76" t="s">
        <v>150</v>
      </c>
      <c r="G4229" s="77" t="s">
        <v>220</v>
      </c>
      <c r="H4229" s="77" t="s">
        <v>158</v>
      </c>
      <c r="I4229" s="86">
        <v>41757</v>
      </c>
      <c r="J4229" s="78">
        <v>906</v>
      </c>
    </row>
    <row r="4230" spans="6:10" x14ac:dyDescent="0.25">
      <c r="F4230" s="76" t="s">
        <v>150</v>
      </c>
      <c r="G4230" s="77" t="s">
        <v>220</v>
      </c>
      <c r="H4230" s="77" t="s">
        <v>158</v>
      </c>
      <c r="I4230" s="86">
        <v>41761</v>
      </c>
      <c r="J4230" s="78">
        <v>1406</v>
      </c>
    </row>
    <row r="4231" spans="6:10" x14ac:dyDescent="0.25">
      <c r="F4231" s="76" t="s">
        <v>150</v>
      </c>
      <c r="G4231" s="77" t="s">
        <v>220</v>
      </c>
      <c r="H4231" s="77" t="s">
        <v>158</v>
      </c>
      <c r="I4231" s="86">
        <v>41763</v>
      </c>
      <c r="J4231" s="78">
        <v>677</v>
      </c>
    </row>
    <row r="4232" spans="6:10" x14ac:dyDescent="0.25">
      <c r="F4232" s="76" t="s">
        <v>150</v>
      </c>
      <c r="G4232" s="77" t="s">
        <v>220</v>
      </c>
      <c r="H4232" s="77" t="s">
        <v>158</v>
      </c>
      <c r="I4232" s="86">
        <v>41765</v>
      </c>
      <c r="J4232" s="78">
        <v>1057</v>
      </c>
    </row>
    <row r="4233" spans="6:10" x14ac:dyDescent="0.25">
      <c r="F4233" s="76" t="s">
        <v>150</v>
      </c>
      <c r="G4233" s="77" t="s">
        <v>220</v>
      </c>
      <c r="H4233" s="77" t="s">
        <v>158</v>
      </c>
      <c r="I4233" s="86">
        <v>41767</v>
      </c>
      <c r="J4233" s="78">
        <v>1107</v>
      </c>
    </row>
    <row r="4234" spans="6:10" x14ac:dyDescent="0.25">
      <c r="F4234" s="76" t="s">
        <v>150</v>
      </c>
      <c r="G4234" s="77" t="s">
        <v>220</v>
      </c>
      <c r="H4234" s="77" t="s">
        <v>158</v>
      </c>
      <c r="I4234" s="86">
        <v>41778</v>
      </c>
      <c r="J4234" s="78">
        <v>1030</v>
      </c>
    </row>
    <row r="4235" spans="6:10" x14ac:dyDescent="0.25">
      <c r="F4235" s="76" t="s">
        <v>150</v>
      </c>
      <c r="G4235" s="77" t="s">
        <v>220</v>
      </c>
      <c r="H4235" s="77" t="s">
        <v>158</v>
      </c>
      <c r="I4235" s="86">
        <v>41779</v>
      </c>
      <c r="J4235" s="78">
        <v>593</v>
      </c>
    </row>
    <row r="4236" spans="6:10" x14ac:dyDescent="0.25">
      <c r="F4236" s="76" t="s">
        <v>150</v>
      </c>
      <c r="G4236" s="77" t="s">
        <v>220</v>
      </c>
      <c r="H4236" s="77" t="s">
        <v>158</v>
      </c>
      <c r="I4236" s="86">
        <v>41781</v>
      </c>
      <c r="J4236" s="78">
        <v>1207</v>
      </c>
    </row>
    <row r="4237" spans="6:10" x14ac:dyDescent="0.25">
      <c r="F4237" s="76" t="s">
        <v>150</v>
      </c>
      <c r="G4237" s="77" t="s">
        <v>220</v>
      </c>
      <c r="H4237" s="77" t="s">
        <v>158</v>
      </c>
      <c r="I4237" s="86">
        <v>41783</v>
      </c>
      <c r="J4237" s="78">
        <v>652</v>
      </c>
    </row>
    <row r="4238" spans="6:10" x14ac:dyDescent="0.25">
      <c r="F4238" s="76" t="s">
        <v>150</v>
      </c>
      <c r="G4238" s="77" t="s">
        <v>220</v>
      </c>
      <c r="H4238" s="77" t="s">
        <v>158</v>
      </c>
      <c r="I4238" s="86">
        <v>41784</v>
      </c>
      <c r="J4238" s="78">
        <v>752</v>
      </c>
    </row>
    <row r="4239" spans="6:10" x14ac:dyDescent="0.25">
      <c r="F4239" s="76" t="s">
        <v>150</v>
      </c>
      <c r="G4239" s="77" t="s">
        <v>220</v>
      </c>
      <c r="H4239" s="77" t="s">
        <v>158</v>
      </c>
      <c r="I4239" s="86">
        <v>41785</v>
      </c>
      <c r="J4239" s="78">
        <v>750</v>
      </c>
    </row>
    <row r="4240" spans="6:10" x14ac:dyDescent="0.25">
      <c r="F4240" s="76" t="s">
        <v>150</v>
      </c>
      <c r="G4240" s="77" t="s">
        <v>220</v>
      </c>
      <c r="H4240" s="77" t="s">
        <v>158</v>
      </c>
      <c r="I4240" s="86">
        <v>41787</v>
      </c>
      <c r="J4240" s="78">
        <v>1105</v>
      </c>
    </row>
    <row r="4241" spans="6:10" x14ac:dyDescent="0.25">
      <c r="F4241" s="76" t="s">
        <v>150</v>
      </c>
      <c r="G4241" s="77" t="s">
        <v>220</v>
      </c>
      <c r="H4241" s="77" t="s">
        <v>158</v>
      </c>
      <c r="I4241" s="86">
        <v>41801</v>
      </c>
      <c r="J4241" s="78">
        <v>703</v>
      </c>
    </row>
    <row r="4242" spans="6:10" x14ac:dyDescent="0.25">
      <c r="F4242" s="76" t="s">
        <v>150</v>
      </c>
      <c r="G4242" s="77" t="s">
        <v>220</v>
      </c>
      <c r="H4242" s="77" t="s">
        <v>158</v>
      </c>
      <c r="I4242" s="86">
        <v>41801</v>
      </c>
      <c r="J4242" s="78">
        <v>957</v>
      </c>
    </row>
    <row r="4243" spans="6:10" x14ac:dyDescent="0.25">
      <c r="F4243" s="76" t="s">
        <v>150</v>
      </c>
      <c r="G4243" s="77" t="s">
        <v>220</v>
      </c>
      <c r="H4243" s="77" t="s">
        <v>158</v>
      </c>
      <c r="I4243" s="86">
        <v>41802</v>
      </c>
      <c r="J4243" s="78">
        <v>332</v>
      </c>
    </row>
    <row r="4244" spans="6:10" x14ac:dyDescent="0.25">
      <c r="F4244" s="76" t="s">
        <v>150</v>
      </c>
      <c r="G4244" s="77" t="s">
        <v>220</v>
      </c>
      <c r="H4244" s="77" t="s">
        <v>158</v>
      </c>
      <c r="I4244" s="86">
        <v>41803</v>
      </c>
      <c r="J4244" s="78">
        <v>769</v>
      </c>
    </row>
    <row r="4245" spans="6:10" x14ac:dyDescent="0.25">
      <c r="F4245" s="76" t="s">
        <v>150</v>
      </c>
      <c r="G4245" s="77" t="s">
        <v>220</v>
      </c>
      <c r="H4245" s="77" t="s">
        <v>158</v>
      </c>
      <c r="I4245" s="86">
        <v>41804</v>
      </c>
      <c r="J4245" s="78">
        <v>534</v>
      </c>
    </row>
    <row r="4246" spans="6:10" x14ac:dyDescent="0.25">
      <c r="F4246" s="76" t="s">
        <v>150</v>
      </c>
      <c r="G4246" s="77" t="s">
        <v>220</v>
      </c>
      <c r="H4246" s="77" t="s">
        <v>158</v>
      </c>
      <c r="I4246" s="86">
        <v>41806</v>
      </c>
      <c r="J4246" s="78">
        <v>1218</v>
      </c>
    </row>
    <row r="4247" spans="6:10" x14ac:dyDescent="0.25">
      <c r="F4247" s="76" t="s">
        <v>150</v>
      </c>
      <c r="G4247" s="77" t="s">
        <v>220</v>
      </c>
      <c r="H4247" s="77" t="s">
        <v>158</v>
      </c>
      <c r="I4247" s="86">
        <v>41807</v>
      </c>
      <c r="J4247" s="78">
        <v>503</v>
      </c>
    </row>
    <row r="4248" spans="6:10" x14ac:dyDescent="0.25">
      <c r="F4248" s="76" t="s">
        <v>150</v>
      </c>
      <c r="G4248" s="77" t="s">
        <v>220</v>
      </c>
      <c r="H4248" s="77" t="s">
        <v>158</v>
      </c>
      <c r="I4248" s="86">
        <v>41809</v>
      </c>
      <c r="J4248" s="78">
        <v>829</v>
      </c>
    </row>
    <row r="4249" spans="6:10" x14ac:dyDescent="0.25">
      <c r="F4249" s="76" t="s">
        <v>150</v>
      </c>
      <c r="G4249" s="77" t="s">
        <v>220</v>
      </c>
      <c r="H4249" s="77" t="s">
        <v>158</v>
      </c>
      <c r="I4249" s="86">
        <v>41810</v>
      </c>
      <c r="J4249" s="78">
        <v>403</v>
      </c>
    </row>
    <row r="4250" spans="6:10" x14ac:dyDescent="0.25">
      <c r="F4250" s="76" t="s">
        <v>150</v>
      </c>
      <c r="G4250" s="77" t="s">
        <v>220</v>
      </c>
      <c r="H4250" s="77" t="s">
        <v>158</v>
      </c>
      <c r="I4250" s="86">
        <v>41812</v>
      </c>
      <c r="J4250" s="78">
        <v>1363</v>
      </c>
    </row>
    <row r="4251" spans="6:10" x14ac:dyDescent="0.25">
      <c r="F4251" s="76" t="s">
        <v>150</v>
      </c>
      <c r="G4251" s="77" t="s">
        <v>220</v>
      </c>
      <c r="H4251" s="77" t="s">
        <v>158</v>
      </c>
      <c r="I4251" s="86">
        <v>41872</v>
      </c>
      <c r="J4251" s="78">
        <v>461</v>
      </c>
    </row>
    <row r="4252" spans="6:10" x14ac:dyDescent="0.25">
      <c r="F4252" s="76" t="s">
        <v>150</v>
      </c>
      <c r="G4252" s="77" t="s">
        <v>220</v>
      </c>
      <c r="H4252" s="77" t="s">
        <v>158</v>
      </c>
      <c r="I4252" s="86">
        <v>41876</v>
      </c>
      <c r="J4252" s="78">
        <v>752</v>
      </c>
    </row>
    <row r="4253" spans="6:10" x14ac:dyDescent="0.25">
      <c r="F4253" s="76" t="s">
        <v>150</v>
      </c>
      <c r="G4253" s="77" t="s">
        <v>220</v>
      </c>
      <c r="H4253" s="77" t="s">
        <v>158</v>
      </c>
      <c r="I4253" s="86">
        <v>41880</v>
      </c>
      <c r="J4253" s="78">
        <v>1725</v>
      </c>
    </row>
    <row r="4254" spans="6:10" x14ac:dyDescent="0.25">
      <c r="F4254" s="76" t="s">
        <v>150</v>
      </c>
      <c r="G4254" s="77" t="s">
        <v>220</v>
      </c>
      <c r="H4254" s="77" t="s">
        <v>158</v>
      </c>
      <c r="I4254" s="86">
        <v>41882</v>
      </c>
      <c r="J4254" s="78">
        <v>606</v>
      </c>
    </row>
    <row r="4255" spans="6:10" x14ac:dyDescent="0.25">
      <c r="F4255" s="76" t="s">
        <v>150</v>
      </c>
      <c r="G4255" s="77" t="s">
        <v>220</v>
      </c>
      <c r="H4255" s="77" t="s">
        <v>158</v>
      </c>
      <c r="I4255" s="86">
        <v>41883</v>
      </c>
      <c r="J4255" s="78">
        <v>430</v>
      </c>
    </row>
    <row r="4256" spans="6:10" x14ac:dyDescent="0.25">
      <c r="F4256" s="76" t="s">
        <v>150</v>
      </c>
      <c r="G4256" s="77" t="s">
        <v>220</v>
      </c>
      <c r="H4256" s="77" t="s">
        <v>158</v>
      </c>
      <c r="I4256" s="86">
        <v>41883</v>
      </c>
      <c r="J4256" s="78">
        <v>1162</v>
      </c>
    </row>
    <row r="4257" spans="6:10" x14ac:dyDescent="0.25">
      <c r="F4257" s="76" t="s">
        <v>150</v>
      </c>
      <c r="G4257" s="77" t="s">
        <v>220</v>
      </c>
      <c r="H4257" s="77" t="s">
        <v>158</v>
      </c>
      <c r="I4257" s="86">
        <v>41885</v>
      </c>
      <c r="J4257" s="78">
        <v>710</v>
      </c>
    </row>
    <row r="4258" spans="6:10" x14ac:dyDescent="0.25">
      <c r="F4258" s="76" t="s">
        <v>150</v>
      </c>
      <c r="G4258" s="77" t="s">
        <v>220</v>
      </c>
      <c r="H4258" s="77" t="s">
        <v>158</v>
      </c>
      <c r="I4258" s="86">
        <v>41897</v>
      </c>
      <c r="J4258" s="78">
        <v>912</v>
      </c>
    </row>
    <row r="4259" spans="6:10" x14ac:dyDescent="0.25">
      <c r="F4259" s="76" t="s">
        <v>150</v>
      </c>
      <c r="G4259" s="77" t="s">
        <v>220</v>
      </c>
      <c r="H4259" s="77" t="s">
        <v>158</v>
      </c>
      <c r="I4259" s="86">
        <v>41905</v>
      </c>
      <c r="J4259" s="78">
        <v>1554</v>
      </c>
    </row>
    <row r="4260" spans="6:10" x14ac:dyDescent="0.25">
      <c r="F4260" s="76" t="s">
        <v>150</v>
      </c>
      <c r="G4260" s="77" t="s">
        <v>220</v>
      </c>
      <c r="H4260" s="77" t="s">
        <v>158</v>
      </c>
      <c r="I4260" s="86">
        <v>41907</v>
      </c>
      <c r="J4260" s="78">
        <v>1282</v>
      </c>
    </row>
    <row r="4261" spans="6:10" x14ac:dyDescent="0.25">
      <c r="F4261" s="76" t="s">
        <v>150</v>
      </c>
      <c r="G4261" s="77" t="s">
        <v>220</v>
      </c>
      <c r="H4261" s="77" t="s">
        <v>158</v>
      </c>
      <c r="I4261" s="86">
        <v>41913</v>
      </c>
      <c r="J4261" s="78">
        <v>1152</v>
      </c>
    </row>
    <row r="4262" spans="6:10" x14ac:dyDescent="0.25">
      <c r="F4262" s="76" t="s">
        <v>150</v>
      </c>
      <c r="G4262" s="77" t="s">
        <v>220</v>
      </c>
      <c r="H4262" s="77" t="s">
        <v>158</v>
      </c>
      <c r="I4262" s="86">
        <v>41914</v>
      </c>
      <c r="J4262" s="78">
        <v>830</v>
      </c>
    </row>
    <row r="4263" spans="6:10" x14ac:dyDescent="0.25">
      <c r="F4263" s="76" t="s">
        <v>150</v>
      </c>
      <c r="G4263" s="77" t="s">
        <v>220</v>
      </c>
      <c r="H4263" s="77" t="s">
        <v>158</v>
      </c>
      <c r="I4263" s="86">
        <v>41918</v>
      </c>
      <c r="J4263" s="78">
        <v>869</v>
      </c>
    </row>
    <row r="4264" spans="6:10" x14ac:dyDescent="0.25">
      <c r="F4264" s="76" t="s">
        <v>150</v>
      </c>
      <c r="G4264" s="77" t="s">
        <v>220</v>
      </c>
      <c r="H4264" s="77" t="s">
        <v>158</v>
      </c>
      <c r="I4264" s="86">
        <v>41921</v>
      </c>
      <c r="J4264" s="78">
        <v>1193</v>
      </c>
    </row>
    <row r="4265" spans="6:10" x14ac:dyDescent="0.25">
      <c r="F4265" s="76" t="s">
        <v>150</v>
      </c>
      <c r="G4265" s="77" t="s">
        <v>220</v>
      </c>
      <c r="H4265" s="77" t="s">
        <v>158</v>
      </c>
      <c r="I4265" s="86">
        <v>41927</v>
      </c>
      <c r="J4265" s="78">
        <v>1506</v>
      </c>
    </row>
    <row r="4266" spans="6:10" x14ac:dyDescent="0.25">
      <c r="F4266" s="76" t="s">
        <v>150</v>
      </c>
      <c r="G4266" s="77" t="s">
        <v>220</v>
      </c>
      <c r="H4266" s="77" t="s">
        <v>158</v>
      </c>
      <c r="I4266" s="86">
        <v>41929</v>
      </c>
      <c r="J4266" s="78">
        <v>1208</v>
      </c>
    </row>
    <row r="4267" spans="6:10" x14ac:dyDescent="0.25">
      <c r="F4267" s="76" t="s">
        <v>150</v>
      </c>
      <c r="G4267" s="77" t="s">
        <v>220</v>
      </c>
      <c r="H4267" s="77" t="s">
        <v>158</v>
      </c>
      <c r="I4267" s="86">
        <v>41933</v>
      </c>
      <c r="J4267" s="78">
        <v>1353</v>
      </c>
    </row>
    <row r="4268" spans="6:10" x14ac:dyDescent="0.25">
      <c r="F4268" s="76" t="s">
        <v>150</v>
      </c>
      <c r="G4268" s="77" t="s">
        <v>220</v>
      </c>
      <c r="H4268" s="77" t="s">
        <v>158</v>
      </c>
      <c r="I4268" s="86">
        <v>41936</v>
      </c>
      <c r="J4268" s="78">
        <v>1050</v>
      </c>
    </row>
    <row r="4269" spans="6:10" x14ac:dyDescent="0.25">
      <c r="F4269" s="76" t="s">
        <v>150</v>
      </c>
      <c r="G4269" s="77" t="s">
        <v>220</v>
      </c>
      <c r="H4269" s="77" t="s">
        <v>158</v>
      </c>
      <c r="I4269" s="86">
        <v>41939</v>
      </c>
      <c r="J4269" s="78">
        <v>1210</v>
      </c>
    </row>
    <row r="4270" spans="6:10" x14ac:dyDescent="0.25">
      <c r="F4270" s="76" t="s">
        <v>150</v>
      </c>
      <c r="G4270" s="77" t="s">
        <v>220</v>
      </c>
      <c r="H4270" s="77" t="s">
        <v>158</v>
      </c>
      <c r="I4270" s="86">
        <v>41941</v>
      </c>
      <c r="J4270" s="78">
        <v>1049</v>
      </c>
    </row>
    <row r="4271" spans="6:10" x14ac:dyDescent="0.25">
      <c r="F4271" s="76" t="s">
        <v>150</v>
      </c>
      <c r="G4271" s="77" t="s">
        <v>220</v>
      </c>
      <c r="H4271" s="77" t="s">
        <v>158</v>
      </c>
      <c r="I4271" s="86">
        <v>41942</v>
      </c>
      <c r="J4271" s="78">
        <v>969</v>
      </c>
    </row>
    <row r="4272" spans="6:10" x14ac:dyDescent="0.25">
      <c r="F4272" s="76" t="s">
        <v>150</v>
      </c>
      <c r="G4272" s="77" t="s">
        <v>220</v>
      </c>
      <c r="H4272" s="77" t="s">
        <v>158</v>
      </c>
      <c r="I4272" s="86">
        <v>41946</v>
      </c>
      <c r="J4272" s="78">
        <v>1103</v>
      </c>
    </row>
    <row r="4273" spans="6:10" x14ac:dyDescent="0.25">
      <c r="F4273" s="76" t="s">
        <v>150</v>
      </c>
      <c r="G4273" s="77" t="s">
        <v>220</v>
      </c>
      <c r="H4273" s="77" t="s">
        <v>158</v>
      </c>
      <c r="I4273" s="86">
        <v>41947</v>
      </c>
      <c r="J4273" s="78">
        <v>1024</v>
      </c>
    </row>
    <row r="4274" spans="6:10" x14ac:dyDescent="0.25">
      <c r="F4274" s="76" t="s">
        <v>150</v>
      </c>
      <c r="G4274" s="77" t="s">
        <v>220</v>
      </c>
      <c r="H4274" s="77" t="s">
        <v>158</v>
      </c>
      <c r="I4274" s="86">
        <v>41949</v>
      </c>
      <c r="J4274" s="78">
        <v>1283</v>
      </c>
    </row>
    <row r="4275" spans="6:10" x14ac:dyDescent="0.25">
      <c r="F4275" s="76" t="s">
        <v>150</v>
      </c>
      <c r="G4275" s="77" t="s">
        <v>220</v>
      </c>
      <c r="H4275" s="77" t="s">
        <v>158</v>
      </c>
      <c r="I4275" s="86">
        <v>41950</v>
      </c>
      <c r="J4275" s="78">
        <v>917</v>
      </c>
    </row>
    <row r="4276" spans="6:10" x14ac:dyDescent="0.25">
      <c r="F4276" s="76" t="s">
        <v>150</v>
      </c>
      <c r="G4276" s="77" t="s">
        <v>220</v>
      </c>
      <c r="H4276" s="77" t="s">
        <v>158</v>
      </c>
      <c r="I4276" s="86">
        <v>41951</v>
      </c>
      <c r="J4276" s="78">
        <v>476</v>
      </c>
    </row>
    <row r="4277" spans="6:10" x14ac:dyDescent="0.25">
      <c r="F4277" s="76" t="s">
        <v>150</v>
      </c>
      <c r="G4277" s="77" t="s">
        <v>220</v>
      </c>
      <c r="H4277" s="77" t="s">
        <v>158</v>
      </c>
      <c r="I4277" s="86">
        <v>41952</v>
      </c>
      <c r="J4277" s="78">
        <v>576</v>
      </c>
    </row>
    <row r="4278" spans="6:10" x14ac:dyDescent="0.25">
      <c r="F4278" s="76" t="s">
        <v>150</v>
      </c>
      <c r="G4278" s="77" t="s">
        <v>220</v>
      </c>
      <c r="H4278" s="77" t="s">
        <v>158</v>
      </c>
      <c r="I4278" s="86">
        <v>41954</v>
      </c>
      <c r="J4278" s="78">
        <v>1254</v>
      </c>
    </row>
    <row r="4279" spans="6:10" x14ac:dyDescent="0.25">
      <c r="F4279" s="76" t="s">
        <v>150</v>
      </c>
      <c r="G4279" s="77" t="s">
        <v>220</v>
      </c>
      <c r="H4279" s="77" t="s">
        <v>158</v>
      </c>
      <c r="I4279" s="86">
        <v>41955</v>
      </c>
      <c r="J4279" s="78">
        <v>1178</v>
      </c>
    </row>
    <row r="4280" spans="6:10" x14ac:dyDescent="0.25">
      <c r="F4280" s="76" t="s">
        <v>150</v>
      </c>
      <c r="G4280" s="77" t="s">
        <v>220</v>
      </c>
      <c r="H4280" s="77" t="s">
        <v>158</v>
      </c>
      <c r="I4280" s="86">
        <v>41957</v>
      </c>
      <c r="J4280" s="78">
        <v>1694</v>
      </c>
    </row>
    <row r="4281" spans="6:10" x14ac:dyDescent="0.25">
      <c r="F4281" s="76" t="s">
        <v>150</v>
      </c>
      <c r="G4281" s="77" t="s">
        <v>220</v>
      </c>
      <c r="H4281" s="77" t="s">
        <v>158</v>
      </c>
      <c r="I4281" s="86">
        <v>41978</v>
      </c>
      <c r="J4281" s="78">
        <v>1317</v>
      </c>
    </row>
    <row r="4282" spans="6:10" x14ac:dyDescent="0.25">
      <c r="F4282" s="76" t="s">
        <v>150</v>
      </c>
      <c r="G4282" s="77" t="s">
        <v>220</v>
      </c>
      <c r="H4282" s="77" t="s">
        <v>158</v>
      </c>
      <c r="I4282" s="86">
        <v>41982</v>
      </c>
      <c r="J4282" s="78">
        <v>1075</v>
      </c>
    </row>
    <row r="4283" spans="6:10" x14ac:dyDescent="0.25">
      <c r="F4283" s="76" t="s">
        <v>150</v>
      </c>
      <c r="G4283" s="77" t="s">
        <v>220</v>
      </c>
      <c r="H4283" s="77" t="s">
        <v>158</v>
      </c>
      <c r="I4283" s="86">
        <v>41983</v>
      </c>
      <c r="J4283" s="78">
        <v>503</v>
      </c>
    </row>
    <row r="4284" spans="6:10" x14ac:dyDescent="0.25">
      <c r="F4284" s="76" t="s">
        <v>150</v>
      </c>
      <c r="G4284" s="77" t="s">
        <v>220</v>
      </c>
      <c r="H4284" s="77" t="s">
        <v>158</v>
      </c>
      <c r="I4284" s="86">
        <v>41983</v>
      </c>
      <c r="J4284" s="78">
        <v>464</v>
      </c>
    </row>
    <row r="4285" spans="6:10" x14ac:dyDescent="0.25">
      <c r="F4285" s="76" t="s">
        <v>150</v>
      </c>
      <c r="G4285" s="77" t="s">
        <v>220</v>
      </c>
      <c r="H4285" s="77" t="s">
        <v>158</v>
      </c>
      <c r="I4285" s="86">
        <v>41985</v>
      </c>
      <c r="J4285" s="78">
        <v>325</v>
      </c>
    </row>
    <row r="4286" spans="6:10" x14ac:dyDescent="0.25">
      <c r="F4286" s="76" t="s">
        <v>150</v>
      </c>
      <c r="G4286" s="77" t="s">
        <v>220</v>
      </c>
      <c r="H4286" s="77" t="s">
        <v>158</v>
      </c>
      <c r="I4286" s="86">
        <v>41985</v>
      </c>
      <c r="J4286" s="78">
        <v>1367</v>
      </c>
    </row>
    <row r="4287" spans="6:10" x14ac:dyDescent="0.25">
      <c r="F4287" s="76" t="s">
        <v>150</v>
      </c>
      <c r="G4287" s="77" t="s">
        <v>220</v>
      </c>
      <c r="H4287" s="77" t="s">
        <v>158</v>
      </c>
      <c r="I4287" s="86">
        <v>41986</v>
      </c>
      <c r="J4287" s="78">
        <v>814</v>
      </c>
    </row>
    <row r="4288" spans="6:10" x14ac:dyDescent="0.25">
      <c r="F4288" s="76" t="s">
        <v>150</v>
      </c>
      <c r="G4288" s="77" t="s">
        <v>221</v>
      </c>
      <c r="H4288" s="77" t="s">
        <v>158</v>
      </c>
      <c r="I4288" s="86">
        <v>41637</v>
      </c>
      <c r="J4288" s="78">
        <v>1671</v>
      </c>
    </row>
    <row r="4289" spans="6:10" x14ac:dyDescent="0.25">
      <c r="F4289" s="76" t="s">
        <v>150</v>
      </c>
      <c r="G4289" s="77" t="s">
        <v>221</v>
      </c>
      <c r="H4289" s="77" t="s">
        <v>158</v>
      </c>
      <c r="I4289" s="86">
        <v>41639</v>
      </c>
      <c r="J4289" s="78">
        <v>1123</v>
      </c>
    </row>
    <row r="4290" spans="6:10" x14ac:dyDescent="0.25">
      <c r="F4290" s="76" t="s">
        <v>150</v>
      </c>
      <c r="G4290" s="77" t="s">
        <v>221</v>
      </c>
      <c r="H4290" s="77" t="s">
        <v>158</v>
      </c>
      <c r="I4290" s="86">
        <v>41666</v>
      </c>
      <c r="J4290" s="78">
        <v>1261</v>
      </c>
    </row>
    <row r="4291" spans="6:10" x14ac:dyDescent="0.25">
      <c r="F4291" s="76" t="s">
        <v>150</v>
      </c>
      <c r="G4291" s="77" t="s">
        <v>222</v>
      </c>
      <c r="H4291" s="77" t="s">
        <v>158</v>
      </c>
      <c r="I4291" s="86">
        <v>41677</v>
      </c>
      <c r="J4291" s="78">
        <v>1581</v>
      </c>
    </row>
    <row r="4292" spans="6:10" x14ac:dyDescent="0.25">
      <c r="F4292" s="76" t="s">
        <v>150</v>
      </c>
      <c r="G4292" s="77" t="s">
        <v>222</v>
      </c>
      <c r="H4292" s="77" t="s">
        <v>158</v>
      </c>
      <c r="I4292" s="86">
        <v>41680</v>
      </c>
      <c r="J4292" s="78">
        <v>1074</v>
      </c>
    </row>
    <row r="4293" spans="6:10" x14ac:dyDescent="0.25">
      <c r="F4293" s="76" t="s">
        <v>150</v>
      </c>
      <c r="G4293" s="77" t="s">
        <v>222</v>
      </c>
      <c r="H4293" s="77" t="s">
        <v>158</v>
      </c>
      <c r="I4293" s="86">
        <v>41681</v>
      </c>
      <c r="J4293" s="78">
        <v>1569</v>
      </c>
    </row>
    <row r="4294" spans="6:10" x14ac:dyDescent="0.25">
      <c r="F4294" s="76" t="s">
        <v>150</v>
      </c>
      <c r="G4294" s="77" t="s">
        <v>222</v>
      </c>
      <c r="H4294" s="77" t="s">
        <v>158</v>
      </c>
      <c r="I4294" s="86">
        <v>41682</v>
      </c>
      <c r="J4294" s="78">
        <v>734</v>
      </c>
    </row>
    <row r="4295" spans="6:10" x14ac:dyDescent="0.25">
      <c r="F4295" s="76" t="s">
        <v>150</v>
      </c>
      <c r="G4295" s="77" t="s">
        <v>222</v>
      </c>
      <c r="H4295" s="77" t="s">
        <v>158</v>
      </c>
      <c r="I4295" s="86">
        <v>41683</v>
      </c>
      <c r="J4295" s="78">
        <v>1601</v>
      </c>
    </row>
    <row r="4296" spans="6:10" x14ac:dyDescent="0.25">
      <c r="F4296" s="76" t="s">
        <v>150</v>
      </c>
      <c r="G4296" s="77" t="s">
        <v>222</v>
      </c>
      <c r="H4296" s="77" t="s">
        <v>158</v>
      </c>
      <c r="I4296" s="86">
        <v>41687</v>
      </c>
      <c r="J4296" s="78">
        <v>892</v>
      </c>
    </row>
    <row r="4297" spans="6:10" x14ac:dyDescent="0.25">
      <c r="F4297" s="76" t="s">
        <v>150</v>
      </c>
      <c r="G4297" s="77" t="s">
        <v>222</v>
      </c>
      <c r="H4297" s="77" t="s">
        <v>158</v>
      </c>
      <c r="I4297" s="86">
        <v>41688</v>
      </c>
      <c r="J4297" s="78">
        <v>802</v>
      </c>
    </row>
    <row r="4298" spans="6:10" x14ac:dyDescent="0.25">
      <c r="F4298" s="76" t="s">
        <v>150</v>
      </c>
      <c r="G4298" s="77" t="s">
        <v>222</v>
      </c>
      <c r="H4298" s="77" t="s">
        <v>158</v>
      </c>
      <c r="I4298" s="86">
        <v>41689</v>
      </c>
      <c r="J4298" s="78">
        <v>741</v>
      </c>
    </row>
    <row r="4299" spans="6:10" x14ac:dyDescent="0.25">
      <c r="F4299" s="76" t="s">
        <v>150</v>
      </c>
      <c r="G4299" s="77" t="s">
        <v>222</v>
      </c>
      <c r="H4299" s="77" t="s">
        <v>158</v>
      </c>
      <c r="I4299" s="86">
        <v>41695</v>
      </c>
      <c r="J4299" s="78">
        <v>1281</v>
      </c>
    </row>
    <row r="4300" spans="6:10" x14ac:dyDescent="0.25">
      <c r="F4300" s="76" t="s">
        <v>150</v>
      </c>
      <c r="G4300" s="77" t="s">
        <v>222</v>
      </c>
      <c r="H4300" s="77" t="s">
        <v>158</v>
      </c>
      <c r="I4300" s="86">
        <v>41697</v>
      </c>
      <c r="J4300" s="78">
        <v>1065</v>
      </c>
    </row>
    <row r="4301" spans="6:10" x14ac:dyDescent="0.25">
      <c r="F4301" s="76" t="s">
        <v>150</v>
      </c>
      <c r="G4301" s="77" t="s">
        <v>222</v>
      </c>
      <c r="H4301" s="77" t="s">
        <v>158</v>
      </c>
      <c r="I4301" s="86">
        <v>41711</v>
      </c>
      <c r="J4301" s="78">
        <v>1081</v>
      </c>
    </row>
    <row r="4302" spans="6:10" x14ac:dyDescent="0.25">
      <c r="F4302" s="76" t="s">
        <v>150</v>
      </c>
      <c r="G4302" s="77" t="s">
        <v>222</v>
      </c>
      <c r="H4302" s="77" t="s">
        <v>158</v>
      </c>
      <c r="I4302" s="86">
        <v>41712</v>
      </c>
      <c r="J4302" s="78">
        <v>602</v>
      </c>
    </row>
    <row r="4303" spans="6:10" x14ac:dyDescent="0.25">
      <c r="F4303" s="76" t="s">
        <v>150</v>
      </c>
      <c r="G4303" s="77" t="s">
        <v>222</v>
      </c>
      <c r="H4303" s="77" t="s">
        <v>158</v>
      </c>
      <c r="I4303" s="86">
        <v>41712</v>
      </c>
      <c r="J4303" s="78">
        <v>510</v>
      </c>
    </row>
    <row r="4304" spans="6:10" x14ac:dyDescent="0.25">
      <c r="F4304" s="76" t="s">
        <v>150</v>
      </c>
      <c r="G4304" s="77" t="s">
        <v>222</v>
      </c>
      <c r="H4304" s="77" t="s">
        <v>158</v>
      </c>
      <c r="I4304" s="86">
        <v>41716</v>
      </c>
      <c r="J4304" s="78">
        <v>1153</v>
      </c>
    </row>
    <row r="4305" spans="6:10" x14ac:dyDescent="0.25">
      <c r="F4305" s="76" t="s">
        <v>150</v>
      </c>
      <c r="G4305" s="77" t="s">
        <v>222</v>
      </c>
      <c r="H4305" s="77" t="s">
        <v>158</v>
      </c>
      <c r="I4305" s="86">
        <v>41717</v>
      </c>
      <c r="J4305" s="78">
        <v>518</v>
      </c>
    </row>
    <row r="4306" spans="6:10" x14ac:dyDescent="0.25">
      <c r="F4306" s="76" t="s">
        <v>150</v>
      </c>
      <c r="G4306" s="77" t="s">
        <v>222</v>
      </c>
      <c r="H4306" s="77" t="s">
        <v>158</v>
      </c>
      <c r="I4306" s="86">
        <v>41719</v>
      </c>
      <c r="J4306" s="78">
        <v>902</v>
      </c>
    </row>
    <row r="4307" spans="6:10" x14ac:dyDescent="0.25">
      <c r="F4307" s="76" t="s">
        <v>150</v>
      </c>
      <c r="G4307" s="77" t="s">
        <v>222</v>
      </c>
      <c r="H4307" s="77" t="s">
        <v>158</v>
      </c>
      <c r="I4307" s="86">
        <v>41722</v>
      </c>
      <c r="J4307" s="78">
        <v>775</v>
      </c>
    </row>
    <row r="4308" spans="6:10" x14ac:dyDescent="0.25">
      <c r="F4308" s="76" t="s">
        <v>150</v>
      </c>
      <c r="G4308" s="77" t="s">
        <v>222</v>
      </c>
      <c r="H4308" s="77" t="s">
        <v>158</v>
      </c>
      <c r="I4308" s="86">
        <v>41723</v>
      </c>
      <c r="J4308" s="78">
        <v>1049</v>
      </c>
    </row>
    <row r="4309" spans="6:10" x14ac:dyDescent="0.25">
      <c r="F4309" s="76" t="s">
        <v>150</v>
      </c>
      <c r="G4309" s="77" t="s">
        <v>222</v>
      </c>
      <c r="H4309" s="77" t="s">
        <v>158</v>
      </c>
      <c r="I4309" s="86">
        <v>41724</v>
      </c>
      <c r="J4309" s="78">
        <v>472</v>
      </c>
    </row>
    <row r="4310" spans="6:10" x14ac:dyDescent="0.25">
      <c r="F4310" s="76" t="s">
        <v>150</v>
      </c>
      <c r="G4310" s="77" t="s">
        <v>222</v>
      </c>
      <c r="H4310" s="77" t="s">
        <v>158</v>
      </c>
      <c r="I4310" s="86">
        <v>41726</v>
      </c>
      <c r="J4310" s="78">
        <v>1185</v>
      </c>
    </row>
    <row r="4311" spans="6:10" x14ac:dyDescent="0.25">
      <c r="F4311" s="76" t="s">
        <v>150</v>
      </c>
      <c r="G4311" s="77" t="s">
        <v>222</v>
      </c>
      <c r="H4311" s="77" t="s">
        <v>158</v>
      </c>
      <c r="I4311" s="86">
        <v>41727</v>
      </c>
      <c r="J4311" s="78">
        <v>738</v>
      </c>
    </row>
    <row r="4312" spans="6:10" x14ac:dyDescent="0.25">
      <c r="F4312" s="76" t="s">
        <v>150</v>
      </c>
      <c r="G4312" s="77" t="s">
        <v>222</v>
      </c>
      <c r="H4312" s="77" t="s">
        <v>158</v>
      </c>
      <c r="I4312" s="86">
        <v>41728</v>
      </c>
      <c r="J4312" s="78">
        <v>648</v>
      </c>
    </row>
    <row r="4313" spans="6:10" x14ac:dyDescent="0.25">
      <c r="F4313" s="76" t="s">
        <v>150</v>
      </c>
      <c r="G4313" s="77" t="s">
        <v>222</v>
      </c>
      <c r="H4313" s="77" t="s">
        <v>158</v>
      </c>
      <c r="I4313" s="86">
        <v>41729</v>
      </c>
      <c r="J4313" s="78">
        <v>631</v>
      </c>
    </row>
    <row r="4314" spans="6:10" x14ac:dyDescent="0.25">
      <c r="F4314" s="76" t="s">
        <v>150</v>
      </c>
      <c r="G4314" s="77" t="s">
        <v>222</v>
      </c>
      <c r="H4314" s="77" t="s">
        <v>158</v>
      </c>
      <c r="I4314" s="86">
        <v>41731</v>
      </c>
      <c r="J4314" s="78">
        <v>1025</v>
      </c>
    </row>
    <row r="4315" spans="6:10" x14ac:dyDescent="0.25">
      <c r="F4315" s="76" t="s">
        <v>150</v>
      </c>
      <c r="G4315" s="77" t="s">
        <v>222</v>
      </c>
      <c r="H4315" s="77" t="s">
        <v>158</v>
      </c>
      <c r="I4315" s="86">
        <v>41733</v>
      </c>
      <c r="J4315" s="78">
        <v>1388</v>
      </c>
    </row>
    <row r="4316" spans="6:10" x14ac:dyDescent="0.25">
      <c r="F4316" s="76" t="s">
        <v>150</v>
      </c>
      <c r="G4316" s="77" t="s">
        <v>222</v>
      </c>
      <c r="H4316" s="77" t="s">
        <v>158</v>
      </c>
      <c r="I4316" s="86">
        <v>41734</v>
      </c>
      <c r="J4316" s="78">
        <v>584</v>
      </c>
    </row>
    <row r="4317" spans="6:10" x14ac:dyDescent="0.25">
      <c r="F4317" s="76" t="s">
        <v>150</v>
      </c>
      <c r="G4317" s="77" t="s">
        <v>222</v>
      </c>
      <c r="H4317" s="77" t="s">
        <v>158</v>
      </c>
      <c r="I4317" s="86">
        <v>41735</v>
      </c>
      <c r="J4317" s="78">
        <v>656</v>
      </c>
    </row>
    <row r="4318" spans="6:10" x14ac:dyDescent="0.25">
      <c r="F4318" s="76" t="s">
        <v>150</v>
      </c>
      <c r="G4318" s="77" t="s">
        <v>222</v>
      </c>
      <c r="H4318" s="77" t="s">
        <v>158</v>
      </c>
      <c r="I4318" s="86">
        <v>41736</v>
      </c>
      <c r="J4318" s="78">
        <v>731</v>
      </c>
    </row>
    <row r="4319" spans="6:10" x14ac:dyDescent="0.25">
      <c r="F4319" s="76" t="s">
        <v>150</v>
      </c>
      <c r="G4319" s="77" t="s">
        <v>222</v>
      </c>
      <c r="H4319" s="77" t="s">
        <v>158</v>
      </c>
      <c r="I4319" s="86">
        <v>41738</v>
      </c>
      <c r="J4319" s="78">
        <v>1003</v>
      </c>
    </row>
    <row r="4320" spans="6:10" x14ac:dyDescent="0.25">
      <c r="F4320" s="76" t="s">
        <v>150</v>
      </c>
      <c r="G4320" s="77" t="s">
        <v>222</v>
      </c>
      <c r="H4320" s="77" t="s">
        <v>158</v>
      </c>
      <c r="I4320" s="86">
        <v>41739</v>
      </c>
      <c r="J4320" s="78">
        <v>856</v>
      </c>
    </row>
    <row r="4321" spans="6:10" x14ac:dyDescent="0.25">
      <c r="F4321" s="76" t="s">
        <v>150</v>
      </c>
      <c r="G4321" s="77" t="s">
        <v>222</v>
      </c>
      <c r="H4321" s="77" t="s">
        <v>158</v>
      </c>
      <c r="I4321" s="86">
        <v>41741</v>
      </c>
      <c r="J4321" s="78">
        <v>1056</v>
      </c>
    </row>
    <row r="4322" spans="6:10" x14ac:dyDescent="0.25">
      <c r="F4322" s="76" t="s">
        <v>150</v>
      </c>
      <c r="G4322" s="77" t="s">
        <v>222</v>
      </c>
      <c r="H4322" s="77" t="s">
        <v>158</v>
      </c>
      <c r="I4322" s="86">
        <v>41742</v>
      </c>
      <c r="J4322" s="78">
        <v>672</v>
      </c>
    </row>
    <row r="4323" spans="6:10" x14ac:dyDescent="0.25">
      <c r="F4323" s="76" t="s">
        <v>150</v>
      </c>
      <c r="G4323" s="77" t="s">
        <v>222</v>
      </c>
      <c r="H4323" s="77" t="s">
        <v>158</v>
      </c>
      <c r="I4323" s="86">
        <v>41744</v>
      </c>
      <c r="J4323" s="78">
        <v>1484</v>
      </c>
    </row>
    <row r="4324" spans="6:10" x14ac:dyDescent="0.25">
      <c r="F4324" s="76" t="s">
        <v>150</v>
      </c>
      <c r="G4324" s="77" t="s">
        <v>222</v>
      </c>
      <c r="H4324" s="77" t="s">
        <v>158</v>
      </c>
      <c r="I4324" s="86">
        <v>41746</v>
      </c>
      <c r="J4324" s="78">
        <v>569</v>
      </c>
    </row>
    <row r="4325" spans="6:10" x14ac:dyDescent="0.25">
      <c r="F4325" s="76" t="s">
        <v>150</v>
      </c>
      <c r="G4325" s="77" t="s">
        <v>222</v>
      </c>
      <c r="H4325" s="77" t="s">
        <v>158</v>
      </c>
      <c r="I4325" s="86">
        <v>41747</v>
      </c>
      <c r="J4325" s="78">
        <v>541</v>
      </c>
    </row>
    <row r="4326" spans="6:10" x14ac:dyDescent="0.25">
      <c r="F4326" s="76" t="s">
        <v>150</v>
      </c>
      <c r="G4326" s="77" t="s">
        <v>222</v>
      </c>
      <c r="H4326" s="77" t="s">
        <v>158</v>
      </c>
      <c r="I4326" s="86">
        <v>41752</v>
      </c>
      <c r="J4326" s="78">
        <v>1303</v>
      </c>
    </row>
    <row r="4327" spans="6:10" x14ac:dyDescent="0.25">
      <c r="F4327" s="76" t="s">
        <v>150</v>
      </c>
      <c r="G4327" s="77" t="s">
        <v>222</v>
      </c>
      <c r="H4327" s="77" t="s">
        <v>158</v>
      </c>
      <c r="I4327" s="86">
        <v>41754</v>
      </c>
      <c r="J4327" s="78">
        <v>1049</v>
      </c>
    </row>
    <row r="4328" spans="6:10" x14ac:dyDescent="0.25">
      <c r="F4328" s="76" t="s">
        <v>150</v>
      </c>
      <c r="G4328" s="77" t="s">
        <v>222</v>
      </c>
      <c r="H4328" s="77" t="s">
        <v>158</v>
      </c>
      <c r="I4328" s="86">
        <v>41755</v>
      </c>
      <c r="J4328" s="78">
        <v>606</v>
      </c>
    </row>
    <row r="4329" spans="6:10" x14ac:dyDescent="0.25">
      <c r="F4329" s="76" t="s">
        <v>150</v>
      </c>
      <c r="G4329" s="77" t="s">
        <v>222</v>
      </c>
      <c r="H4329" s="77" t="s">
        <v>158</v>
      </c>
      <c r="I4329" s="86">
        <v>41756</v>
      </c>
      <c r="J4329" s="78">
        <v>473</v>
      </c>
    </row>
    <row r="4330" spans="6:10" x14ac:dyDescent="0.25">
      <c r="F4330" s="76" t="s">
        <v>150</v>
      </c>
      <c r="G4330" s="77" t="s">
        <v>222</v>
      </c>
      <c r="H4330" s="77" t="s">
        <v>158</v>
      </c>
      <c r="I4330" s="86">
        <v>41759</v>
      </c>
      <c r="J4330" s="78">
        <v>1044</v>
      </c>
    </row>
    <row r="4331" spans="6:10" x14ac:dyDescent="0.25">
      <c r="F4331" s="76" t="s">
        <v>150</v>
      </c>
      <c r="G4331" s="77" t="s">
        <v>222</v>
      </c>
      <c r="H4331" s="77" t="s">
        <v>158</v>
      </c>
      <c r="I4331" s="86">
        <v>41761</v>
      </c>
      <c r="J4331" s="78">
        <v>883</v>
      </c>
    </row>
    <row r="4332" spans="6:10" x14ac:dyDescent="0.25">
      <c r="F4332" s="76" t="s">
        <v>150</v>
      </c>
      <c r="G4332" s="77" t="s">
        <v>222</v>
      </c>
      <c r="H4332" s="77" t="s">
        <v>158</v>
      </c>
      <c r="I4332" s="86">
        <v>41765</v>
      </c>
      <c r="J4332" s="78">
        <v>489</v>
      </c>
    </row>
    <row r="4333" spans="6:10" x14ac:dyDescent="0.25">
      <c r="F4333" s="76" t="s">
        <v>150</v>
      </c>
      <c r="G4333" s="77" t="s">
        <v>222</v>
      </c>
      <c r="H4333" s="77" t="s">
        <v>158</v>
      </c>
      <c r="I4333" s="86">
        <v>41767</v>
      </c>
      <c r="J4333" s="78">
        <v>327</v>
      </c>
    </row>
    <row r="4334" spans="6:10" x14ac:dyDescent="0.25">
      <c r="F4334" s="76" t="s">
        <v>150</v>
      </c>
      <c r="G4334" s="77" t="s">
        <v>222</v>
      </c>
      <c r="H4334" s="77" t="s">
        <v>158</v>
      </c>
      <c r="I4334" s="86">
        <v>41767</v>
      </c>
      <c r="J4334" s="78">
        <v>1258</v>
      </c>
    </row>
    <row r="4335" spans="6:10" x14ac:dyDescent="0.25">
      <c r="F4335" s="76" t="s">
        <v>150</v>
      </c>
      <c r="G4335" s="77" t="s">
        <v>222</v>
      </c>
      <c r="H4335" s="77" t="s">
        <v>158</v>
      </c>
      <c r="I4335" s="86">
        <v>41769</v>
      </c>
      <c r="J4335" s="78">
        <v>645</v>
      </c>
    </row>
    <row r="4336" spans="6:10" x14ac:dyDescent="0.25">
      <c r="F4336" s="76" t="s">
        <v>150</v>
      </c>
      <c r="G4336" s="77" t="s">
        <v>222</v>
      </c>
      <c r="H4336" s="77" t="s">
        <v>158</v>
      </c>
      <c r="I4336" s="86">
        <v>41769</v>
      </c>
      <c r="J4336" s="78">
        <v>1580</v>
      </c>
    </row>
    <row r="4337" spans="6:10" x14ac:dyDescent="0.25">
      <c r="F4337" s="76" t="s">
        <v>150</v>
      </c>
      <c r="G4337" s="77" t="s">
        <v>222</v>
      </c>
      <c r="H4337" s="77" t="s">
        <v>158</v>
      </c>
      <c r="I4337" s="86">
        <v>41852</v>
      </c>
      <c r="J4337" s="78">
        <v>1237</v>
      </c>
    </row>
    <row r="4338" spans="6:10" x14ac:dyDescent="0.25">
      <c r="F4338" s="76" t="s">
        <v>150</v>
      </c>
      <c r="G4338" s="77" t="s">
        <v>222</v>
      </c>
      <c r="H4338" s="77" t="s">
        <v>158</v>
      </c>
      <c r="I4338" s="86">
        <v>41885</v>
      </c>
      <c r="J4338" s="78">
        <v>1063</v>
      </c>
    </row>
    <row r="4339" spans="6:10" x14ac:dyDescent="0.25">
      <c r="F4339" s="76" t="s">
        <v>150</v>
      </c>
      <c r="G4339" s="77" t="s">
        <v>222</v>
      </c>
      <c r="H4339" s="77" t="s">
        <v>158</v>
      </c>
      <c r="I4339" s="86">
        <v>41886</v>
      </c>
      <c r="J4339" s="78">
        <v>313</v>
      </c>
    </row>
    <row r="4340" spans="6:10" x14ac:dyDescent="0.25">
      <c r="F4340" s="76" t="s">
        <v>150</v>
      </c>
      <c r="G4340" s="77" t="s">
        <v>222</v>
      </c>
      <c r="H4340" s="77" t="s">
        <v>158</v>
      </c>
      <c r="I4340" s="86">
        <v>41888</v>
      </c>
      <c r="J4340" s="78">
        <v>1401</v>
      </c>
    </row>
    <row r="4341" spans="6:10" x14ac:dyDescent="0.25">
      <c r="F4341" s="76" t="s">
        <v>150</v>
      </c>
      <c r="G4341" s="77" t="s">
        <v>222</v>
      </c>
      <c r="H4341" s="77" t="s">
        <v>158</v>
      </c>
      <c r="I4341" s="86">
        <v>41891</v>
      </c>
      <c r="J4341" s="78">
        <v>675</v>
      </c>
    </row>
    <row r="4342" spans="6:10" x14ac:dyDescent="0.25">
      <c r="F4342" s="76" t="s">
        <v>150</v>
      </c>
      <c r="G4342" s="77" t="s">
        <v>222</v>
      </c>
      <c r="H4342" s="77" t="s">
        <v>158</v>
      </c>
      <c r="I4342" s="86">
        <v>41893</v>
      </c>
      <c r="J4342" s="78">
        <v>821</v>
      </c>
    </row>
    <row r="4343" spans="6:10" x14ac:dyDescent="0.25">
      <c r="F4343" s="76" t="s">
        <v>150</v>
      </c>
      <c r="G4343" s="77" t="s">
        <v>222</v>
      </c>
      <c r="H4343" s="77" t="s">
        <v>158</v>
      </c>
      <c r="I4343" s="86">
        <v>41897</v>
      </c>
      <c r="J4343" s="78">
        <v>1032</v>
      </c>
    </row>
    <row r="4344" spans="6:10" x14ac:dyDescent="0.25">
      <c r="F4344" s="76" t="s">
        <v>150</v>
      </c>
      <c r="G4344" s="77" t="s">
        <v>222</v>
      </c>
      <c r="H4344" s="77" t="s">
        <v>158</v>
      </c>
      <c r="I4344" s="86">
        <v>41899</v>
      </c>
      <c r="J4344" s="78">
        <v>708</v>
      </c>
    </row>
    <row r="4345" spans="6:10" x14ac:dyDescent="0.25">
      <c r="F4345" s="76" t="s">
        <v>150</v>
      </c>
      <c r="G4345" s="77" t="s">
        <v>222</v>
      </c>
      <c r="H4345" s="77" t="s">
        <v>158</v>
      </c>
      <c r="I4345" s="86">
        <v>41901</v>
      </c>
      <c r="J4345" s="78">
        <v>680</v>
      </c>
    </row>
    <row r="4346" spans="6:10" x14ac:dyDescent="0.25">
      <c r="F4346" s="76" t="s">
        <v>150</v>
      </c>
      <c r="G4346" s="77" t="s">
        <v>222</v>
      </c>
      <c r="H4346" s="77" t="s">
        <v>158</v>
      </c>
      <c r="I4346" s="86">
        <v>41905</v>
      </c>
      <c r="J4346" s="78">
        <v>1202</v>
      </c>
    </row>
    <row r="4347" spans="6:10" x14ac:dyDescent="0.25">
      <c r="F4347" s="76" t="s">
        <v>150</v>
      </c>
      <c r="G4347" s="77" t="s">
        <v>222</v>
      </c>
      <c r="H4347" s="77" t="s">
        <v>158</v>
      </c>
      <c r="I4347" s="86">
        <v>41907</v>
      </c>
      <c r="J4347" s="78">
        <v>1239</v>
      </c>
    </row>
    <row r="4348" spans="6:10" x14ac:dyDescent="0.25">
      <c r="F4348" s="76" t="s">
        <v>150</v>
      </c>
      <c r="G4348" s="77" t="s">
        <v>222</v>
      </c>
      <c r="H4348" s="77" t="s">
        <v>158</v>
      </c>
      <c r="I4348" s="86">
        <v>41909</v>
      </c>
      <c r="J4348" s="78">
        <v>1250</v>
      </c>
    </row>
    <row r="4349" spans="6:10" x14ac:dyDescent="0.25">
      <c r="F4349" s="76" t="s">
        <v>150</v>
      </c>
      <c r="G4349" s="77" t="s">
        <v>222</v>
      </c>
      <c r="H4349" s="77" t="s">
        <v>158</v>
      </c>
      <c r="I4349" s="86">
        <v>41912</v>
      </c>
      <c r="J4349" s="78">
        <v>1402</v>
      </c>
    </row>
    <row r="4350" spans="6:10" x14ac:dyDescent="0.25">
      <c r="F4350" s="76" t="s">
        <v>150</v>
      </c>
      <c r="G4350" s="77" t="s">
        <v>222</v>
      </c>
      <c r="H4350" s="77" t="s">
        <v>158</v>
      </c>
      <c r="I4350" s="86">
        <v>41922</v>
      </c>
      <c r="J4350" s="78">
        <v>1052</v>
      </c>
    </row>
    <row r="4351" spans="6:10" x14ac:dyDescent="0.25">
      <c r="F4351" s="76" t="s">
        <v>150</v>
      </c>
      <c r="G4351" s="77" t="s">
        <v>222</v>
      </c>
      <c r="H4351" s="77" t="s">
        <v>158</v>
      </c>
      <c r="I4351" s="86">
        <v>41925</v>
      </c>
      <c r="J4351" s="78">
        <v>1450</v>
      </c>
    </row>
    <row r="4352" spans="6:10" x14ac:dyDescent="0.25">
      <c r="F4352" s="76" t="s">
        <v>150</v>
      </c>
      <c r="G4352" s="77" t="s">
        <v>222</v>
      </c>
      <c r="H4352" s="77" t="s">
        <v>158</v>
      </c>
      <c r="I4352" s="86">
        <v>41927</v>
      </c>
      <c r="J4352" s="78">
        <v>1019</v>
      </c>
    </row>
    <row r="4353" spans="6:10" x14ac:dyDescent="0.25">
      <c r="F4353" s="76" t="s">
        <v>150</v>
      </c>
      <c r="G4353" s="77" t="s">
        <v>222</v>
      </c>
      <c r="H4353" s="77" t="s">
        <v>158</v>
      </c>
      <c r="I4353" s="86">
        <v>41929</v>
      </c>
      <c r="J4353" s="78">
        <v>1429</v>
      </c>
    </row>
    <row r="4354" spans="6:10" x14ac:dyDescent="0.25">
      <c r="F4354" s="76" t="s">
        <v>150</v>
      </c>
      <c r="G4354" s="77" t="s">
        <v>222</v>
      </c>
      <c r="H4354" s="77" t="s">
        <v>158</v>
      </c>
      <c r="I4354" s="86">
        <v>41930</v>
      </c>
      <c r="J4354" s="78">
        <v>667</v>
      </c>
    </row>
    <row r="4355" spans="6:10" x14ac:dyDescent="0.25">
      <c r="F4355" s="76" t="s">
        <v>150</v>
      </c>
      <c r="G4355" s="77" t="s">
        <v>222</v>
      </c>
      <c r="H4355" s="77" t="s">
        <v>158</v>
      </c>
      <c r="I4355" s="86">
        <v>41931</v>
      </c>
      <c r="J4355" s="78">
        <v>859</v>
      </c>
    </row>
    <row r="4356" spans="6:10" x14ac:dyDescent="0.25">
      <c r="F4356" s="76" t="s">
        <v>150</v>
      </c>
      <c r="G4356" s="77" t="s">
        <v>222</v>
      </c>
      <c r="H4356" s="77" t="s">
        <v>158</v>
      </c>
      <c r="I4356" s="86">
        <v>41932</v>
      </c>
      <c r="J4356" s="78">
        <v>993</v>
      </c>
    </row>
    <row r="4357" spans="6:10" x14ac:dyDescent="0.25">
      <c r="F4357" s="76" t="s">
        <v>150</v>
      </c>
      <c r="G4357" s="77" t="s">
        <v>222</v>
      </c>
      <c r="H4357" s="77" t="s">
        <v>158</v>
      </c>
      <c r="I4357" s="86">
        <v>41933</v>
      </c>
      <c r="J4357" s="78">
        <v>610</v>
      </c>
    </row>
    <row r="4358" spans="6:10" x14ac:dyDescent="0.25">
      <c r="F4358" s="76" t="s">
        <v>150</v>
      </c>
      <c r="G4358" s="77" t="s">
        <v>222</v>
      </c>
      <c r="H4358" s="77" t="s">
        <v>158</v>
      </c>
      <c r="I4358" s="86">
        <v>41935</v>
      </c>
      <c r="J4358" s="78">
        <v>1078</v>
      </c>
    </row>
    <row r="4359" spans="6:10" x14ac:dyDescent="0.25">
      <c r="F4359" s="76" t="s">
        <v>150</v>
      </c>
      <c r="G4359" s="77" t="s">
        <v>222</v>
      </c>
      <c r="H4359" s="77" t="s">
        <v>158</v>
      </c>
      <c r="I4359" s="86">
        <v>41936</v>
      </c>
      <c r="J4359" s="78">
        <v>800</v>
      </c>
    </row>
    <row r="4360" spans="6:10" x14ac:dyDescent="0.25">
      <c r="F4360" s="76" t="s">
        <v>150</v>
      </c>
      <c r="G4360" s="77" t="s">
        <v>222</v>
      </c>
      <c r="H4360" s="77" t="s">
        <v>158</v>
      </c>
      <c r="I4360" s="86">
        <v>41937</v>
      </c>
      <c r="J4360" s="78">
        <v>762</v>
      </c>
    </row>
    <row r="4361" spans="6:10" x14ac:dyDescent="0.25">
      <c r="F4361" s="76" t="s">
        <v>150</v>
      </c>
      <c r="G4361" s="77" t="s">
        <v>222</v>
      </c>
      <c r="H4361" s="77" t="s">
        <v>158</v>
      </c>
      <c r="I4361" s="86">
        <v>41938</v>
      </c>
      <c r="J4361" s="78">
        <v>595</v>
      </c>
    </row>
    <row r="4362" spans="6:10" x14ac:dyDescent="0.25">
      <c r="F4362" s="76" t="s">
        <v>150</v>
      </c>
      <c r="G4362" s="77" t="s">
        <v>222</v>
      </c>
      <c r="H4362" s="77" t="s">
        <v>158</v>
      </c>
      <c r="I4362" s="86">
        <v>41939</v>
      </c>
      <c r="J4362" s="78">
        <v>1153</v>
      </c>
    </row>
    <row r="4363" spans="6:10" x14ac:dyDescent="0.25">
      <c r="F4363" s="76" t="s">
        <v>150</v>
      </c>
      <c r="G4363" s="77" t="s">
        <v>222</v>
      </c>
      <c r="H4363" s="77" t="s">
        <v>158</v>
      </c>
      <c r="I4363" s="86">
        <v>41940</v>
      </c>
      <c r="J4363" s="78">
        <v>998</v>
      </c>
    </row>
    <row r="4364" spans="6:10" x14ac:dyDescent="0.25">
      <c r="F4364" s="76" t="s">
        <v>150</v>
      </c>
      <c r="G4364" s="77" t="s">
        <v>222</v>
      </c>
      <c r="H4364" s="77" t="s">
        <v>158</v>
      </c>
      <c r="I4364" s="86">
        <v>41941</v>
      </c>
      <c r="J4364" s="78">
        <v>647</v>
      </c>
    </row>
    <row r="4365" spans="6:10" x14ac:dyDescent="0.25">
      <c r="F4365" s="76" t="s">
        <v>150</v>
      </c>
      <c r="G4365" s="77" t="s">
        <v>222</v>
      </c>
      <c r="H4365" s="77" t="s">
        <v>158</v>
      </c>
      <c r="I4365" s="86">
        <v>41942</v>
      </c>
      <c r="J4365" s="78">
        <v>811</v>
      </c>
    </row>
    <row r="4366" spans="6:10" x14ac:dyDescent="0.25">
      <c r="F4366" s="76" t="s">
        <v>150</v>
      </c>
      <c r="G4366" s="77" t="s">
        <v>222</v>
      </c>
      <c r="H4366" s="77" t="s">
        <v>158</v>
      </c>
      <c r="I4366" s="86">
        <v>41943</v>
      </c>
      <c r="J4366" s="78">
        <v>801</v>
      </c>
    </row>
    <row r="4367" spans="6:10" x14ac:dyDescent="0.25">
      <c r="F4367" s="76" t="s">
        <v>150</v>
      </c>
      <c r="G4367" s="77" t="s">
        <v>222</v>
      </c>
      <c r="H4367" s="77" t="s">
        <v>158</v>
      </c>
      <c r="I4367" s="86">
        <v>41944</v>
      </c>
      <c r="J4367" s="78">
        <v>613</v>
      </c>
    </row>
    <row r="4368" spans="6:10" x14ac:dyDescent="0.25">
      <c r="F4368" s="76" t="s">
        <v>150</v>
      </c>
      <c r="G4368" s="77" t="s">
        <v>222</v>
      </c>
      <c r="H4368" s="77" t="s">
        <v>158</v>
      </c>
      <c r="I4368" s="86">
        <v>41945</v>
      </c>
      <c r="J4368" s="78">
        <v>772</v>
      </c>
    </row>
    <row r="4369" spans="6:10" x14ac:dyDescent="0.25">
      <c r="F4369" s="76" t="s">
        <v>150</v>
      </c>
      <c r="G4369" s="77" t="s">
        <v>222</v>
      </c>
      <c r="H4369" s="77" t="s">
        <v>158</v>
      </c>
      <c r="I4369" s="86">
        <v>41965</v>
      </c>
      <c r="J4369" s="78">
        <v>1559</v>
      </c>
    </row>
    <row r="4370" spans="6:10" x14ac:dyDescent="0.25">
      <c r="F4370" s="76" t="s">
        <v>150</v>
      </c>
      <c r="G4370" s="77" t="s">
        <v>222</v>
      </c>
      <c r="H4370" s="77" t="s">
        <v>158</v>
      </c>
      <c r="I4370" s="86">
        <v>41966</v>
      </c>
      <c r="J4370" s="78">
        <v>527</v>
      </c>
    </row>
    <row r="4371" spans="6:10" x14ac:dyDescent="0.25">
      <c r="F4371" s="76" t="s">
        <v>150</v>
      </c>
      <c r="G4371" s="77" t="s">
        <v>222</v>
      </c>
      <c r="H4371" s="77" t="s">
        <v>158</v>
      </c>
      <c r="I4371" s="86">
        <v>41967</v>
      </c>
      <c r="J4371" s="78">
        <v>1057</v>
      </c>
    </row>
    <row r="4372" spans="6:10" x14ac:dyDescent="0.25">
      <c r="F4372" s="76" t="s">
        <v>150</v>
      </c>
      <c r="G4372" s="77" t="s">
        <v>222</v>
      </c>
      <c r="H4372" s="77" t="s">
        <v>158</v>
      </c>
      <c r="I4372" s="86">
        <v>41968</v>
      </c>
      <c r="J4372" s="78">
        <v>432</v>
      </c>
    </row>
    <row r="4373" spans="6:10" x14ac:dyDescent="0.25">
      <c r="F4373" s="76" t="s">
        <v>150</v>
      </c>
      <c r="G4373" s="77" t="s">
        <v>222</v>
      </c>
      <c r="H4373" s="77" t="s">
        <v>158</v>
      </c>
      <c r="I4373" s="86">
        <v>41969</v>
      </c>
      <c r="J4373" s="78">
        <v>983</v>
      </c>
    </row>
    <row r="4374" spans="6:10" x14ac:dyDescent="0.25">
      <c r="F4374" s="76" t="s">
        <v>150</v>
      </c>
      <c r="G4374" s="77" t="s">
        <v>222</v>
      </c>
      <c r="H4374" s="77" t="s">
        <v>158</v>
      </c>
      <c r="I4374" s="86">
        <v>41970</v>
      </c>
      <c r="J4374" s="78">
        <v>463</v>
      </c>
    </row>
    <row r="4375" spans="6:10" x14ac:dyDescent="0.25">
      <c r="F4375" s="76" t="s">
        <v>150</v>
      </c>
      <c r="G4375" s="77" t="s">
        <v>222</v>
      </c>
      <c r="H4375" s="77" t="s">
        <v>158</v>
      </c>
      <c r="I4375" s="86">
        <v>41974</v>
      </c>
      <c r="J4375" s="78">
        <v>1263</v>
      </c>
    </row>
    <row r="4376" spans="6:10" x14ac:dyDescent="0.25">
      <c r="F4376" s="76" t="s">
        <v>150</v>
      </c>
      <c r="G4376" s="77" t="s">
        <v>222</v>
      </c>
      <c r="H4376" s="77" t="s">
        <v>158</v>
      </c>
      <c r="I4376" s="86">
        <v>41977</v>
      </c>
      <c r="J4376" s="78">
        <v>1328</v>
      </c>
    </row>
    <row r="4377" spans="6:10" x14ac:dyDescent="0.25">
      <c r="F4377" s="76" t="s">
        <v>150</v>
      </c>
      <c r="G4377" s="77" t="s">
        <v>222</v>
      </c>
      <c r="H4377" s="77" t="s">
        <v>158</v>
      </c>
      <c r="I4377" s="86">
        <v>41978</v>
      </c>
      <c r="J4377" s="78">
        <v>914</v>
      </c>
    </row>
    <row r="4378" spans="6:10" x14ac:dyDescent="0.25">
      <c r="F4378" s="76" t="s">
        <v>150</v>
      </c>
      <c r="G4378" s="77" t="s">
        <v>222</v>
      </c>
      <c r="H4378" s="77" t="s">
        <v>158</v>
      </c>
      <c r="I4378" s="86">
        <v>41982</v>
      </c>
      <c r="J4378" s="78">
        <v>1178</v>
      </c>
    </row>
    <row r="4379" spans="6:10" x14ac:dyDescent="0.25">
      <c r="F4379" s="76" t="s">
        <v>150</v>
      </c>
      <c r="G4379" s="77" t="s">
        <v>222</v>
      </c>
      <c r="H4379" s="77" t="s">
        <v>158</v>
      </c>
      <c r="I4379" s="86">
        <v>41985</v>
      </c>
      <c r="J4379" s="78">
        <v>1253</v>
      </c>
    </row>
    <row r="4380" spans="6:10" x14ac:dyDescent="0.25">
      <c r="F4380" s="76" t="s">
        <v>150</v>
      </c>
      <c r="G4380" s="77" t="s">
        <v>222</v>
      </c>
      <c r="H4380" s="77" t="s">
        <v>158</v>
      </c>
      <c r="I4380" s="86">
        <v>41989</v>
      </c>
      <c r="J4380" s="78">
        <v>1228</v>
      </c>
    </row>
    <row r="4381" spans="6:10" x14ac:dyDescent="0.25">
      <c r="F4381" s="76" t="s">
        <v>150</v>
      </c>
      <c r="G4381" s="77" t="s">
        <v>222</v>
      </c>
      <c r="H4381" s="77" t="s">
        <v>158</v>
      </c>
      <c r="I4381" s="86">
        <v>41992</v>
      </c>
      <c r="J4381" s="78">
        <v>1201</v>
      </c>
    </row>
    <row r="4382" spans="6:10" x14ac:dyDescent="0.25">
      <c r="F4382" s="76" t="s">
        <v>150</v>
      </c>
      <c r="G4382" s="77" t="s">
        <v>223</v>
      </c>
      <c r="H4382" s="77" t="s">
        <v>158</v>
      </c>
      <c r="I4382" s="86">
        <v>41635</v>
      </c>
      <c r="J4382" s="78">
        <v>863</v>
      </c>
    </row>
    <row r="4383" spans="6:10" x14ac:dyDescent="0.25">
      <c r="F4383" s="76" t="s">
        <v>150</v>
      </c>
      <c r="G4383" s="77" t="s">
        <v>223</v>
      </c>
      <c r="H4383" s="77" t="s">
        <v>158</v>
      </c>
      <c r="I4383" s="86">
        <v>41635</v>
      </c>
      <c r="J4383" s="78">
        <v>853</v>
      </c>
    </row>
    <row r="4384" spans="6:10" x14ac:dyDescent="0.25">
      <c r="F4384" s="76" t="s">
        <v>150</v>
      </c>
      <c r="G4384" s="77" t="s">
        <v>223</v>
      </c>
      <c r="H4384" s="77" t="s">
        <v>158</v>
      </c>
      <c r="I4384" s="86">
        <v>41636</v>
      </c>
      <c r="J4384" s="78">
        <v>589</v>
      </c>
    </row>
    <row r="4385" spans="6:10" x14ac:dyDescent="0.25">
      <c r="F4385" s="76" t="s">
        <v>150</v>
      </c>
      <c r="G4385" s="77" t="s">
        <v>223</v>
      </c>
      <c r="H4385" s="77" t="s">
        <v>158</v>
      </c>
      <c r="I4385" s="86">
        <v>41637</v>
      </c>
      <c r="J4385" s="78">
        <v>807</v>
      </c>
    </row>
    <row r="4386" spans="6:10" x14ac:dyDescent="0.25">
      <c r="F4386" s="76" t="s">
        <v>150</v>
      </c>
      <c r="G4386" s="77" t="s">
        <v>223</v>
      </c>
      <c r="H4386" s="77" t="s">
        <v>158</v>
      </c>
      <c r="I4386" s="86">
        <v>41639</v>
      </c>
      <c r="J4386" s="78">
        <v>1063</v>
      </c>
    </row>
    <row r="4387" spans="6:10" x14ac:dyDescent="0.25">
      <c r="F4387" s="76" t="s">
        <v>150</v>
      </c>
      <c r="G4387" s="77" t="s">
        <v>223</v>
      </c>
      <c r="H4387" s="77" t="s">
        <v>158</v>
      </c>
      <c r="I4387" s="86">
        <v>41641</v>
      </c>
      <c r="J4387" s="78">
        <v>1237</v>
      </c>
    </row>
    <row r="4388" spans="6:10" x14ac:dyDescent="0.25">
      <c r="F4388" s="76" t="s">
        <v>150</v>
      </c>
      <c r="G4388" s="77" t="s">
        <v>223</v>
      </c>
      <c r="H4388" s="77" t="s">
        <v>158</v>
      </c>
      <c r="I4388" s="86">
        <v>41645</v>
      </c>
      <c r="J4388" s="78">
        <v>910</v>
      </c>
    </row>
    <row r="4389" spans="6:10" x14ac:dyDescent="0.25">
      <c r="F4389" s="76" t="s">
        <v>150</v>
      </c>
      <c r="G4389" s="77" t="s">
        <v>223</v>
      </c>
      <c r="H4389" s="77" t="s">
        <v>158</v>
      </c>
      <c r="I4389" s="86">
        <v>41647</v>
      </c>
      <c r="J4389" s="78">
        <v>1808</v>
      </c>
    </row>
    <row r="4390" spans="6:10" x14ac:dyDescent="0.25">
      <c r="F4390" s="76" t="s">
        <v>150</v>
      </c>
      <c r="G4390" s="77" t="s">
        <v>223</v>
      </c>
      <c r="H4390" s="77" t="s">
        <v>158</v>
      </c>
      <c r="I4390" s="86">
        <v>41648</v>
      </c>
      <c r="J4390" s="78">
        <v>854</v>
      </c>
    </row>
    <row r="4391" spans="6:10" x14ac:dyDescent="0.25">
      <c r="F4391" s="76" t="s">
        <v>150</v>
      </c>
      <c r="G4391" s="77" t="s">
        <v>223</v>
      </c>
      <c r="H4391" s="77" t="s">
        <v>158</v>
      </c>
      <c r="I4391" s="86">
        <v>41653</v>
      </c>
      <c r="J4391" s="78">
        <v>1030</v>
      </c>
    </row>
    <row r="4392" spans="6:10" x14ac:dyDescent="0.25">
      <c r="F4392" s="76" t="s">
        <v>150</v>
      </c>
      <c r="G4392" s="77" t="s">
        <v>223</v>
      </c>
      <c r="H4392" s="77" t="s">
        <v>158</v>
      </c>
      <c r="I4392" s="86">
        <v>41673</v>
      </c>
      <c r="J4392" s="78">
        <v>706</v>
      </c>
    </row>
    <row r="4393" spans="6:10" x14ac:dyDescent="0.25">
      <c r="F4393" s="76" t="s">
        <v>150</v>
      </c>
      <c r="G4393" s="77" t="s">
        <v>223</v>
      </c>
      <c r="H4393" s="77" t="s">
        <v>158</v>
      </c>
      <c r="I4393" s="86">
        <v>41681</v>
      </c>
      <c r="J4393" s="78">
        <v>1325</v>
      </c>
    </row>
    <row r="4394" spans="6:10" x14ac:dyDescent="0.25">
      <c r="F4394" s="76" t="s">
        <v>150</v>
      </c>
      <c r="G4394" s="77" t="s">
        <v>223</v>
      </c>
      <c r="H4394" s="77" t="s">
        <v>158</v>
      </c>
      <c r="I4394" s="86">
        <v>41683</v>
      </c>
      <c r="J4394" s="78">
        <v>1490</v>
      </c>
    </row>
    <row r="4395" spans="6:10" x14ac:dyDescent="0.25">
      <c r="F4395" s="76" t="s">
        <v>150</v>
      </c>
      <c r="G4395" s="77" t="s">
        <v>223</v>
      </c>
      <c r="H4395" s="77" t="s">
        <v>158</v>
      </c>
      <c r="I4395" s="86">
        <v>41712</v>
      </c>
      <c r="J4395" s="78">
        <v>905</v>
      </c>
    </row>
    <row r="4396" spans="6:10" x14ac:dyDescent="0.25">
      <c r="F4396" s="76" t="s">
        <v>150</v>
      </c>
      <c r="G4396" s="77" t="s">
        <v>223</v>
      </c>
      <c r="H4396" s="77" t="s">
        <v>158</v>
      </c>
      <c r="I4396" s="86">
        <v>41714</v>
      </c>
      <c r="J4396" s="78">
        <v>579</v>
      </c>
    </row>
    <row r="4397" spans="6:10" x14ac:dyDescent="0.25">
      <c r="F4397" s="76" t="s">
        <v>150</v>
      </c>
      <c r="G4397" s="77" t="s">
        <v>223</v>
      </c>
      <c r="H4397" s="77" t="s">
        <v>158</v>
      </c>
      <c r="I4397" s="86">
        <v>41716</v>
      </c>
      <c r="J4397" s="78">
        <v>1224</v>
      </c>
    </row>
    <row r="4398" spans="6:10" x14ac:dyDescent="0.25">
      <c r="F4398" s="76" t="s">
        <v>150</v>
      </c>
      <c r="G4398" s="77" t="s">
        <v>223</v>
      </c>
      <c r="H4398" s="77" t="s">
        <v>158</v>
      </c>
      <c r="I4398" s="86">
        <v>41719</v>
      </c>
      <c r="J4398" s="78">
        <v>603</v>
      </c>
    </row>
    <row r="4399" spans="6:10" x14ac:dyDescent="0.25">
      <c r="F4399" s="76" t="s">
        <v>150</v>
      </c>
      <c r="G4399" s="77" t="s">
        <v>223</v>
      </c>
      <c r="H4399" s="77" t="s">
        <v>158</v>
      </c>
      <c r="I4399" s="86">
        <v>41724</v>
      </c>
      <c r="J4399" s="78">
        <v>1244</v>
      </c>
    </row>
    <row r="4400" spans="6:10" x14ac:dyDescent="0.25">
      <c r="F4400" s="76" t="s">
        <v>150</v>
      </c>
      <c r="G4400" s="77" t="s">
        <v>223</v>
      </c>
      <c r="H4400" s="77" t="s">
        <v>158</v>
      </c>
      <c r="I4400" s="86">
        <v>41726</v>
      </c>
      <c r="J4400" s="78">
        <v>1045</v>
      </c>
    </row>
    <row r="4401" spans="6:10" x14ac:dyDescent="0.25">
      <c r="F4401" s="76" t="s">
        <v>150</v>
      </c>
      <c r="G4401" s="77" t="s">
        <v>223</v>
      </c>
      <c r="H4401" s="77" t="s">
        <v>158</v>
      </c>
      <c r="I4401" s="86">
        <v>41729</v>
      </c>
      <c r="J4401" s="78">
        <v>1407</v>
      </c>
    </row>
    <row r="4402" spans="6:10" x14ac:dyDescent="0.25">
      <c r="F4402" s="76" t="s">
        <v>150</v>
      </c>
      <c r="G4402" s="77" t="s">
        <v>223</v>
      </c>
      <c r="H4402" s="77" t="s">
        <v>158</v>
      </c>
      <c r="I4402" s="86">
        <v>41732</v>
      </c>
      <c r="J4402" s="78">
        <v>565</v>
      </c>
    </row>
    <row r="4403" spans="6:10" x14ac:dyDescent="0.25">
      <c r="F4403" s="76" t="s">
        <v>150</v>
      </c>
      <c r="G4403" s="77" t="s">
        <v>223</v>
      </c>
      <c r="H4403" s="77" t="s">
        <v>158</v>
      </c>
      <c r="I4403" s="86">
        <v>41735</v>
      </c>
      <c r="J4403" s="78">
        <v>1051</v>
      </c>
    </row>
    <row r="4404" spans="6:10" x14ac:dyDescent="0.25">
      <c r="F4404" s="76" t="s">
        <v>150</v>
      </c>
      <c r="G4404" s="77" t="s">
        <v>223</v>
      </c>
      <c r="H4404" s="77" t="s">
        <v>158</v>
      </c>
      <c r="I4404" s="86">
        <v>41737</v>
      </c>
      <c r="J4404" s="78">
        <v>472</v>
      </c>
    </row>
    <row r="4405" spans="6:10" x14ac:dyDescent="0.25">
      <c r="F4405" s="76" t="s">
        <v>150</v>
      </c>
      <c r="G4405" s="77" t="s">
        <v>223</v>
      </c>
      <c r="H4405" s="77" t="s">
        <v>158</v>
      </c>
      <c r="I4405" s="86">
        <v>41740</v>
      </c>
      <c r="J4405" s="78">
        <v>1362</v>
      </c>
    </row>
    <row r="4406" spans="6:10" x14ac:dyDescent="0.25">
      <c r="F4406" s="76" t="s">
        <v>150</v>
      </c>
      <c r="G4406" s="77" t="s">
        <v>223</v>
      </c>
      <c r="H4406" s="77" t="s">
        <v>158</v>
      </c>
      <c r="I4406" s="86">
        <v>41741</v>
      </c>
      <c r="J4406" s="78">
        <v>501</v>
      </c>
    </row>
    <row r="4407" spans="6:10" x14ac:dyDescent="0.25">
      <c r="F4407" s="76" t="s">
        <v>150</v>
      </c>
      <c r="G4407" s="77" t="s">
        <v>223</v>
      </c>
      <c r="H4407" s="77" t="s">
        <v>158</v>
      </c>
      <c r="I4407" s="86">
        <v>41742</v>
      </c>
      <c r="J4407" s="78">
        <v>908</v>
      </c>
    </row>
    <row r="4408" spans="6:10" x14ac:dyDescent="0.25">
      <c r="F4408" s="76" t="s">
        <v>150</v>
      </c>
      <c r="G4408" s="77" t="s">
        <v>223</v>
      </c>
      <c r="H4408" s="77" t="s">
        <v>158</v>
      </c>
      <c r="I4408" s="86">
        <v>41745</v>
      </c>
      <c r="J4408" s="78">
        <v>422</v>
      </c>
    </row>
    <row r="4409" spans="6:10" x14ac:dyDescent="0.25">
      <c r="F4409" s="76" t="s">
        <v>150</v>
      </c>
      <c r="G4409" s="77" t="s">
        <v>223</v>
      </c>
      <c r="H4409" s="77" t="s">
        <v>158</v>
      </c>
      <c r="I4409" s="86">
        <v>41754</v>
      </c>
      <c r="J4409" s="78">
        <v>1328</v>
      </c>
    </row>
    <row r="4410" spans="6:10" x14ac:dyDescent="0.25">
      <c r="F4410" s="76" t="s">
        <v>150</v>
      </c>
      <c r="G4410" s="77" t="s">
        <v>223</v>
      </c>
      <c r="H4410" s="77" t="s">
        <v>158</v>
      </c>
      <c r="I4410" s="86">
        <v>41787</v>
      </c>
      <c r="J4410" s="78">
        <v>1063</v>
      </c>
    </row>
    <row r="4411" spans="6:10" x14ac:dyDescent="0.25">
      <c r="F4411" s="76" t="s">
        <v>150</v>
      </c>
      <c r="G4411" s="77" t="s">
        <v>223</v>
      </c>
      <c r="H4411" s="77" t="s">
        <v>158</v>
      </c>
      <c r="I4411" s="86">
        <v>41788</v>
      </c>
      <c r="J4411" s="78">
        <v>619</v>
      </c>
    </row>
    <row r="4412" spans="6:10" x14ac:dyDescent="0.25">
      <c r="F4412" s="76" t="s">
        <v>150</v>
      </c>
      <c r="G4412" s="77" t="s">
        <v>223</v>
      </c>
      <c r="H4412" s="77" t="s">
        <v>158</v>
      </c>
      <c r="I4412" s="86">
        <v>41794</v>
      </c>
      <c r="J4412" s="78">
        <v>467</v>
      </c>
    </row>
    <row r="4413" spans="6:10" x14ac:dyDescent="0.25">
      <c r="F4413" s="76" t="s">
        <v>150</v>
      </c>
      <c r="G4413" s="77" t="s">
        <v>223</v>
      </c>
      <c r="H4413" s="77" t="s">
        <v>158</v>
      </c>
      <c r="I4413" s="86">
        <v>41794</v>
      </c>
      <c r="J4413" s="78">
        <v>1116</v>
      </c>
    </row>
    <row r="4414" spans="6:10" x14ac:dyDescent="0.25">
      <c r="F4414" s="76" t="s">
        <v>150</v>
      </c>
      <c r="G4414" s="77" t="s">
        <v>223</v>
      </c>
      <c r="H4414" s="77" t="s">
        <v>158</v>
      </c>
      <c r="I4414" s="86">
        <v>41799</v>
      </c>
      <c r="J4414" s="78">
        <v>638</v>
      </c>
    </row>
    <row r="4415" spans="6:10" x14ac:dyDescent="0.25">
      <c r="F4415" s="76" t="s">
        <v>150</v>
      </c>
      <c r="G4415" s="77" t="s">
        <v>223</v>
      </c>
      <c r="H4415" s="77" t="s">
        <v>158</v>
      </c>
      <c r="I4415" s="86">
        <v>41801</v>
      </c>
      <c r="J4415" s="78">
        <v>403</v>
      </c>
    </row>
    <row r="4416" spans="6:10" x14ac:dyDescent="0.25">
      <c r="F4416" s="76" t="s">
        <v>150</v>
      </c>
      <c r="G4416" s="77" t="s">
        <v>223</v>
      </c>
      <c r="H4416" s="77" t="s">
        <v>158</v>
      </c>
      <c r="I4416" s="86">
        <v>41803</v>
      </c>
      <c r="J4416" s="78">
        <v>1044</v>
      </c>
    </row>
    <row r="4417" spans="6:10" x14ac:dyDescent="0.25">
      <c r="F4417" s="76" t="s">
        <v>150</v>
      </c>
      <c r="G4417" s="77" t="s">
        <v>223</v>
      </c>
      <c r="H4417" s="77" t="s">
        <v>158</v>
      </c>
      <c r="I4417" s="86">
        <v>41805</v>
      </c>
      <c r="J4417" s="78">
        <v>1125</v>
      </c>
    </row>
    <row r="4418" spans="6:10" x14ac:dyDescent="0.25">
      <c r="F4418" s="76" t="s">
        <v>150</v>
      </c>
      <c r="G4418" s="77" t="s">
        <v>223</v>
      </c>
      <c r="H4418" s="77" t="s">
        <v>158</v>
      </c>
      <c r="I4418" s="86">
        <v>41806</v>
      </c>
      <c r="J4418" s="78">
        <v>659</v>
      </c>
    </row>
    <row r="4419" spans="6:10" x14ac:dyDescent="0.25">
      <c r="F4419" s="76" t="s">
        <v>150</v>
      </c>
      <c r="G4419" s="77" t="s">
        <v>223</v>
      </c>
      <c r="H4419" s="77" t="s">
        <v>158</v>
      </c>
      <c r="I4419" s="86">
        <v>41807</v>
      </c>
      <c r="J4419" s="78">
        <v>888</v>
      </c>
    </row>
    <row r="4420" spans="6:10" x14ac:dyDescent="0.25">
      <c r="F4420" s="76" t="s">
        <v>150</v>
      </c>
      <c r="G4420" s="77" t="s">
        <v>223</v>
      </c>
      <c r="H4420" s="77" t="s">
        <v>158</v>
      </c>
      <c r="I4420" s="86">
        <v>41809</v>
      </c>
      <c r="J4420" s="78">
        <v>1120</v>
      </c>
    </row>
    <row r="4421" spans="6:10" x14ac:dyDescent="0.25">
      <c r="F4421" s="76" t="s">
        <v>150</v>
      </c>
      <c r="G4421" s="77" t="s">
        <v>223</v>
      </c>
      <c r="H4421" s="77" t="s">
        <v>158</v>
      </c>
      <c r="I4421" s="86">
        <v>41810</v>
      </c>
      <c r="J4421" s="78">
        <v>504</v>
      </c>
    </row>
    <row r="4422" spans="6:10" x14ac:dyDescent="0.25">
      <c r="F4422" s="76" t="s">
        <v>150</v>
      </c>
      <c r="G4422" s="77" t="s">
        <v>223</v>
      </c>
      <c r="H4422" s="77" t="s">
        <v>158</v>
      </c>
      <c r="I4422" s="86">
        <v>41811</v>
      </c>
      <c r="J4422" s="78">
        <v>853</v>
      </c>
    </row>
    <row r="4423" spans="6:10" x14ac:dyDescent="0.25">
      <c r="F4423" s="76" t="s">
        <v>150</v>
      </c>
      <c r="G4423" s="77" t="s">
        <v>223</v>
      </c>
      <c r="H4423" s="77" t="s">
        <v>158</v>
      </c>
      <c r="I4423" s="86">
        <v>41813</v>
      </c>
      <c r="J4423" s="78">
        <v>1276</v>
      </c>
    </row>
    <row r="4424" spans="6:10" x14ac:dyDescent="0.25">
      <c r="F4424" s="76" t="s">
        <v>150</v>
      </c>
      <c r="G4424" s="77" t="s">
        <v>223</v>
      </c>
      <c r="H4424" s="77" t="s">
        <v>158</v>
      </c>
      <c r="I4424" s="86">
        <v>41832</v>
      </c>
      <c r="J4424" s="78">
        <v>1012</v>
      </c>
    </row>
    <row r="4425" spans="6:10" x14ac:dyDescent="0.25">
      <c r="F4425" s="76" t="s">
        <v>150</v>
      </c>
      <c r="G4425" s="77" t="s">
        <v>223</v>
      </c>
      <c r="H4425" s="77" t="s">
        <v>158</v>
      </c>
      <c r="I4425" s="86">
        <v>41832</v>
      </c>
      <c r="J4425" s="78">
        <v>924</v>
      </c>
    </row>
    <row r="4426" spans="6:10" x14ac:dyDescent="0.25">
      <c r="F4426" s="76" t="s">
        <v>150</v>
      </c>
      <c r="G4426" s="77" t="s">
        <v>223</v>
      </c>
      <c r="H4426" s="77" t="s">
        <v>158</v>
      </c>
      <c r="I4426" s="86">
        <v>41833</v>
      </c>
      <c r="J4426" s="78">
        <v>719</v>
      </c>
    </row>
    <row r="4427" spans="6:10" x14ac:dyDescent="0.25">
      <c r="F4427" s="76" t="s">
        <v>150</v>
      </c>
      <c r="G4427" s="77" t="s">
        <v>223</v>
      </c>
      <c r="H4427" s="77" t="s">
        <v>158</v>
      </c>
      <c r="I4427" s="86">
        <v>41843</v>
      </c>
      <c r="J4427" s="78">
        <v>1003</v>
      </c>
    </row>
    <row r="4428" spans="6:10" x14ac:dyDescent="0.25">
      <c r="F4428" s="76" t="s">
        <v>150</v>
      </c>
      <c r="G4428" s="77" t="s">
        <v>223</v>
      </c>
      <c r="H4428" s="77" t="s">
        <v>158</v>
      </c>
      <c r="I4428" s="86">
        <v>41844</v>
      </c>
      <c r="J4428" s="78">
        <v>868</v>
      </c>
    </row>
    <row r="4429" spans="6:10" x14ac:dyDescent="0.25">
      <c r="F4429" s="76" t="s">
        <v>150</v>
      </c>
      <c r="G4429" s="77" t="s">
        <v>223</v>
      </c>
      <c r="H4429" s="77" t="s">
        <v>158</v>
      </c>
      <c r="I4429" s="86">
        <v>41846</v>
      </c>
      <c r="J4429" s="78">
        <v>806</v>
      </c>
    </row>
    <row r="4430" spans="6:10" x14ac:dyDescent="0.25">
      <c r="F4430" s="76" t="s">
        <v>150</v>
      </c>
      <c r="G4430" s="77" t="s">
        <v>223</v>
      </c>
      <c r="H4430" s="77" t="s">
        <v>158</v>
      </c>
      <c r="I4430" s="86">
        <v>41846</v>
      </c>
      <c r="J4430" s="78">
        <v>1473</v>
      </c>
    </row>
    <row r="4431" spans="6:10" x14ac:dyDescent="0.25">
      <c r="F4431" s="76" t="s">
        <v>150</v>
      </c>
      <c r="G4431" s="77" t="s">
        <v>223</v>
      </c>
      <c r="H4431" s="77" t="s">
        <v>158</v>
      </c>
      <c r="I4431" s="86">
        <v>41848</v>
      </c>
      <c r="J4431" s="78">
        <v>1107</v>
      </c>
    </row>
    <row r="4432" spans="6:10" x14ac:dyDescent="0.25">
      <c r="F4432" s="76" t="s">
        <v>150</v>
      </c>
      <c r="G4432" s="77" t="s">
        <v>223</v>
      </c>
      <c r="H4432" s="77" t="s">
        <v>158</v>
      </c>
      <c r="I4432" s="86">
        <v>41850</v>
      </c>
      <c r="J4432" s="78">
        <v>616</v>
      </c>
    </row>
    <row r="4433" spans="6:10" x14ac:dyDescent="0.25">
      <c r="F4433" s="76" t="s">
        <v>150</v>
      </c>
      <c r="G4433" s="77" t="s">
        <v>223</v>
      </c>
      <c r="H4433" s="77" t="s">
        <v>158</v>
      </c>
      <c r="I4433" s="86">
        <v>41852</v>
      </c>
      <c r="J4433" s="78">
        <v>1231</v>
      </c>
    </row>
    <row r="4434" spans="6:10" x14ac:dyDescent="0.25">
      <c r="F4434" s="76" t="s">
        <v>150</v>
      </c>
      <c r="G4434" s="77" t="s">
        <v>223</v>
      </c>
      <c r="H4434" s="77" t="s">
        <v>158</v>
      </c>
      <c r="I4434" s="86">
        <v>41858</v>
      </c>
      <c r="J4434" s="78">
        <v>1384</v>
      </c>
    </row>
    <row r="4435" spans="6:10" x14ac:dyDescent="0.25">
      <c r="F4435" s="76" t="s">
        <v>150</v>
      </c>
      <c r="G4435" s="77" t="s">
        <v>223</v>
      </c>
      <c r="H4435" s="77" t="s">
        <v>158</v>
      </c>
      <c r="I4435" s="86">
        <v>41863</v>
      </c>
      <c r="J4435" s="78">
        <v>1008</v>
      </c>
    </row>
    <row r="4436" spans="6:10" x14ac:dyDescent="0.25">
      <c r="F4436" s="76" t="s">
        <v>150</v>
      </c>
      <c r="G4436" s="77" t="s">
        <v>223</v>
      </c>
      <c r="H4436" s="77" t="s">
        <v>158</v>
      </c>
      <c r="I4436" s="86">
        <v>41866</v>
      </c>
      <c r="J4436" s="78">
        <v>1337</v>
      </c>
    </row>
    <row r="4437" spans="6:10" x14ac:dyDescent="0.25">
      <c r="F4437" s="76" t="s">
        <v>150</v>
      </c>
      <c r="G4437" s="77" t="s">
        <v>223</v>
      </c>
      <c r="H4437" s="77" t="s">
        <v>158</v>
      </c>
      <c r="I4437" s="86">
        <v>41878</v>
      </c>
      <c r="J4437" s="78">
        <v>1039</v>
      </c>
    </row>
    <row r="4438" spans="6:10" x14ac:dyDescent="0.25">
      <c r="F4438" s="76" t="s">
        <v>150</v>
      </c>
      <c r="G4438" s="77" t="s">
        <v>223</v>
      </c>
      <c r="H4438" s="77" t="s">
        <v>158</v>
      </c>
      <c r="I4438" s="86">
        <v>41886</v>
      </c>
      <c r="J4438" s="78">
        <v>996</v>
      </c>
    </row>
    <row r="4439" spans="6:10" x14ac:dyDescent="0.25">
      <c r="F4439" s="76" t="s">
        <v>150</v>
      </c>
      <c r="G4439" s="77" t="s">
        <v>223</v>
      </c>
      <c r="H4439" s="77" t="s">
        <v>158</v>
      </c>
      <c r="I4439" s="86">
        <v>41919</v>
      </c>
      <c r="J4439" s="78">
        <v>1238</v>
      </c>
    </row>
    <row r="4440" spans="6:10" x14ac:dyDescent="0.25">
      <c r="F4440" s="76" t="s">
        <v>150</v>
      </c>
      <c r="G4440" s="77" t="s">
        <v>223</v>
      </c>
      <c r="H4440" s="77" t="s">
        <v>158</v>
      </c>
      <c r="I4440" s="86">
        <v>41921</v>
      </c>
      <c r="J4440" s="78">
        <v>1205</v>
      </c>
    </row>
    <row r="4441" spans="6:10" x14ac:dyDescent="0.25">
      <c r="F4441" s="76" t="s">
        <v>150</v>
      </c>
      <c r="G4441" s="77" t="s">
        <v>223</v>
      </c>
      <c r="H4441" s="77" t="s">
        <v>158</v>
      </c>
      <c r="I4441" s="86">
        <v>41923</v>
      </c>
      <c r="J4441" s="78">
        <v>528</v>
      </c>
    </row>
    <row r="4442" spans="6:10" x14ac:dyDescent="0.25">
      <c r="F4442" s="76" t="s">
        <v>150</v>
      </c>
      <c r="G4442" s="77" t="s">
        <v>223</v>
      </c>
      <c r="H4442" s="77" t="s">
        <v>158</v>
      </c>
      <c r="I4442" s="86">
        <v>41923</v>
      </c>
      <c r="J4442" s="78">
        <v>1167</v>
      </c>
    </row>
    <row r="4443" spans="6:10" x14ac:dyDescent="0.25">
      <c r="F4443" s="76" t="s">
        <v>150</v>
      </c>
      <c r="G4443" s="77" t="s">
        <v>223</v>
      </c>
      <c r="H4443" s="77" t="s">
        <v>158</v>
      </c>
      <c r="I4443" s="86">
        <v>41924</v>
      </c>
      <c r="J4443" s="78">
        <v>902</v>
      </c>
    </row>
    <row r="4444" spans="6:10" x14ac:dyDescent="0.25">
      <c r="F4444" s="76" t="s">
        <v>150</v>
      </c>
      <c r="G4444" s="77" t="s">
        <v>223</v>
      </c>
      <c r="H4444" s="77" t="s">
        <v>158</v>
      </c>
      <c r="I4444" s="86">
        <v>41925</v>
      </c>
      <c r="J4444" s="78">
        <v>962</v>
      </c>
    </row>
    <row r="4445" spans="6:10" x14ac:dyDescent="0.25">
      <c r="F4445" s="76" t="s">
        <v>150</v>
      </c>
      <c r="G4445" s="77" t="s">
        <v>223</v>
      </c>
      <c r="H4445" s="77" t="s">
        <v>158</v>
      </c>
      <c r="I4445" s="86">
        <v>41926</v>
      </c>
      <c r="J4445" s="78">
        <v>907</v>
      </c>
    </row>
    <row r="4446" spans="6:10" x14ac:dyDescent="0.25">
      <c r="F4446" s="76" t="s">
        <v>150</v>
      </c>
      <c r="G4446" s="77" t="s">
        <v>223</v>
      </c>
      <c r="H4446" s="77" t="s">
        <v>158</v>
      </c>
      <c r="I4446" s="86">
        <v>41927</v>
      </c>
      <c r="J4446" s="78">
        <v>901</v>
      </c>
    </row>
    <row r="4447" spans="6:10" x14ac:dyDescent="0.25">
      <c r="F4447" s="76" t="s">
        <v>150</v>
      </c>
      <c r="G4447" s="77" t="s">
        <v>223</v>
      </c>
      <c r="H4447" s="77" t="s">
        <v>158</v>
      </c>
      <c r="I4447" s="86">
        <v>41928</v>
      </c>
      <c r="J4447" s="78">
        <v>700</v>
      </c>
    </row>
    <row r="4448" spans="6:10" x14ac:dyDescent="0.25">
      <c r="F4448" s="76" t="s">
        <v>150</v>
      </c>
      <c r="G4448" s="77" t="s">
        <v>223</v>
      </c>
      <c r="H4448" s="77" t="s">
        <v>158</v>
      </c>
      <c r="I4448" s="86">
        <v>41934</v>
      </c>
      <c r="J4448" s="78">
        <v>869</v>
      </c>
    </row>
    <row r="4449" spans="6:10" x14ac:dyDescent="0.25">
      <c r="F4449" s="76" t="s">
        <v>150</v>
      </c>
      <c r="G4449" s="77" t="s">
        <v>223</v>
      </c>
      <c r="H4449" s="77" t="s">
        <v>158</v>
      </c>
      <c r="I4449" s="86">
        <v>41938</v>
      </c>
      <c r="J4449" s="78">
        <v>770</v>
      </c>
    </row>
    <row r="4450" spans="6:10" x14ac:dyDescent="0.25">
      <c r="F4450" s="76" t="s">
        <v>150</v>
      </c>
      <c r="G4450" s="77" t="s">
        <v>223</v>
      </c>
      <c r="H4450" s="77" t="s">
        <v>158</v>
      </c>
      <c r="I4450" s="86">
        <v>41939</v>
      </c>
      <c r="J4450" s="78">
        <v>1296</v>
      </c>
    </row>
    <row r="4451" spans="6:10" x14ac:dyDescent="0.25">
      <c r="F4451" s="76" t="s">
        <v>150</v>
      </c>
      <c r="G4451" s="77" t="s">
        <v>223</v>
      </c>
      <c r="H4451" s="77" t="s">
        <v>158</v>
      </c>
      <c r="I4451" s="86">
        <v>41941</v>
      </c>
      <c r="J4451" s="78">
        <v>1661</v>
      </c>
    </row>
    <row r="4452" spans="6:10" x14ac:dyDescent="0.25">
      <c r="F4452" s="76" t="s">
        <v>150</v>
      </c>
      <c r="G4452" s="77" t="s">
        <v>223</v>
      </c>
      <c r="H4452" s="77" t="s">
        <v>158</v>
      </c>
      <c r="I4452" s="86">
        <v>41943</v>
      </c>
      <c r="J4452" s="78">
        <v>1647</v>
      </c>
    </row>
    <row r="4453" spans="6:10" x14ac:dyDescent="0.25">
      <c r="F4453" s="76" t="s">
        <v>150</v>
      </c>
      <c r="G4453" s="77" t="s">
        <v>223</v>
      </c>
      <c r="H4453" s="77" t="s">
        <v>158</v>
      </c>
      <c r="I4453" s="86">
        <v>41947</v>
      </c>
      <c r="J4453" s="78">
        <v>1657</v>
      </c>
    </row>
    <row r="4454" spans="6:10" x14ac:dyDescent="0.25">
      <c r="F4454" s="76" t="s">
        <v>150</v>
      </c>
      <c r="G4454" s="77" t="s">
        <v>223</v>
      </c>
      <c r="H4454" s="77" t="s">
        <v>158</v>
      </c>
      <c r="I4454" s="86">
        <v>41950</v>
      </c>
      <c r="J4454" s="78">
        <v>1216</v>
      </c>
    </row>
    <row r="4455" spans="6:10" x14ac:dyDescent="0.25">
      <c r="F4455" s="76" t="s">
        <v>150</v>
      </c>
      <c r="G4455" s="77" t="s">
        <v>223</v>
      </c>
      <c r="H4455" s="77" t="s">
        <v>158</v>
      </c>
      <c r="I4455" s="86">
        <v>41960</v>
      </c>
      <c r="J4455" s="78">
        <v>1074</v>
      </c>
    </row>
    <row r="4456" spans="6:10" x14ac:dyDescent="0.25">
      <c r="F4456" s="76" t="s">
        <v>150</v>
      </c>
      <c r="G4456" s="77" t="s">
        <v>223</v>
      </c>
      <c r="H4456" s="77" t="s">
        <v>158</v>
      </c>
      <c r="I4456" s="86">
        <v>41961</v>
      </c>
      <c r="J4456" s="78">
        <v>738</v>
      </c>
    </row>
    <row r="4457" spans="6:10" x14ac:dyDescent="0.25">
      <c r="F4457" s="76" t="s">
        <v>150</v>
      </c>
      <c r="G4457" s="77" t="s">
        <v>223</v>
      </c>
      <c r="H4457" s="77" t="s">
        <v>158</v>
      </c>
      <c r="I4457" s="86">
        <v>41963</v>
      </c>
      <c r="J4457" s="78">
        <v>1016</v>
      </c>
    </row>
    <row r="4458" spans="6:10" x14ac:dyDescent="0.25">
      <c r="F4458" s="76" t="s">
        <v>150</v>
      </c>
      <c r="G4458" s="77" t="s">
        <v>223</v>
      </c>
      <c r="H4458" s="77" t="s">
        <v>158</v>
      </c>
      <c r="I4458" s="86">
        <v>41971</v>
      </c>
      <c r="J4458" s="78">
        <v>1327</v>
      </c>
    </row>
    <row r="4459" spans="6:10" x14ac:dyDescent="0.25">
      <c r="F4459" s="76" t="s">
        <v>150</v>
      </c>
      <c r="G4459" s="77" t="s">
        <v>223</v>
      </c>
      <c r="H4459" s="77" t="s">
        <v>158</v>
      </c>
      <c r="I4459" s="86">
        <v>41976</v>
      </c>
      <c r="J4459" s="78">
        <v>1219</v>
      </c>
    </row>
    <row r="4460" spans="6:10" x14ac:dyDescent="0.25">
      <c r="F4460" s="76" t="s">
        <v>150</v>
      </c>
      <c r="G4460" s="77" t="s">
        <v>223</v>
      </c>
      <c r="H4460" s="77" t="s">
        <v>158</v>
      </c>
      <c r="I4460" s="86">
        <v>41978</v>
      </c>
      <c r="J4460" s="78">
        <v>970</v>
      </c>
    </row>
    <row r="4461" spans="6:10" x14ac:dyDescent="0.25">
      <c r="F4461" s="76" t="s">
        <v>150</v>
      </c>
      <c r="G4461" s="77" t="s">
        <v>223</v>
      </c>
      <c r="H4461" s="77" t="s">
        <v>158</v>
      </c>
      <c r="I4461" s="86">
        <v>41982</v>
      </c>
      <c r="J4461" s="78">
        <v>1320</v>
      </c>
    </row>
    <row r="4462" spans="6:10" x14ac:dyDescent="0.25">
      <c r="F4462" s="76" t="s">
        <v>150</v>
      </c>
      <c r="G4462" s="77" t="s">
        <v>223</v>
      </c>
      <c r="H4462" s="77" t="s">
        <v>158</v>
      </c>
      <c r="I4462" s="86">
        <v>41984</v>
      </c>
      <c r="J4462" s="78">
        <v>684</v>
      </c>
    </row>
    <row r="4463" spans="6:10" x14ac:dyDescent="0.25">
      <c r="F4463" s="76" t="s">
        <v>150</v>
      </c>
      <c r="G4463" s="77" t="s">
        <v>223</v>
      </c>
      <c r="H4463" s="77" t="s">
        <v>158</v>
      </c>
      <c r="I4463" s="86">
        <v>41984</v>
      </c>
      <c r="J4463" s="78">
        <v>606</v>
      </c>
    </row>
    <row r="4464" spans="6:10" x14ac:dyDescent="0.25">
      <c r="F4464" s="76" t="s">
        <v>150</v>
      </c>
      <c r="G4464" s="77" t="s">
        <v>223</v>
      </c>
      <c r="H4464" s="77" t="s">
        <v>158</v>
      </c>
      <c r="I4464" s="86">
        <v>41985</v>
      </c>
      <c r="J4464" s="78">
        <v>879</v>
      </c>
    </row>
    <row r="4465" spans="6:10" x14ac:dyDescent="0.25">
      <c r="F4465" s="76" t="s">
        <v>150</v>
      </c>
      <c r="G4465" s="77" t="s">
        <v>223</v>
      </c>
      <c r="H4465" s="77" t="s">
        <v>158</v>
      </c>
      <c r="I4465" s="86">
        <v>41986</v>
      </c>
      <c r="J4465" s="78">
        <v>909</v>
      </c>
    </row>
    <row r="4466" spans="6:10" x14ac:dyDescent="0.25">
      <c r="F4466" s="76" t="s">
        <v>150</v>
      </c>
      <c r="G4466" s="77" t="s">
        <v>223</v>
      </c>
      <c r="H4466" s="77" t="s">
        <v>158</v>
      </c>
      <c r="I4466" s="86">
        <v>41987</v>
      </c>
      <c r="J4466" s="78">
        <v>869</v>
      </c>
    </row>
    <row r="4467" spans="6:10" x14ac:dyDescent="0.25">
      <c r="F4467" s="76" t="s">
        <v>150</v>
      </c>
      <c r="G4467" s="77" t="s">
        <v>223</v>
      </c>
      <c r="H4467" s="77" t="s">
        <v>158</v>
      </c>
      <c r="I4467" s="86">
        <v>41990</v>
      </c>
      <c r="J4467" s="78">
        <v>916</v>
      </c>
    </row>
    <row r="4468" spans="6:10" x14ac:dyDescent="0.25">
      <c r="F4468" s="76" t="s">
        <v>150</v>
      </c>
      <c r="G4468" s="77" t="s">
        <v>223</v>
      </c>
      <c r="H4468" s="77" t="s">
        <v>158</v>
      </c>
      <c r="I4468" s="86">
        <v>41992</v>
      </c>
      <c r="J4468" s="78">
        <v>1029</v>
      </c>
    </row>
    <row r="4469" spans="6:10" x14ac:dyDescent="0.25">
      <c r="F4469" s="76" t="s">
        <v>150</v>
      </c>
      <c r="G4469" s="77" t="s">
        <v>223</v>
      </c>
      <c r="H4469" s="77" t="s">
        <v>158</v>
      </c>
      <c r="I4469" s="86">
        <v>41993</v>
      </c>
      <c r="J4469" s="78">
        <v>819</v>
      </c>
    </row>
    <row r="4470" spans="6:10" x14ac:dyDescent="0.25">
      <c r="F4470" s="76" t="s">
        <v>150</v>
      </c>
      <c r="G4470" s="77" t="s">
        <v>223</v>
      </c>
      <c r="H4470" s="77" t="s">
        <v>158</v>
      </c>
      <c r="I4470" s="86">
        <v>41994</v>
      </c>
      <c r="J4470" s="78">
        <v>1049</v>
      </c>
    </row>
    <row r="4471" spans="6:10" x14ac:dyDescent="0.25">
      <c r="F4471" s="76" t="s">
        <v>150</v>
      </c>
      <c r="G4471" s="77" t="s">
        <v>223</v>
      </c>
      <c r="H4471" s="77" t="s">
        <v>158</v>
      </c>
      <c r="I4471" s="86">
        <v>41996</v>
      </c>
      <c r="J4471" s="78">
        <v>703</v>
      </c>
    </row>
    <row r="4472" spans="6:10" x14ac:dyDescent="0.25">
      <c r="F4472" s="76" t="s">
        <v>150</v>
      </c>
      <c r="G4472" s="77" t="s">
        <v>223</v>
      </c>
      <c r="H4472" s="77" t="s">
        <v>158</v>
      </c>
      <c r="I4472" s="86">
        <v>41996</v>
      </c>
      <c r="J4472" s="78">
        <v>1192</v>
      </c>
    </row>
    <row r="4473" spans="6:10" x14ac:dyDescent="0.25">
      <c r="F4473" s="76" t="s">
        <v>150</v>
      </c>
      <c r="G4473" s="77" t="s">
        <v>223</v>
      </c>
      <c r="H4473" s="77" t="s">
        <v>158</v>
      </c>
      <c r="I4473" s="86">
        <v>41997</v>
      </c>
      <c r="J4473" s="78">
        <v>828</v>
      </c>
    </row>
    <row r="4474" spans="6:10" x14ac:dyDescent="0.25">
      <c r="F4474" s="76" t="s">
        <v>150</v>
      </c>
      <c r="G4474" s="77" t="s">
        <v>223</v>
      </c>
      <c r="H4474" s="77" t="s">
        <v>158</v>
      </c>
      <c r="I4474" s="86">
        <v>41998</v>
      </c>
      <c r="J4474" s="78">
        <v>606</v>
      </c>
    </row>
    <row r="4475" spans="6:10" x14ac:dyDescent="0.25">
      <c r="F4475" s="76" t="s">
        <v>150</v>
      </c>
      <c r="G4475" s="77" t="s">
        <v>223</v>
      </c>
      <c r="H4475" s="77" t="s">
        <v>158</v>
      </c>
      <c r="I4475" s="86">
        <v>42000</v>
      </c>
      <c r="J4475" s="78">
        <v>447</v>
      </c>
    </row>
    <row r="4476" spans="6:10" x14ac:dyDescent="0.25">
      <c r="F4476" s="76" t="s">
        <v>150</v>
      </c>
      <c r="G4476" s="77" t="s">
        <v>223</v>
      </c>
      <c r="H4476" s="77" t="s">
        <v>158</v>
      </c>
      <c r="I4476" s="86">
        <v>42000</v>
      </c>
      <c r="J4476" s="78">
        <v>1109</v>
      </c>
    </row>
    <row r="4477" spans="6:10" x14ac:dyDescent="0.25">
      <c r="F4477" s="76" t="s">
        <v>150</v>
      </c>
      <c r="G4477" s="77" t="s">
        <v>223</v>
      </c>
      <c r="H4477" s="77" t="s">
        <v>158</v>
      </c>
      <c r="I4477" s="86">
        <v>42001</v>
      </c>
      <c r="J4477" s="78">
        <v>911</v>
      </c>
    </row>
    <row r="4478" spans="6:10" x14ac:dyDescent="0.25">
      <c r="F4478" s="76" t="s">
        <v>150</v>
      </c>
      <c r="G4478" s="77" t="s">
        <v>223</v>
      </c>
      <c r="H4478" s="77" t="s">
        <v>158</v>
      </c>
      <c r="I4478" s="86">
        <v>42002</v>
      </c>
      <c r="J4478" s="78">
        <v>721</v>
      </c>
    </row>
    <row r="4479" spans="6:10" x14ac:dyDescent="0.25">
      <c r="F4479" s="76" t="s">
        <v>150</v>
      </c>
      <c r="G4479" s="77" t="s">
        <v>224</v>
      </c>
      <c r="H4479" s="77" t="s">
        <v>158</v>
      </c>
      <c r="I4479" s="86">
        <v>41649</v>
      </c>
      <c r="J4479" s="78">
        <v>1256</v>
      </c>
    </row>
    <row r="4480" spans="6:10" x14ac:dyDescent="0.25">
      <c r="F4480" s="76" t="s">
        <v>150</v>
      </c>
      <c r="G4480" s="77" t="s">
        <v>224</v>
      </c>
      <c r="H4480" s="77" t="s">
        <v>158</v>
      </c>
      <c r="I4480" s="86">
        <v>41653</v>
      </c>
      <c r="J4480" s="78">
        <v>1018</v>
      </c>
    </row>
    <row r="4481" spans="6:10" x14ac:dyDescent="0.25">
      <c r="F4481" s="76" t="s">
        <v>150</v>
      </c>
      <c r="G4481" s="77" t="s">
        <v>224</v>
      </c>
      <c r="H4481" s="77" t="s">
        <v>158</v>
      </c>
      <c r="I4481" s="86">
        <v>41655</v>
      </c>
      <c r="J4481" s="78">
        <v>819</v>
      </c>
    </row>
    <row r="4482" spans="6:10" x14ac:dyDescent="0.25">
      <c r="F4482" s="76" t="s">
        <v>150</v>
      </c>
      <c r="G4482" s="77" t="s">
        <v>224</v>
      </c>
      <c r="H4482" s="77" t="s">
        <v>158</v>
      </c>
      <c r="I4482" s="86">
        <v>41656</v>
      </c>
      <c r="J4482" s="78">
        <v>500</v>
      </c>
    </row>
    <row r="4483" spans="6:10" x14ac:dyDescent="0.25">
      <c r="F4483" s="76" t="s">
        <v>150</v>
      </c>
      <c r="G4483" s="77" t="s">
        <v>224</v>
      </c>
      <c r="H4483" s="77" t="s">
        <v>158</v>
      </c>
      <c r="I4483" s="86">
        <v>41657</v>
      </c>
      <c r="J4483" s="78">
        <v>1340</v>
      </c>
    </row>
    <row r="4484" spans="6:10" x14ac:dyDescent="0.25">
      <c r="F4484" s="76" t="s">
        <v>150</v>
      </c>
      <c r="G4484" s="77" t="s">
        <v>224</v>
      </c>
      <c r="H4484" s="77" t="s">
        <v>158</v>
      </c>
      <c r="I4484" s="86">
        <v>41658</v>
      </c>
      <c r="J4484" s="78">
        <v>755</v>
      </c>
    </row>
    <row r="4485" spans="6:10" x14ac:dyDescent="0.25">
      <c r="F4485" s="76" t="s">
        <v>150</v>
      </c>
      <c r="G4485" s="77" t="s">
        <v>224</v>
      </c>
      <c r="H4485" s="77" t="s">
        <v>158</v>
      </c>
      <c r="I4485" s="86">
        <v>41659</v>
      </c>
      <c r="J4485" s="78">
        <v>908</v>
      </c>
    </row>
    <row r="4486" spans="6:10" x14ac:dyDescent="0.25">
      <c r="F4486" s="76" t="s">
        <v>150</v>
      </c>
      <c r="G4486" s="77" t="s">
        <v>224</v>
      </c>
      <c r="H4486" s="77" t="s">
        <v>158</v>
      </c>
      <c r="I4486" s="86">
        <v>41660</v>
      </c>
      <c r="J4486" s="78">
        <v>924</v>
      </c>
    </row>
    <row r="4487" spans="6:10" x14ac:dyDescent="0.25">
      <c r="F4487" s="76" t="s">
        <v>150</v>
      </c>
      <c r="G4487" s="77" t="s">
        <v>224</v>
      </c>
      <c r="H4487" s="77" t="s">
        <v>158</v>
      </c>
      <c r="I4487" s="86">
        <v>41797</v>
      </c>
      <c r="J4487" s="78">
        <v>1179</v>
      </c>
    </row>
    <row r="4488" spans="6:10" x14ac:dyDescent="0.25">
      <c r="F4488" s="76" t="s">
        <v>150</v>
      </c>
      <c r="G4488" s="77" t="s">
        <v>224</v>
      </c>
      <c r="H4488" s="77" t="s">
        <v>158</v>
      </c>
      <c r="I4488" s="86">
        <v>41801</v>
      </c>
      <c r="J4488" s="78">
        <v>1608</v>
      </c>
    </row>
    <row r="4489" spans="6:10" x14ac:dyDescent="0.25">
      <c r="F4489" s="76" t="s">
        <v>150</v>
      </c>
      <c r="G4489" s="77" t="s">
        <v>224</v>
      </c>
      <c r="H4489" s="77" t="s">
        <v>158</v>
      </c>
      <c r="I4489" s="86">
        <v>41803</v>
      </c>
      <c r="J4489" s="78">
        <v>1489</v>
      </c>
    </row>
    <row r="4490" spans="6:10" x14ac:dyDescent="0.25">
      <c r="F4490" s="76" t="s">
        <v>150</v>
      </c>
      <c r="G4490" s="77" t="s">
        <v>224</v>
      </c>
      <c r="H4490" s="77" t="s">
        <v>158</v>
      </c>
      <c r="I4490" s="86">
        <v>41804</v>
      </c>
      <c r="J4490" s="78">
        <v>732</v>
      </c>
    </row>
    <row r="4491" spans="6:10" x14ac:dyDescent="0.25">
      <c r="F4491" s="76" t="s">
        <v>150</v>
      </c>
      <c r="G4491" s="77" t="s">
        <v>224</v>
      </c>
      <c r="H4491" s="77" t="s">
        <v>158</v>
      </c>
      <c r="I4491" s="86">
        <v>41805</v>
      </c>
      <c r="J4491" s="78">
        <v>852</v>
      </c>
    </row>
    <row r="4492" spans="6:10" x14ac:dyDescent="0.25">
      <c r="F4492" s="76" t="s">
        <v>150</v>
      </c>
      <c r="G4492" s="77" t="s">
        <v>224</v>
      </c>
      <c r="H4492" s="77" t="s">
        <v>158</v>
      </c>
      <c r="I4492" s="86">
        <v>41807</v>
      </c>
      <c r="J4492" s="78">
        <v>1237</v>
      </c>
    </row>
    <row r="4493" spans="6:10" x14ac:dyDescent="0.25">
      <c r="F4493" s="76" t="s">
        <v>150</v>
      </c>
      <c r="G4493" s="77" t="s">
        <v>224</v>
      </c>
      <c r="H4493" s="77" t="s">
        <v>158</v>
      </c>
      <c r="I4493" s="86">
        <v>41810</v>
      </c>
      <c r="J4493" s="78">
        <v>1351</v>
      </c>
    </row>
    <row r="4494" spans="6:10" x14ac:dyDescent="0.25">
      <c r="F4494" s="76" t="s">
        <v>150</v>
      </c>
      <c r="G4494" s="77" t="s">
        <v>224</v>
      </c>
      <c r="H4494" s="77" t="s">
        <v>158</v>
      </c>
      <c r="I4494" s="86">
        <v>41817</v>
      </c>
      <c r="J4494" s="78">
        <v>1376</v>
      </c>
    </row>
    <row r="4495" spans="6:10" x14ac:dyDescent="0.25">
      <c r="F4495" s="76" t="s">
        <v>150</v>
      </c>
      <c r="G4495" s="77" t="s">
        <v>224</v>
      </c>
      <c r="H4495" s="77" t="s">
        <v>158</v>
      </c>
      <c r="I4495" s="86">
        <v>41821</v>
      </c>
      <c r="J4495" s="78">
        <v>991</v>
      </c>
    </row>
    <row r="4496" spans="6:10" x14ac:dyDescent="0.25">
      <c r="F4496" s="76" t="s">
        <v>150</v>
      </c>
      <c r="G4496" s="77" t="s">
        <v>224</v>
      </c>
      <c r="H4496" s="77" t="s">
        <v>158</v>
      </c>
      <c r="I4496" s="86">
        <v>41822</v>
      </c>
      <c r="J4496" s="78">
        <v>479</v>
      </c>
    </row>
    <row r="4497" spans="6:10" x14ac:dyDescent="0.25">
      <c r="F4497" s="76" t="s">
        <v>150</v>
      </c>
      <c r="G4497" s="77" t="s">
        <v>224</v>
      </c>
      <c r="H4497" s="77" t="s">
        <v>158</v>
      </c>
      <c r="I4497" s="86">
        <v>41830</v>
      </c>
      <c r="J4497" s="78">
        <v>1315</v>
      </c>
    </row>
    <row r="4498" spans="6:10" x14ac:dyDescent="0.25">
      <c r="F4498" s="76" t="s">
        <v>150</v>
      </c>
      <c r="G4498" s="77" t="s">
        <v>224</v>
      </c>
      <c r="H4498" s="77" t="s">
        <v>158</v>
      </c>
      <c r="I4498" s="86">
        <v>41835</v>
      </c>
      <c r="J4498" s="78">
        <v>1110</v>
      </c>
    </row>
    <row r="4499" spans="6:10" x14ac:dyDescent="0.25">
      <c r="F4499" s="76" t="s">
        <v>150</v>
      </c>
      <c r="G4499" s="77" t="s">
        <v>224</v>
      </c>
      <c r="H4499" s="77" t="s">
        <v>158</v>
      </c>
      <c r="I4499" s="86">
        <v>41837</v>
      </c>
      <c r="J4499" s="78">
        <v>1176</v>
      </c>
    </row>
    <row r="4500" spans="6:10" x14ac:dyDescent="0.25">
      <c r="F4500" s="76" t="s">
        <v>150</v>
      </c>
      <c r="G4500" s="77" t="s">
        <v>224</v>
      </c>
      <c r="H4500" s="77" t="s">
        <v>158</v>
      </c>
      <c r="I4500" s="86">
        <v>41844</v>
      </c>
      <c r="J4500" s="78">
        <v>501</v>
      </c>
    </row>
    <row r="4501" spans="6:10" x14ac:dyDescent="0.25">
      <c r="F4501" s="76" t="s">
        <v>150</v>
      </c>
      <c r="G4501" s="77" t="s">
        <v>224</v>
      </c>
      <c r="H4501" s="77" t="s">
        <v>158</v>
      </c>
      <c r="I4501" s="86">
        <v>41844</v>
      </c>
      <c r="J4501" s="78">
        <v>1046</v>
      </c>
    </row>
    <row r="4502" spans="6:10" x14ac:dyDescent="0.25">
      <c r="F4502" s="76" t="s">
        <v>150</v>
      </c>
      <c r="G4502" s="77" t="s">
        <v>224</v>
      </c>
      <c r="H4502" s="77" t="s">
        <v>158</v>
      </c>
      <c r="I4502" s="86">
        <v>41848</v>
      </c>
      <c r="J4502" s="78">
        <v>485</v>
      </c>
    </row>
    <row r="4503" spans="6:10" x14ac:dyDescent="0.25">
      <c r="F4503" s="76" t="s">
        <v>150</v>
      </c>
      <c r="G4503" s="77" t="s">
        <v>224</v>
      </c>
      <c r="H4503" s="77" t="s">
        <v>158</v>
      </c>
      <c r="I4503" s="86">
        <v>41849</v>
      </c>
      <c r="J4503" s="78">
        <v>813</v>
      </c>
    </row>
    <row r="4504" spans="6:10" x14ac:dyDescent="0.25">
      <c r="F4504" s="76" t="s">
        <v>150</v>
      </c>
      <c r="G4504" s="77" t="s">
        <v>224</v>
      </c>
      <c r="H4504" s="77" t="s">
        <v>158</v>
      </c>
      <c r="I4504" s="86">
        <v>41851</v>
      </c>
      <c r="J4504" s="78">
        <v>1075</v>
      </c>
    </row>
    <row r="4505" spans="6:10" x14ac:dyDescent="0.25">
      <c r="F4505" s="76" t="s">
        <v>150</v>
      </c>
      <c r="G4505" s="77" t="s">
        <v>224</v>
      </c>
      <c r="H4505" s="77" t="s">
        <v>158</v>
      </c>
      <c r="I4505" s="86">
        <v>41935</v>
      </c>
      <c r="J4505" s="78">
        <v>418</v>
      </c>
    </row>
    <row r="4506" spans="6:10" x14ac:dyDescent="0.25">
      <c r="F4506" s="76" t="s">
        <v>150</v>
      </c>
      <c r="G4506" s="77" t="s">
        <v>224</v>
      </c>
      <c r="H4506" s="77" t="s">
        <v>158</v>
      </c>
      <c r="I4506" s="86">
        <v>41935</v>
      </c>
      <c r="J4506" s="78">
        <v>604</v>
      </c>
    </row>
    <row r="4507" spans="6:10" x14ac:dyDescent="0.25">
      <c r="F4507" s="76" t="s">
        <v>150</v>
      </c>
      <c r="G4507" s="77" t="s">
        <v>224</v>
      </c>
      <c r="H4507" s="77" t="s">
        <v>158</v>
      </c>
      <c r="I4507" s="86">
        <v>41937</v>
      </c>
      <c r="J4507" s="78">
        <v>1015</v>
      </c>
    </row>
    <row r="4508" spans="6:10" x14ac:dyDescent="0.25">
      <c r="F4508" s="76" t="s">
        <v>150</v>
      </c>
      <c r="G4508" s="77" t="s">
        <v>224</v>
      </c>
      <c r="H4508" s="77" t="s">
        <v>158</v>
      </c>
      <c r="I4508" s="86">
        <v>41938</v>
      </c>
      <c r="J4508" s="78">
        <v>489</v>
      </c>
    </row>
    <row r="4509" spans="6:10" x14ac:dyDescent="0.25">
      <c r="F4509" s="76" t="s">
        <v>150</v>
      </c>
      <c r="G4509" s="77" t="s">
        <v>224</v>
      </c>
      <c r="H4509" s="77" t="s">
        <v>158</v>
      </c>
      <c r="I4509" s="86">
        <v>41938</v>
      </c>
      <c r="J4509" s="78">
        <v>955</v>
      </c>
    </row>
    <row r="4510" spans="6:10" x14ac:dyDescent="0.25">
      <c r="F4510" s="76" t="s">
        <v>150</v>
      </c>
      <c r="G4510" s="77" t="s">
        <v>224</v>
      </c>
      <c r="H4510" s="77" t="s">
        <v>158</v>
      </c>
      <c r="I4510" s="86">
        <v>41939</v>
      </c>
      <c r="J4510" s="78">
        <v>976</v>
      </c>
    </row>
    <row r="4511" spans="6:10" x14ac:dyDescent="0.25">
      <c r="F4511" s="76" t="s">
        <v>150</v>
      </c>
      <c r="G4511" s="77" t="s">
        <v>224</v>
      </c>
      <c r="H4511" s="77" t="s">
        <v>158</v>
      </c>
      <c r="I4511" s="86">
        <v>41941</v>
      </c>
      <c r="J4511" s="78">
        <v>1016</v>
      </c>
    </row>
    <row r="4512" spans="6:10" x14ac:dyDescent="0.25">
      <c r="F4512" s="76" t="s">
        <v>150</v>
      </c>
      <c r="G4512" s="77" t="s">
        <v>224</v>
      </c>
      <c r="H4512" s="77" t="s">
        <v>158</v>
      </c>
      <c r="I4512" s="86">
        <v>41941</v>
      </c>
      <c r="J4512" s="78">
        <v>636</v>
      </c>
    </row>
    <row r="4513" spans="6:10" x14ac:dyDescent="0.25">
      <c r="F4513" s="76" t="s">
        <v>150</v>
      </c>
      <c r="G4513" s="77" t="s">
        <v>224</v>
      </c>
      <c r="H4513" s="77" t="s">
        <v>158</v>
      </c>
      <c r="I4513" s="86">
        <v>41943</v>
      </c>
      <c r="J4513" s="78">
        <v>592</v>
      </c>
    </row>
    <row r="4514" spans="6:10" x14ac:dyDescent="0.25">
      <c r="F4514" s="76" t="s">
        <v>150</v>
      </c>
      <c r="G4514" s="77" t="s">
        <v>224</v>
      </c>
      <c r="H4514" s="77" t="s">
        <v>158</v>
      </c>
      <c r="I4514" s="86">
        <v>41943</v>
      </c>
      <c r="J4514" s="78">
        <v>1128</v>
      </c>
    </row>
    <row r="4515" spans="6:10" x14ac:dyDescent="0.25">
      <c r="F4515" s="76" t="s">
        <v>150</v>
      </c>
      <c r="G4515" s="77" t="s">
        <v>224</v>
      </c>
      <c r="H4515" s="77" t="s">
        <v>158</v>
      </c>
      <c r="I4515" s="86">
        <v>41944</v>
      </c>
      <c r="J4515" s="78">
        <v>574</v>
      </c>
    </row>
    <row r="4516" spans="6:10" x14ac:dyDescent="0.25">
      <c r="F4516" s="76" t="s">
        <v>150</v>
      </c>
      <c r="G4516" s="77" t="s">
        <v>224</v>
      </c>
      <c r="H4516" s="77" t="s">
        <v>158</v>
      </c>
      <c r="I4516" s="86">
        <v>41944</v>
      </c>
      <c r="J4516" s="78">
        <v>325</v>
      </c>
    </row>
    <row r="4517" spans="6:10" x14ac:dyDescent="0.25">
      <c r="F4517" s="76" t="s">
        <v>150</v>
      </c>
      <c r="G4517" s="77" t="s">
        <v>224</v>
      </c>
      <c r="H4517" s="77" t="s">
        <v>158</v>
      </c>
      <c r="I4517" s="86">
        <v>41948</v>
      </c>
      <c r="J4517" s="78">
        <v>840</v>
      </c>
    </row>
    <row r="4518" spans="6:10" x14ac:dyDescent="0.25">
      <c r="F4518" s="76" t="s">
        <v>150</v>
      </c>
      <c r="G4518" s="77" t="s">
        <v>224</v>
      </c>
      <c r="H4518" s="77" t="s">
        <v>158</v>
      </c>
      <c r="I4518" s="86">
        <v>41949</v>
      </c>
      <c r="J4518" s="78">
        <v>173</v>
      </c>
    </row>
    <row r="4519" spans="6:10" x14ac:dyDescent="0.25">
      <c r="F4519" s="76" t="s">
        <v>150</v>
      </c>
      <c r="G4519" s="77" t="s">
        <v>224</v>
      </c>
      <c r="H4519" s="77" t="s">
        <v>158</v>
      </c>
      <c r="I4519" s="86">
        <v>41951</v>
      </c>
      <c r="J4519" s="78">
        <v>1261</v>
      </c>
    </row>
    <row r="4520" spans="6:10" x14ac:dyDescent="0.25">
      <c r="F4520" s="76" t="s">
        <v>150</v>
      </c>
      <c r="G4520" s="77" t="s">
        <v>224</v>
      </c>
      <c r="H4520" s="77" t="s">
        <v>158</v>
      </c>
      <c r="I4520" s="86">
        <v>41952</v>
      </c>
      <c r="J4520" s="78">
        <v>307</v>
      </c>
    </row>
    <row r="4521" spans="6:10" x14ac:dyDescent="0.25">
      <c r="F4521" s="76" t="s">
        <v>150</v>
      </c>
      <c r="G4521" s="77" t="s">
        <v>224</v>
      </c>
      <c r="H4521" s="77" t="s">
        <v>158</v>
      </c>
      <c r="I4521" s="86">
        <v>41976</v>
      </c>
      <c r="J4521" s="78">
        <v>1109</v>
      </c>
    </row>
    <row r="4522" spans="6:10" x14ac:dyDescent="0.25">
      <c r="F4522" s="76" t="s">
        <v>150</v>
      </c>
      <c r="G4522" s="77" t="s">
        <v>224</v>
      </c>
      <c r="H4522" s="77" t="s">
        <v>158</v>
      </c>
      <c r="I4522" s="86">
        <v>41980</v>
      </c>
      <c r="J4522" s="78">
        <v>866</v>
      </c>
    </row>
    <row r="4523" spans="6:10" x14ac:dyDescent="0.25">
      <c r="F4523" s="76" t="s">
        <v>150</v>
      </c>
      <c r="G4523" s="77" t="s">
        <v>224</v>
      </c>
      <c r="H4523" s="77" t="s">
        <v>158</v>
      </c>
      <c r="I4523" s="86">
        <v>41984</v>
      </c>
      <c r="J4523" s="78">
        <v>1078</v>
      </c>
    </row>
    <row r="4524" spans="6:10" x14ac:dyDescent="0.25">
      <c r="F4524" s="76" t="s">
        <v>150</v>
      </c>
      <c r="G4524" s="77" t="s">
        <v>224</v>
      </c>
      <c r="H4524" s="77" t="s">
        <v>158</v>
      </c>
      <c r="I4524" s="86">
        <v>41986</v>
      </c>
      <c r="J4524" s="78">
        <v>597</v>
      </c>
    </row>
    <row r="4525" spans="6:10" x14ac:dyDescent="0.25">
      <c r="F4525" s="76" t="s">
        <v>150</v>
      </c>
      <c r="G4525" s="77" t="s">
        <v>224</v>
      </c>
      <c r="H4525" s="77" t="s">
        <v>158</v>
      </c>
      <c r="I4525" s="86">
        <v>41986</v>
      </c>
      <c r="J4525" s="78">
        <v>1303</v>
      </c>
    </row>
    <row r="4526" spans="6:10" x14ac:dyDescent="0.25">
      <c r="F4526" s="76" t="s">
        <v>150</v>
      </c>
      <c r="G4526" s="77" t="s">
        <v>224</v>
      </c>
      <c r="H4526" s="77" t="s">
        <v>158</v>
      </c>
      <c r="I4526" s="86">
        <v>41987</v>
      </c>
      <c r="J4526" s="78">
        <v>525</v>
      </c>
    </row>
    <row r="4527" spans="6:10" x14ac:dyDescent="0.25">
      <c r="F4527" s="76" t="s">
        <v>150</v>
      </c>
      <c r="G4527" s="77" t="s">
        <v>224</v>
      </c>
      <c r="H4527" s="77" t="s">
        <v>158</v>
      </c>
      <c r="I4527" s="86">
        <v>41989</v>
      </c>
      <c r="J4527" s="78">
        <v>1049</v>
      </c>
    </row>
    <row r="4528" spans="6:10" x14ac:dyDescent="0.25">
      <c r="F4528" s="76" t="s">
        <v>150</v>
      </c>
      <c r="G4528" s="77" t="s">
        <v>224</v>
      </c>
      <c r="H4528" s="77" t="s">
        <v>158</v>
      </c>
      <c r="I4528" s="86">
        <v>41991</v>
      </c>
      <c r="J4528" s="78">
        <v>872</v>
      </c>
    </row>
    <row r="4529" spans="6:10" x14ac:dyDescent="0.25">
      <c r="F4529" s="76" t="s">
        <v>150</v>
      </c>
      <c r="G4529" s="77" t="s">
        <v>224</v>
      </c>
      <c r="H4529" s="77" t="s">
        <v>158</v>
      </c>
      <c r="I4529" s="86">
        <v>41995</v>
      </c>
      <c r="J4529" s="78">
        <v>971</v>
      </c>
    </row>
    <row r="4530" spans="6:10" x14ac:dyDescent="0.25">
      <c r="F4530" s="76" t="s">
        <v>150</v>
      </c>
      <c r="G4530" s="77" t="s">
        <v>225</v>
      </c>
      <c r="H4530" s="77" t="s">
        <v>158</v>
      </c>
      <c r="I4530" s="86">
        <v>41635</v>
      </c>
      <c r="J4530" s="78">
        <v>629</v>
      </c>
    </row>
    <row r="4531" spans="6:10" x14ac:dyDescent="0.25">
      <c r="F4531" s="76" t="s">
        <v>150</v>
      </c>
      <c r="G4531" s="77" t="s">
        <v>225</v>
      </c>
      <c r="H4531" s="77" t="s">
        <v>158</v>
      </c>
      <c r="I4531" s="86">
        <v>41639</v>
      </c>
      <c r="J4531" s="78">
        <v>1199</v>
      </c>
    </row>
    <row r="4532" spans="6:10" x14ac:dyDescent="0.25">
      <c r="F4532" s="76" t="s">
        <v>150</v>
      </c>
      <c r="G4532" s="77" t="s">
        <v>225</v>
      </c>
      <c r="H4532" s="77" t="s">
        <v>158</v>
      </c>
      <c r="I4532" s="86">
        <v>41698</v>
      </c>
      <c r="J4532" s="78">
        <v>1220</v>
      </c>
    </row>
    <row r="4533" spans="6:10" x14ac:dyDescent="0.25">
      <c r="F4533" s="76" t="s">
        <v>150</v>
      </c>
      <c r="G4533" s="77" t="s">
        <v>225</v>
      </c>
      <c r="H4533" s="77" t="s">
        <v>158</v>
      </c>
      <c r="I4533" s="86">
        <v>41702</v>
      </c>
      <c r="J4533" s="78">
        <v>1382</v>
      </c>
    </row>
    <row r="4534" spans="6:10" x14ac:dyDescent="0.25">
      <c r="F4534" s="76" t="s">
        <v>150</v>
      </c>
      <c r="G4534" s="77" t="s">
        <v>225</v>
      </c>
      <c r="H4534" s="77" t="s">
        <v>158</v>
      </c>
      <c r="I4534" s="86">
        <v>41704</v>
      </c>
      <c r="J4534" s="78">
        <v>1012</v>
      </c>
    </row>
    <row r="4535" spans="6:10" x14ac:dyDescent="0.25">
      <c r="F4535" s="76" t="s">
        <v>150</v>
      </c>
      <c r="G4535" s="77" t="s">
        <v>225</v>
      </c>
      <c r="H4535" s="77" t="s">
        <v>158</v>
      </c>
      <c r="I4535" s="86">
        <v>41705</v>
      </c>
      <c r="J4535" s="78">
        <v>709</v>
      </c>
    </row>
    <row r="4536" spans="6:10" x14ac:dyDescent="0.25">
      <c r="F4536" s="76" t="s">
        <v>150</v>
      </c>
      <c r="G4536" s="77" t="s">
        <v>225</v>
      </c>
      <c r="H4536" s="77" t="s">
        <v>158</v>
      </c>
      <c r="I4536" s="86">
        <v>41708</v>
      </c>
      <c r="J4536" s="78">
        <v>612</v>
      </c>
    </row>
    <row r="4537" spans="6:10" x14ac:dyDescent="0.25">
      <c r="F4537" s="76" t="s">
        <v>150</v>
      </c>
      <c r="G4537" s="77" t="s">
        <v>225</v>
      </c>
      <c r="H4537" s="77" t="s">
        <v>158</v>
      </c>
      <c r="I4537" s="86">
        <v>41713</v>
      </c>
      <c r="J4537" s="78">
        <v>747</v>
      </c>
    </row>
    <row r="4538" spans="6:10" x14ac:dyDescent="0.25">
      <c r="F4538" s="76" t="s">
        <v>150</v>
      </c>
      <c r="G4538" s="77" t="s">
        <v>225</v>
      </c>
      <c r="H4538" s="77" t="s">
        <v>158</v>
      </c>
      <c r="I4538" s="86">
        <v>41714</v>
      </c>
      <c r="J4538" s="78">
        <v>722</v>
      </c>
    </row>
    <row r="4539" spans="6:10" x14ac:dyDescent="0.25">
      <c r="F4539" s="76" t="s">
        <v>150</v>
      </c>
      <c r="G4539" s="77" t="s">
        <v>225</v>
      </c>
      <c r="H4539" s="77" t="s">
        <v>158</v>
      </c>
      <c r="I4539" s="86">
        <v>41761</v>
      </c>
      <c r="J4539" s="78">
        <v>556</v>
      </c>
    </row>
    <row r="4540" spans="6:10" x14ac:dyDescent="0.25">
      <c r="F4540" s="76" t="s">
        <v>150</v>
      </c>
      <c r="G4540" s="77" t="s">
        <v>225</v>
      </c>
      <c r="H4540" s="77" t="s">
        <v>158</v>
      </c>
      <c r="I4540" s="86">
        <v>41764</v>
      </c>
      <c r="J4540" s="78">
        <v>383</v>
      </c>
    </row>
    <row r="4541" spans="6:10" x14ac:dyDescent="0.25">
      <c r="F4541" s="76" t="s">
        <v>150</v>
      </c>
      <c r="G4541" s="77" t="s">
        <v>225</v>
      </c>
      <c r="H4541" s="77" t="s">
        <v>158</v>
      </c>
      <c r="I4541" s="86">
        <v>41766</v>
      </c>
      <c r="J4541" s="78">
        <v>957</v>
      </c>
    </row>
    <row r="4542" spans="6:10" x14ac:dyDescent="0.25">
      <c r="F4542" s="76" t="s">
        <v>150</v>
      </c>
      <c r="G4542" s="77" t="s">
        <v>225</v>
      </c>
      <c r="H4542" s="77" t="s">
        <v>158</v>
      </c>
      <c r="I4542" s="86">
        <v>41771</v>
      </c>
      <c r="J4542" s="78">
        <v>1145</v>
      </c>
    </row>
    <row r="4543" spans="6:10" x14ac:dyDescent="0.25">
      <c r="F4543" s="76" t="s">
        <v>150</v>
      </c>
      <c r="G4543" s="77" t="s">
        <v>225</v>
      </c>
      <c r="H4543" s="77" t="s">
        <v>158</v>
      </c>
      <c r="I4543" s="86">
        <v>41773</v>
      </c>
      <c r="J4543" s="78">
        <v>899</v>
      </c>
    </row>
    <row r="4544" spans="6:10" x14ac:dyDescent="0.25">
      <c r="F4544" s="76" t="s">
        <v>150</v>
      </c>
      <c r="G4544" s="77" t="s">
        <v>225</v>
      </c>
      <c r="H4544" s="77" t="s">
        <v>158</v>
      </c>
      <c r="I4544" s="86">
        <v>41775</v>
      </c>
      <c r="J4544" s="78">
        <v>832</v>
      </c>
    </row>
    <row r="4545" spans="6:10" x14ac:dyDescent="0.25">
      <c r="F4545" s="76" t="s">
        <v>150</v>
      </c>
      <c r="G4545" s="77" t="s">
        <v>225</v>
      </c>
      <c r="H4545" s="77" t="s">
        <v>158</v>
      </c>
      <c r="I4545" s="86">
        <v>41779</v>
      </c>
      <c r="J4545" s="78">
        <v>1329</v>
      </c>
    </row>
    <row r="4546" spans="6:10" x14ac:dyDescent="0.25">
      <c r="F4546" s="76" t="s">
        <v>150</v>
      </c>
      <c r="G4546" s="77" t="s">
        <v>225</v>
      </c>
      <c r="H4546" s="77" t="s">
        <v>158</v>
      </c>
      <c r="I4546" s="86">
        <v>41782</v>
      </c>
      <c r="J4546" s="78">
        <v>1121</v>
      </c>
    </row>
    <row r="4547" spans="6:10" x14ac:dyDescent="0.25">
      <c r="F4547" s="76" t="s">
        <v>150</v>
      </c>
      <c r="G4547" s="77" t="s">
        <v>225</v>
      </c>
      <c r="H4547" s="77" t="s">
        <v>158</v>
      </c>
      <c r="I4547" s="86">
        <v>41787</v>
      </c>
      <c r="J4547" s="78">
        <v>1348</v>
      </c>
    </row>
    <row r="4548" spans="6:10" x14ac:dyDescent="0.25">
      <c r="F4548" s="76" t="s">
        <v>150</v>
      </c>
      <c r="G4548" s="77" t="s">
        <v>225</v>
      </c>
      <c r="H4548" s="77" t="s">
        <v>158</v>
      </c>
      <c r="I4548" s="86">
        <v>41789</v>
      </c>
      <c r="J4548" s="78">
        <v>1016</v>
      </c>
    </row>
    <row r="4549" spans="6:10" x14ac:dyDescent="0.25">
      <c r="F4549" s="76" t="s">
        <v>150</v>
      </c>
      <c r="G4549" s="77" t="s">
        <v>225</v>
      </c>
      <c r="H4549" s="77" t="s">
        <v>158</v>
      </c>
      <c r="I4549" s="86">
        <v>41793</v>
      </c>
      <c r="J4549" s="78">
        <v>1251</v>
      </c>
    </row>
    <row r="4550" spans="6:10" x14ac:dyDescent="0.25">
      <c r="F4550" s="76" t="s">
        <v>150</v>
      </c>
      <c r="G4550" s="77" t="s">
        <v>225</v>
      </c>
      <c r="H4550" s="77" t="s">
        <v>158</v>
      </c>
      <c r="I4550" s="86">
        <v>41795</v>
      </c>
      <c r="J4550" s="78">
        <v>945</v>
      </c>
    </row>
    <row r="4551" spans="6:10" x14ac:dyDescent="0.25">
      <c r="F4551" s="76" t="s">
        <v>150</v>
      </c>
      <c r="G4551" s="77" t="s">
        <v>225</v>
      </c>
      <c r="H4551" s="77" t="s">
        <v>158</v>
      </c>
      <c r="I4551" s="86">
        <v>41800</v>
      </c>
      <c r="J4551" s="78">
        <v>1512</v>
      </c>
    </row>
    <row r="4552" spans="6:10" x14ac:dyDescent="0.25">
      <c r="F4552" s="76" t="s">
        <v>150</v>
      </c>
      <c r="G4552" s="77" t="s">
        <v>225</v>
      </c>
      <c r="H4552" s="77" t="s">
        <v>158</v>
      </c>
      <c r="I4552" s="86">
        <v>41926</v>
      </c>
      <c r="J4552" s="78">
        <v>1234</v>
      </c>
    </row>
    <row r="4553" spans="6:10" x14ac:dyDescent="0.25">
      <c r="F4553" s="76" t="s">
        <v>150</v>
      </c>
      <c r="G4553" s="77" t="s">
        <v>226</v>
      </c>
      <c r="H4553" s="77" t="s">
        <v>158</v>
      </c>
      <c r="I4553" s="86">
        <v>41638</v>
      </c>
      <c r="J4553" s="78">
        <v>544</v>
      </c>
    </row>
    <row r="4554" spans="6:10" x14ac:dyDescent="0.25">
      <c r="F4554" s="76" t="s">
        <v>150</v>
      </c>
      <c r="G4554" s="77" t="s">
        <v>226</v>
      </c>
      <c r="H4554" s="77" t="s">
        <v>158</v>
      </c>
      <c r="I4554" s="86">
        <v>41718</v>
      </c>
      <c r="J4554" s="78">
        <v>734</v>
      </c>
    </row>
    <row r="4555" spans="6:10" x14ac:dyDescent="0.25">
      <c r="F4555" s="76" t="s">
        <v>150</v>
      </c>
      <c r="G4555" s="77" t="s">
        <v>226</v>
      </c>
      <c r="H4555" s="77" t="s">
        <v>158</v>
      </c>
      <c r="I4555" s="86">
        <v>41721</v>
      </c>
      <c r="J4555" s="78">
        <v>433</v>
      </c>
    </row>
    <row r="4556" spans="6:10" x14ac:dyDescent="0.25">
      <c r="F4556" s="76" t="s">
        <v>150</v>
      </c>
      <c r="G4556" s="77" t="s">
        <v>226</v>
      </c>
      <c r="H4556" s="77" t="s">
        <v>158</v>
      </c>
      <c r="I4556" s="86">
        <v>41722</v>
      </c>
      <c r="J4556" s="78">
        <v>955</v>
      </c>
    </row>
    <row r="4557" spans="6:10" x14ac:dyDescent="0.25">
      <c r="F4557" s="76" t="s">
        <v>150</v>
      </c>
      <c r="G4557" s="77" t="s">
        <v>226</v>
      </c>
      <c r="H4557" s="77" t="s">
        <v>158</v>
      </c>
      <c r="I4557" s="86">
        <v>41725</v>
      </c>
      <c r="J4557" s="78">
        <v>1454</v>
      </c>
    </row>
    <row r="4558" spans="6:10" x14ac:dyDescent="0.25">
      <c r="F4558" s="76" t="s">
        <v>150</v>
      </c>
      <c r="G4558" s="77" t="s">
        <v>226</v>
      </c>
      <c r="H4558" s="77" t="s">
        <v>158</v>
      </c>
      <c r="I4558" s="86">
        <v>41808</v>
      </c>
      <c r="J4558" s="78">
        <v>442</v>
      </c>
    </row>
    <row r="4559" spans="6:10" x14ac:dyDescent="0.25">
      <c r="F4559" s="76" t="s">
        <v>150</v>
      </c>
      <c r="G4559" s="77" t="s">
        <v>226</v>
      </c>
      <c r="H4559" s="77" t="s">
        <v>158</v>
      </c>
      <c r="I4559" s="86">
        <v>41810</v>
      </c>
      <c r="J4559" s="78">
        <v>1229</v>
      </c>
    </row>
    <row r="4560" spans="6:10" x14ac:dyDescent="0.25">
      <c r="F4560" s="76" t="s">
        <v>150</v>
      </c>
      <c r="G4560" s="77" t="s">
        <v>226</v>
      </c>
      <c r="H4560" s="77" t="s">
        <v>158</v>
      </c>
      <c r="I4560" s="86">
        <v>41919</v>
      </c>
      <c r="J4560" s="78">
        <v>1025</v>
      </c>
    </row>
    <row r="4561" spans="6:10" x14ac:dyDescent="0.25">
      <c r="F4561" s="76" t="s">
        <v>150</v>
      </c>
      <c r="G4561" s="77" t="s">
        <v>226</v>
      </c>
      <c r="H4561" s="77" t="s">
        <v>158</v>
      </c>
      <c r="I4561" s="86">
        <v>41920</v>
      </c>
      <c r="J4561" s="78">
        <v>609</v>
      </c>
    </row>
    <row r="4562" spans="6:10" x14ac:dyDescent="0.25">
      <c r="F4562" s="76" t="s">
        <v>150</v>
      </c>
      <c r="G4562" s="77" t="s">
        <v>226</v>
      </c>
      <c r="H4562" s="77" t="s">
        <v>158</v>
      </c>
      <c r="I4562" s="86">
        <v>41922</v>
      </c>
      <c r="J4562" s="78">
        <v>1074</v>
      </c>
    </row>
    <row r="4563" spans="6:10" x14ac:dyDescent="0.25">
      <c r="F4563" s="76" t="s">
        <v>150</v>
      </c>
      <c r="G4563" s="77" t="s">
        <v>226</v>
      </c>
      <c r="H4563" s="77" t="s">
        <v>158</v>
      </c>
      <c r="I4563" s="86">
        <v>41927</v>
      </c>
      <c r="J4563" s="78">
        <v>660</v>
      </c>
    </row>
    <row r="4564" spans="6:10" x14ac:dyDescent="0.25">
      <c r="F4564" s="76" t="s">
        <v>150</v>
      </c>
      <c r="G4564" s="77" t="s">
        <v>226</v>
      </c>
      <c r="H4564" s="77" t="s">
        <v>158</v>
      </c>
      <c r="I4564" s="86">
        <v>41933</v>
      </c>
      <c r="J4564" s="78">
        <v>861</v>
      </c>
    </row>
    <row r="4565" spans="6:10" x14ac:dyDescent="0.25">
      <c r="F4565" s="76" t="s">
        <v>150</v>
      </c>
      <c r="G4565" s="77" t="s">
        <v>227</v>
      </c>
      <c r="H4565" s="77" t="s">
        <v>158</v>
      </c>
      <c r="I4565" s="86">
        <v>41644</v>
      </c>
      <c r="J4565" s="78">
        <v>1147</v>
      </c>
    </row>
    <row r="4566" spans="6:10" x14ac:dyDescent="0.25">
      <c r="F4566" s="76" t="s">
        <v>150</v>
      </c>
      <c r="G4566" s="77" t="s">
        <v>227</v>
      </c>
      <c r="H4566" s="77" t="s">
        <v>158</v>
      </c>
      <c r="I4566" s="86">
        <v>41646</v>
      </c>
      <c r="J4566" s="78">
        <v>871</v>
      </c>
    </row>
    <row r="4567" spans="6:10" x14ac:dyDescent="0.25">
      <c r="F4567" s="76" t="s">
        <v>150</v>
      </c>
      <c r="G4567" s="77" t="s">
        <v>227</v>
      </c>
      <c r="H4567" s="77" t="s">
        <v>158</v>
      </c>
      <c r="I4567" s="86">
        <v>41647</v>
      </c>
      <c r="J4567" s="78">
        <v>755</v>
      </c>
    </row>
    <row r="4568" spans="6:10" x14ac:dyDescent="0.25">
      <c r="F4568" s="76" t="s">
        <v>150</v>
      </c>
      <c r="G4568" s="77" t="s">
        <v>227</v>
      </c>
      <c r="H4568" s="77" t="s">
        <v>158</v>
      </c>
      <c r="I4568" s="86">
        <v>41648</v>
      </c>
      <c r="J4568" s="78">
        <v>478</v>
      </c>
    </row>
    <row r="4569" spans="6:10" x14ac:dyDescent="0.25">
      <c r="F4569" s="76" t="s">
        <v>150</v>
      </c>
      <c r="G4569" s="77" t="s">
        <v>227</v>
      </c>
      <c r="H4569" s="77" t="s">
        <v>158</v>
      </c>
      <c r="I4569" s="86">
        <v>41649</v>
      </c>
      <c r="J4569" s="78">
        <v>565</v>
      </c>
    </row>
    <row r="4570" spans="6:10" x14ac:dyDescent="0.25">
      <c r="F4570" s="76" t="s">
        <v>150</v>
      </c>
      <c r="G4570" s="77" t="s">
        <v>227</v>
      </c>
      <c r="H4570" s="77" t="s">
        <v>158</v>
      </c>
      <c r="I4570" s="86">
        <v>41654</v>
      </c>
      <c r="J4570" s="78">
        <v>1230</v>
      </c>
    </row>
    <row r="4571" spans="6:10" x14ac:dyDescent="0.25">
      <c r="F4571" s="76" t="s">
        <v>150</v>
      </c>
      <c r="G4571" s="77" t="s">
        <v>227</v>
      </c>
      <c r="H4571" s="77" t="s">
        <v>158</v>
      </c>
      <c r="I4571" s="86">
        <v>41657</v>
      </c>
      <c r="J4571" s="78">
        <v>1016</v>
      </c>
    </row>
    <row r="4572" spans="6:10" x14ac:dyDescent="0.25">
      <c r="F4572" s="76" t="s">
        <v>150</v>
      </c>
      <c r="G4572" s="77" t="s">
        <v>227</v>
      </c>
      <c r="H4572" s="77" t="s">
        <v>158</v>
      </c>
      <c r="I4572" s="86">
        <v>41659</v>
      </c>
      <c r="J4572" s="78">
        <v>1254</v>
      </c>
    </row>
    <row r="4573" spans="6:10" x14ac:dyDescent="0.25">
      <c r="F4573" s="76" t="s">
        <v>150</v>
      </c>
      <c r="G4573" s="77" t="s">
        <v>227</v>
      </c>
      <c r="H4573" s="77" t="s">
        <v>158</v>
      </c>
      <c r="I4573" s="86">
        <v>41661</v>
      </c>
      <c r="J4573" s="78">
        <v>1250</v>
      </c>
    </row>
    <row r="4574" spans="6:10" x14ac:dyDescent="0.25">
      <c r="F4574" s="76" t="s">
        <v>150</v>
      </c>
      <c r="G4574" s="77" t="s">
        <v>227</v>
      </c>
      <c r="H4574" s="77" t="s">
        <v>158</v>
      </c>
      <c r="I4574" s="86">
        <v>41661</v>
      </c>
      <c r="J4574" s="78">
        <v>440</v>
      </c>
    </row>
    <row r="4575" spans="6:10" x14ac:dyDescent="0.25">
      <c r="F4575" s="76" t="s">
        <v>150</v>
      </c>
      <c r="G4575" s="77" t="s">
        <v>227</v>
      </c>
      <c r="H4575" s="77" t="s">
        <v>158</v>
      </c>
      <c r="I4575" s="86">
        <v>41666</v>
      </c>
      <c r="J4575" s="78">
        <v>1421</v>
      </c>
    </row>
    <row r="4576" spans="6:10" x14ac:dyDescent="0.25">
      <c r="F4576" s="76" t="s">
        <v>150</v>
      </c>
      <c r="G4576" s="77" t="s">
        <v>227</v>
      </c>
      <c r="H4576" s="77" t="s">
        <v>158</v>
      </c>
      <c r="I4576" s="86">
        <v>41717</v>
      </c>
      <c r="J4576" s="78">
        <v>518</v>
      </c>
    </row>
    <row r="4577" spans="6:10" x14ac:dyDescent="0.25">
      <c r="F4577" s="76" t="s">
        <v>150</v>
      </c>
      <c r="G4577" s="77" t="s">
        <v>227</v>
      </c>
      <c r="H4577" s="77" t="s">
        <v>158</v>
      </c>
      <c r="I4577" s="86">
        <v>41746</v>
      </c>
      <c r="J4577" s="78">
        <v>271</v>
      </c>
    </row>
    <row r="4578" spans="6:10" x14ac:dyDescent="0.25">
      <c r="F4578" s="76" t="s">
        <v>150</v>
      </c>
      <c r="G4578" s="77" t="s">
        <v>227</v>
      </c>
      <c r="H4578" s="77" t="s">
        <v>158</v>
      </c>
      <c r="I4578" s="86">
        <v>41747</v>
      </c>
      <c r="J4578" s="78">
        <v>482</v>
      </c>
    </row>
    <row r="4579" spans="6:10" x14ac:dyDescent="0.25">
      <c r="F4579" s="76" t="s">
        <v>150</v>
      </c>
      <c r="G4579" s="77" t="s">
        <v>227</v>
      </c>
      <c r="H4579" s="77" t="s">
        <v>158</v>
      </c>
      <c r="I4579" s="86">
        <v>41750</v>
      </c>
      <c r="J4579" s="78">
        <v>984</v>
      </c>
    </row>
    <row r="4580" spans="6:10" x14ac:dyDescent="0.25">
      <c r="F4580" s="76" t="s">
        <v>150</v>
      </c>
      <c r="G4580" s="77" t="s">
        <v>227</v>
      </c>
      <c r="H4580" s="77" t="s">
        <v>158</v>
      </c>
      <c r="I4580" s="86">
        <v>41753</v>
      </c>
      <c r="J4580" s="78">
        <v>1134</v>
      </c>
    </row>
    <row r="4581" spans="6:10" x14ac:dyDescent="0.25">
      <c r="F4581" s="76" t="s">
        <v>150</v>
      </c>
      <c r="G4581" s="77" t="s">
        <v>227</v>
      </c>
      <c r="H4581" s="77" t="s">
        <v>158</v>
      </c>
      <c r="I4581" s="86">
        <v>41760</v>
      </c>
      <c r="J4581" s="78">
        <v>947</v>
      </c>
    </row>
    <row r="4582" spans="6:10" x14ac:dyDescent="0.25">
      <c r="F4582" s="76" t="s">
        <v>150</v>
      </c>
      <c r="G4582" s="77" t="s">
        <v>227</v>
      </c>
      <c r="H4582" s="77" t="s">
        <v>158</v>
      </c>
      <c r="I4582" s="86">
        <v>41788</v>
      </c>
      <c r="J4582" s="78">
        <v>902</v>
      </c>
    </row>
    <row r="4583" spans="6:10" x14ac:dyDescent="0.25">
      <c r="F4583" s="76" t="s">
        <v>150</v>
      </c>
      <c r="G4583" s="77" t="s">
        <v>227</v>
      </c>
      <c r="H4583" s="77" t="s">
        <v>158</v>
      </c>
      <c r="I4583" s="86">
        <v>41789</v>
      </c>
      <c r="J4583" s="78">
        <v>1403</v>
      </c>
    </row>
    <row r="4584" spans="6:10" x14ac:dyDescent="0.25">
      <c r="F4584" s="76" t="s">
        <v>150</v>
      </c>
      <c r="G4584" s="77" t="s">
        <v>227</v>
      </c>
      <c r="H4584" s="77" t="s">
        <v>158</v>
      </c>
      <c r="I4584" s="86">
        <v>41790</v>
      </c>
      <c r="J4584" s="78">
        <v>734</v>
      </c>
    </row>
    <row r="4585" spans="6:10" x14ac:dyDescent="0.25">
      <c r="F4585" s="76" t="s">
        <v>150</v>
      </c>
      <c r="G4585" s="77" t="s">
        <v>227</v>
      </c>
      <c r="H4585" s="77" t="s">
        <v>158</v>
      </c>
      <c r="I4585" s="86">
        <v>41791</v>
      </c>
      <c r="J4585" s="78">
        <v>1037</v>
      </c>
    </row>
    <row r="4586" spans="6:10" x14ac:dyDescent="0.25">
      <c r="F4586" s="76" t="s">
        <v>150</v>
      </c>
      <c r="G4586" s="77" t="s">
        <v>227</v>
      </c>
      <c r="H4586" s="77" t="s">
        <v>158</v>
      </c>
      <c r="I4586" s="86">
        <v>41828</v>
      </c>
      <c r="J4586" s="78">
        <v>1436</v>
      </c>
    </row>
    <row r="4587" spans="6:10" x14ac:dyDescent="0.25">
      <c r="F4587" s="76" t="s">
        <v>150</v>
      </c>
      <c r="G4587" s="77" t="s">
        <v>227</v>
      </c>
      <c r="H4587" s="77" t="s">
        <v>158</v>
      </c>
      <c r="I4587" s="86">
        <v>41830</v>
      </c>
      <c r="J4587" s="78">
        <v>895</v>
      </c>
    </row>
    <row r="4588" spans="6:10" x14ac:dyDescent="0.25">
      <c r="F4588" s="76" t="s">
        <v>150</v>
      </c>
      <c r="G4588" s="77" t="s">
        <v>227</v>
      </c>
      <c r="H4588" s="77" t="s">
        <v>158</v>
      </c>
      <c r="I4588" s="86">
        <v>41835</v>
      </c>
      <c r="J4588" s="78">
        <v>738</v>
      </c>
    </row>
    <row r="4589" spans="6:10" x14ac:dyDescent="0.25">
      <c r="F4589" s="76" t="s">
        <v>150</v>
      </c>
      <c r="G4589" s="77" t="s">
        <v>227</v>
      </c>
      <c r="H4589" s="77" t="s">
        <v>158</v>
      </c>
      <c r="I4589" s="86">
        <v>41835</v>
      </c>
      <c r="J4589" s="78">
        <v>608</v>
      </c>
    </row>
    <row r="4590" spans="6:10" x14ac:dyDescent="0.25">
      <c r="F4590" s="76" t="s">
        <v>150</v>
      </c>
      <c r="G4590" s="77" t="s">
        <v>227</v>
      </c>
      <c r="H4590" s="77" t="s">
        <v>158</v>
      </c>
      <c r="I4590" s="86">
        <v>41836</v>
      </c>
      <c r="J4590" s="78">
        <v>911</v>
      </c>
    </row>
    <row r="4591" spans="6:10" x14ac:dyDescent="0.25">
      <c r="F4591" s="76" t="s">
        <v>150</v>
      </c>
      <c r="G4591" s="77" t="s">
        <v>227</v>
      </c>
      <c r="H4591" s="77" t="s">
        <v>158</v>
      </c>
      <c r="I4591" s="86">
        <v>41859</v>
      </c>
      <c r="J4591" s="78">
        <v>1239</v>
      </c>
    </row>
    <row r="4592" spans="6:10" x14ac:dyDescent="0.25">
      <c r="F4592" s="76" t="s">
        <v>150</v>
      </c>
      <c r="G4592" s="77" t="s">
        <v>227</v>
      </c>
      <c r="H4592" s="77" t="s">
        <v>158</v>
      </c>
      <c r="I4592" s="86">
        <v>41862</v>
      </c>
      <c r="J4592" s="78">
        <v>1501</v>
      </c>
    </row>
    <row r="4593" spans="6:10" x14ac:dyDescent="0.25">
      <c r="F4593" s="76" t="s">
        <v>150</v>
      </c>
      <c r="G4593" s="77" t="s">
        <v>227</v>
      </c>
      <c r="H4593" s="77" t="s">
        <v>158</v>
      </c>
      <c r="I4593" s="86">
        <v>41943</v>
      </c>
      <c r="J4593" s="78">
        <v>1028</v>
      </c>
    </row>
    <row r="4594" spans="6:10" x14ac:dyDescent="0.25">
      <c r="F4594" s="76" t="s">
        <v>150</v>
      </c>
      <c r="G4594" s="77" t="s">
        <v>227</v>
      </c>
      <c r="H4594" s="77" t="s">
        <v>158</v>
      </c>
      <c r="I4594" s="86">
        <v>41944</v>
      </c>
      <c r="J4594" s="78">
        <v>691</v>
      </c>
    </row>
    <row r="4595" spans="6:10" x14ac:dyDescent="0.25">
      <c r="F4595" s="76" t="s">
        <v>150</v>
      </c>
      <c r="G4595" s="77" t="s">
        <v>227</v>
      </c>
      <c r="H4595" s="77" t="s">
        <v>158</v>
      </c>
      <c r="I4595" s="86">
        <v>41945</v>
      </c>
      <c r="J4595" s="78">
        <v>848</v>
      </c>
    </row>
    <row r="4596" spans="6:10" x14ac:dyDescent="0.25">
      <c r="F4596" s="76" t="s">
        <v>150</v>
      </c>
      <c r="G4596" s="77" t="s">
        <v>227</v>
      </c>
      <c r="H4596" s="77" t="s">
        <v>158</v>
      </c>
      <c r="I4596" s="86">
        <v>41946</v>
      </c>
      <c r="J4596" s="78">
        <v>718</v>
      </c>
    </row>
    <row r="4597" spans="6:10" x14ac:dyDescent="0.25">
      <c r="F4597" s="76" t="s">
        <v>150</v>
      </c>
      <c r="G4597" s="77" t="s">
        <v>227</v>
      </c>
      <c r="H4597" s="77" t="s">
        <v>158</v>
      </c>
      <c r="I4597" s="86">
        <v>41948</v>
      </c>
      <c r="J4597" s="78">
        <v>607</v>
      </c>
    </row>
    <row r="4598" spans="6:10" x14ac:dyDescent="0.25">
      <c r="F4598" s="76" t="s">
        <v>150</v>
      </c>
      <c r="G4598" s="77" t="s">
        <v>227</v>
      </c>
      <c r="H4598" s="77" t="s">
        <v>158</v>
      </c>
      <c r="I4598" s="86">
        <v>41948</v>
      </c>
      <c r="J4598" s="78">
        <v>1210</v>
      </c>
    </row>
    <row r="4599" spans="6:10" x14ac:dyDescent="0.25">
      <c r="F4599" s="76" t="s">
        <v>150</v>
      </c>
      <c r="G4599" s="77" t="s">
        <v>227</v>
      </c>
      <c r="H4599" s="77" t="s">
        <v>158</v>
      </c>
      <c r="I4599" s="86">
        <v>41950</v>
      </c>
      <c r="J4599" s="78">
        <v>506</v>
      </c>
    </row>
    <row r="4600" spans="6:10" x14ac:dyDescent="0.25">
      <c r="F4600" s="76" t="s">
        <v>150</v>
      </c>
      <c r="G4600" s="77" t="s">
        <v>227</v>
      </c>
      <c r="H4600" s="77" t="s">
        <v>158</v>
      </c>
      <c r="I4600" s="86">
        <v>41950</v>
      </c>
      <c r="J4600" s="78">
        <v>1238</v>
      </c>
    </row>
    <row r="4601" spans="6:10" x14ac:dyDescent="0.25">
      <c r="F4601" s="76" t="s">
        <v>150</v>
      </c>
      <c r="G4601" s="77" t="s">
        <v>227</v>
      </c>
      <c r="H4601" s="77" t="s">
        <v>158</v>
      </c>
      <c r="I4601" s="86">
        <v>41951</v>
      </c>
      <c r="J4601" s="78">
        <v>360</v>
      </c>
    </row>
    <row r="4602" spans="6:10" x14ac:dyDescent="0.25">
      <c r="F4602" s="76" t="s">
        <v>150</v>
      </c>
      <c r="G4602" s="77" t="s">
        <v>227</v>
      </c>
      <c r="H4602" s="77" t="s">
        <v>158</v>
      </c>
      <c r="I4602" s="86">
        <v>41951</v>
      </c>
      <c r="J4602" s="78">
        <v>728</v>
      </c>
    </row>
    <row r="4603" spans="6:10" x14ac:dyDescent="0.25">
      <c r="F4603" s="76" t="s">
        <v>150</v>
      </c>
      <c r="G4603" s="77" t="s">
        <v>227</v>
      </c>
      <c r="H4603" s="77" t="s">
        <v>158</v>
      </c>
      <c r="I4603" s="86">
        <v>41952</v>
      </c>
      <c r="J4603" s="78">
        <v>901</v>
      </c>
    </row>
    <row r="4604" spans="6:10" x14ac:dyDescent="0.25">
      <c r="F4604" s="76" t="s">
        <v>150</v>
      </c>
      <c r="G4604" s="77" t="s">
        <v>227</v>
      </c>
      <c r="H4604" s="77" t="s">
        <v>158</v>
      </c>
      <c r="I4604" s="86">
        <v>41955</v>
      </c>
      <c r="J4604" s="78">
        <v>668</v>
      </c>
    </row>
    <row r="4605" spans="6:10" x14ac:dyDescent="0.25">
      <c r="F4605" s="76" t="s">
        <v>150</v>
      </c>
      <c r="G4605" s="77" t="s">
        <v>228</v>
      </c>
      <c r="H4605" s="77" t="s">
        <v>158</v>
      </c>
      <c r="I4605" s="86">
        <v>41638</v>
      </c>
      <c r="J4605" s="78">
        <v>1402</v>
      </c>
    </row>
    <row r="4606" spans="6:10" x14ac:dyDescent="0.25">
      <c r="F4606" s="76" t="s">
        <v>150</v>
      </c>
      <c r="G4606" s="77" t="s">
        <v>228</v>
      </c>
      <c r="H4606" s="77" t="s">
        <v>158</v>
      </c>
      <c r="I4606" s="86">
        <v>41639</v>
      </c>
      <c r="J4606" s="78">
        <v>527</v>
      </c>
    </row>
    <row r="4607" spans="6:10" x14ac:dyDescent="0.25">
      <c r="F4607" s="76" t="s">
        <v>150</v>
      </c>
      <c r="G4607" s="77" t="s">
        <v>228</v>
      </c>
      <c r="H4607" s="77" t="s">
        <v>158</v>
      </c>
      <c r="I4607" s="86">
        <v>41648</v>
      </c>
      <c r="J4607" s="78">
        <v>1496</v>
      </c>
    </row>
    <row r="4608" spans="6:10" x14ac:dyDescent="0.25">
      <c r="F4608" s="76" t="s">
        <v>150</v>
      </c>
      <c r="G4608" s="77" t="s">
        <v>228</v>
      </c>
      <c r="H4608" s="77" t="s">
        <v>158</v>
      </c>
      <c r="I4608" s="86">
        <v>41649</v>
      </c>
      <c r="J4608" s="78">
        <v>958</v>
      </c>
    </row>
    <row r="4609" spans="6:10" x14ac:dyDescent="0.25">
      <c r="F4609" s="76" t="s">
        <v>150</v>
      </c>
      <c r="G4609" s="77" t="s">
        <v>228</v>
      </c>
      <c r="H4609" s="77" t="s">
        <v>158</v>
      </c>
      <c r="I4609" s="86">
        <v>41651</v>
      </c>
      <c r="J4609" s="78">
        <v>661</v>
      </c>
    </row>
    <row r="4610" spans="6:10" x14ac:dyDescent="0.25">
      <c r="F4610" s="76" t="s">
        <v>150</v>
      </c>
      <c r="G4610" s="77" t="s">
        <v>228</v>
      </c>
      <c r="H4610" s="77" t="s">
        <v>158</v>
      </c>
      <c r="I4610" s="86">
        <v>41654</v>
      </c>
      <c r="J4610" s="78">
        <v>1109</v>
      </c>
    </row>
    <row r="4611" spans="6:10" x14ac:dyDescent="0.25">
      <c r="F4611" s="76" t="s">
        <v>150</v>
      </c>
      <c r="G4611" s="77" t="s">
        <v>228</v>
      </c>
      <c r="H4611" s="77" t="s">
        <v>158</v>
      </c>
      <c r="I4611" s="86">
        <v>41656</v>
      </c>
      <c r="J4611" s="78">
        <v>756</v>
      </c>
    </row>
    <row r="4612" spans="6:10" x14ac:dyDescent="0.25">
      <c r="F4612" s="76" t="s">
        <v>150</v>
      </c>
      <c r="G4612" s="77" t="s">
        <v>228</v>
      </c>
      <c r="H4612" s="77" t="s">
        <v>158</v>
      </c>
      <c r="I4612" s="86">
        <v>41660</v>
      </c>
      <c r="J4612" s="78">
        <v>1211</v>
      </c>
    </row>
    <row r="4613" spans="6:10" x14ac:dyDescent="0.25">
      <c r="F4613" s="76" t="s">
        <v>150</v>
      </c>
      <c r="G4613" s="77" t="s">
        <v>228</v>
      </c>
      <c r="H4613" s="77" t="s">
        <v>158</v>
      </c>
      <c r="I4613" s="86">
        <v>41660</v>
      </c>
      <c r="J4613" s="78">
        <v>215</v>
      </c>
    </row>
    <row r="4614" spans="6:10" x14ac:dyDescent="0.25">
      <c r="F4614" s="76" t="s">
        <v>150</v>
      </c>
      <c r="G4614" s="77" t="s">
        <v>228</v>
      </c>
      <c r="H4614" s="77" t="s">
        <v>158</v>
      </c>
      <c r="I4614" s="86">
        <v>41663</v>
      </c>
      <c r="J4614" s="78">
        <v>1109</v>
      </c>
    </row>
    <row r="4615" spans="6:10" x14ac:dyDescent="0.25">
      <c r="F4615" s="76" t="s">
        <v>150</v>
      </c>
      <c r="G4615" s="77" t="s">
        <v>228</v>
      </c>
      <c r="H4615" s="77" t="s">
        <v>158</v>
      </c>
      <c r="I4615" s="86">
        <v>41666</v>
      </c>
      <c r="J4615" s="78">
        <v>1101</v>
      </c>
    </row>
    <row r="4616" spans="6:10" x14ac:dyDescent="0.25">
      <c r="F4616" s="76" t="s">
        <v>150</v>
      </c>
      <c r="G4616" s="77" t="s">
        <v>228</v>
      </c>
      <c r="H4616" s="77" t="s">
        <v>158</v>
      </c>
      <c r="I4616" s="86">
        <v>41668</v>
      </c>
      <c r="J4616" s="78">
        <v>734</v>
      </c>
    </row>
    <row r="4617" spans="6:10" x14ac:dyDescent="0.25">
      <c r="F4617" s="76" t="s">
        <v>150</v>
      </c>
      <c r="G4617" s="77" t="s">
        <v>228</v>
      </c>
      <c r="H4617" s="77" t="s">
        <v>158</v>
      </c>
      <c r="I4617" s="86">
        <v>41670</v>
      </c>
      <c r="J4617" s="78">
        <v>951</v>
      </c>
    </row>
    <row r="4618" spans="6:10" x14ac:dyDescent="0.25">
      <c r="F4618" s="76" t="s">
        <v>150</v>
      </c>
      <c r="G4618" s="77" t="s">
        <v>228</v>
      </c>
      <c r="H4618" s="77" t="s">
        <v>158</v>
      </c>
      <c r="I4618" s="86">
        <v>41673</v>
      </c>
      <c r="J4618" s="78">
        <v>580</v>
      </c>
    </row>
    <row r="4619" spans="6:10" x14ac:dyDescent="0.25">
      <c r="F4619" s="76" t="s">
        <v>150</v>
      </c>
      <c r="G4619" s="77" t="s">
        <v>228</v>
      </c>
      <c r="H4619" s="77" t="s">
        <v>158</v>
      </c>
      <c r="I4619" s="86">
        <v>41860</v>
      </c>
      <c r="J4619" s="78">
        <v>629</v>
      </c>
    </row>
    <row r="4620" spans="6:10" x14ac:dyDescent="0.25">
      <c r="F4620" s="76" t="s">
        <v>150</v>
      </c>
      <c r="G4620" s="77" t="s">
        <v>228</v>
      </c>
      <c r="H4620" s="77" t="s">
        <v>158</v>
      </c>
      <c r="I4620" s="86">
        <v>41860</v>
      </c>
      <c r="J4620" s="78">
        <v>1320</v>
      </c>
    </row>
    <row r="4621" spans="6:10" x14ac:dyDescent="0.25">
      <c r="F4621" s="76" t="s">
        <v>150</v>
      </c>
      <c r="G4621" s="77" t="s">
        <v>228</v>
      </c>
      <c r="H4621" s="77" t="s">
        <v>158</v>
      </c>
      <c r="I4621" s="86">
        <v>41861</v>
      </c>
      <c r="J4621" s="78">
        <v>861</v>
      </c>
    </row>
    <row r="4622" spans="6:10" x14ac:dyDescent="0.25">
      <c r="F4622" s="76" t="s">
        <v>150</v>
      </c>
      <c r="G4622" s="77" t="s">
        <v>228</v>
      </c>
      <c r="H4622" s="77" t="s">
        <v>158</v>
      </c>
      <c r="I4622" s="86">
        <v>41863</v>
      </c>
      <c r="J4622" s="78">
        <v>1103</v>
      </c>
    </row>
    <row r="4623" spans="6:10" x14ac:dyDescent="0.25">
      <c r="F4623" s="76" t="s">
        <v>150</v>
      </c>
      <c r="G4623" s="77" t="s">
        <v>228</v>
      </c>
      <c r="H4623" s="77" t="s">
        <v>158</v>
      </c>
      <c r="I4623" s="86">
        <v>41865</v>
      </c>
      <c r="J4623" s="78">
        <v>1041</v>
      </c>
    </row>
    <row r="4624" spans="6:10" x14ac:dyDescent="0.25">
      <c r="F4624" s="76" t="s">
        <v>150</v>
      </c>
      <c r="G4624" s="77" t="s">
        <v>228</v>
      </c>
      <c r="H4624" s="77" t="s">
        <v>158</v>
      </c>
      <c r="I4624" s="86">
        <v>41867</v>
      </c>
      <c r="J4624" s="78">
        <v>1216</v>
      </c>
    </row>
    <row r="4625" spans="6:10" x14ac:dyDescent="0.25">
      <c r="F4625" s="76" t="s">
        <v>150</v>
      </c>
      <c r="G4625" s="77" t="s">
        <v>228</v>
      </c>
      <c r="H4625" s="77" t="s">
        <v>158</v>
      </c>
      <c r="I4625" s="86">
        <v>41867</v>
      </c>
      <c r="J4625" s="78">
        <v>775</v>
      </c>
    </row>
    <row r="4626" spans="6:10" x14ac:dyDescent="0.25">
      <c r="F4626" s="76" t="s">
        <v>150</v>
      </c>
      <c r="G4626" s="77" t="s">
        <v>228</v>
      </c>
      <c r="H4626" s="77" t="s">
        <v>158</v>
      </c>
      <c r="I4626" s="86">
        <v>41868</v>
      </c>
      <c r="J4626" s="78">
        <v>1005</v>
      </c>
    </row>
    <row r="4627" spans="6:10" x14ac:dyDescent="0.25">
      <c r="F4627" s="76" t="s">
        <v>150</v>
      </c>
      <c r="G4627" s="77" t="s">
        <v>228</v>
      </c>
      <c r="H4627" s="77" t="s">
        <v>158</v>
      </c>
      <c r="I4627" s="86">
        <v>41869</v>
      </c>
      <c r="J4627" s="78">
        <v>613</v>
      </c>
    </row>
    <row r="4628" spans="6:10" x14ac:dyDescent="0.25">
      <c r="F4628" s="76" t="s">
        <v>150</v>
      </c>
      <c r="G4628" s="77" t="s">
        <v>228</v>
      </c>
      <c r="H4628" s="77" t="s">
        <v>158</v>
      </c>
      <c r="I4628" s="86">
        <v>41927</v>
      </c>
      <c r="J4628" s="78">
        <v>1014</v>
      </c>
    </row>
    <row r="4629" spans="6:10" x14ac:dyDescent="0.25">
      <c r="F4629" s="76" t="s">
        <v>150</v>
      </c>
      <c r="G4629" s="77" t="s">
        <v>228</v>
      </c>
      <c r="H4629" s="77" t="s">
        <v>158</v>
      </c>
      <c r="I4629" s="86">
        <v>41947</v>
      </c>
      <c r="J4629" s="78">
        <v>1253</v>
      </c>
    </row>
    <row r="4630" spans="6:10" x14ac:dyDescent="0.25">
      <c r="F4630" s="76" t="s">
        <v>150</v>
      </c>
      <c r="G4630" s="77" t="s">
        <v>228</v>
      </c>
      <c r="H4630" s="77" t="s">
        <v>158</v>
      </c>
      <c r="I4630" s="86">
        <v>41948</v>
      </c>
      <c r="J4630" s="78">
        <v>769</v>
      </c>
    </row>
    <row r="4631" spans="6:10" x14ac:dyDescent="0.25">
      <c r="F4631" s="76" t="s">
        <v>150</v>
      </c>
      <c r="G4631" s="77" t="s">
        <v>228</v>
      </c>
      <c r="H4631" s="77" t="s">
        <v>158</v>
      </c>
      <c r="I4631" s="86">
        <v>41948</v>
      </c>
      <c r="J4631" s="78">
        <v>520</v>
      </c>
    </row>
    <row r="4632" spans="6:10" x14ac:dyDescent="0.25">
      <c r="F4632" s="76" t="s">
        <v>150</v>
      </c>
      <c r="G4632" s="77" t="s">
        <v>228</v>
      </c>
      <c r="H4632" s="77" t="s">
        <v>158</v>
      </c>
      <c r="I4632" s="86">
        <v>41950</v>
      </c>
      <c r="J4632" s="78">
        <v>898</v>
      </c>
    </row>
    <row r="4633" spans="6:10" x14ac:dyDescent="0.25">
      <c r="F4633" s="76" t="s">
        <v>150</v>
      </c>
      <c r="G4633" s="77" t="s">
        <v>228</v>
      </c>
      <c r="H4633" s="77" t="s">
        <v>158</v>
      </c>
      <c r="I4633" s="86">
        <v>41952</v>
      </c>
      <c r="J4633" s="78">
        <v>784</v>
      </c>
    </row>
    <row r="4634" spans="6:10" x14ac:dyDescent="0.25">
      <c r="F4634" s="76" t="s">
        <v>150</v>
      </c>
      <c r="G4634" s="77" t="s">
        <v>228</v>
      </c>
      <c r="H4634" s="77" t="s">
        <v>158</v>
      </c>
      <c r="I4634" s="86">
        <v>41987</v>
      </c>
      <c r="J4634" s="78">
        <v>752</v>
      </c>
    </row>
    <row r="4635" spans="6:10" x14ac:dyDescent="0.25">
      <c r="F4635" s="76" t="s">
        <v>150</v>
      </c>
      <c r="G4635" s="77" t="s">
        <v>228</v>
      </c>
      <c r="H4635" s="77" t="s">
        <v>158</v>
      </c>
      <c r="I4635" s="86">
        <v>41988</v>
      </c>
      <c r="J4635" s="78">
        <v>1070</v>
      </c>
    </row>
    <row r="4636" spans="6:10" x14ac:dyDescent="0.25">
      <c r="F4636" s="76" t="s">
        <v>150</v>
      </c>
      <c r="G4636" s="77" t="s">
        <v>228</v>
      </c>
      <c r="H4636" s="77" t="s">
        <v>158</v>
      </c>
      <c r="I4636" s="86">
        <v>41989</v>
      </c>
      <c r="J4636" s="78">
        <v>546</v>
      </c>
    </row>
    <row r="4637" spans="6:10" x14ac:dyDescent="0.25">
      <c r="F4637" s="76" t="s">
        <v>150</v>
      </c>
      <c r="G4637" s="77" t="s">
        <v>228</v>
      </c>
      <c r="H4637" s="77" t="s">
        <v>158</v>
      </c>
      <c r="I4637" s="86">
        <v>41990</v>
      </c>
      <c r="J4637" s="78">
        <v>1145</v>
      </c>
    </row>
    <row r="4638" spans="6:10" x14ac:dyDescent="0.25">
      <c r="F4638" s="76" t="s">
        <v>150</v>
      </c>
      <c r="G4638" s="77" t="s">
        <v>228</v>
      </c>
      <c r="H4638" s="77" t="s">
        <v>158</v>
      </c>
      <c r="I4638" s="86">
        <v>41991</v>
      </c>
      <c r="J4638" s="78">
        <v>897</v>
      </c>
    </row>
    <row r="4639" spans="6:10" x14ac:dyDescent="0.25">
      <c r="F4639" s="76" t="s">
        <v>150</v>
      </c>
      <c r="G4639" s="77" t="s">
        <v>228</v>
      </c>
      <c r="H4639" s="77" t="s">
        <v>158</v>
      </c>
      <c r="I4639" s="86">
        <v>41992</v>
      </c>
      <c r="J4639" s="78">
        <v>566</v>
      </c>
    </row>
    <row r="4640" spans="6:10" x14ac:dyDescent="0.25">
      <c r="F4640" s="76" t="s">
        <v>150</v>
      </c>
      <c r="G4640" s="77" t="s">
        <v>228</v>
      </c>
      <c r="H4640" s="77" t="s">
        <v>158</v>
      </c>
      <c r="I4640" s="86">
        <v>41993</v>
      </c>
      <c r="J4640" s="78">
        <v>758</v>
      </c>
    </row>
    <row r="4641" spans="6:10" x14ac:dyDescent="0.25">
      <c r="F4641" s="76" t="s">
        <v>150</v>
      </c>
      <c r="G4641" s="77" t="s">
        <v>228</v>
      </c>
      <c r="H4641" s="77" t="s">
        <v>158</v>
      </c>
      <c r="I4641" s="86">
        <v>41994</v>
      </c>
      <c r="J4641" s="78">
        <v>894</v>
      </c>
    </row>
    <row r="4642" spans="6:10" x14ac:dyDescent="0.25">
      <c r="F4642" s="76" t="s">
        <v>150</v>
      </c>
      <c r="G4642" s="77" t="s">
        <v>228</v>
      </c>
      <c r="H4642" s="77" t="s">
        <v>158</v>
      </c>
      <c r="I4642" s="86">
        <v>41995</v>
      </c>
      <c r="J4642" s="78">
        <v>1003</v>
      </c>
    </row>
    <row r="4643" spans="6:10" x14ac:dyDescent="0.25">
      <c r="F4643" s="76" t="s">
        <v>150</v>
      </c>
      <c r="G4643" s="77" t="s">
        <v>228</v>
      </c>
      <c r="H4643" s="77" t="s">
        <v>158</v>
      </c>
      <c r="I4643" s="86">
        <v>41996</v>
      </c>
      <c r="J4643" s="78">
        <v>933</v>
      </c>
    </row>
    <row r="4644" spans="6:10" x14ac:dyDescent="0.25">
      <c r="F4644" s="76" t="s">
        <v>150</v>
      </c>
      <c r="G4644" s="77" t="s">
        <v>228</v>
      </c>
      <c r="H4644" s="77" t="s">
        <v>158</v>
      </c>
      <c r="I4644" s="86">
        <v>41999</v>
      </c>
      <c r="J4644" s="78">
        <v>929</v>
      </c>
    </row>
    <row r="4645" spans="6:10" x14ac:dyDescent="0.25">
      <c r="F4645" s="76" t="s">
        <v>150</v>
      </c>
      <c r="G4645" s="77" t="s">
        <v>229</v>
      </c>
      <c r="H4645" s="77" t="s">
        <v>158</v>
      </c>
      <c r="I4645" s="86">
        <v>41635</v>
      </c>
      <c r="J4645" s="78">
        <v>881</v>
      </c>
    </row>
    <row r="4646" spans="6:10" x14ac:dyDescent="0.25">
      <c r="F4646" s="76" t="s">
        <v>150</v>
      </c>
      <c r="G4646" s="77" t="s">
        <v>229</v>
      </c>
      <c r="H4646" s="77" t="s">
        <v>158</v>
      </c>
      <c r="I4646" s="86">
        <v>41638</v>
      </c>
      <c r="J4646" s="78">
        <v>943</v>
      </c>
    </row>
    <row r="4647" spans="6:10" x14ac:dyDescent="0.25">
      <c r="F4647" s="76" t="s">
        <v>150</v>
      </c>
      <c r="G4647" s="77" t="s">
        <v>229</v>
      </c>
      <c r="H4647" s="77" t="s">
        <v>158</v>
      </c>
      <c r="I4647" s="86">
        <v>41641</v>
      </c>
      <c r="J4647" s="78">
        <v>561</v>
      </c>
    </row>
    <row r="4648" spans="6:10" x14ac:dyDescent="0.25">
      <c r="F4648" s="76" t="s">
        <v>150</v>
      </c>
      <c r="G4648" s="77" t="s">
        <v>229</v>
      </c>
      <c r="H4648" s="77" t="s">
        <v>158</v>
      </c>
      <c r="I4648" s="86">
        <v>41717</v>
      </c>
      <c r="J4648" s="78">
        <v>1259</v>
      </c>
    </row>
    <row r="4649" spans="6:10" x14ac:dyDescent="0.25">
      <c r="F4649" s="76" t="s">
        <v>150</v>
      </c>
      <c r="G4649" s="77" t="s">
        <v>229</v>
      </c>
      <c r="H4649" s="77" t="s">
        <v>158</v>
      </c>
      <c r="I4649" s="86">
        <v>41723</v>
      </c>
      <c r="J4649" s="78">
        <v>1054</v>
      </c>
    </row>
    <row r="4650" spans="6:10" x14ac:dyDescent="0.25">
      <c r="F4650" s="76" t="s">
        <v>150</v>
      </c>
      <c r="G4650" s="77" t="s">
        <v>229</v>
      </c>
      <c r="H4650" s="77" t="s">
        <v>158</v>
      </c>
      <c r="I4650" s="86">
        <v>41729</v>
      </c>
      <c r="J4650" s="78">
        <v>1406</v>
      </c>
    </row>
    <row r="4651" spans="6:10" x14ac:dyDescent="0.25">
      <c r="F4651" s="76" t="s">
        <v>150</v>
      </c>
      <c r="G4651" s="77" t="s">
        <v>229</v>
      </c>
      <c r="H4651" s="77" t="s">
        <v>158</v>
      </c>
      <c r="I4651" s="86">
        <v>41818</v>
      </c>
      <c r="J4651" s="78">
        <v>1174</v>
      </c>
    </row>
    <row r="4652" spans="6:10" x14ac:dyDescent="0.25">
      <c r="F4652" s="76" t="s">
        <v>150</v>
      </c>
      <c r="G4652" s="77" t="s">
        <v>229</v>
      </c>
      <c r="H4652" s="77" t="s">
        <v>158</v>
      </c>
      <c r="I4652" s="86">
        <v>41818</v>
      </c>
      <c r="J4652" s="78">
        <v>551</v>
      </c>
    </row>
    <row r="4653" spans="6:10" x14ac:dyDescent="0.25">
      <c r="F4653" s="76" t="s">
        <v>150</v>
      </c>
      <c r="G4653" s="77" t="s">
        <v>229</v>
      </c>
      <c r="H4653" s="77" t="s">
        <v>158</v>
      </c>
      <c r="I4653" s="86">
        <v>41819</v>
      </c>
      <c r="J4653" s="78">
        <v>918</v>
      </c>
    </row>
    <row r="4654" spans="6:10" x14ac:dyDescent="0.25">
      <c r="F4654" s="76" t="s">
        <v>150</v>
      </c>
      <c r="G4654" s="77" t="s">
        <v>229</v>
      </c>
      <c r="H4654" s="77" t="s">
        <v>158</v>
      </c>
      <c r="I4654" s="86">
        <v>41822</v>
      </c>
      <c r="J4654" s="78">
        <v>1389</v>
      </c>
    </row>
    <row r="4655" spans="6:10" x14ac:dyDescent="0.25">
      <c r="F4655" s="76" t="s">
        <v>150</v>
      </c>
      <c r="G4655" s="77" t="s">
        <v>229</v>
      </c>
      <c r="H4655" s="77" t="s">
        <v>158</v>
      </c>
      <c r="I4655" s="86">
        <v>41824</v>
      </c>
      <c r="J4655" s="78">
        <v>1418</v>
      </c>
    </row>
    <row r="4656" spans="6:10" x14ac:dyDescent="0.25">
      <c r="F4656" s="76" t="s">
        <v>150</v>
      </c>
      <c r="G4656" s="77" t="s">
        <v>229</v>
      </c>
      <c r="H4656" s="77" t="s">
        <v>158</v>
      </c>
      <c r="I4656" s="86">
        <v>41825</v>
      </c>
      <c r="J4656" s="78">
        <v>1055</v>
      </c>
    </row>
    <row r="4657" spans="6:10" x14ac:dyDescent="0.25">
      <c r="F4657" s="76" t="s">
        <v>150</v>
      </c>
      <c r="G4657" s="77" t="s">
        <v>229</v>
      </c>
      <c r="H4657" s="77" t="s">
        <v>158</v>
      </c>
      <c r="I4657" s="86">
        <v>41826</v>
      </c>
      <c r="J4657" s="78">
        <v>819</v>
      </c>
    </row>
    <row r="4658" spans="6:10" x14ac:dyDescent="0.25">
      <c r="F4658" s="76" t="s">
        <v>150</v>
      </c>
      <c r="G4658" s="77" t="s">
        <v>229</v>
      </c>
      <c r="H4658" s="77" t="s">
        <v>158</v>
      </c>
      <c r="I4658" s="86">
        <v>41827</v>
      </c>
      <c r="J4658" s="78">
        <v>740</v>
      </c>
    </row>
    <row r="4659" spans="6:10" x14ac:dyDescent="0.25">
      <c r="F4659" s="76" t="s">
        <v>150</v>
      </c>
      <c r="G4659" s="77" t="s">
        <v>229</v>
      </c>
      <c r="H4659" s="77" t="s">
        <v>158</v>
      </c>
      <c r="I4659" s="86">
        <v>41830</v>
      </c>
      <c r="J4659" s="78">
        <v>1031</v>
      </c>
    </row>
    <row r="4660" spans="6:10" x14ac:dyDescent="0.25">
      <c r="F4660" s="76" t="s">
        <v>150</v>
      </c>
      <c r="G4660" s="77" t="s">
        <v>229</v>
      </c>
      <c r="H4660" s="77" t="s">
        <v>158</v>
      </c>
      <c r="I4660" s="86">
        <v>41831</v>
      </c>
      <c r="J4660" s="78">
        <v>1026</v>
      </c>
    </row>
    <row r="4661" spans="6:10" x14ac:dyDescent="0.25">
      <c r="F4661" s="76" t="s">
        <v>150</v>
      </c>
      <c r="G4661" s="77" t="s">
        <v>229</v>
      </c>
      <c r="H4661" s="77" t="s">
        <v>158</v>
      </c>
      <c r="I4661" s="86">
        <v>41837</v>
      </c>
      <c r="J4661" s="78">
        <v>1249</v>
      </c>
    </row>
    <row r="4662" spans="6:10" x14ac:dyDescent="0.25">
      <c r="F4662" s="76" t="s">
        <v>150</v>
      </c>
      <c r="G4662" s="77" t="s">
        <v>229</v>
      </c>
      <c r="H4662" s="77" t="s">
        <v>158</v>
      </c>
      <c r="I4662" s="86">
        <v>41839</v>
      </c>
      <c r="J4662" s="78">
        <v>306</v>
      </c>
    </row>
    <row r="4663" spans="6:10" x14ac:dyDescent="0.25">
      <c r="F4663" s="76" t="s">
        <v>150</v>
      </c>
      <c r="G4663" s="77" t="s">
        <v>229</v>
      </c>
      <c r="H4663" s="77" t="s">
        <v>158</v>
      </c>
      <c r="I4663" s="86">
        <v>41842</v>
      </c>
      <c r="J4663" s="78">
        <v>1094</v>
      </c>
    </row>
    <row r="4664" spans="6:10" x14ac:dyDescent="0.25">
      <c r="F4664" s="76" t="s">
        <v>150</v>
      </c>
      <c r="G4664" s="77" t="s">
        <v>229</v>
      </c>
      <c r="H4664" s="77" t="s">
        <v>158</v>
      </c>
      <c r="I4664" s="86">
        <v>41849</v>
      </c>
      <c r="J4664" s="78">
        <v>816</v>
      </c>
    </row>
    <row r="4665" spans="6:10" x14ac:dyDescent="0.25">
      <c r="F4665" s="76" t="s">
        <v>150</v>
      </c>
      <c r="G4665" s="77" t="s">
        <v>229</v>
      </c>
      <c r="H4665" s="77" t="s">
        <v>158</v>
      </c>
      <c r="I4665" s="86">
        <v>41862</v>
      </c>
      <c r="J4665" s="78">
        <v>902</v>
      </c>
    </row>
    <row r="4666" spans="6:10" x14ac:dyDescent="0.25">
      <c r="F4666" s="76" t="s">
        <v>150</v>
      </c>
      <c r="G4666" s="77" t="s">
        <v>229</v>
      </c>
      <c r="H4666" s="77" t="s">
        <v>158</v>
      </c>
      <c r="I4666" s="86">
        <v>41864</v>
      </c>
      <c r="J4666" s="78">
        <v>466</v>
      </c>
    </row>
    <row r="4667" spans="6:10" x14ac:dyDescent="0.25">
      <c r="F4667" s="76" t="s">
        <v>150</v>
      </c>
      <c r="G4667" s="77" t="s">
        <v>229</v>
      </c>
      <c r="H4667" s="77" t="s">
        <v>158</v>
      </c>
      <c r="I4667" s="86">
        <v>41866</v>
      </c>
      <c r="J4667" s="78">
        <v>1144</v>
      </c>
    </row>
    <row r="4668" spans="6:10" x14ac:dyDescent="0.25">
      <c r="F4668" s="76" t="s">
        <v>150</v>
      </c>
      <c r="G4668" s="77" t="s">
        <v>229</v>
      </c>
      <c r="H4668" s="77" t="s">
        <v>158</v>
      </c>
      <c r="I4668" s="86">
        <v>41867</v>
      </c>
      <c r="J4668" s="78">
        <v>802</v>
      </c>
    </row>
    <row r="4669" spans="6:10" x14ac:dyDescent="0.25">
      <c r="F4669" s="76" t="s">
        <v>150</v>
      </c>
      <c r="G4669" s="77" t="s">
        <v>229</v>
      </c>
      <c r="H4669" s="77" t="s">
        <v>158</v>
      </c>
      <c r="I4669" s="86">
        <v>41868</v>
      </c>
      <c r="J4669" s="78">
        <v>1103</v>
      </c>
    </row>
    <row r="4670" spans="6:10" x14ac:dyDescent="0.25">
      <c r="F4670" s="76" t="s">
        <v>150</v>
      </c>
      <c r="G4670" s="77" t="s">
        <v>229</v>
      </c>
      <c r="H4670" s="77" t="s">
        <v>158</v>
      </c>
      <c r="I4670" s="86">
        <v>41871</v>
      </c>
      <c r="J4670" s="78">
        <v>1173</v>
      </c>
    </row>
    <row r="4671" spans="6:10" x14ac:dyDescent="0.25">
      <c r="F4671" s="76" t="s">
        <v>150</v>
      </c>
      <c r="G4671" s="77" t="s">
        <v>229</v>
      </c>
      <c r="H4671" s="77" t="s">
        <v>158</v>
      </c>
      <c r="I4671" s="86">
        <v>41877</v>
      </c>
      <c r="J4671" s="78">
        <v>1039</v>
      </c>
    </row>
    <row r="4672" spans="6:10" x14ac:dyDescent="0.25">
      <c r="F4672" s="76" t="s">
        <v>150</v>
      </c>
      <c r="G4672" s="77" t="s">
        <v>229</v>
      </c>
      <c r="H4672" s="77" t="s">
        <v>158</v>
      </c>
      <c r="I4672" s="86">
        <v>41878</v>
      </c>
      <c r="J4672" s="78">
        <v>671</v>
      </c>
    </row>
    <row r="4673" spans="6:10" x14ac:dyDescent="0.25">
      <c r="F4673" s="76" t="s">
        <v>150</v>
      </c>
      <c r="G4673" s="77" t="s">
        <v>229</v>
      </c>
      <c r="H4673" s="77" t="s">
        <v>158</v>
      </c>
      <c r="I4673" s="86">
        <v>41878</v>
      </c>
      <c r="J4673" s="78">
        <v>450</v>
      </c>
    </row>
    <row r="4674" spans="6:10" x14ac:dyDescent="0.25">
      <c r="F4674" s="76" t="s">
        <v>150</v>
      </c>
      <c r="G4674" s="77" t="s">
        <v>229</v>
      </c>
      <c r="H4674" s="77" t="s">
        <v>158</v>
      </c>
      <c r="I4674" s="86">
        <v>41880</v>
      </c>
      <c r="J4674" s="78">
        <v>1265</v>
      </c>
    </row>
    <row r="4675" spans="6:10" x14ac:dyDescent="0.25">
      <c r="F4675" s="76" t="s">
        <v>150</v>
      </c>
      <c r="G4675" s="77" t="s">
        <v>229</v>
      </c>
      <c r="H4675" s="77" t="s">
        <v>158</v>
      </c>
      <c r="I4675" s="86">
        <v>41880</v>
      </c>
      <c r="J4675" s="78">
        <v>615</v>
      </c>
    </row>
    <row r="4676" spans="6:10" x14ac:dyDescent="0.25">
      <c r="F4676" s="76" t="s">
        <v>150</v>
      </c>
      <c r="G4676" s="77" t="s">
        <v>229</v>
      </c>
      <c r="H4676" s="77" t="s">
        <v>158</v>
      </c>
      <c r="I4676" s="86">
        <v>41881</v>
      </c>
      <c r="J4676" s="78">
        <v>1327</v>
      </c>
    </row>
    <row r="4677" spans="6:10" x14ac:dyDescent="0.25">
      <c r="F4677" s="76" t="s">
        <v>150</v>
      </c>
      <c r="G4677" s="77" t="s">
        <v>229</v>
      </c>
      <c r="H4677" s="77" t="s">
        <v>158</v>
      </c>
      <c r="I4677" s="86">
        <v>41909</v>
      </c>
      <c r="J4677" s="78">
        <v>658</v>
      </c>
    </row>
    <row r="4678" spans="6:10" x14ac:dyDescent="0.25">
      <c r="F4678" s="76" t="s">
        <v>150</v>
      </c>
      <c r="G4678" s="77" t="s">
        <v>229</v>
      </c>
      <c r="H4678" s="77" t="s">
        <v>158</v>
      </c>
      <c r="I4678" s="86">
        <v>41909</v>
      </c>
      <c r="J4678" s="78">
        <v>1020</v>
      </c>
    </row>
    <row r="4679" spans="6:10" x14ac:dyDescent="0.25">
      <c r="F4679" s="76" t="s">
        <v>150</v>
      </c>
      <c r="G4679" s="77" t="s">
        <v>229</v>
      </c>
      <c r="H4679" s="77" t="s">
        <v>158</v>
      </c>
      <c r="I4679" s="86">
        <v>41910</v>
      </c>
      <c r="J4679" s="78">
        <v>765</v>
      </c>
    </row>
    <row r="4680" spans="6:10" x14ac:dyDescent="0.25">
      <c r="F4680" s="76" t="s">
        <v>150</v>
      </c>
      <c r="G4680" s="77" t="s">
        <v>229</v>
      </c>
      <c r="H4680" s="77" t="s">
        <v>158</v>
      </c>
      <c r="I4680" s="86">
        <v>41911</v>
      </c>
      <c r="J4680" s="78">
        <v>1056</v>
      </c>
    </row>
    <row r="4681" spans="6:10" x14ac:dyDescent="0.25">
      <c r="F4681" s="76" t="s">
        <v>150</v>
      </c>
      <c r="G4681" s="77" t="s">
        <v>229</v>
      </c>
      <c r="H4681" s="77" t="s">
        <v>158</v>
      </c>
      <c r="I4681" s="86">
        <v>41912</v>
      </c>
      <c r="J4681" s="78">
        <v>801</v>
      </c>
    </row>
    <row r="4682" spans="6:10" x14ac:dyDescent="0.25">
      <c r="F4682" s="76" t="s">
        <v>150</v>
      </c>
      <c r="G4682" s="77" t="s">
        <v>229</v>
      </c>
      <c r="H4682" s="77" t="s">
        <v>158</v>
      </c>
      <c r="I4682" s="86">
        <v>41913</v>
      </c>
      <c r="J4682" s="78">
        <v>803</v>
      </c>
    </row>
    <row r="4683" spans="6:10" x14ac:dyDescent="0.25">
      <c r="F4683" s="76" t="s">
        <v>150</v>
      </c>
      <c r="G4683" s="77" t="s">
        <v>229</v>
      </c>
      <c r="H4683" s="77" t="s">
        <v>158</v>
      </c>
      <c r="I4683" s="86">
        <v>41914</v>
      </c>
      <c r="J4683" s="78">
        <v>942</v>
      </c>
    </row>
    <row r="4684" spans="6:10" x14ac:dyDescent="0.25">
      <c r="F4684" s="76" t="s">
        <v>150</v>
      </c>
      <c r="G4684" s="77" t="s">
        <v>229</v>
      </c>
      <c r="H4684" s="77" t="s">
        <v>158</v>
      </c>
      <c r="I4684" s="86">
        <v>41916</v>
      </c>
      <c r="J4684" s="78">
        <v>809</v>
      </c>
    </row>
    <row r="4685" spans="6:10" x14ac:dyDescent="0.25">
      <c r="F4685" s="76" t="s">
        <v>150</v>
      </c>
      <c r="G4685" s="77" t="s">
        <v>229</v>
      </c>
      <c r="H4685" s="77" t="s">
        <v>158</v>
      </c>
      <c r="I4685" s="86">
        <v>41916</v>
      </c>
      <c r="J4685" s="78">
        <v>667</v>
      </c>
    </row>
    <row r="4686" spans="6:10" x14ac:dyDescent="0.25">
      <c r="F4686" s="76" t="s">
        <v>150</v>
      </c>
      <c r="G4686" s="77" t="s">
        <v>229</v>
      </c>
      <c r="H4686" s="77" t="s">
        <v>158</v>
      </c>
      <c r="I4686" s="86">
        <v>41918</v>
      </c>
      <c r="J4686" s="78">
        <v>1335</v>
      </c>
    </row>
    <row r="4687" spans="6:10" x14ac:dyDescent="0.25">
      <c r="F4687" s="76" t="s">
        <v>150</v>
      </c>
      <c r="G4687" s="77" t="s">
        <v>229</v>
      </c>
      <c r="H4687" s="77" t="s">
        <v>158</v>
      </c>
      <c r="I4687" s="86">
        <v>41920</v>
      </c>
      <c r="J4687" s="78">
        <v>943</v>
      </c>
    </row>
    <row r="4688" spans="6:10" x14ac:dyDescent="0.25">
      <c r="F4688" s="76" t="s">
        <v>150</v>
      </c>
      <c r="G4688" s="77" t="s">
        <v>229</v>
      </c>
      <c r="H4688" s="77" t="s">
        <v>158</v>
      </c>
      <c r="I4688" s="86">
        <v>41925</v>
      </c>
      <c r="J4688" s="78">
        <v>1281</v>
      </c>
    </row>
    <row r="4689" spans="6:10" x14ac:dyDescent="0.25">
      <c r="F4689" s="76" t="s">
        <v>150</v>
      </c>
      <c r="G4689" s="77" t="s">
        <v>229</v>
      </c>
      <c r="H4689" s="77" t="s">
        <v>158</v>
      </c>
      <c r="I4689" s="86">
        <v>41926</v>
      </c>
      <c r="J4689" s="78">
        <v>338</v>
      </c>
    </row>
    <row r="4690" spans="6:10" x14ac:dyDescent="0.25">
      <c r="F4690" s="76" t="s">
        <v>150</v>
      </c>
      <c r="G4690" s="77" t="s">
        <v>229</v>
      </c>
      <c r="H4690" s="77" t="s">
        <v>158</v>
      </c>
      <c r="I4690" s="86">
        <v>41926</v>
      </c>
      <c r="J4690" s="78">
        <v>603</v>
      </c>
    </row>
    <row r="4691" spans="6:10" x14ac:dyDescent="0.25">
      <c r="F4691" s="76" t="s">
        <v>150</v>
      </c>
      <c r="G4691" s="77" t="s">
        <v>229</v>
      </c>
      <c r="H4691" s="77" t="s">
        <v>158</v>
      </c>
      <c r="I4691" s="86">
        <v>41928</v>
      </c>
      <c r="J4691" s="78">
        <v>1197</v>
      </c>
    </row>
    <row r="4692" spans="6:10" x14ac:dyDescent="0.25">
      <c r="F4692" s="76" t="s">
        <v>150</v>
      </c>
      <c r="G4692" s="77" t="s">
        <v>229</v>
      </c>
      <c r="H4692" s="77" t="s">
        <v>158</v>
      </c>
      <c r="I4692" s="86">
        <v>41938</v>
      </c>
      <c r="J4692" s="78">
        <v>897</v>
      </c>
    </row>
    <row r="4693" spans="6:10" x14ac:dyDescent="0.25">
      <c r="F4693" s="76" t="s">
        <v>150</v>
      </c>
      <c r="G4693" s="77" t="s">
        <v>229</v>
      </c>
      <c r="H4693" s="77" t="s">
        <v>158</v>
      </c>
      <c r="I4693" s="86">
        <v>41941</v>
      </c>
      <c r="J4693" s="78">
        <v>1175</v>
      </c>
    </row>
    <row r="4694" spans="6:10" x14ac:dyDescent="0.25">
      <c r="F4694" s="76" t="s">
        <v>150</v>
      </c>
      <c r="G4694" s="77" t="s">
        <v>229</v>
      </c>
      <c r="H4694" s="77" t="s">
        <v>158</v>
      </c>
      <c r="I4694" s="86">
        <v>41946</v>
      </c>
      <c r="J4694" s="78">
        <v>1306</v>
      </c>
    </row>
    <row r="4695" spans="6:10" x14ac:dyDescent="0.25">
      <c r="F4695" s="76" t="s">
        <v>150</v>
      </c>
      <c r="G4695" s="77" t="s">
        <v>229</v>
      </c>
      <c r="H4695" s="77" t="s">
        <v>158</v>
      </c>
      <c r="I4695" s="86">
        <v>41948</v>
      </c>
      <c r="J4695" s="78">
        <v>807</v>
      </c>
    </row>
    <row r="4696" spans="6:10" x14ac:dyDescent="0.25">
      <c r="F4696" s="76" t="s">
        <v>150</v>
      </c>
      <c r="G4696" s="77" t="s">
        <v>229</v>
      </c>
      <c r="H4696" s="77" t="s">
        <v>158</v>
      </c>
      <c r="I4696" s="86">
        <v>41949</v>
      </c>
      <c r="J4696" s="78">
        <v>464</v>
      </c>
    </row>
    <row r="4697" spans="6:10" x14ac:dyDescent="0.25">
      <c r="F4697" s="76" t="s">
        <v>150</v>
      </c>
      <c r="G4697" s="77" t="s">
        <v>229</v>
      </c>
      <c r="H4697" s="77" t="s">
        <v>158</v>
      </c>
      <c r="I4697" s="86">
        <v>41949</v>
      </c>
      <c r="J4697" s="78">
        <v>422</v>
      </c>
    </row>
    <row r="4698" spans="6:10" x14ac:dyDescent="0.25">
      <c r="F4698" s="76" t="s">
        <v>150</v>
      </c>
      <c r="G4698" s="77" t="s">
        <v>229</v>
      </c>
      <c r="H4698" s="77" t="s">
        <v>158</v>
      </c>
      <c r="I4698" s="86">
        <v>41951</v>
      </c>
      <c r="J4698" s="78">
        <v>652</v>
      </c>
    </row>
    <row r="4699" spans="6:10" x14ac:dyDescent="0.25">
      <c r="F4699" s="76" t="s">
        <v>150</v>
      </c>
      <c r="G4699" s="77" t="s">
        <v>229</v>
      </c>
      <c r="H4699" s="77" t="s">
        <v>158</v>
      </c>
      <c r="I4699" s="86">
        <v>41951</v>
      </c>
      <c r="J4699" s="78">
        <v>1131</v>
      </c>
    </row>
    <row r="4700" spans="6:10" x14ac:dyDescent="0.25">
      <c r="F4700" s="76" t="s">
        <v>150</v>
      </c>
      <c r="G4700" s="77" t="s">
        <v>229</v>
      </c>
      <c r="H4700" s="77" t="s">
        <v>158</v>
      </c>
      <c r="I4700" s="86">
        <v>41952</v>
      </c>
      <c r="J4700" s="78">
        <v>685</v>
      </c>
    </row>
    <row r="4701" spans="6:10" x14ac:dyDescent="0.25">
      <c r="F4701" s="76" t="s">
        <v>150</v>
      </c>
      <c r="G4701" s="77" t="s">
        <v>229</v>
      </c>
      <c r="H4701" s="77" t="s">
        <v>158</v>
      </c>
      <c r="I4701" s="86">
        <v>41962</v>
      </c>
      <c r="J4701" s="78">
        <v>704</v>
      </c>
    </row>
    <row r="4702" spans="6:10" x14ac:dyDescent="0.25">
      <c r="F4702" s="76" t="s">
        <v>150</v>
      </c>
      <c r="G4702" s="77" t="s">
        <v>229</v>
      </c>
      <c r="H4702" s="77" t="s">
        <v>158</v>
      </c>
      <c r="I4702" s="86">
        <v>41964</v>
      </c>
      <c r="J4702" s="78">
        <v>1042</v>
      </c>
    </row>
    <row r="4703" spans="6:10" x14ac:dyDescent="0.25">
      <c r="F4703" s="76" t="s">
        <v>150</v>
      </c>
      <c r="G4703" s="77" t="s">
        <v>229</v>
      </c>
      <c r="H4703" s="77" t="s">
        <v>158</v>
      </c>
      <c r="I4703" s="86">
        <v>41969</v>
      </c>
      <c r="J4703" s="78">
        <v>1347</v>
      </c>
    </row>
    <row r="4704" spans="6:10" x14ac:dyDescent="0.25">
      <c r="F4704" s="76" t="s">
        <v>150</v>
      </c>
      <c r="G4704" s="77" t="s">
        <v>229</v>
      </c>
      <c r="H4704" s="77" t="s">
        <v>158</v>
      </c>
      <c r="I4704" s="86">
        <v>41972</v>
      </c>
      <c r="J4704" s="78">
        <v>1598</v>
      </c>
    </row>
    <row r="4705" spans="6:10" x14ac:dyDescent="0.25">
      <c r="F4705" s="76" t="s">
        <v>150</v>
      </c>
      <c r="G4705" s="77" t="s">
        <v>229</v>
      </c>
      <c r="H4705" s="77" t="s">
        <v>158</v>
      </c>
      <c r="I4705" s="86">
        <v>41985</v>
      </c>
      <c r="J4705" s="78">
        <v>668</v>
      </c>
    </row>
    <row r="4706" spans="6:10" x14ac:dyDescent="0.25">
      <c r="F4706" s="76" t="s">
        <v>150</v>
      </c>
      <c r="G4706" s="77" t="s">
        <v>229</v>
      </c>
      <c r="H4706" s="77" t="s">
        <v>158</v>
      </c>
      <c r="I4706" s="86">
        <v>41988</v>
      </c>
      <c r="J4706" s="78">
        <v>799</v>
      </c>
    </row>
    <row r="4707" spans="6:10" x14ac:dyDescent="0.25">
      <c r="F4707" s="76" t="s">
        <v>150</v>
      </c>
      <c r="G4707" s="77" t="s">
        <v>229</v>
      </c>
      <c r="H4707" s="77" t="s">
        <v>158</v>
      </c>
      <c r="I4707" s="86">
        <v>41991</v>
      </c>
      <c r="J4707" s="78">
        <v>484</v>
      </c>
    </row>
    <row r="4708" spans="6:10" x14ac:dyDescent="0.25">
      <c r="F4708" s="76" t="s">
        <v>150</v>
      </c>
      <c r="G4708" s="77" t="s">
        <v>229</v>
      </c>
      <c r="H4708" s="77" t="s">
        <v>158</v>
      </c>
      <c r="I4708" s="86">
        <v>41997</v>
      </c>
      <c r="J4708" s="78">
        <v>1228</v>
      </c>
    </row>
    <row r="4709" spans="6:10" x14ac:dyDescent="0.25">
      <c r="F4709" s="76" t="s">
        <v>150</v>
      </c>
      <c r="G4709" s="77" t="s">
        <v>229</v>
      </c>
      <c r="H4709" s="77" t="s">
        <v>158</v>
      </c>
      <c r="I4709" s="86">
        <v>41999</v>
      </c>
      <c r="J4709" s="78">
        <v>906</v>
      </c>
    </row>
    <row r="4710" spans="6:10" x14ac:dyDescent="0.25">
      <c r="F4710" s="76" t="s">
        <v>150</v>
      </c>
      <c r="G4710" s="77" t="s">
        <v>229</v>
      </c>
      <c r="H4710" s="77" t="s">
        <v>158</v>
      </c>
      <c r="I4710" s="86">
        <v>42002</v>
      </c>
      <c r="J4710" s="78">
        <v>1516</v>
      </c>
    </row>
    <row r="4711" spans="6:10" x14ac:dyDescent="0.25">
      <c r="F4711" s="76" t="s">
        <v>150</v>
      </c>
      <c r="G4711" s="77" t="s">
        <v>230</v>
      </c>
      <c r="H4711" s="77" t="s">
        <v>158</v>
      </c>
      <c r="I4711" s="86">
        <v>41645</v>
      </c>
      <c r="J4711" s="78">
        <v>397</v>
      </c>
    </row>
    <row r="4712" spans="6:10" x14ac:dyDescent="0.25">
      <c r="F4712" s="76" t="s">
        <v>150</v>
      </c>
      <c r="G4712" s="77" t="s">
        <v>230</v>
      </c>
      <c r="H4712" s="77" t="s">
        <v>158</v>
      </c>
      <c r="I4712" s="86">
        <v>41646</v>
      </c>
      <c r="J4712" s="78">
        <v>883</v>
      </c>
    </row>
    <row r="4713" spans="6:10" x14ac:dyDescent="0.25">
      <c r="F4713" s="76" t="s">
        <v>150</v>
      </c>
      <c r="G4713" s="77" t="s">
        <v>230</v>
      </c>
      <c r="H4713" s="77" t="s">
        <v>158</v>
      </c>
      <c r="I4713" s="86">
        <v>41647</v>
      </c>
      <c r="J4713" s="78">
        <v>828</v>
      </c>
    </row>
    <row r="4714" spans="6:10" x14ac:dyDescent="0.25">
      <c r="F4714" s="76" t="s">
        <v>150</v>
      </c>
      <c r="G4714" s="77" t="s">
        <v>230</v>
      </c>
      <c r="H4714" s="77" t="s">
        <v>158</v>
      </c>
      <c r="I4714" s="86">
        <v>41649</v>
      </c>
      <c r="J4714" s="78">
        <v>1259</v>
      </c>
    </row>
    <row r="4715" spans="6:10" x14ac:dyDescent="0.25">
      <c r="F4715" s="76" t="s">
        <v>150</v>
      </c>
      <c r="G4715" s="77" t="s">
        <v>230</v>
      </c>
      <c r="H4715" s="77" t="s">
        <v>158</v>
      </c>
      <c r="I4715" s="86">
        <v>41652</v>
      </c>
      <c r="J4715" s="78">
        <v>703</v>
      </c>
    </row>
    <row r="4716" spans="6:10" x14ac:dyDescent="0.25">
      <c r="F4716" s="76" t="s">
        <v>150</v>
      </c>
      <c r="G4716" s="77" t="s">
        <v>230</v>
      </c>
      <c r="H4716" s="77" t="s">
        <v>158</v>
      </c>
      <c r="I4716" s="86">
        <v>41653</v>
      </c>
      <c r="J4716" s="78">
        <v>505</v>
      </c>
    </row>
    <row r="4717" spans="6:10" x14ac:dyDescent="0.25">
      <c r="F4717" s="76" t="s">
        <v>150</v>
      </c>
      <c r="G4717" s="77" t="s">
        <v>230</v>
      </c>
      <c r="H4717" s="77" t="s">
        <v>158</v>
      </c>
      <c r="I4717" s="86">
        <v>41656</v>
      </c>
      <c r="J4717" s="78">
        <v>1087</v>
      </c>
    </row>
    <row r="4718" spans="6:10" x14ac:dyDescent="0.25">
      <c r="F4718" s="76" t="s">
        <v>150</v>
      </c>
      <c r="G4718" s="77" t="s">
        <v>230</v>
      </c>
      <c r="H4718" s="77" t="s">
        <v>158</v>
      </c>
      <c r="I4718" s="86">
        <v>41658</v>
      </c>
      <c r="J4718" s="78">
        <v>768</v>
      </c>
    </row>
    <row r="4719" spans="6:10" x14ac:dyDescent="0.25">
      <c r="F4719" s="76" t="s">
        <v>150</v>
      </c>
      <c r="G4719" s="77" t="s">
        <v>230</v>
      </c>
      <c r="H4719" s="77" t="s">
        <v>158</v>
      </c>
      <c r="I4719" s="86">
        <v>41659</v>
      </c>
      <c r="J4719" s="78">
        <v>828</v>
      </c>
    </row>
    <row r="4720" spans="6:10" x14ac:dyDescent="0.25">
      <c r="F4720" s="76" t="s">
        <v>150</v>
      </c>
      <c r="G4720" s="77" t="s">
        <v>230</v>
      </c>
      <c r="H4720" s="77" t="s">
        <v>158</v>
      </c>
      <c r="I4720" s="86">
        <v>41660</v>
      </c>
      <c r="J4720" s="78">
        <v>906</v>
      </c>
    </row>
    <row r="4721" spans="6:10" x14ac:dyDescent="0.25">
      <c r="F4721" s="76" t="s">
        <v>150</v>
      </c>
      <c r="G4721" s="77" t="s">
        <v>230</v>
      </c>
      <c r="H4721" s="77" t="s">
        <v>158</v>
      </c>
      <c r="I4721" s="86">
        <v>41663</v>
      </c>
      <c r="J4721" s="78">
        <v>1169</v>
      </c>
    </row>
    <row r="4722" spans="6:10" x14ac:dyDescent="0.25">
      <c r="F4722" s="76" t="s">
        <v>150</v>
      </c>
      <c r="G4722" s="77" t="s">
        <v>230</v>
      </c>
      <c r="H4722" s="77" t="s">
        <v>158</v>
      </c>
      <c r="I4722" s="86">
        <v>41667</v>
      </c>
      <c r="J4722" s="78">
        <v>1245</v>
      </c>
    </row>
    <row r="4723" spans="6:10" x14ac:dyDescent="0.25">
      <c r="F4723" s="76" t="s">
        <v>150</v>
      </c>
      <c r="G4723" s="77" t="s">
        <v>230</v>
      </c>
      <c r="H4723" s="77" t="s">
        <v>158</v>
      </c>
      <c r="I4723" s="86">
        <v>41669</v>
      </c>
      <c r="J4723" s="78">
        <v>1110</v>
      </c>
    </row>
    <row r="4724" spans="6:10" x14ac:dyDescent="0.25">
      <c r="F4724" s="76" t="s">
        <v>150</v>
      </c>
      <c r="G4724" s="77" t="s">
        <v>230</v>
      </c>
      <c r="H4724" s="77" t="s">
        <v>158</v>
      </c>
      <c r="I4724" s="86">
        <v>41670</v>
      </c>
      <c r="J4724" s="78">
        <v>885</v>
      </c>
    </row>
    <row r="4725" spans="6:10" x14ac:dyDescent="0.25">
      <c r="F4725" s="76" t="s">
        <v>150</v>
      </c>
      <c r="G4725" s="77" t="s">
        <v>230</v>
      </c>
      <c r="H4725" s="77" t="s">
        <v>158</v>
      </c>
      <c r="I4725" s="86">
        <v>41674</v>
      </c>
      <c r="J4725" s="78">
        <v>1007</v>
      </c>
    </row>
    <row r="4726" spans="6:10" x14ac:dyDescent="0.25">
      <c r="F4726" s="76" t="s">
        <v>150</v>
      </c>
      <c r="G4726" s="77" t="s">
        <v>230</v>
      </c>
      <c r="H4726" s="77" t="s">
        <v>158</v>
      </c>
      <c r="I4726" s="86">
        <v>41675</v>
      </c>
      <c r="J4726" s="78">
        <v>622</v>
      </c>
    </row>
    <row r="4727" spans="6:10" x14ac:dyDescent="0.25">
      <c r="F4727" s="76" t="s">
        <v>150</v>
      </c>
      <c r="G4727" s="77" t="s">
        <v>230</v>
      </c>
      <c r="H4727" s="77" t="s">
        <v>158</v>
      </c>
      <c r="I4727" s="86">
        <v>41677</v>
      </c>
      <c r="J4727" s="78">
        <v>1441</v>
      </c>
    </row>
    <row r="4728" spans="6:10" x14ac:dyDescent="0.25">
      <c r="F4728" s="76" t="s">
        <v>150</v>
      </c>
      <c r="G4728" s="77" t="s">
        <v>230</v>
      </c>
      <c r="H4728" s="77" t="s">
        <v>158</v>
      </c>
      <c r="I4728" s="86">
        <v>41679</v>
      </c>
      <c r="J4728" s="78">
        <v>771</v>
      </c>
    </row>
    <row r="4729" spans="6:10" x14ac:dyDescent="0.25">
      <c r="F4729" s="76" t="s">
        <v>150</v>
      </c>
      <c r="G4729" s="77" t="s">
        <v>230</v>
      </c>
      <c r="H4729" s="77" t="s">
        <v>158</v>
      </c>
      <c r="I4729" s="86">
        <v>41680</v>
      </c>
      <c r="J4729" s="78">
        <v>1257</v>
      </c>
    </row>
    <row r="4730" spans="6:10" x14ac:dyDescent="0.25">
      <c r="F4730" s="76" t="s">
        <v>150</v>
      </c>
      <c r="G4730" s="77" t="s">
        <v>230</v>
      </c>
      <c r="H4730" s="77" t="s">
        <v>158</v>
      </c>
      <c r="I4730" s="86">
        <v>41681</v>
      </c>
      <c r="J4730" s="78">
        <v>877</v>
      </c>
    </row>
    <row r="4731" spans="6:10" x14ac:dyDescent="0.25">
      <c r="F4731" s="76" t="s">
        <v>150</v>
      </c>
      <c r="G4731" s="77" t="s">
        <v>230</v>
      </c>
      <c r="H4731" s="77" t="s">
        <v>158</v>
      </c>
      <c r="I4731" s="86">
        <v>41682</v>
      </c>
      <c r="J4731" s="78">
        <v>1471</v>
      </c>
    </row>
    <row r="4732" spans="6:10" x14ac:dyDescent="0.25">
      <c r="F4732" s="76" t="s">
        <v>150</v>
      </c>
      <c r="G4732" s="77" t="s">
        <v>230</v>
      </c>
      <c r="H4732" s="77" t="s">
        <v>158</v>
      </c>
      <c r="I4732" s="86">
        <v>41684</v>
      </c>
      <c r="J4732" s="78">
        <v>288</v>
      </c>
    </row>
    <row r="4733" spans="6:10" x14ac:dyDescent="0.25">
      <c r="F4733" s="76" t="s">
        <v>150</v>
      </c>
      <c r="G4733" s="77" t="s">
        <v>230</v>
      </c>
      <c r="H4733" s="77" t="s">
        <v>158</v>
      </c>
      <c r="I4733" s="86">
        <v>41684</v>
      </c>
      <c r="J4733" s="78">
        <v>1243</v>
      </c>
    </row>
    <row r="4734" spans="6:10" x14ac:dyDescent="0.25">
      <c r="F4734" s="76" t="s">
        <v>150</v>
      </c>
      <c r="G4734" s="77" t="s">
        <v>230</v>
      </c>
      <c r="H4734" s="77" t="s">
        <v>158</v>
      </c>
      <c r="I4734" s="86">
        <v>41687</v>
      </c>
      <c r="J4734" s="78">
        <v>1509</v>
      </c>
    </row>
    <row r="4735" spans="6:10" x14ac:dyDescent="0.25">
      <c r="F4735" s="76" t="s">
        <v>150</v>
      </c>
      <c r="G4735" s="77" t="s">
        <v>230</v>
      </c>
      <c r="H4735" s="77" t="s">
        <v>158</v>
      </c>
      <c r="I4735" s="86">
        <v>41709</v>
      </c>
      <c r="J4735" s="78">
        <v>1004</v>
      </c>
    </row>
    <row r="4736" spans="6:10" x14ac:dyDescent="0.25">
      <c r="F4736" s="76" t="s">
        <v>150</v>
      </c>
      <c r="G4736" s="77" t="s">
        <v>230</v>
      </c>
      <c r="H4736" s="77" t="s">
        <v>158</v>
      </c>
      <c r="I4736" s="86">
        <v>41712</v>
      </c>
      <c r="J4736" s="78">
        <v>1423</v>
      </c>
    </row>
    <row r="4737" spans="6:10" x14ac:dyDescent="0.25">
      <c r="F4737" s="76" t="s">
        <v>150</v>
      </c>
      <c r="G4737" s="77" t="s">
        <v>230</v>
      </c>
      <c r="H4737" s="77" t="s">
        <v>158</v>
      </c>
      <c r="I4737" s="86">
        <v>41716</v>
      </c>
      <c r="J4737" s="78">
        <v>1027</v>
      </c>
    </row>
    <row r="4738" spans="6:10" x14ac:dyDescent="0.25">
      <c r="F4738" s="76" t="s">
        <v>150</v>
      </c>
      <c r="G4738" s="77" t="s">
        <v>230</v>
      </c>
      <c r="H4738" s="77" t="s">
        <v>158</v>
      </c>
      <c r="I4738" s="86">
        <v>41719</v>
      </c>
      <c r="J4738" s="78">
        <v>1181</v>
      </c>
    </row>
    <row r="4739" spans="6:10" x14ac:dyDescent="0.25">
      <c r="F4739" s="76" t="s">
        <v>150</v>
      </c>
      <c r="G4739" s="77" t="s">
        <v>230</v>
      </c>
      <c r="H4739" s="77" t="s">
        <v>158</v>
      </c>
      <c r="I4739" s="86">
        <v>41724</v>
      </c>
      <c r="J4739" s="78">
        <v>1460</v>
      </c>
    </row>
    <row r="4740" spans="6:10" x14ac:dyDescent="0.25">
      <c r="F4740" s="76" t="s">
        <v>150</v>
      </c>
      <c r="G4740" s="77" t="s">
        <v>230</v>
      </c>
      <c r="H4740" s="77" t="s">
        <v>158</v>
      </c>
      <c r="I4740" s="86">
        <v>41730</v>
      </c>
      <c r="J4740" s="78">
        <v>1507</v>
      </c>
    </row>
    <row r="4741" spans="6:10" x14ac:dyDescent="0.25">
      <c r="F4741" s="76" t="s">
        <v>150</v>
      </c>
      <c r="G4741" s="77" t="s">
        <v>230</v>
      </c>
      <c r="H4741" s="77" t="s">
        <v>158</v>
      </c>
      <c r="I4741" s="86">
        <v>41898</v>
      </c>
      <c r="J4741" s="78">
        <v>1501</v>
      </c>
    </row>
    <row r="4742" spans="6:10" x14ac:dyDescent="0.25">
      <c r="F4742" s="76" t="s">
        <v>150</v>
      </c>
      <c r="G4742" s="77" t="s">
        <v>232</v>
      </c>
      <c r="H4742" s="77" t="s">
        <v>158</v>
      </c>
      <c r="I4742" s="86">
        <v>41656</v>
      </c>
      <c r="J4742" s="78">
        <v>801</v>
      </c>
    </row>
    <row r="4743" spans="6:10" x14ac:dyDescent="0.25">
      <c r="F4743" s="76" t="s">
        <v>150</v>
      </c>
      <c r="G4743" s="77" t="s">
        <v>232</v>
      </c>
      <c r="H4743" s="77" t="s">
        <v>158</v>
      </c>
      <c r="I4743" s="86">
        <v>41674</v>
      </c>
      <c r="J4743" s="78">
        <v>968</v>
      </c>
    </row>
    <row r="4744" spans="6:10" x14ac:dyDescent="0.25">
      <c r="F4744" s="76" t="s">
        <v>150</v>
      </c>
      <c r="G4744" s="77" t="s">
        <v>232</v>
      </c>
      <c r="H4744" s="77" t="s">
        <v>158</v>
      </c>
      <c r="I4744" s="86">
        <v>41710</v>
      </c>
      <c r="J4744" s="78">
        <v>1501</v>
      </c>
    </row>
    <row r="4745" spans="6:10" x14ac:dyDescent="0.25">
      <c r="F4745" s="76" t="s">
        <v>150</v>
      </c>
      <c r="G4745" s="77" t="s">
        <v>232</v>
      </c>
      <c r="H4745" s="77" t="s">
        <v>158</v>
      </c>
      <c r="I4745" s="86">
        <v>41711</v>
      </c>
      <c r="J4745" s="78">
        <v>402</v>
      </c>
    </row>
    <row r="4746" spans="6:10" x14ac:dyDescent="0.25">
      <c r="F4746" s="76" t="s">
        <v>150</v>
      </c>
      <c r="G4746" s="77" t="s">
        <v>232</v>
      </c>
      <c r="H4746" s="77" t="s">
        <v>158</v>
      </c>
      <c r="I4746" s="86">
        <v>41713</v>
      </c>
      <c r="J4746" s="78">
        <v>641</v>
      </c>
    </row>
    <row r="4747" spans="6:10" x14ac:dyDescent="0.25">
      <c r="F4747" s="76" t="s">
        <v>150</v>
      </c>
      <c r="G4747" s="77" t="s">
        <v>232</v>
      </c>
      <c r="H4747" s="77" t="s">
        <v>158</v>
      </c>
      <c r="I4747" s="86">
        <v>41713</v>
      </c>
      <c r="J4747" s="78">
        <v>1401</v>
      </c>
    </row>
    <row r="4748" spans="6:10" x14ac:dyDescent="0.25">
      <c r="F4748" s="76" t="s">
        <v>150</v>
      </c>
      <c r="G4748" s="77" t="s">
        <v>232</v>
      </c>
      <c r="H4748" s="77" t="s">
        <v>158</v>
      </c>
      <c r="I4748" s="86">
        <v>41714</v>
      </c>
      <c r="J4748" s="78">
        <v>836</v>
      </c>
    </row>
    <row r="4749" spans="6:10" x14ac:dyDescent="0.25">
      <c r="F4749" s="76" t="s">
        <v>150</v>
      </c>
      <c r="G4749" s="77" t="s">
        <v>232</v>
      </c>
      <c r="H4749" s="77" t="s">
        <v>158</v>
      </c>
      <c r="I4749" s="86">
        <v>41716</v>
      </c>
      <c r="J4749" s="78">
        <v>1007</v>
      </c>
    </row>
    <row r="4750" spans="6:10" x14ac:dyDescent="0.25">
      <c r="F4750" s="76" t="s">
        <v>150</v>
      </c>
      <c r="G4750" s="77" t="s">
        <v>232</v>
      </c>
      <c r="H4750" s="77" t="s">
        <v>158</v>
      </c>
      <c r="I4750" s="86">
        <v>41718</v>
      </c>
      <c r="J4750" s="78">
        <v>1373</v>
      </c>
    </row>
    <row r="4751" spans="6:10" x14ac:dyDescent="0.25">
      <c r="F4751" s="76" t="s">
        <v>150</v>
      </c>
      <c r="G4751" s="77" t="s">
        <v>232</v>
      </c>
      <c r="H4751" s="77" t="s">
        <v>158</v>
      </c>
      <c r="I4751" s="86">
        <v>41744</v>
      </c>
      <c r="J4751" s="78">
        <v>984</v>
      </c>
    </row>
    <row r="4752" spans="6:10" x14ac:dyDescent="0.25">
      <c r="F4752" s="76" t="s">
        <v>150</v>
      </c>
      <c r="G4752" s="77" t="s">
        <v>232</v>
      </c>
      <c r="H4752" s="77" t="s">
        <v>158</v>
      </c>
      <c r="I4752" s="86">
        <v>41746</v>
      </c>
      <c r="J4752" s="78">
        <v>838</v>
      </c>
    </row>
    <row r="4753" spans="6:10" x14ac:dyDescent="0.25">
      <c r="F4753" s="76" t="s">
        <v>150</v>
      </c>
      <c r="G4753" s="77" t="s">
        <v>232</v>
      </c>
      <c r="H4753" s="77" t="s">
        <v>158</v>
      </c>
      <c r="I4753" s="86">
        <v>41772</v>
      </c>
      <c r="J4753" s="78">
        <v>729</v>
      </c>
    </row>
    <row r="4754" spans="6:10" x14ac:dyDescent="0.25">
      <c r="F4754" s="76" t="s">
        <v>150</v>
      </c>
      <c r="G4754" s="77" t="s">
        <v>232</v>
      </c>
      <c r="H4754" s="77" t="s">
        <v>158</v>
      </c>
      <c r="I4754" s="86">
        <v>41774</v>
      </c>
      <c r="J4754" s="78">
        <v>1028</v>
      </c>
    </row>
    <row r="4755" spans="6:10" x14ac:dyDescent="0.25">
      <c r="F4755" s="76" t="s">
        <v>150</v>
      </c>
      <c r="G4755" s="77" t="s">
        <v>232</v>
      </c>
      <c r="H4755" s="77" t="s">
        <v>158</v>
      </c>
      <c r="I4755" s="86">
        <v>41778</v>
      </c>
      <c r="J4755" s="78">
        <v>601</v>
      </c>
    </row>
    <row r="4756" spans="6:10" x14ac:dyDescent="0.25">
      <c r="F4756" s="76" t="s">
        <v>150</v>
      </c>
      <c r="G4756" s="77" t="s">
        <v>232</v>
      </c>
      <c r="H4756" s="77" t="s">
        <v>158</v>
      </c>
      <c r="I4756" s="86">
        <v>41780</v>
      </c>
      <c r="J4756" s="78">
        <v>235</v>
      </c>
    </row>
    <row r="4757" spans="6:10" x14ac:dyDescent="0.25">
      <c r="F4757" s="76" t="s">
        <v>150</v>
      </c>
      <c r="G4757" s="77" t="s">
        <v>232</v>
      </c>
      <c r="H4757" s="77" t="s">
        <v>158</v>
      </c>
      <c r="I4757" s="86">
        <v>41780</v>
      </c>
      <c r="J4757" s="78">
        <v>1097</v>
      </c>
    </row>
    <row r="4758" spans="6:10" x14ac:dyDescent="0.25">
      <c r="F4758" s="76" t="s">
        <v>150</v>
      </c>
      <c r="G4758" s="77" t="s">
        <v>232</v>
      </c>
      <c r="H4758" s="77" t="s">
        <v>158</v>
      </c>
      <c r="I4758" s="86">
        <v>41782</v>
      </c>
      <c r="J4758" s="78">
        <v>907</v>
      </c>
    </row>
    <row r="4759" spans="6:10" x14ac:dyDescent="0.25">
      <c r="F4759" s="76" t="s">
        <v>150</v>
      </c>
      <c r="G4759" s="77" t="s">
        <v>232</v>
      </c>
      <c r="H4759" s="77" t="s">
        <v>158</v>
      </c>
      <c r="I4759" s="86">
        <v>41786</v>
      </c>
      <c r="J4759" s="78">
        <v>927</v>
      </c>
    </row>
    <row r="4760" spans="6:10" x14ac:dyDescent="0.25">
      <c r="F4760" s="76" t="s">
        <v>150</v>
      </c>
      <c r="G4760" s="77" t="s">
        <v>232</v>
      </c>
      <c r="H4760" s="77" t="s">
        <v>158</v>
      </c>
      <c r="I4760" s="86">
        <v>41788</v>
      </c>
      <c r="J4760" s="78">
        <v>804</v>
      </c>
    </row>
    <row r="4761" spans="6:10" x14ac:dyDescent="0.25">
      <c r="F4761" s="76" t="s">
        <v>150</v>
      </c>
      <c r="G4761" s="77" t="s">
        <v>232</v>
      </c>
      <c r="H4761" s="77" t="s">
        <v>158</v>
      </c>
      <c r="I4761" s="86">
        <v>41789</v>
      </c>
      <c r="J4761" s="78">
        <v>620</v>
      </c>
    </row>
    <row r="4762" spans="6:10" x14ac:dyDescent="0.25">
      <c r="F4762" s="76" t="s">
        <v>150</v>
      </c>
      <c r="G4762" s="77" t="s">
        <v>232</v>
      </c>
      <c r="H4762" s="77" t="s">
        <v>158</v>
      </c>
      <c r="I4762" s="86">
        <v>41790</v>
      </c>
      <c r="J4762" s="78">
        <v>734</v>
      </c>
    </row>
    <row r="4763" spans="6:10" x14ac:dyDescent="0.25">
      <c r="F4763" s="76" t="s">
        <v>150</v>
      </c>
      <c r="G4763" s="77" t="s">
        <v>232</v>
      </c>
      <c r="H4763" s="77" t="s">
        <v>158</v>
      </c>
      <c r="I4763" s="86">
        <v>41791</v>
      </c>
      <c r="J4763" s="78">
        <v>801</v>
      </c>
    </row>
    <row r="4764" spans="6:10" x14ac:dyDescent="0.25">
      <c r="F4764" s="76" t="s">
        <v>150</v>
      </c>
      <c r="G4764" s="77" t="s">
        <v>232</v>
      </c>
      <c r="H4764" s="77" t="s">
        <v>158</v>
      </c>
      <c r="I4764" s="86">
        <v>41792</v>
      </c>
      <c r="J4764" s="78">
        <v>517</v>
      </c>
    </row>
    <row r="4765" spans="6:10" x14ac:dyDescent="0.25">
      <c r="F4765" s="76" t="s">
        <v>150</v>
      </c>
      <c r="G4765" s="77" t="s">
        <v>232</v>
      </c>
      <c r="H4765" s="77" t="s">
        <v>158</v>
      </c>
      <c r="I4765" s="86">
        <v>41793</v>
      </c>
      <c r="J4765" s="78">
        <v>1149</v>
      </c>
    </row>
    <row r="4766" spans="6:10" x14ac:dyDescent="0.25">
      <c r="F4766" s="76" t="s">
        <v>150</v>
      </c>
      <c r="G4766" s="77" t="s">
        <v>232</v>
      </c>
      <c r="H4766" s="77" t="s">
        <v>158</v>
      </c>
      <c r="I4766" s="86">
        <v>41794</v>
      </c>
      <c r="J4766" s="78">
        <v>647</v>
      </c>
    </row>
    <row r="4767" spans="6:10" x14ac:dyDescent="0.25">
      <c r="F4767" s="76" t="s">
        <v>150</v>
      </c>
      <c r="G4767" s="77" t="s">
        <v>232</v>
      </c>
      <c r="H4767" s="77" t="s">
        <v>158</v>
      </c>
      <c r="I4767" s="86">
        <v>41795</v>
      </c>
      <c r="J4767" s="78">
        <v>455</v>
      </c>
    </row>
    <row r="4768" spans="6:10" x14ac:dyDescent="0.25">
      <c r="F4768" s="76" t="s">
        <v>150</v>
      </c>
      <c r="G4768" s="77" t="s">
        <v>232</v>
      </c>
      <c r="H4768" s="77" t="s">
        <v>158</v>
      </c>
      <c r="I4768" s="86">
        <v>41796</v>
      </c>
      <c r="J4768" s="78">
        <v>598</v>
      </c>
    </row>
    <row r="4769" spans="6:10" x14ac:dyDescent="0.25">
      <c r="F4769" s="76" t="s">
        <v>150</v>
      </c>
      <c r="G4769" s="77" t="s">
        <v>232</v>
      </c>
      <c r="H4769" s="77" t="s">
        <v>158</v>
      </c>
      <c r="I4769" s="86">
        <v>41830</v>
      </c>
      <c r="J4769" s="78">
        <v>1132</v>
      </c>
    </row>
    <row r="4770" spans="6:10" x14ac:dyDescent="0.25">
      <c r="F4770" s="76" t="s">
        <v>150</v>
      </c>
      <c r="G4770" s="77" t="s">
        <v>232</v>
      </c>
      <c r="H4770" s="77" t="s">
        <v>158</v>
      </c>
      <c r="I4770" s="86">
        <v>41831</v>
      </c>
      <c r="J4770" s="78">
        <v>1555</v>
      </c>
    </row>
    <row r="4771" spans="6:10" x14ac:dyDescent="0.25">
      <c r="F4771" s="76" t="s">
        <v>150</v>
      </c>
      <c r="G4771" s="77" t="s">
        <v>232</v>
      </c>
      <c r="H4771" s="77" t="s">
        <v>158</v>
      </c>
      <c r="I4771" s="86">
        <v>41834</v>
      </c>
      <c r="J4771" s="78">
        <v>516</v>
      </c>
    </row>
    <row r="4772" spans="6:10" x14ac:dyDescent="0.25">
      <c r="F4772" s="76" t="s">
        <v>150</v>
      </c>
      <c r="G4772" s="77" t="s">
        <v>232</v>
      </c>
      <c r="H4772" s="77" t="s">
        <v>158</v>
      </c>
      <c r="I4772" s="86">
        <v>41836</v>
      </c>
      <c r="J4772" s="78">
        <v>1035</v>
      </c>
    </row>
    <row r="4773" spans="6:10" x14ac:dyDescent="0.25">
      <c r="F4773" s="76" t="s">
        <v>150</v>
      </c>
      <c r="G4773" s="77" t="s">
        <v>232</v>
      </c>
      <c r="H4773" s="77" t="s">
        <v>158</v>
      </c>
      <c r="I4773" s="86">
        <v>41837</v>
      </c>
      <c r="J4773" s="78">
        <v>559</v>
      </c>
    </row>
    <row r="4774" spans="6:10" x14ac:dyDescent="0.25">
      <c r="F4774" s="76" t="s">
        <v>150</v>
      </c>
      <c r="G4774" s="77" t="s">
        <v>232</v>
      </c>
      <c r="H4774" s="77" t="s">
        <v>158</v>
      </c>
      <c r="I4774" s="86">
        <v>41838</v>
      </c>
      <c r="J4774" s="78">
        <v>613</v>
      </c>
    </row>
    <row r="4775" spans="6:10" x14ac:dyDescent="0.25">
      <c r="F4775" s="76" t="s">
        <v>150</v>
      </c>
      <c r="G4775" s="77" t="s">
        <v>232</v>
      </c>
      <c r="H4775" s="77" t="s">
        <v>158</v>
      </c>
      <c r="I4775" s="86">
        <v>41839</v>
      </c>
      <c r="J4775" s="78">
        <v>828</v>
      </c>
    </row>
    <row r="4776" spans="6:10" x14ac:dyDescent="0.25">
      <c r="F4776" s="76" t="s">
        <v>150</v>
      </c>
      <c r="G4776" s="77" t="s">
        <v>232</v>
      </c>
      <c r="H4776" s="77" t="s">
        <v>158</v>
      </c>
      <c r="I4776" s="86">
        <v>41840</v>
      </c>
      <c r="J4776" s="78">
        <v>496</v>
      </c>
    </row>
    <row r="4777" spans="6:10" x14ac:dyDescent="0.25">
      <c r="F4777" s="76" t="s">
        <v>150</v>
      </c>
      <c r="G4777" s="77" t="s">
        <v>232</v>
      </c>
      <c r="H4777" s="77" t="s">
        <v>158</v>
      </c>
      <c r="I4777" s="86">
        <v>41841</v>
      </c>
      <c r="J4777" s="78">
        <v>763</v>
      </c>
    </row>
    <row r="4778" spans="6:10" x14ac:dyDescent="0.25">
      <c r="F4778" s="76" t="s">
        <v>150</v>
      </c>
      <c r="G4778" s="77" t="s">
        <v>232</v>
      </c>
      <c r="H4778" s="77" t="s">
        <v>158</v>
      </c>
      <c r="I4778" s="86">
        <v>41843</v>
      </c>
      <c r="J4778" s="78">
        <v>1071</v>
      </c>
    </row>
    <row r="4779" spans="6:10" x14ac:dyDescent="0.25">
      <c r="F4779" s="76" t="s">
        <v>150</v>
      </c>
      <c r="G4779" s="77" t="s">
        <v>232</v>
      </c>
      <c r="H4779" s="77" t="s">
        <v>158</v>
      </c>
      <c r="I4779" s="86">
        <v>41880</v>
      </c>
      <c r="J4779" s="78">
        <v>478</v>
      </c>
    </row>
    <row r="4780" spans="6:10" x14ac:dyDescent="0.25">
      <c r="F4780" s="76" t="s">
        <v>150</v>
      </c>
      <c r="G4780" s="77" t="s">
        <v>232</v>
      </c>
      <c r="H4780" s="77" t="s">
        <v>158</v>
      </c>
      <c r="I4780" s="86">
        <v>41881</v>
      </c>
      <c r="J4780" s="78">
        <v>236</v>
      </c>
    </row>
    <row r="4781" spans="6:10" x14ac:dyDescent="0.25">
      <c r="F4781" s="76" t="s">
        <v>150</v>
      </c>
      <c r="G4781" s="77" t="s">
        <v>232</v>
      </c>
      <c r="H4781" s="77" t="s">
        <v>158</v>
      </c>
      <c r="I4781" s="86">
        <v>41887</v>
      </c>
      <c r="J4781" s="78">
        <v>1158</v>
      </c>
    </row>
    <row r="4782" spans="6:10" x14ac:dyDescent="0.25">
      <c r="F4782" s="76" t="s">
        <v>150</v>
      </c>
      <c r="G4782" s="77" t="s">
        <v>232</v>
      </c>
      <c r="H4782" s="77" t="s">
        <v>158</v>
      </c>
      <c r="I4782" s="86">
        <v>41890</v>
      </c>
      <c r="J4782" s="78">
        <v>428</v>
      </c>
    </row>
    <row r="4783" spans="6:10" x14ac:dyDescent="0.25">
      <c r="F4783" s="76" t="s">
        <v>150</v>
      </c>
      <c r="G4783" s="77" t="s">
        <v>232</v>
      </c>
      <c r="H4783" s="77" t="s">
        <v>158</v>
      </c>
      <c r="I4783" s="86">
        <v>41892</v>
      </c>
      <c r="J4783" s="78">
        <v>1085</v>
      </c>
    </row>
    <row r="4784" spans="6:10" x14ac:dyDescent="0.25">
      <c r="F4784" s="76" t="s">
        <v>150</v>
      </c>
      <c r="G4784" s="77" t="s">
        <v>232</v>
      </c>
      <c r="H4784" s="77" t="s">
        <v>158</v>
      </c>
      <c r="I4784" s="86">
        <v>41926</v>
      </c>
      <c r="J4784" s="78">
        <v>1221</v>
      </c>
    </row>
    <row r="4785" spans="6:10" x14ac:dyDescent="0.25">
      <c r="F4785" s="76" t="s">
        <v>150</v>
      </c>
      <c r="G4785" s="77" t="s">
        <v>232</v>
      </c>
      <c r="H4785" s="77" t="s">
        <v>158</v>
      </c>
      <c r="I4785" s="86">
        <v>41928</v>
      </c>
      <c r="J4785" s="78">
        <v>1084</v>
      </c>
    </row>
    <row r="4786" spans="6:10" x14ac:dyDescent="0.25">
      <c r="F4786" s="76" t="s">
        <v>150</v>
      </c>
      <c r="G4786" s="77" t="s">
        <v>232</v>
      </c>
      <c r="H4786" s="77" t="s">
        <v>158</v>
      </c>
      <c r="I4786" s="86">
        <v>41929</v>
      </c>
      <c r="J4786" s="78">
        <v>701</v>
      </c>
    </row>
    <row r="4787" spans="6:10" x14ac:dyDescent="0.25">
      <c r="F4787" s="76" t="s">
        <v>150</v>
      </c>
      <c r="G4787" s="77" t="s">
        <v>232</v>
      </c>
      <c r="H4787" s="77" t="s">
        <v>158</v>
      </c>
      <c r="I4787" s="86">
        <v>41929</v>
      </c>
      <c r="J4787" s="78">
        <v>418</v>
      </c>
    </row>
    <row r="4788" spans="6:10" x14ac:dyDescent="0.25">
      <c r="F4788" s="76" t="s">
        <v>150</v>
      </c>
      <c r="G4788" s="77" t="s">
        <v>232</v>
      </c>
      <c r="H4788" s="77" t="s">
        <v>158</v>
      </c>
      <c r="I4788" s="86">
        <v>41930</v>
      </c>
      <c r="J4788" s="78">
        <v>300</v>
      </c>
    </row>
    <row r="4789" spans="6:10" x14ac:dyDescent="0.25">
      <c r="F4789" s="76" t="s">
        <v>150</v>
      </c>
      <c r="G4789" s="77" t="s">
        <v>232</v>
      </c>
      <c r="H4789" s="77" t="s">
        <v>158</v>
      </c>
      <c r="I4789" s="86">
        <v>41930</v>
      </c>
      <c r="J4789" s="78">
        <v>704</v>
      </c>
    </row>
    <row r="4790" spans="6:10" x14ac:dyDescent="0.25">
      <c r="F4790" s="76" t="s">
        <v>150</v>
      </c>
      <c r="G4790" s="77" t="s">
        <v>232</v>
      </c>
      <c r="H4790" s="77" t="s">
        <v>158</v>
      </c>
      <c r="I4790" s="86">
        <v>41932</v>
      </c>
      <c r="J4790" s="78">
        <v>1135</v>
      </c>
    </row>
    <row r="4791" spans="6:10" x14ac:dyDescent="0.25">
      <c r="F4791" s="76" t="s">
        <v>150</v>
      </c>
      <c r="G4791" s="77" t="s">
        <v>232</v>
      </c>
      <c r="H4791" s="77" t="s">
        <v>158</v>
      </c>
      <c r="I4791" s="86">
        <v>41933</v>
      </c>
      <c r="J4791" s="78">
        <v>916</v>
      </c>
    </row>
    <row r="4792" spans="6:10" x14ac:dyDescent="0.25">
      <c r="F4792" s="76" t="s">
        <v>150</v>
      </c>
      <c r="G4792" s="77" t="s">
        <v>232</v>
      </c>
      <c r="H4792" s="77" t="s">
        <v>158</v>
      </c>
      <c r="I4792" s="86">
        <v>41934</v>
      </c>
      <c r="J4792" s="78">
        <v>384</v>
      </c>
    </row>
    <row r="4793" spans="6:10" x14ac:dyDescent="0.25">
      <c r="F4793" s="76" t="s">
        <v>150</v>
      </c>
      <c r="G4793" s="77" t="s">
        <v>232</v>
      </c>
      <c r="H4793" s="77" t="s">
        <v>158</v>
      </c>
      <c r="I4793" s="86">
        <v>41935</v>
      </c>
      <c r="J4793" s="78">
        <v>565</v>
      </c>
    </row>
    <row r="4794" spans="6:10" x14ac:dyDescent="0.25">
      <c r="F4794" s="76" t="s">
        <v>150</v>
      </c>
      <c r="G4794" s="77" t="s">
        <v>232</v>
      </c>
      <c r="H4794" s="77" t="s">
        <v>158</v>
      </c>
      <c r="I4794" s="86">
        <v>41936</v>
      </c>
      <c r="J4794" s="78">
        <v>822</v>
      </c>
    </row>
    <row r="4795" spans="6:10" x14ac:dyDescent="0.25">
      <c r="F4795" s="76" t="s">
        <v>150</v>
      </c>
      <c r="G4795" s="77" t="s">
        <v>232</v>
      </c>
      <c r="H4795" s="77" t="s">
        <v>158</v>
      </c>
      <c r="I4795" s="86">
        <v>41937</v>
      </c>
      <c r="J4795" s="78">
        <v>341</v>
      </c>
    </row>
    <row r="4796" spans="6:10" x14ac:dyDescent="0.25">
      <c r="F4796" s="76" t="s">
        <v>150</v>
      </c>
      <c r="G4796" s="77" t="s">
        <v>232</v>
      </c>
      <c r="H4796" s="77" t="s">
        <v>158</v>
      </c>
      <c r="I4796" s="86">
        <v>41938</v>
      </c>
      <c r="J4796" s="78">
        <v>615</v>
      </c>
    </row>
    <row r="4797" spans="6:10" x14ac:dyDescent="0.25">
      <c r="F4797" s="76" t="s">
        <v>150</v>
      </c>
      <c r="G4797" s="77" t="s">
        <v>232</v>
      </c>
      <c r="H4797" s="77" t="s">
        <v>158</v>
      </c>
      <c r="I4797" s="86">
        <v>41941</v>
      </c>
      <c r="J4797" s="78">
        <v>851</v>
      </c>
    </row>
    <row r="4798" spans="6:10" x14ac:dyDescent="0.25">
      <c r="F4798" s="76" t="s">
        <v>150</v>
      </c>
      <c r="G4798" s="77" t="s">
        <v>232</v>
      </c>
      <c r="H4798" s="77" t="s">
        <v>158</v>
      </c>
      <c r="I4798" s="86">
        <v>41943</v>
      </c>
      <c r="J4798" s="78">
        <v>879</v>
      </c>
    </row>
    <row r="4799" spans="6:10" x14ac:dyDescent="0.25">
      <c r="F4799" s="76" t="s">
        <v>150</v>
      </c>
      <c r="G4799" s="77" t="s">
        <v>232</v>
      </c>
      <c r="H4799" s="77" t="s">
        <v>158</v>
      </c>
      <c r="I4799" s="86">
        <v>41944</v>
      </c>
      <c r="J4799" s="78">
        <v>475</v>
      </c>
    </row>
    <row r="4800" spans="6:10" x14ac:dyDescent="0.25">
      <c r="F4800" s="76" t="s">
        <v>150</v>
      </c>
      <c r="G4800" s="77" t="s">
        <v>232</v>
      </c>
      <c r="H4800" s="77" t="s">
        <v>158</v>
      </c>
      <c r="I4800" s="86">
        <v>41945</v>
      </c>
      <c r="J4800" s="78">
        <v>586</v>
      </c>
    </row>
    <row r="4801" spans="6:10" x14ac:dyDescent="0.25">
      <c r="F4801" s="76" t="s">
        <v>150</v>
      </c>
      <c r="G4801" s="77" t="s">
        <v>232</v>
      </c>
      <c r="H4801" s="77" t="s">
        <v>158</v>
      </c>
      <c r="I4801" s="86">
        <v>41946</v>
      </c>
      <c r="J4801" s="78">
        <v>679</v>
      </c>
    </row>
    <row r="4802" spans="6:10" x14ac:dyDescent="0.25">
      <c r="F4802" s="76" t="s">
        <v>150</v>
      </c>
      <c r="G4802" s="77" t="s">
        <v>232</v>
      </c>
      <c r="H4802" s="77" t="s">
        <v>158</v>
      </c>
      <c r="I4802" s="86">
        <v>41949</v>
      </c>
      <c r="J4802" s="78">
        <v>1253</v>
      </c>
    </row>
    <row r="4803" spans="6:10" x14ac:dyDescent="0.25">
      <c r="F4803" s="76" t="s">
        <v>150</v>
      </c>
      <c r="G4803" s="77" t="s">
        <v>232</v>
      </c>
      <c r="H4803" s="77" t="s">
        <v>158</v>
      </c>
      <c r="I4803" s="86">
        <v>41953</v>
      </c>
      <c r="J4803" s="78">
        <v>1042</v>
      </c>
    </row>
    <row r="4804" spans="6:10" x14ac:dyDescent="0.25">
      <c r="F4804" s="76" t="s">
        <v>150</v>
      </c>
      <c r="G4804" s="77" t="s">
        <v>232</v>
      </c>
      <c r="H4804" s="77" t="s">
        <v>158</v>
      </c>
      <c r="I4804" s="86">
        <v>41954</v>
      </c>
      <c r="J4804" s="78">
        <v>872</v>
      </c>
    </row>
    <row r="4805" spans="6:10" x14ac:dyDescent="0.25">
      <c r="F4805" s="76" t="s">
        <v>150</v>
      </c>
      <c r="G4805" s="77" t="s">
        <v>232</v>
      </c>
      <c r="H4805" s="77" t="s">
        <v>158</v>
      </c>
      <c r="I4805" s="86">
        <v>41955</v>
      </c>
      <c r="J4805" s="78">
        <v>380</v>
      </c>
    </row>
    <row r="4806" spans="6:10" x14ac:dyDescent="0.25">
      <c r="F4806" s="76" t="s">
        <v>150</v>
      </c>
      <c r="G4806" s="77" t="s">
        <v>232</v>
      </c>
      <c r="H4806" s="77" t="s">
        <v>158</v>
      </c>
      <c r="I4806" s="86">
        <v>41962</v>
      </c>
      <c r="J4806" s="78">
        <v>1251</v>
      </c>
    </row>
    <row r="4807" spans="6:10" x14ac:dyDescent="0.25">
      <c r="F4807" s="76" t="s">
        <v>150</v>
      </c>
      <c r="G4807" s="77" t="s">
        <v>232</v>
      </c>
      <c r="H4807" s="77" t="s">
        <v>158</v>
      </c>
      <c r="I4807" s="86">
        <v>41987</v>
      </c>
      <c r="J4807" s="78">
        <v>1033</v>
      </c>
    </row>
    <row r="4808" spans="6:10" x14ac:dyDescent="0.25">
      <c r="F4808" s="76"/>
      <c r="G4808" s="77"/>
      <c r="H4808" s="77"/>
      <c r="I4808" s="86"/>
      <c r="J4808" s="78">
        <v>4318554</v>
      </c>
    </row>
    <row r="4809" spans="6:10" x14ac:dyDescent="0.25">
      <c r="F4809" s="76"/>
      <c r="G4809" s="77"/>
      <c r="H4809" s="77"/>
      <c r="I4809" s="86"/>
      <c r="J4809" s="78"/>
    </row>
    <row r="4810" spans="6:10" x14ac:dyDescent="0.25">
      <c r="F4810" s="76"/>
      <c r="G4810" s="77"/>
      <c r="H4810" s="77"/>
      <c r="I4810" s="86"/>
      <c r="J4810" s="78"/>
    </row>
    <row r="4811" spans="6:10" x14ac:dyDescent="0.25">
      <c r="F4811" s="76"/>
      <c r="G4811" s="77"/>
      <c r="H4811" s="77"/>
      <c r="I4811" s="86"/>
      <c r="J4811" s="78"/>
    </row>
    <row r="4812" spans="6:10" x14ac:dyDescent="0.25">
      <c r="F4812" s="76"/>
      <c r="G4812" s="77"/>
      <c r="H4812" s="77"/>
      <c r="I4812" s="86"/>
      <c r="J4812" s="78"/>
    </row>
    <row r="4813" spans="6:10" x14ac:dyDescent="0.25">
      <c r="F4813" s="76"/>
      <c r="G4813" s="77"/>
      <c r="H4813" s="77"/>
      <c r="I4813" s="86"/>
      <c r="J4813" s="78"/>
    </row>
    <row r="4814" spans="6:10" x14ac:dyDescent="0.25">
      <c r="F4814" s="76"/>
      <c r="G4814" s="77"/>
      <c r="H4814" s="77"/>
      <c r="I4814" s="86"/>
      <c r="J4814" s="78"/>
    </row>
    <row r="4815" spans="6:10" x14ac:dyDescent="0.25">
      <c r="F4815" s="76"/>
      <c r="G4815" s="77"/>
      <c r="H4815" s="77"/>
      <c r="I4815" s="86"/>
      <c r="J4815" s="78"/>
    </row>
    <row r="4816" spans="6:10" x14ac:dyDescent="0.25">
      <c r="F4816" s="76"/>
      <c r="G4816" s="77"/>
      <c r="H4816" s="77"/>
      <c r="I4816" s="86"/>
      <c r="J4816" s="78"/>
    </row>
    <row r="4817" spans="6:10" x14ac:dyDescent="0.25">
      <c r="F4817" s="76"/>
      <c r="G4817" s="77"/>
      <c r="H4817" s="77"/>
      <c r="I4817" s="86"/>
      <c r="J4817" s="78"/>
    </row>
    <row r="4818" spans="6:10" x14ac:dyDescent="0.25">
      <c r="F4818" s="76"/>
      <c r="G4818" s="77"/>
      <c r="H4818" s="77"/>
      <c r="I4818" s="86"/>
      <c r="J4818" s="78"/>
    </row>
    <row r="4819" spans="6:10" x14ac:dyDescent="0.25">
      <c r="F4819" s="76"/>
      <c r="G4819" s="77"/>
      <c r="H4819" s="77"/>
      <c r="I4819" s="86"/>
      <c r="J4819" s="78"/>
    </row>
    <row r="4820" spans="6:10" x14ac:dyDescent="0.25">
      <c r="F4820" s="76"/>
      <c r="G4820" s="77"/>
      <c r="H4820" s="77"/>
      <c r="I4820" s="86"/>
      <c r="J4820" s="78"/>
    </row>
    <row r="4821" spans="6:10" x14ac:dyDescent="0.25">
      <c r="F4821" s="76"/>
      <c r="G4821" s="77"/>
      <c r="H4821" s="77"/>
      <c r="I4821" s="86"/>
      <c r="J4821" s="78"/>
    </row>
    <row r="4822" spans="6:10" x14ac:dyDescent="0.25">
      <c r="F4822" s="76"/>
      <c r="G4822" s="77"/>
      <c r="H4822" s="77"/>
      <c r="I4822" s="86"/>
      <c r="J4822" s="78"/>
    </row>
    <row r="4823" spans="6:10" x14ac:dyDescent="0.25">
      <c r="F4823" s="76"/>
      <c r="G4823" s="77"/>
      <c r="H4823" s="77"/>
      <c r="I4823" s="86"/>
      <c r="J4823" s="78"/>
    </row>
    <row r="4824" spans="6:10" x14ac:dyDescent="0.25">
      <c r="F4824" s="76"/>
      <c r="G4824" s="77"/>
      <c r="H4824" s="77"/>
      <c r="I4824" s="86"/>
      <c r="J4824" s="78"/>
    </row>
    <row r="4825" spans="6:10" x14ac:dyDescent="0.25">
      <c r="F4825" s="76"/>
      <c r="G4825" s="77"/>
      <c r="H4825" s="77"/>
      <c r="I4825" s="86"/>
      <c r="J4825" s="78"/>
    </row>
    <row r="4826" spans="6:10" x14ac:dyDescent="0.25">
      <c r="F4826" s="76"/>
      <c r="G4826" s="77"/>
      <c r="H4826" s="77"/>
      <c r="I4826" s="86"/>
      <c r="J4826" s="78"/>
    </row>
    <row r="4827" spans="6:10" x14ac:dyDescent="0.25">
      <c r="F4827" s="76"/>
      <c r="G4827" s="77"/>
      <c r="H4827" s="77"/>
      <c r="I4827" s="86"/>
      <c r="J4827" s="78"/>
    </row>
    <row r="4828" spans="6:10" x14ac:dyDescent="0.25">
      <c r="F4828" s="76"/>
      <c r="G4828" s="77"/>
      <c r="H4828" s="77"/>
      <c r="I4828" s="86"/>
      <c r="J4828" s="78"/>
    </row>
    <row r="4829" spans="6:10" x14ac:dyDescent="0.25">
      <c r="F4829" s="76"/>
      <c r="G4829" s="77"/>
      <c r="H4829" s="77"/>
      <c r="I4829" s="86"/>
      <c r="J4829" s="78"/>
    </row>
    <row r="4830" spans="6:10" x14ac:dyDescent="0.25">
      <c r="F4830" s="76"/>
      <c r="G4830" s="77"/>
      <c r="H4830" s="77"/>
      <c r="I4830" s="86"/>
      <c r="J4830" s="78"/>
    </row>
    <row r="4831" spans="6:10" x14ac:dyDescent="0.25">
      <c r="F4831" s="76"/>
      <c r="G4831" s="77"/>
      <c r="H4831" s="77"/>
      <c r="I4831" s="86"/>
      <c r="J4831" s="78"/>
    </row>
    <row r="4832" spans="6:10" x14ac:dyDescent="0.25">
      <c r="F4832" s="76"/>
      <c r="G4832" s="77"/>
      <c r="H4832" s="77"/>
      <c r="I4832" s="86"/>
      <c r="J4832" s="78"/>
    </row>
    <row r="4833" spans="6:10" x14ac:dyDescent="0.25">
      <c r="F4833" s="76"/>
      <c r="G4833" s="77"/>
      <c r="H4833" s="77"/>
      <c r="I4833" s="86"/>
      <c r="J4833" s="78"/>
    </row>
    <row r="4834" spans="6:10" x14ac:dyDescent="0.25">
      <c r="F4834" s="76" t="s">
        <v>150</v>
      </c>
      <c r="G4834" s="77" t="s">
        <v>266</v>
      </c>
      <c r="H4834" s="77" t="s">
        <v>267</v>
      </c>
      <c r="I4834" s="86">
        <v>41782</v>
      </c>
      <c r="J4834" s="78">
        <v>1071</v>
      </c>
    </row>
    <row r="4835" spans="6:10" x14ac:dyDescent="0.25">
      <c r="F4835" s="76" t="s">
        <v>150</v>
      </c>
      <c r="G4835" s="77" t="s">
        <v>266</v>
      </c>
      <c r="H4835" s="77" t="s">
        <v>267</v>
      </c>
      <c r="I4835" s="86">
        <v>41783</v>
      </c>
      <c r="J4835" s="78">
        <v>883</v>
      </c>
    </row>
    <row r="4836" spans="6:10" x14ac:dyDescent="0.25">
      <c r="F4836" s="76" t="s">
        <v>150</v>
      </c>
      <c r="G4836" s="77" t="s">
        <v>266</v>
      </c>
      <c r="H4836" s="77" t="s">
        <v>267</v>
      </c>
      <c r="I4836" s="86">
        <v>41784</v>
      </c>
      <c r="J4836" s="78">
        <v>1124</v>
      </c>
    </row>
    <row r="4837" spans="6:10" x14ac:dyDescent="0.25">
      <c r="F4837" s="76" t="s">
        <v>150</v>
      </c>
      <c r="G4837" s="77" t="s">
        <v>266</v>
      </c>
      <c r="H4837" s="77" t="s">
        <v>267</v>
      </c>
      <c r="I4837" s="86">
        <v>41793</v>
      </c>
      <c r="J4837" s="78">
        <v>1037</v>
      </c>
    </row>
    <row r="4838" spans="6:10" x14ac:dyDescent="0.25">
      <c r="F4838" s="76" t="s">
        <v>150</v>
      </c>
      <c r="G4838" s="77" t="s">
        <v>266</v>
      </c>
      <c r="H4838" s="77" t="s">
        <v>267</v>
      </c>
      <c r="I4838" s="86">
        <v>41794</v>
      </c>
      <c r="J4838" s="78">
        <v>864</v>
      </c>
    </row>
    <row r="4839" spans="6:10" x14ac:dyDescent="0.25">
      <c r="F4839" s="76" t="s">
        <v>150</v>
      </c>
      <c r="G4839" s="77" t="s">
        <v>266</v>
      </c>
      <c r="H4839" s="77" t="s">
        <v>267</v>
      </c>
      <c r="I4839" s="86">
        <v>41795</v>
      </c>
      <c r="J4839" s="78">
        <v>1205</v>
      </c>
    </row>
    <row r="4840" spans="6:10" x14ac:dyDescent="0.25">
      <c r="F4840" s="76" t="s">
        <v>150</v>
      </c>
      <c r="G4840" s="77" t="s">
        <v>266</v>
      </c>
      <c r="H4840" s="77" t="s">
        <v>267</v>
      </c>
      <c r="I4840" s="86">
        <v>41796</v>
      </c>
      <c r="J4840" s="78">
        <v>710</v>
      </c>
    </row>
    <row r="4841" spans="6:10" x14ac:dyDescent="0.25">
      <c r="F4841" s="76" t="s">
        <v>150</v>
      </c>
      <c r="G4841" s="77" t="s">
        <v>266</v>
      </c>
      <c r="H4841" s="77" t="s">
        <v>267</v>
      </c>
      <c r="I4841" s="86">
        <v>41796</v>
      </c>
      <c r="J4841" s="78">
        <v>606</v>
      </c>
    </row>
    <row r="4842" spans="6:10" x14ac:dyDescent="0.25">
      <c r="F4842" s="76" t="s">
        <v>150</v>
      </c>
      <c r="G4842" s="77" t="s">
        <v>266</v>
      </c>
      <c r="H4842" s="77" t="s">
        <v>267</v>
      </c>
      <c r="I4842" s="86">
        <v>41797</v>
      </c>
      <c r="J4842" s="78">
        <v>1310</v>
      </c>
    </row>
    <row r="4843" spans="6:10" x14ac:dyDescent="0.25">
      <c r="F4843" s="76" t="s">
        <v>150</v>
      </c>
      <c r="G4843" s="77" t="s">
        <v>266</v>
      </c>
      <c r="H4843" s="77" t="s">
        <v>267</v>
      </c>
      <c r="I4843" s="86">
        <v>41798</v>
      </c>
      <c r="J4843" s="78">
        <v>1105</v>
      </c>
    </row>
    <row r="4844" spans="6:10" x14ac:dyDescent="0.25">
      <c r="F4844" s="76" t="s">
        <v>150</v>
      </c>
      <c r="G4844" s="77" t="s">
        <v>266</v>
      </c>
      <c r="H4844" s="77" t="s">
        <v>267</v>
      </c>
      <c r="I4844" s="86">
        <v>41800</v>
      </c>
      <c r="J4844" s="78">
        <v>1435</v>
      </c>
    </row>
    <row r="4845" spans="6:10" x14ac:dyDescent="0.25">
      <c r="F4845" s="76" t="s">
        <v>150</v>
      </c>
      <c r="G4845" s="77" t="s">
        <v>266</v>
      </c>
      <c r="H4845" s="77" t="s">
        <v>267</v>
      </c>
      <c r="I4845" s="86">
        <v>41801</v>
      </c>
      <c r="J4845" s="78">
        <v>1171</v>
      </c>
    </row>
    <row r="4846" spans="6:10" x14ac:dyDescent="0.25">
      <c r="F4846" s="76" t="s">
        <v>150</v>
      </c>
      <c r="G4846" s="77" t="s">
        <v>266</v>
      </c>
      <c r="H4846" s="77" t="s">
        <v>267</v>
      </c>
      <c r="I4846" s="86">
        <v>41803</v>
      </c>
      <c r="J4846" s="78">
        <v>887</v>
      </c>
    </row>
    <row r="4847" spans="6:10" x14ac:dyDescent="0.25">
      <c r="F4847" s="76" t="s">
        <v>150</v>
      </c>
      <c r="G4847" s="77" t="s">
        <v>266</v>
      </c>
      <c r="H4847" s="77" t="s">
        <v>267</v>
      </c>
      <c r="I4847" s="86">
        <v>41804</v>
      </c>
      <c r="J4847" s="78">
        <v>1285</v>
      </c>
    </row>
    <row r="4848" spans="6:10" x14ac:dyDescent="0.25">
      <c r="F4848" s="76" t="s">
        <v>150</v>
      </c>
      <c r="G4848" s="77" t="s">
        <v>266</v>
      </c>
      <c r="H4848" s="77" t="s">
        <v>267</v>
      </c>
      <c r="I4848" s="86">
        <v>41804</v>
      </c>
      <c r="J4848" s="78">
        <v>857</v>
      </c>
    </row>
    <row r="4849" spans="6:10" x14ac:dyDescent="0.25">
      <c r="F4849" s="76" t="s">
        <v>150</v>
      </c>
      <c r="G4849" s="77" t="s">
        <v>266</v>
      </c>
      <c r="H4849" s="77" t="s">
        <v>267</v>
      </c>
      <c r="I4849" s="86">
        <v>41805</v>
      </c>
      <c r="J4849" s="78">
        <v>1507</v>
      </c>
    </row>
    <row r="4850" spans="6:10" x14ac:dyDescent="0.25">
      <c r="F4850" s="76" t="s">
        <v>150</v>
      </c>
      <c r="G4850" s="77" t="s">
        <v>266</v>
      </c>
      <c r="H4850" s="77" t="s">
        <v>267</v>
      </c>
      <c r="I4850" s="86">
        <v>41806</v>
      </c>
      <c r="J4850" s="78">
        <v>1431</v>
      </c>
    </row>
    <row r="4851" spans="6:10" x14ac:dyDescent="0.25">
      <c r="F4851" s="76" t="s">
        <v>150</v>
      </c>
      <c r="G4851" s="77" t="s">
        <v>266</v>
      </c>
      <c r="H4851" s="77" t="s">
        <v>267</v>
      </c>
      <c r="I4851" s="86">
        <v>41807</v>
      </c>
      <c r="J4851" s="78">
        <v>1458</v>
      </c>
    </row>
    <row r="4852" spans="6:10" x14ac:dyDescent="0.25">
      <c r="F4852" s="76" t="s">
        <v>150</v>
      </c>
      <c r="G4852" s="77" t="s">
        <v>266</v>
      </c>
      <c r="H4852" s="77" t="s">
        <v>267</v>
      </c>
      <c r="I4852" s="86">
        <v>41809</v>
      </c>
      <c r="J4852" s="78">
        <v>1474</v>
      </c>
    </row>
    <row r="4853" spans="6:10" x14ac:dyDescent="0.25">
      <c r="F4853" s="76" t="s">
        <v>150</v>
      </c>
      <c r="G4853" s="77" t="s">
        <v>266</v>
      </c>
      <c r="H4853" s="77" t="s">
        <v>267</v>
      </c>
      <c r="I4853" s="86">
        <v>41810</v>
      </c>
      <c r="J4853" s="78">
        <v>961</v>
      </c>
    </row>
    <row r="4854" spans="6:10" x14ac:dyDescent="0.25">
      <c r="F4854" s="76" t="s">
        <v>150</v>
      </c>
      <c r="G4854" s="77" t="s">
        <v>266</v>
      </c>
      <c r="H4854" s="77" t="s">
        <v>267</v>
      </c>
      <c r="I4854" s="86">
        <v>41811</v>
      </c>
      <c r="J4854" s="78">
        <v>544</v>
      </c>
    </row>
    <row r="4855" spans="6:10" x14ac:dyDescent="0.25">
      <c r="F4855" s="76" t="s">
        <v>150</v>
      </c>
      <c r="G4855" s="77" t="s">
        <v>266</v>
      </c>
      <c r="H4855" s="77" t="s">
        <v>267</v>
      </c>
      <c r="I4855" s="86">
        <v>41812</v>
      </c>
      <c r="J4855" s="78">
        <v>1089</v>
      </c>
    </row>
    <row r="4856" spans="6:10" x14ac:dyDescent="0.25">
      <c r="F4856" s="76" t="s">
        <v>150</v>
      </c>
      <c r="G4856" s="77" t="s">
        <v>266</v>
      </c>
      <c r="H4856" s="77" t="s">
        <v>267</v>
      </c>
      <c r="I4856" s="86">
        <v>41814</v>
      </c>
      <c r="J4856" s="78">
        <v>792</v>
      </c>
    </row>
    <row r="4857" spans="6:10" x14ac:dyDescent="0.25">
      <c r="F4857" s="76" t="s">
        <v>150</v>
      </c>
      <c r="G4857" s="77" t="s">
        <v>266</v>
      </c>
      <c r="H4857" s="77" t="s">
        <v>267</v>
      </c>
      <c r="I4857" s="86">
        <v>41822</v>
      </c>
      <c r="J4857" s="78">
        <v>776</v>
      </c>
    </row>
    <row r="4858" spans="6:10" x14ac:dyDescent="0.25">
      <c r="F4858" s="76" t="s">
        <v>150</v>
      </c>
      <c r="G4858" s="77" t="s">
        <v>266</v>
      </c>
      <c r="H4858" s="77" t="s">
        <v>267</v>
      </c>
      <c r="I4858" s="86">
        <v>41824</v>
      </c>
      <c r="J4858" s="78">
        <v>1091</v>
      </c>
    </row>
    <row r="4859" spans="6:10" x14ac:dyDescent="0.25">
      <c r="F4859" s="76" t="s">
        <v>150</v>
      </c>
      <c r="G4859" s="77" t="s">
        <v>266</v>
      </c>
      <c r="H4859" s="77" t="s">
        <v>267</v>
      </c>
      <c r="I4859" s="86">
        <v>41825</v>
      </c>
      <c r="J4859" s="78">
        <v>1302</v>
      </c>
    </row>
    <row r="4860" spans="6:10" x14ac:dyDescent="0.25">
      <c r="F4860" s="76" t="s">
        <v>150</v>
      </c>
      <c r="G4860" s="77" t="s">
        <v>266</v>
      </c>
      <c r="H4860" s="77" t="s">
        <v>267</v>
      </c>
      <c r="I4860" s="86">
        <v>41827</v>
      </c>
      <c r="J4860" s="78">
        <v>1269</v>
      </c>
    </row>
    <row r="4861" spans="6:10" x14ac:dyDescent="0.25">
      <c r="F4861" s="76" t="s">
        <v>150</v>
      </c>
      <c r="G4861" s="77" t="s">
        <v>266</v>
      </c>
      <c r="H4861" s="77" t="s">
        <v>267</v>
      </c>
      <c r="I4861" s="86">
        <v>41827</v>
      </c>
      <c r="J4861" s="78">
        <v>660</v>
      </c>
    </row>
    <row r="4862" spans="6:10" x14ac:dyDescent="0.25">
      <c r="F4862" s="76" t="s">
        <v>150</v>
      </c>
      <c r="G4862" s="77" t="s">
        <v>266</v>
      </c>
      <c r="H4862" s="77" t="s">
        <v>267</v>
      </c>
      <c r="I4862" s="86">
        <v>41829</v>
      </c>
      <c r="J4862" s="78">
        <v>933</v>
      </c>
    </row>
    <row r="4863" spans="6:10" x14ac:dyDescent="0.25">
      <c r="F4863" s="76" t="s">
        <v>150</v>
      </c>
      <c r="G4863" s="77" t="s">
        <v>266</v>
      </c>
      <c r="H4863" s="77" t="s">
        <v>267</v>
      </c>
      <c r="I4863" s="86">
        <v>41831</v>
      </c>
      <c r="J4863" s="78">
        <v>1156</v>
      </c>
    </row>
    <row r="4864" spans="6:10" x14ac:dyDescent="0.25">
      <c r="F4864" s="76" t="s">
        <v>150</v>
      </c>
      <c r="G4864" s="77" t="s">
        <v>266</v>
      </c>
      <c r="H4864" s="77" t="s">
        <v>267</v>
      </c>
      <c r="I4864" s="86">
        <v>41835</v>
      </c>
      <c r="J4864" s="78">
        <v>903</v>
      </c>
    </row>
    <row r="4865" spans="6:10" x14ac:dyDescent="0.25">
      <c r="F4865" s="76" t="s">
        <v>150</v>
      </c>
      <c r="G4865" s="77" t="s">
        <v>266</v>
      </c>
      <c r="H4865" s="77" t="s">
        <v>267</v>
      </c>
      <c r="I4865" s="86">
        <v>41836</v>
      </c>
      <c r="J4865" s="78">
        <v>791</v>
      </c>
    </row>
    <row r="4866" spans="6:10" x14ac:dyDescent="0.25">
      <c r="F4866" s="76" t="s">
        <v>150</v>
      </c>
      <c r="G4866" s="77" t="s">
        <v>266</v>
      </c>
      <c r="H4866" s="77" t="s">
        <v>267</v>
      </c>
      <c r="I4866" s="86">
        <v>41846</v>
      </c>
      <c r="J4866" s="78">
        <v>1255</v>
      </c>
    </row>
    <row r="4867" spans="6:10" x14ac:dyDescent="0.25">
      <c r="F4867" s="76" t="s">
        <v>150</v>
      </c>
      <c r="G4867" s="77" t="s">
        <v>266</v>
      </c>
      <c r="H4867" s="77" t="s">
        <v>267</v>
      </c>
      <c r="I4867" s="86">
        <v>41847</v>
      </c>
      <c r="J4867" s="78">
        <v>744</v>
      </c>
    </row>
    <row r="4868" spans="6:10" x14ac:dyDescent="0.25">
      <c r="F4868" s="76" t="s">
        <v>150</v>
      </c>
      <c r="G4868" s="77" t="s">
        <v>266</v>
      </c>
      <c r="H4868" s="77" t="s">
        <v>267</v>
      </c>
      <c r="I4868" s="86">
        <v>41850</v>
      </c>
      <c r="J4868" s="78">
        <v>1400</v>
      </c>
    </row>
    <row r="4869" spans="6:10" x14ac:dyDescent="0.25">
      <c r="F4869" s="76" t="s">
        <v>150</v>
      </c>
      <c r="G4869" s="77" t="s">
        <v>266</v>
      </c>
      <c r="H4869" s="77" t="s">
        <v>267</v>
      </c>
      <c r="I4869" s="86">
        <v>41852</v>
      </c>
      <c r="J4869" s="78">
        <v>1445</v>
      </c>
    </row>
    <row r="4870" spans="6:10" x14ac:dyDescent="0.25">
      <c r="F4870" s="76" t="s">
        <v>150</v>
      </c>
      <c r="G4870" s="77" t="s">
        <v>266</v>
      </c>
      <c r="H4870" s="77" t="s">
        <v>267</v>
      </c>
      <c r="I4870" s="86">
        <v>41855</v>
      </c>
      <c r="J4870" s="78">
        <v>868</v>
      </c>
    </row>
    <row r="4871" spans="6:10" x14ac:dyDescent="0.25">
      <c r="F4871" s="76" t="s">
        <v>150</v>
      </c>
      <c r="G4871" s="77" t="s">
        <v>266</v>
      </c>
      <c r="H4871" s="77" t="s">
        <v>267</v>
      </c>
      <c r="I4871" s="86">
        <v>41856</v>
      </c>
      <c r="J4871" s="78">
        <v>946</v>
      </c>
    </row>
    <row r="4872" spans="6:10" x14ac:dyDescent="0.25">
      <c r="F4872" s="76" t="s">
        <v>150</v>
      </c>
      <c r="G4872" s="77" t="s">
        <v>266</v>
      </c>
      <c r="H4872" s="77" t="s">
        <v>267</v>
      </c>
      <c r="I4872" s="86">
        <v>41858</v>
      </c>
      <c r="J4872" s="78">
        <v>785</v>
      </c>
    </row>
    <row r="4873" spans="6:10" x14ac:dyDescent="0.25">
      <c r="F4873" s="76" t="s">
        <v>150</v>
      </c>
      <c r="G4873" s="77" t="s">
        <v>266</v>
      </c>
      <c r="H4873" s="77" t="s">
        <v>267</v>
      </c>
      <c r="I4873" s="86">
        <v>41859</v>
      </c>
      <c r="J4873" s="78">
        <v>756</v>
      </c>
    </row>
    <row r="4874" spans="6:10" x14ac:dyDescent="0.25">
      <c r="F4874" s="76" t="s">
        <v>150</v>
      </c>
      <c r="G4874" s="77" t="s">
        <v>266</v>
      </c>
      <c r="H4874" s="77" t="s">
        <v>267</v>
      </c>
      <c r="I4874" s="86">
        <v>41863</v>
      </c>
      <c r="J4874" s="78">
        <v>973</v>
      </c>
    </row>
    <row r="4875" spans="6:10" x14ac:dyDescent="0.25">
      <c r="F4875" s="76" t="s">
        <v>150</v>
      </c>
      <c r="G4875" s="77" t="s">
        <v>266</v>
      </c>
      <c r="H4875" s="77" t="s">
        <v>267</v>
      </c>
      <c r="I4875" s="86">
        <v>41865</v>
      </c>
      <c r="J4875" s="78">
        <v>1260</v>
      </c>
    </row>
    <row r="4876" spans="6:10" x14ac:dyDescent="0.25">
      <c r="F4876" s="76" t="s">
        <v>150</v>
      </c>
      <c r="G4876" s="77" t="s">
        <v>266</v>
      </c>
      <c r="H4876" s="77" t="s">
        <v>267</v>
      </c>
      <c r="I4876" s="86">
        <v>41866</v>
      </c>
      <c r="J4876" s="78">
        <v>1047</v>
      </c>
    </row>
    <row r="4877" spans="6:10" x14ac:dyDescent="0.25">
      <c r="F4877" s="76" t="s">
        <v>150</v>
      </c>
      <c r="G4877" s="77" t="s">
        <v>266</v>
      </c>
      <c r="H4877" s="77" t="s">
        <v>267</v>
      </c>
      <c r="I4877" s="86">
        <v>41867</v>
      </c>
      <c r="J4877" s="78">
        <v>646</v>
      </c>
    </row>
    <row r="4878" spans="6:10" x14ac:dyDescent="0.25">
      <c r="F4878" s="76" t="s">
        <v>150</v>
      </c>
      <c r="G4878" s="77" t="s">
        <v>266</v>
      </c>
      <c r="H4878" s="77" t="s">
        <v>267</v>
      </c>
      <c r="I4878" s="86">
        <v>41867</v>
      </c>
      <c r="J4878" s="78">
        <v>879</v>
      </c>
    </row>
    <row r="4879" spans="6:10" x14ac:dyDescent="0.25">
      <c r="F4879" s="76" t="s">
        <v>150</v>
      </c>
      <c r="G4879" s="77" t="s">
        <v>266</v>
      </c>
      <c r="H4879" s="77" t="s">
        <v>267</v>
      </c>
      <c r="I4879" s="86">
        <v>41868</v>
      </c>
      <c r="J4879" s="78">
        <v>1273</v>
      </c>
    </row>
    <row r="4880" spans="6:10" x14ac:dyDescent="0.25">
      <c r="F4880" s="76" t="s">
        <v>150</v>
      </c>
      <c r="G4880" s="77" t="s">
        <v>266</v>
      </c>
      <c r="H4880" s="77" t="s">
        <v>267</v>
      </c>
      <c r="I4880" s="86">
        <v>41870</v>
      </c>
      <c r="J4880" s="78">
        <v>1006</v>
      </c>
    </row>
    <row r="4881" spans="6:10" x14ac:dyDescent="0.25">
      <c r="F4881" s="76" t="s">
        <v>150</v>
      </c>
      <c r="G4881" s="77" t="s">
        <v>266</v>
      </c>
      <c r="H4881" s="77" t="s">
        <v>267</v>
      </c>
      <c r="I4881" s="86">
        <v>41877</v>
      </c>
      <c r="J4881" s="78">
        <v>1116</v>
      </c>
    </row>
    <row r="4882" spans="6:10" x14ac:dyDescent="0.25">
      <c r="F4882" s="76" t="s">
        <v>150</v>
      </c>
      <c r="G4882" s="77" t="s">
        <v>266</v>
      </c>
      <c r="H4882" s="77" t="s">
        <v>267</v>
      </c>
      <c r="I4882" s="86">
        <v>41878</v>
      </c>
      <c r="J4882" s="78">
        <v>1218</v>
      </c>
    </row>
    <row r="4883" spans="6:10" x14ac:dyDescent="0.25">
      <c r="F4883" s="76" t="s">
        <v>150</v>
      </c>
      <c r="G4883" s="77" t="s">
        <v>266</v>
      </c>
      <c r="H4883" s="77" t="s">
        <v>267</v>
      </c>
      <c r="I4883" s="86">
        <v>41880</v>
      </c>
      <c r="J4883" s="78">
        <v>416</v>
      </c>
    </row>
    <row r="4884" spans="6:10" x14ac:dyDescent="0.25">
      <c r="F4884" s="76" t="s">
        <v>150</v>
      </c>
      <c r="G4884" s="77" t="s">
        <v>266</v>
      </c>
      <c r="H4884" s="77" t="s">
        <v>267</v>
      </c>
      <c r="I4884" s="86">
        <v>41880</v>
      </c>
      <c r="J4884" s="78">
        <v>1125</v>
      </c>
    </row>
    <row r="4885" spans="6:10" x14ac:dyDescent="0.25">
      <c r="F4885" s="76" t="s">
        <v>150</v>
      </c>
      <c r="G4885" s="77" t="s">
        <v>266</v>
      </c>
      <c r="H4885" s="77" t="s">
        <v>267</v>
      </c>
      <c r="I4885" s="86">
        <v>41884</v>
      </c>
      <c r="J4885" s="78">
        <v>768</v>
      </c>
    </row>
    <row r="4886" spans="6:10" x14ac:dyDescent="0.25">
      <c r="F4886" s="76" t="s">
        <v>150</v>
      </c>
      <c r="G4886" s="77" t="s">
        <v>266</v>
      </c>
      <c r="H4886" s="77" t="s">
        <v>267</v>
      </c>
      <c r="I4886" s="86">
        <v>41907</v>
      </c>
      <c r="J4886" s="78">
        <v>371</v>
      </c>
    </row>
    <row r="4887" spans="6:10" x14ac:dyDescent="0.25">
      <c r="F4887" s="76" t="s">
        <v>150</v>
      </c>
      <c r="G4887" s="77" t="s">
        <v>266</v>
      </c>
      <c r="H4887" s="77" t="s">
        <v>267</v>
      </c>
      <c r="I4887" s="86">
        <v>41908</v>
      </c>
      <c r="J4887" s="78">
        <v>1292</v>
      </c>
    </row>
    <row r="4888" spans="6:10" x14ac:dyDescent="0.25">
      <c r="F4888" s="76" t="s">
        <v>150</v>
      </c>
      <c r="G4888" s="77" t="s">
        <v>266</v>
      </c>
      <c r="H4888" s="77" t="s">
        <v>267</v>
      </c>
      <c r="I4888" s="86">
        <v>41909</v>
      </c>
      <c r="J4888" s="78">
        <v>1036</v>
      </c>
    </row>
    <row r="4889" spans="6:10" x14ac:dyDescent="0.25">
      <c r="F4889" s="76" t="s">
        <v>150</v>
      </c>
      <c r="G4889" s="77" t="s">
        <v>266</v>
      </c>
      <c r="H4889" s="77" t="s">
        <v>267</v>
      </c>
      <c r="I4889" s="86">
        <v>41910</v>
      </c>
      <c r="J4889" s="78">
        <v>680</v>
      </c>
    </row>
    <row r="4890" spans="6:10" x14ac:dyDescent="0.25">
      <c r="F4890" s="76" t="s">
        <v>150</v>
      </c>
      <c r="G4890" s="77" t="s">
        <v>266</v>
      </c>
      <c r="H4890" s="77" t="s">
        <v>267</v>
      </c>
      <c r="I4890" s="86">
        <v>41910</v>
      </c>
      <c r="J4890" s="78">
        <v>509</v>
      </c>
    </row>
    <row r="4891" spans="6:10" x14ac:dyDescent="0.25">
      <c r="F4891" s="76" t="s">
        <v>150</v>
      </c>
      <c r="G4891" s="77" t="s">
        <v>266</v>
      </c>
      <c r="H4891" s="77" t="s">
        <v>267</v>
      </c>
      <c r="I4891" s="86">
        <v>41911</v>
      </c>
      <c r="J4891" s="78">
        <v>778</v>
      </c>
    </row>
    <row r="4892" spans="6:10" x14ac:dyDescent="0.25">
      <c r="F4892" s="76" t="s">
        <v>150</v>
      </c>
      <c r="G4892" s="77" t="s">
        <v>266</v>
      </c>
      <c r="H4892" s="77" t="s">
        <v>267</v>
      </c>
      <c r="I4892" s="86">
        <v>41913</v>
      </c>
      <c r="J4892" s="78">
        <v>1061</v>
      </c>
    </row>
    <row r="4893" spans="6:10" x14ac:dyDescent="0.25">
      <c r="F4893" s="76" t="s">
        <v>150</v>
      </c>
      <c r="G4893" s="77" t="s">
        <v>266</v>
      </c>
      <c r="H4893" s="77" t="s">
        <v>267</v>
      </c>
      <c r="I4893" s="86">
        <v>41915</v>
      </c>
      <c r="J4893" s="78">
        <v>662</v>
      </c>
    </row>
    <row r="4894" spans="6:10" x14ac:dyDescent="0.25">
      <c r="F4894" s="76" t="s">
        <v>150</v>
      </c>
      <c r="G4894" s="77" t="s">
        <v>266</v>
      </c>
      <c r="H4894" s="77" t="s">
        <v>267</v>
      </c>
      <c r="I4894" s="86">
        <v>41919</v>
      </c>
      <c r="J4894" s="78">
        <v>1152</v>
      </c>
    </row>
    <row r="4895" spans="6:10" x14ac:dyDescent="0.25">
      <c r="F4895" s="76" t="s">
        <v>150</v>
      </c>
      <c r="G4895" s="77" t="s">
        <v>266</v>
      </c>
      <c r="H4895" s="77" t="s">
        <v>267</v>
      </c>
      <c r="I4895" s="86">
        <v>41920</v>
      </c>
      <c r="J4895" s="78">
        <v>1337</v>
      </c>
    </row>
    <row r="4896" spans="6:10" x14ac:dyDescent="0.25">
      <c r="F4896" s="76" t="s">
        <v>150</v>
      </c>
      <c r="G4896" s="77" t="s">
        <v>266</v>
      </c>
      <c r="H4896" s="77" t="s">
        <v>267</v>
      </c>
      <c r="I4896" s="86">
        <v>41920</v>
      </c>
      <c r="J4896" s="78">
        <v>853</v>
      </c>
    </row>
    <row r="4897" spans="6:10" x14ac:dyDescent="0.25">
      <c r="F4897" s="76" t="s">
        <v>150</v>
      </c>
      <c r="G4897" s="77" t="s">
        <v>266</v>
      </c>
      <c r="H4897" s="77" t="s">
        <v>267</v>
      </c>
      <c r="I4897" s="86">
        <v>41921</v>
      </c>
      <c r="J4897" s="78">
        <v>1085</v>
      </c>
    </row>
    <row r="4898" spans="6:10" x14ac:dyDescent="0.25">
      <c r="F4898" s="76" t="s">
        <v>150</v>
      </c>
      <c r="G4898" s="77" t="s">
        <v>266</v>
      </c>
      <c r="H4898" s="77" t="s">
        <v>267</v>
      </c>
      <c r="I4898" s="86">
        <v>41922</v>
      </c>
      <c r="J4898" s="78">
        <v>1227</v>
      </c>
    </row>
    <row r="4899" spans="6:10" x14ac:dyDescent="0.25">
      <c r="F4899" s="76" t="s">
        <v>150</v>
      </c>
      <c r="G4899" s="77" t="s">
        <v>266</v>
      </c>
      <c r="H4899" s="77" t="s">
        <v>267</v>
      </c>
      <c r="I4899" s="86">
        <v>41923</v>
      </c>
      <c r="J4899" s="78">
        <v>1425</v>
      </c>
    </row>
    <row r="4900" spans="6:10" x14ac:dyDescent="0.25">
      <c r="F4900" s="76" t="s">
        <v>150</v>
      </c>
      <c r="G4900" s="77" t="s">
        <v>266</v>
      </c>
      <c r="H4900" s="77" t="s">
        <v>267</v>
      </c>
      <c r="I4900" s="86">
        <v>41925</v>
      </c>
      <c r="J4900" s="78">
        <v>1413</v>
      </c>
    </row>
    <row r="4901" spans="6:10" x14ac:dyDescent="0.25">
      <c r="F4901" s="76" t="s">
        <v>150</v>
      </c>
      <c r="G4901" s="77" t="s">
        <v>266</v>
      </c>
      <c r="H4901" s="77" t="s">
        <v>267</v>
      </c>
      <c r="I4901" s="86">
        <v>41925</v>
      </c>
      <c r="J4901" s="78">
        <v>1488</v>
      </c>
    </row>
    <row r="4902" spans="6:10" x14ac:dyDescent="0.25">
      <c r="F4902" s="76" t="s">
        <v>150</v>
      </c>
      <c r="G4902" s="77" t="s">
        <v>266</v>
      </c>
      <c r="H4902" s="77" t="s">
        <v>267</v>
      </c>
      <c r="I4902" s="86">
        <v>41929</v>
      </c>
      <c r="J4902" s="78">
        <v>712</v>
      </c>
    </row>
    <row r="4903" spans="6:10" x14ac:dyDescent="0.25">
      <c r="F4903" s="76" t="s">
        <v>150</v>
      </c>
      <c r="G4903" s="77" t="s">
        <v>266</v>
      </c>
      <c r="H4903" s="77" t="s">
        <v>267</v>
      </c>
      <c r="I4903" s="86">
        <v>41931</v>
      </c>
      <c r="J4903" s="78">
        <v>1157</v>
      </c>
    </row>
    <row r="4904" spans="6:10" x14ac:dyDescent="0.25">
      <c r="F4904" s="76" t="s">
        <v>150</v>
      </c>
      <c r="G4904" s="77" t="s">
        <v>266</v>
      </c>
      <c r="H4904" s="77" t="s">
        <v>267</v>
      </c>
      <c r="I4904" s="86">
        <v>41939</v>
      </c>
      <c r="J4904" s="78">
        <v>936</v>
      </c>
    </row>
    <row r="4905" spans="6:10" x14ac:dyDescent="0.25">
      <c r="F4905" s="76" t="s">
        <v>150</v>
      </c>
      <c r="G4905" s="77" t="s">
        <v>266</v>
      </c>
      <c r="H4905" s="77" t="s">
        <v>267</v>
      </c>
      <c r="I4905" s="86">
        <v>41940</v>
      </c>
      <c r="J4905" s="78">
        <v>690</v>
      </c>
    </row>
    <row r="4906" spans="6:10" x14ac:dyDescent="0.25">
      <c r="F4906" s="76" t="s">
        <v>150</v>
      </c>
      <c r="G4906" s="77" t="s">
        <v>266</v>
      </c>
      <c r="H4906" s="77" t="s">
        <v>267</v>
      </c>
      <c r="I4906" s="86">
        <v>41940</v>
      </c>
      <c r="J4906" s="78">
        <v>640</v>
      </c>
    </row>
    <row r="4907" spans="6:10" x14ac:dyDescent="0.25">
      <c r="F4907" s="76" t="s">
        <v>150</v>
      </c>
      <c r="G4907" s="77" t="s">
        <v>266</v>
      </c>
      <c r="H4907" s="77" t="s">
        <v>267</v>
      </c>
      <c r="I4907" s="86">
        <v>41943</v>
      </c>
      <c r="J4907" s="78">
        <v>521</v>
      </c>
    </row>
    <row r="4908" spans="6:10" x14ac:dyDescent="0.25">
      <c r="F4908" s="76" t="s">
        <v>150</v>
      </c>
      <c r="G4908" s="77" t="s">
        <v>266</v>
      </c>
      <c r="H4908" s="77" t="s">
        <v>267</v>
      </c>
      <c r="I4908" s="86">
        <v>41947</v>
      </c>
      <c r="J4908" s="78">
        <v>930</v>
      </c>
    </row>
    <row r="4909" spans="6:10" x14ac:dyDescent="0.25">
      <c r="F4909" s="76" t="s">
        <v>150</v>
      </c>
      <c r="G4909" s="77" t="s">
        <v>266</v>
      </c>
      <c r="H4909" s="77" t="s">
        <v>267</v>
      </c>
      <c r="I4909" s="86">
        <v>41953</v>
      </c>
      <c r="J4909" s="78">
        <v>1227</v>
      </c>
    </row>
    <row r="4910" spans="6:10" x14ac:dyDescent="0.25">
      <c r="F4910" s="76" t="s">
        <v>150</v>
      </c>
      <c r="G4910" s="77" t="s">
        <v>266</v>
      </c>
      <c r="H4910" s="77" t="s">
        <v>267</v>
      </c>
      <c r="I4910" s="86">
        <v>41956</v>
      </c>
      <c r="J4910" s="78">
        <v>907</v>
      </c>
    </row>
    <row r="4911" spans="6:10" x14ac:dyDescent="0.25">
      <c r="F4911" s="76" t="s">
        <v>150</v>
      </c>
      <c r="G4911" s="77" t="s">
        <v>266</v>
      </c>
      <c r="H4911" s="77" t="s">
        <v>267</v>
      </c>
      <c r="I4911" s="86">
        <v>41957</v>
      </c>
      <c r="J4911" s="78">
        <v>813</v>
      </c>
    </row>
    <row r="4912" spans="6:10" x14ac:dyDescent="0.25">
      <c r="F4912" s="76" t="s">
        <v>150</v>
      </c>
      <c r="G4912" s="77" t="s">
        <v>266</v>
      </c>
      <c r="H4912" s="77" t="s">
        <v>267</v>
      </c>
      <c r="I4912" s="86">
        <v>41960</v>
      </c>
      <c r="J4912" s="78">
        <v>1066</v>
      </c>
    </row>
    <row r="4913" spans="6:10" x14ac:dyDescent="0.25">
      <c r="F4913" s="76" t="s">
        <v>150</v>
      </c>
      <c r="G4913" s="77" t="s">
        <v>266</v>
      </c>
      <c r="H4913" s="77" t="s">
        <v>267</v>
      </c>
      <c r="I4913" s="86">
        <v>41961</v>
      </c>
      <c r="J4913" s="78">
        <v>698</v>
      </c>
    </row>
    <row r="4914" spans="6:10" x14ac:dyDescent="0.25">
      <c r="F4914" s="76" t="s">
        <v>150</v>
      </c>
      <c r="G4914" s="77" t="s">
        <v>266</v>
      </c>
      <c r="H4914" s="77" t="s">
        <v>267</v>
      </c>
      <c r="I4914" s="86">
        <v>41961</v>
      </c>
      <c r="J4914" s="78">
        <v>541</v>
      </c>
    </row>
    <row r="4915" spans="6:10" x14ac:dyDescent="0.25">
      <c r="F4915" s="76" t="s">
        <v>150</v>
      </c>
      <c r="G4915" s="77" t="s">
        <v>266</v>
      </c>
      <c r="H4915" s="77" t="s">
        <v>267</v>
      </c>
      <c r="I4915" s="86">
        <v>41962</v>
      </c>
      <c r="J4915" s="78">
        <v>1044</v>
      </c>
    </row>
    <row r="4916" spans="6:10" x14ac:dyDescent="0.25">
      <c r="F4916" s="76" t="s">
        <v>150</v>
      </c>
      <c r="G4916" s="77" t="s">
        <v>266</v>
      </c>
      <c r="H4916" s="77" t="s">
        <v>267</v>
      </c>
      <c r="I4916" s="86">
        <v>41963</v>
      </c>
      <c r="J4916" s="78">
        <v>396</v>
      </c>
    </row>
    <row r="4917" spans="6:10" x14ac:dyDescent="0.25">
      <c r="F4917" s="76" t="s">
        <v>150</v>
      </c>
      <c r="G4917" s="77" t="s">
        <v>266</v>
      </c>
      <c r="H4917" s="77" t="s">
        <v>267</v>
      </c>
      <c r="I4917" s="86">
        <v>41965</v>
      </c>
      <c r="J4917" s="78">
        <v>821</v>
      </c>
    </row>
    <row r="4918" spans="6:10" x14ac:dyDescent="0.25">
      <c r="F4918" s="76" t="s">
        <v>150</v>
      </c>
      <c r="G4918" s="77" t="s">
        <v>266</v>
      </c>
      <c r="H4918" s="77" t="s">
        <v>267</v>
      </c>
      <c r="I4918" s="86">
        <v>41966</v>
      </c>
      <c r="J4918" s="78">
        <v>1130</v>
      </c>
    </row>
    <row r="4919" spans="6:10" x14ac:dyDescent="0.25">
      <c r="F4919" s="76" t="s">
        <v>150</v>
      </c>
      <c r="G4919" s="77" t="s">
        <v>266</v>
      </c>
      <c r="H4919" s="77" t="s">
        <v>267</v>
      </c>
      <c r="I4919" s="86">
        <v>41968</v>
      </c>
      <c r="J4919" s="78">
        <v>871</v>
      </c>
    </row>
    <row r="4920" spans="6:10" x14ac:dyDescent="0.25">
      <c r="F4920" s="76" t="s">
        <v>150</v>
      </c>
      <c r="G4920" s="77" t="s">
        <v>266</v>
      </c>
      <c r="H4920" s="77" t="s">
        <v>267</v>
      </c>
      <c r="I4920" s="86">
        <v>41969</v>
      </c>
      <c r="J4920" s="78">
        <v>939</v>
      </c>
    </row>
    <row r="4921" spans="6:10" x14ac:dyDescent="0.25">
      <c r="F4921" s="76" t="s">
        <v>150</v>
      </c>
      <c r="G4921" s="77" t="s">
        <v>266</v>
      </c>
      <c r="H4921" s="77" t="s">
        <v>267</v>
      </c>
      <c r="I4921" s="86">
        <v>41972</v>
      </c>
      <c r="J4921" s="78">
        <v>1113</v>
      </c>
    </row>
    <row r="4922" spans="6:10" x14ac:dyDescent="0.25">
      <c r="F4922" s="76" t="s">
        <v>150</v>
      </c>
      <c r="G4922" s="77" t="s">
        <v>266</v>
      </c>
      <c r="H4922" s="77" t="s">
        <v>267</v>
      </c>
      <c r="I4922" s="86">
        <v>41974</v>
      </c>
      <c r="J4922" s="78">
        <v>702</v>
      </c>
    </row>
    <row r="4923" spans="6:10" x14ac:dyDescent="0.25">
      <c r="F4923" s="76" t="s">
        <v>150</v>
      </c>
      <c r="G4923" s="77" t="s">
        <v>266</v>
      </c>
      <c r="H4923" s="77" t="s">
        <v>267</v>
      </c>
      <c r="I4923" s="86">
        <v>41976</v>
      </c>
      <c r="J4923" s="78">
        <v>1217</v>
      </c>
    </row>
    <row r="4924" spans="6:10" x14ac:dyDescent="0.25">
      <c r="F4924" s="76" t="s">
        <v>150</v>
      </c>
      <c r="G4924" s="77" t="s">
        <v>266</v>
      </c>
      <c r="H4924" s="77" t="s">
        <v>267</v>
      </c>
      <c r="I4924" s="86">
        <v>41978</v>
      </c>
      <c r="J4924" s="78">
        <v>1010</v>
      </c>
    </row>
    <row r="4925" spans="6:10" x14ac:dyDescent="0.25">
      <c r="F4925" s="76" t="s">
        <v>150</v>
      </c>
      <c r="G4925" s="77" t="s">
        <v>266</v>
      </c>
      <c r="H4925" s="77" t="s">
        <v>267</v>
      </c>
      <c r="I4925" s="86">
        <v>41981</v>
      </c>
      <c r="J4925" s="78">
        <v>828</v>
      </c>
    </row>
    <row r="4926" spans="6:10" x14ac:dyDescent="0.25">
      <c r="F4926" s="76" t="s">
        <v>150</v>
      </c>
      <c r="G4926" s="77" t="s">
        <v>266</v>
      </c>
      <c r="H4926" s="77" t="s">
        <v>267</v>
      </c>
      <c r="I4926" s="86">
        <v>41983</v>
      </c>
      <c r="J4926" s="78">
        <v>958</v>
      </c>
    </row>
    <row r="4927" spans="6:10" x14ac:dyDescent="0.25">
      <c r="F4927" s="76" t="s">
        <v>150</v>
      </c>
      <c r="G4927" s="77" t="s">
        <v>266</v>
      </c>
      <c r="H4927" s="77" t="s">
        <v>267</v>
      </c>
      <c r="I4927" s="86">
        <v>41985</v>
      </c>
      <c r="J4927" s="78">
        <v>1175</v>
      </c>
    </row>
    <row r="4928" spans="6:10" x14ac:dyDescent="0.25">
      <c r="F4928" s="76" t="s">
        <v>150</v>
      </c>
      <c r="G4928" s="77" t="s">
        <v>266</v>
      </c>
      <c r="H4928" s="77" t="s">
        <v>267</v>
      </c>
      <c r="I4928" s="86">
        <v>41987</v>
      </c>
      <c r="J4928" s="78">
        <v>809</v>
      </c>
    </row>
    <row r="4929" spans="6:10" x14ac:dyDescent="0.25">
      <c r="F4929" s="76" t="s">
        <v>150</v>
      </c>
      <c r="G4929" s="77" t="s">
        <v>266</v>
      </c>
      <c r="H4929" s="77" t="s">
        <v>267</v>
      </c>
      <c r="I4929" s="86">
        <v>41988</v>
      </c>
      <c r="J4929" s="78">
        <v>747</v>
      </c>
    </row>
    <row r="4930" spans="6:10" x14ac:dyDescent="0.25">
      <c r="F4930" s="76" t="s">
        <v>150</v>
      </c>
      <c r="G4930" s="77" t="s">
        <v>266</v>
      </c>
      <c r="H4930" s="77" t="s">
        <v>267</v>
      </c>
      <c r="I4930" s="86">
        <v>41989</v>
      </c>
      <c r="J4930" s="78">
        <v>845</v>
      </c>
    </row>
    <row r="4931" spans="6:10" x14ac:dyDescent="0.25">
      <c r="F4931" s="76" t="s">
        <v>150</v>
      </c>
      <c r="G4931" s="77" t="s">
        <v>266</v>
      </c>
      <c r="H4931" s="77" t="s">
        <v>267</v>
      </c>
      <c r="I4931" s="86">
        <v>41991</v>
      </c>
      <c r="J4931" s="78">
        <v>769</v>
      </c>
    </row>
    <row r="4932" spans="6:10" x14ac:dyDescent="0.25">
      <c r="F4932" s="76" t="s">
        <v>150</v>
      </c>
      <c r="G4932" s="77" t="s">
        <v>266</v>
      </c>
      <c r="H4932" s="77" t="s">
        <v>267</v>
      </c>
      <c r="I4932" s="86">
        <v>41992</v>
      </c>
      <c r="J4932" s="78">
        <v>643</v>
      </c>
    </row>
    <row r="4933" spans="6:10" x14ac:dyDescent="0.25">
      <c r="F4933" s="76" t="s">
        <v>150</v>
      </c>
      <c r="G4933" s="77" t="s">
        <v>266</v>
      </c>
      <c r="H4933" s="77" t="s">
        <v>267</v>
      </c>
      <c r="I4933" s="86">
        <v>41996</v>
      </c>
      <c r="J4933" s="78">
        <v>202</v>
      </c>
    </row>
    <row r="4934" spans="6:10" x14ac:dyDescent="0.25">
      <c r="F4934" s="76" t="s">
        <v>150</v>
      </c>
      <c r="G4934" s="77" t="s">
        <v>266</v>
      </c>
      <c r="H4934" s="77" t="s">
        <v>267</v>
      </c>
      <c r="I4934" s="86">
        <v>41996</v>
      </c>
      <c r="J4934" s="78">
        <v>1252</v>
      </c>
    </row>
    <row r="4935" spans="6:10" x14ac:dyDescent="0.25">
      <c r="F4935" s="76" t="s">
        <v>150</v>
      </c>
      <c r="G4935" s="77" t="s">
        <v>266</v>
      </c>
      <c r="H4935" s="77" t="s">
        <v>267</v>
      </c>
      <c r="I4935" s="86">
        <v>41999</v>
      </c>
      <c r="J4935" s="78">
        <v>861</v>
      </c>
    </row>
    <row r="4936" spans="6:10" x14ac:dyDescent="0.25">
      <c r="F4936" s="76" t="s">
        <v>150</v>
      </c>
      <c r="G4936" s="77" t="s">
        <v>266</v>
      </c>
      <c r="H4936" s="77" t="s">
        <v>267</v>
      </c>
      <c r="I4936" s="86">
        <v>42001</v>
      </c>
      <c r="J4936" s="78">
        <v>657</v>
      </c>
    </row>
    <row r="4937" spans="6:10" x14ac:dyDescent="0.25">
      <c r="F4937" s="76" t="s">
        <v>150</v>
      </c>
      <c r="G4937" s="77" t="s">
        <v>275</v>
      </c>
      <c r="H4937" s="77" t="s">
        <v>267</v>
      </c>
      <c r="I4937" s="86">
        <v>41744</v>
      </c>
      <c r="J4937" s="78">
        <v>871</v>
      </c>
    </row>
    <row r="4938" spans="6:10" x14ac:dyDescent="0.25">
      <c r="F4938" s="76" t="s">
        <v>150</v>
      </c>
      <c r="G4938" s="77" t="s">
        <v>275</v>
      </c>
      <c r="H4938" s="77" t="s">
        <v>267</v>
      </c>
      <c r="I4938" s="86">
        <v>41745</v>
      </c>
      <c r="J4938" s="78">
        <v>567</v>
      </c>
    </row>
    <row r="4939" spans="6:10" x14ac:dyDescent="0.25">
      <c r="F4939" s="76" t="s">
        <v>150</v>
      </c>
      <c r="G4939" s="77" t="s">
        <v>275</v>
      </c>
      <c r="H4939" s="77" t="s">
        <v>267</v>
      </c>
      <c r="I4939" s="86">
        <v>41746</v>
      </c>
      <c r="J4939" s="78">
        <v>608</v>
      </c>
    </row>
    <row r="4940" spans="6:10" x14ac:dyDescent="0.25">
      <c r="F4940" s="76" t="s">
        <v>150</v>
      </c>
      <c r="G4940" s="77" t="s">
        <v>275</v>
      </c>
      <c r="H4940" s="77" t="s">
        <v>267</v>
      </c>
      <c r="I4940" s="86">
        <v>41747</v>
      </c>
      <c r="J4940" s="78">
        <v>525</v>
      </c>
    </row>
    <row r="4941" spans="6:10" x14ac:dyDescent="0.25">
      <c r="F4941" s="76" t="s">
        <v>150</v>
      </c>
      <c r="G4941" s="77" t="s">
        <v>275</v>
      </c>
      <c r="H4941" s="77" t="s">
        <v>267</v>
      </c>
      <c r="I4941" s="86">
        <v>41748</v>
      </c>
      <c r="J4941" s="78">
        <v>1040</v>
      </c>
    </row>
    <row r="4942" spans="6:10" x14ac:dyDescent="0.25">
      <c r="F4942" s="76" t="s">
        <v>150</v>
      </c>
      <c r="G4942" s="77" t="s">
        <v>275</v>
      </c>
      <c r="H4942" s="77" t="s">
        <v>267</v>
      </c>
      <c r="I4942" s="86">
        <v>41748</v>
      </c>
      <c r="J4942" s="78">
        <v>549</v>
      </c>
    </row>
    <row r="4943" spans="6:10" x14ac:dyDescent="0.25">
      <c r="F4943" s="76" t="s">
        <v>150</v>
      </c>
      <c r="G4943" s="77" t="s">
        <v>275</v>
      </c>
      <c r="H4943" s="77" t="s">
        <v>267</v>
      </c>
      <c r="I4943" s="86">
        <v>41749</v>
      </c>
      <c r="J4943" s="78">
        <v>886</v>
      </c>
    </row>
    <row r="4944" spans="6:10" x14ac:dyDescent="0.25">
      <c r="F4944" s="76" t="s">
        <v>150</v>
      </c>
      <c r="G4944" s="77" t="s">
        <v>275</v>
      </c>
      <c r="H4944" s="77" t="s">
        <v>267</v>
      </c>
      <c r="I4944" s="86">
        <v>41751</v>
      </c>
      <c r="J4944" s="78">
        <v>1221</v>
      </c>
    </row>
    <row r="4945" spans="6:10" x14ac:dyDescent="0.25">
      <c r="F4945" s="76" t="s">
        <v>150</v>
      </c>
      <c r="G4945" s="77" t="s">
        <v>275</v>
      </c>
      <c r="H4945" s="77" t="s">
        <v>267</v>
      </c>
      <c r="I4945" s="86">
        <v>41752</v>
      </c>
      <c r="J4945" s="78">
        <v>610</v>
      </c>
    </row>
    <row r="4946" spans="6:10" x14ac:dyDescent="0.25">
      <c r="F4946" s="76" t="s">
        <v>150</v>
      </c>
      <c r="G4946" s="77" t="s">
        <v>275</v>
      </c>
      <c r="H4946" s="77" t="s">
        <v>267</v>
      </c>
      <c r="I4946" s="86">
        <v>41759</v>
      </c>
      <c r="J4946" s="78">
        <v>876</v>
      </c>
    </row>
    <row r="4947" spans="6:10" x14ac:dyDescent="0.25">
      <c r="F4947" s="76" t="s">
        <v>150</v>
      </c>
      <c r="G4947" s="77" t="s">
        <v>275</v>
      </c>
      <c r="H4947" s="77" t="s">
        <v>267</v>
      </c>
      <c r="I4947" s="86">
        <v>41760</v>
      </c>
      <c r="J4947" s="78">
        <v>496</v>
      </c>
    </row>
    <row r="4948" spans="6:10" x14ac:dyDescent="0.25">
      <c r="F4948" s="76" t="s">
        <v>150</v>
      </c>
      <c r="G4948" s="77" t="s">
        <v>275</v>
      </c>
      <c r="H4948" s="77" t="s">
        <v>267</v>
      </c>
      <c r="I4948" s="86">
        <v>41779</v>
      </c>
      <c r="J4948" s="78">
        <v>958</v>
      </c>
    </row>
    <row r="4949" spans="6:10" x14ac:dyDescent="0.25">
      <c r="F4949" s="76" t="s">
        <v>150</v>
      </c>
      <c r="G4949" s="77" t="s">
        <v>275</v>
      </c>
      <c r="H4949" s="77" t="s">
        <v>267</v>
      </c>
      <c r="I4949" s="86">
        <v>41781</v>
      </c>
      <c r="J4949" s="78">
        <v>1147</v>
      </c>
    </row>
    <row r="4950" spans="6:10" x14ac:dyDescent="0.25">
      <c r="F4950" s="76" t="s">
        <v>150</v>
      </c>
      <c r="G4950" s="77" t="s">
        <v>275</v>
      </c>
      <c r="H4950" s="77" t="s">
        <v>267</v>
      </c>
      <c r="I4950" s="86">
        <v>41788</v>
      </c>
      <c r="J4950" s="78">
        <v>868</v>
      </c>
    </row>
    <row r="4951" spans="6:10" x14ac:dyDescent="0.25">
      <c r="F4951" s="76" t="s">
        <v>150</v>
      </c>
      <c r="G4951" s="77" t="s">
        <v>275</v>
      </c>
      <c r="H4951" s="77" t="s">
        <v>267</v>
      </c>
      <c r="I4951" s="86">
        <v>41789</v>
      </c>
      <c r="J4951" s="78">
        <v>1112</v>
      </c>
    </row>
    <row r="4952" spans="6:10" x14ac:dyDescent="0.25">
      <c r="F4952" s="76" t="s">
        <v>150</v>
      </c>
      <c r="G4952" s="77" t="s">
        <v>275</v>
      </c>
      <c r="H4952" s="77" t="s">
        <v>267</v>
      </c>
      <c r="I4952" s="86">
        <v>41792</v>
      </c>
      <c r="J4952" s="78">
        <v>780</v>
      </c>
    </row>
    <row r="4953" spans="6:10" x14ac:dyDescent="0.25">
      <c r="F4953" s="76" t="s">
        <v>150</v>
      </c>
      <c r="G4953" s="77" t="s">
        <v>275</v>
      </c>
      <c r="H4953" s="77" t="s">
        <v>267</v>
      </c>
      <c r="I4953" s="86">
        <v>41794</v>
      </c>
      <c r="J4953" s="78">
        <v>859</v>
      </c>
    </row>
    <row r="4954" spans="6:10" x14ac:dyDescent="0.25">
      <c r="F4954" s="76" t="s">
        <v>150</v>
      </c>
      <c r="G4954" s="77" t="s">
        <v>275</v>
      </c>
      <c r="H4954" s="77" t="s">
        <v>267</v>
      </c>
      <c r="I4954" s="86">
        <v>41796</v>
      </c>
      <c r="J4954" s="78">
        <v>1331</v>
      </c>
    </row>
    <row r="4955" spans="6:10" x14ac:dyDescent="0.25">
      <c r="F4955" s="76" t="s">
        <v>150</v>
      </c>
      <c r="G4955" s="77" t="s">
        <v>275</v>
      </c>
      <c r="H4955" s="77" t="s">
        <v>267</v>
      </c>
      <c r="I4955" s="86">
        <v>41803</v>
      </c>
      <c r="J4955" s="78">
        <v>878</v>
      </c>
    </row>
    <row r="4956" spans="6:10" x14ac:dyDescent="0.25">
      <c r="F4956" s="76" t="s">
        <v>150</v>
      </c>
      <c r="G4956" s="77" t="s">
        <v>275</v>
      </c>
      <c r="H4956" s="77" t="s">
        <v>267</v>
      </c>
      <c r="I4956" s="86">
        <v>41864</v>
      </c>
      <c r="J4956" s="78">
        <v>706</v>
      </c>
    </row>
    <row r="4957" spans="6:10" x14ac:dyDescent="0.25">
      <c r="F4957" s="76" t="s">
        <v>150</v>
      </c>
      <c r="G4957" s="77" t="s">
        <v>275</v>
      </c>
      <c r="H4957" s="77" t="s">
        <v>267</v>
      </c>
      <c r="I4957" s="86">
        <v>41866</v>
      </c>
      <c r="J4957" s="78">
        <v>713</v>
      </c>
    </row>
    <row r="4958" spans="6:10" x14ac:dyDescent="0.25">
      <c r="F4958" s="76" t="s">
        <v>150</v>
      </c>
      <c r="G4958" s="77" t="s">
        <v>275</v>
      </c>
      <c r="H4958" s="77" t="s">
        <v>267</v>
      </c>
      <c r="I4958" s="86">
        <v>41870</v>
      </c>
      <c r="J4958" s="78">
        <v>790</v>
      </c>
    </row>
    <row r="4959" spans="6:10" x14ac:dyDescent="0.25">
      <c r="F4959" s="76" t="s">
        <v>150</v>
      </c>
      <c r="G4959" s="77" t="s">
        <v>275</v>
      </c>
      <c r="H4959" s="77" t="s">
        <v>267</v>
      </c>
      <c r="I4959" s="86">
        <v>41872</v>
      </c>
      <c r="J4959" s="78">
        <v>699</v>
      </c>
    </row>
    <row r="4960" spans="6:10" x14ac:dyDescent="0.25">
      <c r="F4960" s="76" t="s">
        <v>150</v>
      </c>
      <c r="G4960" s="77" t="s">
        <v>275</v>
      </c>
      <c r="H4960" s="77" t="s">
        <v>267</v>
      </c>
      <c r="I4960" s="86">
        <v>41877</v>
      </c>
      <c r="J4960" s="78">
        <v>1178</v>
      </c>
    </row>
    <row r="4961" spans="6:10" x14ac:dyDescent="0.25">
      <c r="F4961" s="76" t="s">
        <v>150</v>
      </c>
      <c r="G4961" s="77" t="s">
        <v>275</v>
      </c>
      <c r="H4961" s="77" t="s">
        <v>267</v>
      </c>
      <c r="I4961" s="86">
        <v>41879</v>
      </c>
      <c r="J4961" s="78">
        <v>766</v>
      </c>
    </row>
    <row r="4962" spans="6:10" x14ac:dyDescent="0.25">
      <c r="F4962" s="76" t="s">
        <v>150</v>
      </c>
      <c r="G4962" s="77" t="s">
        <v>275</v>
      </c>
      <c r="H4962" s="77" t="s">
        <v>267</v>
      </c>
      <c r="I4962" s="86">
        <v>41889</v>
      </c>
      <c r="J4962" s="78">
        <v>1528</v>
      </c>
    </row>
    <row r="4963" spans="6:10" x14ac:dyDescent="0.25">
      <c r="F4963" s="76" t="s">
        <v>150</v>
      </c>
      <c r="G4963" s="77" t="s">
        <v>275</v>
      </c>
      <c r="H4963" s="77" t="s">
        <v>267</v>
      </c>
      <c r="I4963" s="86">
        <v>41907</v>
      </c>
      <c r="J4963" s="78">
        <v>772</v>
      </c>
    </row>
    <row r="4964" spans="6:10" x14ac:dyDescent="0.25">
      <c r="F4964" s="76" t="s">
        <v>150</v>
      </c>
      <c r="G4964" s="77" t="s">
        <v>275</v>
      </c>
      <c r="H4964" s="77" t="s">
        <v>267</v>
      </c>
      <c r="I4964" s="86">
        <v>41908</v>
      </c>
      <c r="J4964" s="78">
        <v>752</v>
      </c>
    </row>
    <row r="4965" spans="6:10" x14ac:dyDescent="0.25">
      <c r="F4965" s="76" t="s">
        <v>150</v>
      </c>
      <c r="G4965" s="77" t="s">
        <v>275</v>
      </c>
      <c r="H4965" s="77" t="s">
        <v>267</v>
      </c>
      <c r="I4965" s="86">
        <v>41908</v>
      </c>
      <c r="J4965" s="78">
        <v>500</v>
      </c>
    </row>
    <row r="4966" spans="6:10" x14ac:dyDescent="0.25">
      <c r="F4966" s="76" t="s">
        <v>150</v>
      </c>
      <c r="G4966" s="77" t="s">
        <v>275</v>
      </c>
      <c r="H4966" s="77" t="s">
        <v>267</v>
      </c>
      <c r="I4966" s="86">
        <v>41909</v>
      </c>
      <c r="J4966" s="78">
        <v>716</v>
      </c>
    </row>
    <row r="4967" spans="6:10" x14ac:dyDescent="0.25">
      <c r="F4967" s="76" t="s">
        <v>150</v>
      </c>
      <c r="G4967" s="77" t="s">
        <v>275</v>
      </c>
      <c r="H4967" s="77" t="s">
        <v>267</v>
      </c>
      <c r="I4967" s="86">
        <v>41909</v>
      </c>
      <c r="J4967" s="78">
        <v>843</v>
      </c>
    </row>
    <row r="4968" spans="6:10" x14ac:dyDescent="0.25">
      <c r="F4968" s="76" t="s">
        <v>150</v>
      </c>
      <c r="G4968" s="77" t="s">
        <v>275</v>
      </c>
      <c r="H4968" s="77" t="s">
        <v>267</v>
      </c>
      <c r="I4968" s="86">
        <v>41910</v>
      </c>
      <c r="J4968" s="78">
        <v>1065</v>
      </c>
    </row>
    <row r="4969" spans="6:10" x14ac:dyDescent="0.25">
      <c r="F4969" s="76" t="s">
        <v>150</v>
      </c>
      <c r="G4969" s="77" t="s">
        <v>275</v>
      </c>
      <c r="H4969" s="77" t="s">
        <v>267</v>
      </c>
      <c r="I4969" s="86">
        <v>41911</v>
      </c>
      <c r="J4969" s="78">
        <v>646</v>
      </c>
    </row>
    <row r="4970" spans="6:10" x14ac:dyDescent="0.25">
      <c r="F4970" s="76" t="s">
        <v>150</v>
      </c>
      <c r="G4970" s="77" t="s">
        <v>275</v>
      </c>
      <c r="H4970" s="77" t="s">
        <v>267</v>
      </c>
      <c r="I4970" s="86">
        <v>41912</v>
      </c>
      <c r="J4970" s="78">
        <v>625</v>
      </c>
    </row>
    <row r="4971" spans="6:10" x14ac:dyDescent="0.25">
      <c r="F4971" s="76" t="s">
        <v>150</v>
      </c>
      <c r="G4971" s="77" t="s">
        <v>275</v>
      </c>
      <c r="H4971" s="77" t="s">
        <v>267</v>
      </c>
      <c r="I4971" s="86">
        <v>41913</v>
      </c>
      <c r="J4971" s="78">
        <v>646</v>
      </c>
    </row>
    <row r="4972" spans="6:10" x14ac:dyDescent="0.25">
      <c r="F4972" s="76" t="s">
        <v>150</v>
      </c>
      <c r="G4972" s="77" t="s">
        <v>275</v>
      </c>
      <c r="H4972" s="77" t="s">
        <v>267</v>
      </c>
      <c r="I4972" s="86">
        <v>41915</v>
      </c>
      <c r="J4972" s="78">
        <v>1114</v>
      </c>
    </row>
    <row r="4973" spans="6:10" x14ac:dyDescent="0.25">
      <c r="F4973" s="76" t="s">
        <v>150</v>
      </c>
      <c r="G4973" s="77" t="s">
        <v>275</v>
      </c>
      <c r="H4973" s="77" t="s">
        <v>267</v>
      </c>
      <c r="I4973" s="86">
        <v>41916</v>
      </c>
      <c r="J4973" s="78">
        <v>676</v>
      </c>
    </row>
    <row r="4974" spans="6:10" x14ac:dyDescent="0.25">
      <c r="F4974" s="76" t="s">
        <v>150</v>
      </c>
      <c r="G4974" s="77" t="s">
        <v>275</v>
      </c>
      <c r="H4974" s="77" t="s">
        <v>267</v>
      </c>
      <c r="I4974" s="86">
        <v>41916</v>
      </c>
      <c r="J4974" s="78">
        <v>836</v>
      </c>
    </row>
    <row r="4975" spans="6:10" x14ac:dyDescent="0.25">
      <c r="F4975" s="76" t="s">
        <v>150</v>
      </c>
      <c r="G4975" s="77" t="s">
        <v>275</v>
      </c>
      <c r="H4975" s="77" t="s">
        <v>267</v>
      </c>
      <c r="I4975" s="86">
        <v>41918</v>
      </c>
      <c r="J4975" s="78">
        <v>1208</v>
      </c>
    </row>
    <row r="4976" spans="6:10" x14ac:dyDescent="0.25">
      <c r="F4976" s="76" t="s">
        <v>150</v>
      </c>
      <c r="G4976" s="77" t="s">
        <v>275</v>
      </c>
      <c r="H4976" s="77" t="s">
        <v>267</v>
      </c>
      <c r="I4976" s="86">
        <v>41924</v>
      </c>
      <c r="J4976" s="78">
        <v>482</v>
      </c>
    </row>
    <row r="4977" spans="6:10" x14ac:dyDescent="0.25">
      <c r="F4977" s="76" t="s">
        <v>150</v>
      </c>
      <c r="G4977" s="77" t="s">
        <v>275</v>
      </c>
      <c r="H4977" s="77" t="s">
        <v>267</v>
      </c>
      <c r="I4977" s="86">
        <v>41927</v>
      </c>
      <c r="J4977" s="78">
        <v>861</v>
      </c>
    </row>
    <row r="4978" spans="6:10" x14ac:dyDescent="0.25">
      <c r="F4978" s="76" t="s">
        <v>150</v>
      </c>
      <c r="G4978" s="77" t="s">
        <v>275</v>
      </c>
      <c r="H4978" s="77" t="s">
        <v>267</v>
      </c>
      <c r="I4978" s="86">
        <v>41932</v>
      </c>
      <c r="J4978" s="78">
        <v>868</v>
      </c>
    </row>
    <row r="4979" spans="6:10" x14ac:dyDescent="0.25">
      <c r="F4979" s="76" t="s">
        <v>150</v>
      </c>
      <c r="G4979" s="77" t="s">
        <v>275</v>
      </c>
      <c r="H4979" s="77" t="s">
        <v>267</v>
      </c>
      <c r="I4979" s="86">
        <v>41934</v>
      </c>
      <c r="J4979" s="78">
        <v>928</v>
      </c>
    </row>
    <row r="4980" spans="6:10" x14ac:dyDescent="0.25">
      <c r="F4980" s="76" t="s">
        <v>150</v>
      </c>
      <c r="G4980" s="77" t="s">
        <v>275</v>
      </c>
      <c r="H4980" s="77" t="s">
        <v>267</v>
      </c>
      <c r="I4980" s="86">
        <v>41936</v>
      </c>
      <c r="J4980" s="78">
        <v>910</v>
      </c>
    </row>
    <row r="4981" spans="6:10" x14ac:dyDescent="0.25">
      <c r="F4981" s="76" t="s">
        <v>150</v>
      </c>
      <c r="G4981" s="77" t="s">
        <v>275</v>
      </c>
      <c r="H4981" s="77" t="s">
        <v>267</v>
      </c>
      <c r="I4981" s="86">
        <v>41937</v>
      </c>
      <c r="J4981" s="78">
        <v>412</v>
      </c>
    </row>
    <row r="4982" spans="6:10" x14ac:dyDescent="0.25">
      <c r="F4982" s="76" t="s">
        <v>150</v>
      </c>
      <c r="G4982" s="77" t="s">
        <v>275</v>
      </c>
      <c r="H4982" s="77" t="s">
        <v>267</v>
      </c>
      <c r="I4982" s="86">
        <v>41939</v>
      </c>
      <c r="J4982" s="78">
        <v>989</v>
      </c>
    </row>
    <row r="4983" spans="6:10" x14ac:dyDescent="0.25">
      <c r="F4983" s="76" t="s">
        <v>150</v>
      </c>
      <c r="G4983" s="77" t="s">
        <v>275</v>
      </c>
      <c r="H4983" s="77" t="s">
        <v>267</v>
      </c>
      <c r="I4983" s="86">
        <v>41941</v>
      </c>
      <c r="J4983" s="78">
        <v>641</v>
      </c>
    </row>
    <row r="4984" spans="6:10" x14ac:dyDescent="0.25">
      <c r="F4984" s="76" t="s">
        <v>150</v>
      </c>
      <c r="G4984" s="77" t="s">
        <v>275</v>
      </c>
      <c r="H4984" s="77" t="s">
        <v>267</v>
      </c>
      <c r="I4984" s="86">
        <v>41943</v>
      </c>
      <c r="J4984" s="78">
        <v>888</v>
      </c>
    </row>
    <row r="4985" spans="6:10" x14ac:dyDescent="0.25">
      <c r="F4985" s="76" t="s">
        <v>150</v>
      </c>
      <c r="G4985" s="77" t="s">
        <v>275</v>
      </c>
      <c r="H4985" s="77" t="s">
        <v>267</v>
      </c>
      <c r="I4985" s="86">
        <v>41944</v>
      </c>
      <c r="J4985" s="78">
        <v>692</v>
      </c>
    </row>
    <row r="4986" spans="6:10" x14ac:dyDescent="0.25">
      <c r="F4986" s="76" t="s">
        <v>150</v>
      </c>
      <c r="G4986" s="77" t="s">
        <v>275</v>
      </c>
      <c r="H4986" s="77" t="s">
        <v>267</v>
      </c>
      <c r="I4986" s="86">
        <v>41946</v>
      </c>
      <c r="J4986" s="78">
        <v>1118</v>
      </c>
    </row>
    <row r="4987" spans="6:10" x14ac:dyDescent="0.25">
      <c r="F4987" s="76" t="s">
        <v>150</v>
      </c>
      <c r="G4987" s="77" t="s">
        <v>275</v>
      </c>
      <c r="H4987" s="77" t="s">
        <v>267</v>
      </c>
      <c r="I4987" s="86">
        <v>41946</v>
      </c>
      <c r="J4987" s="78">
        <v>279</v>
      </c>
    </row>
    <row r="4988" spans="6:10" x14ac:dyDescent="0.25">
      <c r="F4988" s="76" t="s">
        <v>150</v>
      </c>
      <c r="G4988" s="77" t="s">
        <v>275</v>
      </c>
      <c r="H4988" s="77" t="s">
        <v>267</v>
      </c>
      <c r="I4988" s="86">
        <v>41947</v>
      </c>
      <c r="J4988" s="78">
        <v>646</v>
      </c>
    </row>
    <row r="4989" spans="6:10" x14ac:dyDescent="0.25">
      <c r="F4989" s="76" t="s">
        <v>150</v>
      </c>
      <c r="G4989" s="77" t="s">
        <v>275</v>
      </c>
      <c r="H4989" s="77" t="s">
        <v>267</v>
      </c>
      <c r="I4989" s="86">
        <v>41949</v>
      </c>
      <c r="J4989" s="78">
        <v>700</v>
      </c>
    </row>
    <row r="4990" spans="6:10" x14ac:dyDescent="0.25">
      <c r="F4990" s="76" t="s">
        <v>150</v>
      </c>
      <c r="G4990" s="77" t="s">
        <v>275</v>
      </c>
      <c r="H4990" s="77" t="s">
        <v>267</v>
      </c>
      <c r="I4990" s="86">
        <v>41950</v>
      </c>
      <c r="J4990" s="78">
        <v>930</v>
      </c>
    </row>
    <row r="4991" spans="6:10" x14ac:dyDescent="0.25">
      <c r="F4991" s="76" t="s">
        <v>150</v>
      </c>
      <c r="G4991" s="77" t="s">
        <v>275</v>
      </c>
      <c r="H4991" s="77" t="s">
        <v>267</v>
      </c>
      <c r="I4991" s="86">
        <v>41951</v>
      </c>
      <c r="J4991" s="78">
        <v>536</v>
      </c>
    </row>
    <row r="4992" spans="6:10" x14ac:dyDescent="0.25">
      <c r="F4992" s="76" t="s">
        <v>150</v>
      </c>
      <c r="G4992" s="77" t="s">
        <v>275</v>
      </c>
      <c r="H4992" s="77" t="s">
        <v>267</v>
      </c>
      <c r="I4992" s="86">
        <v>41953</v>
      </c>
      <c r="J4992" s="78">
        <v>875</v>
      </c>
    </row>
    <row r="4993" spans="6:10" ht="15.75" thickBot="1" x14ac:dyDescent="0.3">
      <c r="F4993" s="94" t="s">
        <v>150</v>
      </c>
      <c r="G4993" s="91" t="s">
        <v>275</v>
      </c>
      <c r="H4993" s="91" t="s">
        <v>267</v>
      </c>
      <c r="I4993" s="95">
        <v>41954</v>
      </c>
      <c r="J4993" s="96">
        <v>512</v>
      </c>
    </row>
    <row r="4994" spans="6:10" x14ac:dyDescent="0.25">
      <c r="F4994" s="97" t="s">
        <v>150</v>
      </c>
      <c r="G4994" s="90" t="s">
        <v>275</v>
      </c>
      <c r="H4994" s="90" t="s">
        <v>267</v>
      </c>
      <c r="I4994" s="98">
        <v>41955</v>
      </c>
      <c r="J4994" s="99">
        <v>666</v>
      </c>
    </row>
    <row r="4995" spans="6:10" x14ac:dyDescent="0.25">
      <c r="F4995" s="76" t="s">
        <v>150</v>
      </c>
      <c r="G4995" s="77" t="s">
        <v>275</v>
      </c>
      <c r="H4995" s="77" t="s">
        <v>267</v>
      </c>
      <c r="I4995" s="86">
        <v>41956</v>
      </c>
      <c r="J4995" s="78">
        <v>540</v>
      </c>
    </row>
    <row r="4996" spans="6:10" x14ac:dyDescent="0.25">
      <c r="F4996" s="76" t="s">
        <v>150</v>
      </c>
      <c r="G4996" s="77" t="s">
        <v>275</v>
      </c>
      <c r="H4996" s="77" t="s">
        <v>267</v>
      </c>
      <c r="I4996" s="86">
        <v>41956</v>
      </c>
      <c r="J4996" s="78">
        <v>312</v>
      </c>
    </row>
    <row r="4997" spans="6:10" x14ac:dyDescent="0.25">
      <c r="F4997" s="76" t="s">
        <v>150</v>
      </c>
      <c r="G4997" s="77" t="s">
        <v>275</v>
      </c>
      <c r="H4997" s="77" t="s">
        <v>267</v>
      </c>
      <c r="I4997" s="86">
        <v>41960</v>
      </c>
      <c r="J4997" s="78">
        <v>822</v>
      </c>
    </row>
    <row r="4998" spans="6:10" x14ac:dyDescent="0.25">
      <c r="F4998" s="76" t="s">
        <v>150</v>
      </c>
      <c r="G4998" s="77" t="s">
        <v>275</v>
      </c>
      <c r="H4998" s="77" t="s">
        <v>267</v>
      </c>
      <c r="I4998" s="86">
        <v>41961</v>
      </c>
      <c r="J4998" s="78">
        <v>741</v>
      </c>
    </row>
    <row r="4999" spans="6:10" x14ac:dyDescent="0.25">
      <c r="F4999" s="76" t="s">
        <v>150</v>
      </c>
      <c r="G4999" s="77" t="s">
        <v>275</v>
      </c>
      <c r="H4999" s="77" t="s">
        <v>267</v>
      </c>
      <c r="I4999" s="86">
        <v>41968</v>
      </c>
      <c r="J4999" s="78">
        <v>1091</v>
      </c>
    </row>
    <row r="5000" spans="6:10" x14ac:dyDescent="0.25">
      <c r="F5000" s="76" t="s">
        <v>150</v>
      </c>
      <c r="G5000" s="77" t="s">
        <v>275</v>
      </c>
      <c r="H5000" s="77" t="s">
        <v>267</v>
      </c>
      <c r="I5000" s="86">
        <v>41971</v>
      </c>
      <c r="J5000" s="78">
        <v>635</v>
      </c>
    </row>
    <row r="5001" spans="6:10" x14ac:dyDescent="0.25">
      <c r="F5001" s="76" t="s">
        <v>150</v>
      </c>
      <c r="G5001" s="77" t="s">
        <v>275</v>
      </c>
      <c r="H5001" s="77" t="s">
        <v>267</v>
      </c>
      <c r="I5001" s="86">
        <v>41975</v>
      </c>
      <c r="J5001" s="78">
        <v>990</v>
      </c>
    </row>
    <row r="5002" spans="6:10" x14ac:dyDescent="0.25">
      <c r="F5002" s="76" t="s">
        <v>150</v>
      </c>
      <c r="G5002" s="77" t="s">
        <v>275</v>
      </c>
      <c r="H5002" s="77" t="s">
        <v>267</v>
      </c>
      <c r="I5002" s="86">
        <v>41976</v>
      </c>
      <c r="J5002" s="78">
        <v>398</v>
      </c>
    </row>
    <row r="5003" spans="6:10" x14ac:dyDescent="0.25">
      <c r="F5003" s="76" t="s">
        <v>150</v>
      </c>
      <c r="G5003" s="77" t="s">
        <v>275</v>
      </c>
      <c r="H5003" s="77" t="s">
        <v>267</v>
      </c>
      <c r="I5003" s="86">
        <v>41978</v>
      </c>
      <c r="J5003" s="78">
        <v>653</v>
      </c>
    </row>
    <row r="5004" spans="6:10" x14ac:dyDescent="0.25">
      <c r="F5004" s="76" t="s">
        <v>150</v>
      </c>
      <c r="G5004" s="77" t="s">
        <v>275</v>
      </c>
      <c r="H5004" s="77" t="s">
        <v>267</v>
      </c>
      <c r="I5004" s="86">
        <v>41982</v>
      </c>
      <c r="J5004" s="78">
        <v>990</v>
      </c>
    </row>
    <row r="5005" spans="6:10" x14ac:dyDescent="0.25">
      <c r="F5005" s="76" t="s">
        <v>150</v>
      </c>
      <c r="G5005" s="77" t="s">
        <v>275</v>
      </c>
      <c r="H5005" s="77" t="s">
        <v>267</v>
      </c>
      <c r="I5005" s="86">
        <v>41984</v>
      </c>
      <c r="J5005" s="78">
        <v>655</v>
      </c>
    </row>
    <row r="5006" spans="6:10" x14ac:dyDescent="0.25">
      <c r="F5006" s="76" t="s">
        <v>150</v>
      </c>
      <c r="G5006" s="77" t="s">
        <v>275</v>
      </c>
      <c r="H5006" s="77" t="s">
        <v>267</v>
      </c>
      <c r="I5006" s="86">
        <v>41988</v>
      </c>
      <c r="J5006" s="78">
        <v>576</v>
      </c>
    </row>
    <row r="5007" spans="6:10" x14ac:dyDescent="0.25">
      <c r="F5007" s="76" t="s">
        <v>150</v>
      </c>
      <c r="G5007" s="77" t="s">
        <v>275</v>
      </c>
      <c r="H5007" s="77" t="s">
        <v>267</v>
      </c>
      <c r="I5007" s="86">
        <v>41989</v>
      </c>
      <c r="J5007" s="78">
        <v>504</v>
      </c>
    </row>
    <row r="5008" spans="6:10" x14ac:dyDescent="0.25">
      <c r="F5008" s="76" t="s">
        <v>150</v>
      </c>
      <c r="G5008" s="77" t="s">
        <v>275</v>
      </c>
      <c r="H5008" s="77" t="s">
        <v>267</v>
      </c>
      <c r="I5008" s="86">
        <v>41994</v>
      </c>
      <c r="J5008" s="78">
        <v>788</v>
      </c>
    </row>
    <row r="5009" spans="6:10" x14ac:dyDescent="0.25">
      <c r="F5009" s="76" t="s">
        <v>150</v>
      </c>
      <c r="G5009" s="77" t="s">
        <v>275</v>
      </c>
      <c r="H5009" s="77" t="s">
        <v>267</v>
      </c>
      <c r="I5009" s="86">
        <v>41995</v>
      </c>
      <c r="J5009" s="78">
        <v>779</v>
      </c>
    </row>
    <row r="5010" spans="6:10" x14ac:dyDescent="0.25">
      <c r="F5010" s="76" t="s">
        <v>150</v>
      </c>
      <c r="G5010" s="77" t="s">
        <v>276</v>
      </c>
      <c r="H5010" s="77" t="s">
        <v>267</v>
      </c>
      <c r="I5010" s="86">
        <v>41674</v>
      </c>
      <c r="J5010" s="78">
        <v>807</v>
      </c>
    </row>
    <row r="5011" spans="6:10" x14ac:dyDescent="0.25">
      <c r="F5011" s="76" t="s">
        <v>150</v>
      </c>
      <c r="G5011" s="77" t="s">
        <v>276</v>
      </c>
      <c r="H5011" s="77" t="s">
        <v>267</v>
      </c>
      <c r="I5011" s="86">
        <v>41675</v>
      </c>
      <c r="J5011" s="78">
        <v>821</v>
      </c>
    </row>
    <row r="5012" spans="6:10" x14ac:dyDescent="0.25">
      <c r="F5012" s="76" t="s">
        <v>150</v>
      </c>
      <c r="G5012" s="77" t="s">
        <v>276</v>
      </c>
      <c r="H5012" s="77" t="s">
        <v>267</v>
      </c>
      <c r="I5012" s="86">
        <v>41677</v>
      </c>
      <c r="J5012" s="78">
        <v>721</v>
      </c>
    </row>
    <row r="5013" spans="6:10" x14ac:dyDescent="0.25">
      <c r="F5013" s="76" t="s">
        <v>150</v>
      </c>
      <c r="G5013" s="77" t="s">
        <v>276</v>
      </c>
      <c r="H5013" s="77" t="s">
        <v>267</v>
      </c>
      <c r="I5013" s="86">
        <v>41679</v>
      </c>
      <c r="J5013" s="78">
        <v>620</v>
      </c>
    </row>
    <row r="5014" spans="6:10" x14ac:dyDescent="0.25">
      <c r="F5014" s="76" t="s">
        <v>150</v>
      </c>
      <c r="G5014" s="77" t="s">
        <v>276</v>
      </c>
      <c r="H5014" s="77" t="s">
        <v>267</v>
      </c>
      <c r="I5014" s="86">
        <v>41681</v>
      </c>
      <c r="J5014" s="78">
        <v>1120</v>
      </c>
    </row>
    <row r="5015" spans="6:10" x14ac:dyDescent="0.25">
      <c r="F5015" s="76" t="s">
        <v>150</v>
      </c>
      <c r="G5015" s="77" t="s">
        <v>276</v>
      </c>
      <c r="H5015" s="77" t="s">
        <v>267</v>
      </c>
      <c r="I5015" s="86">
        <v>41682</v>
      </c>
      <c r="J5015" s="78">
        <v>872</v>
      </c>
    </row>
    <row r="5016" spans="6:10" x14ac:dyDescent="0.25">
      <c r="F5016" s="76" t="s">
        <v>150</v>
      </c>
      <c r="G5016" s="77" t="s">
        <v>276</v>
      </c>
      <c r="H5016" s="77" t="s">
        <v>267</v>
      </c>
      <c r="I5016" s="86">
        <v>41685</v>
      </c>
      <c r="J5016" s="78">
        <v>1026</v>
      </c>
    </row>
    <row r="5017" spans="6:10" x14ac:dyDescent="0.25">
      <c r="F5017" s="76" t="s">
        <v>150</v>
      </c>
      <c r="G5017" s="77" t="s">
        <v>276</v>
      </c>
      <c r="H5017" s="77" t="s">
        <v>267</v>
      </c>
      <c r="I5017" s="86">
        <v>41687</v>
      </c>
      <c r="J5017" s="78">
        <v>1105</v>
      </c>
    </row>
    <row r="5018" spans="6:10" x14ac:dyDescent="0.25">
      <c r="F5018" s="76" t="s">
        <v>150</v>
      </c>
      <c r="G5018" s="77" t="s">
        <v>276</v>
      </c>
      <c r="H5018" s="77" t="s">
        <v>267</v>
      </c>
      <c r="I5018" s="86">
        <v>41688</v>
      </c>
      <c r="J5018" s="78">
        <v>593</v>
      </c>
    </row>
    <row r="5019" spans="6:10" x14ac:dyDescent="0.25">
      <c r="F5019" s="76" t="s">
        <v>150</v>
      </c>
      <c r="G5019" s="77" t="s">
        <v>276</v>
      </c>
      <c r="H5019" s="77" t="s">
        <v>267</v>
      </c>
      <c r="I5019" s="86">
        <v>41690</v>
      </c>
      <c r="J5019" s="78">
        <v>1074</v>
      </c>
    </row>
    <row r="5020" spans="6:10" x14ac:dyDescent="0.25">
      <c r="F5020" s="76" t="s">
        <v>150</v>
      </c>
      <c r="G5020" s="77" t="s">
        <v>276</v>
      </c>
      <c r="H5020" s="77" t="s">
        <v>267</v>
      </c>
      <c r="I5020" s="86">
        <v>41690</v>
      </c>
      <c r="J5020" s="78">
        <v>699</v>
      </c>
    </row>
    <row r="5021" spans="6:10" x14ac:dyDescent="0.25">
      <c r="F5021" s="76" t="s">
        <v>150</v>
      </c>
      <c r="G5021" s="77" t="s">
        <v>276</v>
      </c>
      <c r="H5021" s="77" t="s">
        <v>267</v>
      </c>
      <c r="I5021" s="86">
        <v>41691</v>
      </c>
      <c r="J5021" s="78">
        <v>943</v>
      </c>
    </row>
    <row r="5022" spans="6:10" x14ac:dyDescent="0.25">
      <c r="F5022" s="76" t="s">
        <v>150</v>
      </c>
      <c r="G5022" s="77" t="s">
        <v>276</v>
      </c>
      <c r="H5022" s="77" t="s">
        <v>267</v>
      </c>
      <c r="I5022" s="86">
        <v>41694</v>
      </c>
      <c r="J5022" s="78">
        <v>760</v>
      </c>
    </row>
    <row r="5023" spans="6:10" x14ac:dyDescent="0.25">
      <c r="F5023" s="76" t="s">
        <v>150</v>
      </c>
      <c r="G5023" s="77" t="s">
        <v>276</v>
      </c>
      <c r="H5023" s="77" t="s">
        <v>267</v>
      </c>
      <c r="I5023" s="86">
        <v>41866</v>
      </c>
      <c r="J5023" s="78">
        <v>734</v>
      </c>
    </row>
    <row r="5024" spans="6:10" x14ac:dyDescent="0.25">
      <c r="F5024" s="76" t="s">
        <v>150</v>
      </c>
      <c r="G5024" s="77" t="s">
        <v>276</v>
      </c>
      <c r="H5024" s="77" t="s">
        <v>267</v>
      </c>
      <c r="I5024" s="86">
        <v>41869</v>
      </c>
      <c r="J5024" s="78">
        <v>739</v>
      </c>
    </row>
    <row r="5025" spans="6:10" x14ac:dyDescent="0.25">
      <c r="F5025" s="76" t="s">
        <v>150</v>
      </c>
      <c r="G5025" s="77" t="s">
        <v>276</v>
      </c>
      <c r="H5025" s="77" t="s">
        <v>267</v>
      </c>
      <c r="I5025" s="86">
        <v>41877</v>
      </c>
      <c r="J5025" s="78">
        <v>1452</v>
      </c>
    </row>
    <row r="5026" spans="6:10" x14ac:dyDescent="0.25">
      <c r="F5026" s="76" t="s">
        <v>150</v>
      </c>
      <c r="G5026" s="77" t="s">
        <v>276</v>
      </c>
      <c r="H5026" s="77" t="s">
        <v>267</v>
      </c>
      <c r="I5026" s="86">
        <v>41878</v>
      </c>
      <c r="J5026" s="78">
        <v>917</v>
      </c>
    </row>
    <row r="5027" spans="6:10" x14ac:dyDescent="0.25">
      <c r="F5027" s="76" t="s">
        <v>150</v>
      </c>
      <c r="G5027" s="77" t="s">
        <v>276</v>
      </c>
      <c r="H5027" s="77" t="s">
        <v>267</v>
      </c>
      <c r="I5027" s="86">
        <v>41878</v>
      </c>
      <c r="J5027" s="78">
        <v>655</v>
      </c>
    </row>
    <row r="5028" spans="6:10" x14ac:dyDescent="0.25">
      <c r="F5028" s="76" t="s">
        <v>150</v>
      </c>
      <c r="G5028" s="77" t="s">
        <v>276</v>
      </c>
      <c r="H5028" s="77" t="s">
        <v>267</v>
      </c>
      <c r="I5028" s="86">
        <v>41880</v>
      </c>
      <c r="J5028" s="78">
        <v>1004</v>
      </c>
    </row>
    <row r="5029" spans="6:10" x14ac:dyDescent="0.25">
      <c r="F5029" s="76" t="s">
        <v>150</v>
      </c>
      <c r="G5029" s="77" t="s">
        <v>276</v>
      </c>
      <c r="H5029" s="77" t="s">
        <v>267</v>
      </c>
      <c r="I5029" s="86">
        <v>41887</v>
      </c>
      <c r="J5029" s="78">
        <v>892</v>
      </c>
    </row>
    <row r="5030" spans="6:10" x14ac:dyDescent="0.25">
      <c r="F5030" s="76" t="s">
        <v>150</v>
      </c>
      <c r="G5030" s="77" t="s">
        <v>276</v>
      </c>
      <c r="H5030" s="77" t="s">
        <v>267</v>
      </c>
      <c r="I5030" s="86">
        <v>41888</v>
      </c>
      <c r="J5030" s="78">
        <v>906</v>
      </c>
    </row>
    <row r="5031" spans="6:10" x14ac:dyDescent="0.25">
      <c r="F5031" s="76" t="s">
        <v>150</v>
      </c>
      <c r="G5031" s="77" t="s">
        <v>276</v>
      </c>
      <c r="H5031" s="77" t="s">
        <v>267</v>
      </c>
      <c r="I5031" s="86">
        <v>41889</v>
      </c>
      <c r="J5031" s="78">
        <v>548</v>
      </c>
    </row>
    <row r="5032" spans="6:10" x14ac:dyDescent="0.25">
      <c r="F5032" s="76" t="s">
        <v>150</v>
      </c>
      <c r="G5032" s="77" t="s">
        <v>276</v>
      </c>
      <c r="H5032" s="77" t="s">
        <v>267</v>
      </c>
      <c r="I5032" s="86">
        <v>41890</v>
      </c>
      <c r="J5032" s="78">
        <v>580</v>
      </c>
    </row>
    <row r="5033" spans="6:10" x14ac:dyDescent="0.25">
      <c r="F5033" s="76" t="s">
        <v>150</v>
      </c>
      <c r="G5033" s="77" t="s">
        <v>276</v>
      </c>
      <c r="H5033" s="77" t="s">
        <v>267</v>
      </c>
      <c r="I5033" s="86">
        <v>41891</v>
      </c>
      <c r="J5033" s="78">
        <v>497</v>
      </c>
    </row>
    <row r="5034" spans="6:10" x14ac:dyDescent="0.25">
      <c r="F5034" s="76" t="s">
        <v>150</v>
      </c>
      <c r="G5034" s="77" t="s">
        <v>276</v>
      </c>
      <c r="H5034" s="77" t="s">
        <v>267</v>
      </c>
      <c r="I5034" s="86">
        <v>41893</v>
      </c>
      <c r="J5034" s="78">
        <v>1432</v>
      </c>
    </row>
    <row r="5035" spans="6:10" x14ac:dyDescent="0.25">
      <c r="F5035" s="76" t="s">
        <v>150</v>
      </c>
      <c r="G5035" s="77" t="s">
        <v>276</v>
      </c>
      <c r="H5035" s="77" t="s">
        <v>267</v>
      </c>
      <c r="I5035" s="86">
        <v>41897</v>
      </c>
      <c r="J5035" s="78">
        <v>785</v>
      </c>
    </row>
    <row r="5036" spans="6:10" x14ac:dyDescent="0.25">
      <c r="F5036" s="76" t="s">
        <v>150</v>
      </c>
      <c r="G5036" s="77" t="s">
        <v>276</v>
      </c>
      <c r="H5036" s="77" t="s">
        <v>267</v>
      </c>
      <c r="I5036" s="86">
        <v>41898</v>
      </c>
      <c r="J5036" s="78">
        <v>498</v>
      </c>
    </row>
    <row r="5037" spans="6:10" x14ac:dyDescent="0.25">
      <c r="F5037" s="76" t="s">
        <v>150</v>
      </c>
      <c r="G5037" s="77" t="s">
        <v>276</v>
      </c>
      <c r="H5037" s="77" t="s">
        <v>267</v>
      </c>
      <c r="I5037" s="86">
        <v>41899</v>
      </c>
      <c r="J5037" s="78">
        <v>690</v>
      </c>
    </row>
    <row r="5038" spans="6:10" x14ac:dyDescent="0.25">
      <c r="F5038" s="76" t="s">
        <v>150</v>
      </c>
      <c r="G5038" s="77" t="s">
        <v>276</v>
      </c>
      <c r="H5038" s="77" t="s">
        <v>267</v>
      </c>
      <c r="I5038" s="86">
        <v>41900</v>
      </c>
      <c r="J5038" s="78">
        <v>563</v>
      </c>
    </row>
    <row r="5039" spans="6:10" x14ac:dyDescent="0.25">
      <c r="F5039" s="76" t="s">
        <v>150</v>
      </c>
      <c r="G5039" s="77" t="s">
        <v>276</v>
      </c>
      <c r="H5039" s="77" t="s">
        <v>267</v>
      </c>
      <c r="I5039" s="86">
        <v>41901</v>
      </c>
      <c r="J5039" s="78">
        <v>974</v>
      </c>
    </row>
    <row r="5040" spans="6:10" x14ac:dyDescent="0.25">
      <c r="F5040" s="76" t="s">
        <v>150</v>
      </c>
      <c r="G5040" s="77" t="s">
        <v>276</v>
      </c>
      <c r="H5040" s="77" t="s">
        <v>267</v>
      </c>
      <c r="I5040" s="86">
        <v>41902</v>
      </c>
      <c r="J5040" s="78">
        <v>804</v>
      </c>
    </row>
    <row r="5041" spans="6:10" x14ac:dyDescent="0.25">
      <c r="F5041" s="76" t="s">
        <v>150</v>
      </c>
      <c r="G5041" s="77" t="s">
        <v>276</v>
      </c>
      <c r="H5041" s="77" t="s">
        <v>267</v>
      </c>
      <c r="I5041" s="86">
        <v>41904</v>
      </c>
      <c r="J5041" s="78">
        <v>1163</v>
      </c>
    </row>
    <row r="5042" spans="6:10" x14ac:dyDescent="0.25">
      <c r="F5042" s="76" t="s">
        <v>150</v>
      </c>
      <c r="G5042" s="77" t="s">
        <v>276</v>
      </c>
      <c r="H5042" s="77" t="s">
        <v>267</v>
      </c>
      <c r="I5042" s="86">
        <v>41905</v>
      </c>
      <c r="J5042" s="78">
        <v>972</v>
      </c>
    </row>
    <row r="5043" spans="6:10" x14ac:dyDescent="0.25">
      <c r="F5043" s="76" t="s">
        <v>150</v>
      </c>
      <c r="G5043" s="77" t="s">
        <v>276</v>
      </c>
      <c r="H5043" s="77" t="s">
        <v>267</v>
      </c>
      <c r="I5043" s="86">
        <v>41907</v>
      </c>
      <c r="J5043" s="78">
        <v>808</v>
      </c>
    </row>
    <row r="5044" spans="6:10" x14ac:dyDescent="0.25">
      <c r="F5044" s="76" t="s">
        <v>150</v>
      </c>
      <c r="G5044" s="77" t="s">
        <v>276</v>
      </c>
      <c r="H5044" s="77" t="s">
        <v>267</v>
      </c>
      <c r="I5044" s="86">
        <v>41908</v>
      </c>
      <c r="J5044" s="78">
        <v>797</v>
      </c>
    </row>
    <row r="5045" spans="6:10" x14ac:dyDescent="0.25">
      <c r="F5045" s="76" t="s">
        <v>150</v>
      </c>
      <c r="G5045" s="77" t="s">
        <v>276</v>
      </c>
      <c r="H5045" s="77" t="s">
        <v>267</v>
      </c>
      <c r="I5045" s="86">
        <v>41912</v>
      </c>
      <c r="J5045" s="78">
        <v>939</v>
      </c>
    </row>
    <row r="5046" spans="6:10" x14ac:dyDescent="0.25">
      <c r="F5046" s="76" t="s">
        <v>150</v>
      </c>
      <c r="G5046" s="77" t="s">
        <v>276</v>
      </c>
      <c r="H5046" s="77" t="s">
        <v>267</v>
      </c>
      <c r="I5046" s="86">
        <v>41914</v>
      </c>
      <c r="J5046" s="78">
        <v>990</v>
      </c>
    </row>
    <row r="5047" spans="6:10" x14ac:dyDescent="0.25">
      <c r="F5047" s="76" t="s">
        <v>150</v>
      </c>
      <c r="G5047" s="77" t="s">
        <v>276</v>
      </c>
      <c r="H5047" s="77" t="s">
        <v>267</v>
      </c>
      <c r="I5047" s="86">
        <v>41915</v>
      </c>
      <c r="J5047" s="78">
        <v>669</v>
      </c>
    </row>
    <row r="5048" spans="6:10" x14ac:dyDescent="0.25">
      <c r="F5048" s="76" t="s">
        <v>150</v>
      </c>
      <c r="G5048" s="77" t="s">
        <v>276</v>
      </c>
      <c r="H5048" s="77" t="s">
        <v>267</v>
      </c>
      <c r="I5048" s="86">
        <v>41917</v>
      </c>
      <c r="J5048" s="78">
        <v>782</v>
      </c>
    </row>
    <row r="5049" spans="6:10" x14ac:dyDescent="0.25">
      <c r="F5049" s="76" t="s">
        <v>150</v>
      </c>
      <c r="G5049" s="77" t="s">
        <v>276</v>
      </c>
      <c r="H5049" s="77" t="s">
        <v>267</v>
      </c>
      <c r="I5049" s="86">
        <v>41918</v>
      </c>
      <c r="J5049" s="78">
        <v>944</v>
      </c>
    </row>
    <row r="5050" spans="6:10" x14ac:dyDescent="0.25">
      <c r="F5050" s="76" t="s">
        <v>150</v>
      </c>
      <c r="G5050" s="77" t="s">
        <v>276</v>
      </c>
      <c r="H5050" s="77" t="s">
        <v>267</v>
      </c>
      <c r="I5050" s="86">
        <v>41919</v>
      </c>
      <c r="J5050" s="78">
        <v>557</v>
      </c>
    </row>
    <row r="5051" spans="6:10" x14ac:dyDescent="0.25">
      <c r="F5051" s="76" t="s">
        <v>150</v>
      </c>
      <c r="G5051" s="77" t="s">
        <v>276</v>
      </c>
      <c r="H5051" s="77" t="s">
        <v>267</v>
      </c>
      <c r="I5051" s="86">
        <v>41920</v>
      </c>
      <c r="J5051" s="78">
        <v>649</v>
      </c>
    </row>
    <row r="5052" spans="6:10" x14ac:dyDescent="0.25">
      <c r="F5052" s="76" t="s">
        <v>150</v>
      </c>
      <c r="G5052" s="77" t="s">
        <v>276</v>
      </c>
      <c r="H5052" s="77" t="s">
        <v>267</v>
      </c>
      <c r="I5052" s="86">
        <v>41921</v>
      </c>
      <c r="J5052" s="78">
        <v>892</v>
      </c>
    </row>
    <row r="5053" spans="6:10" x14ac:dyDescent="0.25">
      <c r="F5053" s="76" t="s">
        <v>150</v>
      </c>
      <c r="G5053" s="77" t="s">
        <v>276</v>
      </c>
      <c r="H5053" s="77" t="s">
        <v>267</v>
      </c>
      <c r="I5053" s="86">
        <v>41925</v>
      </c>
      <c r="J5053" s="78">
        <v>817</v>
      </c>
    </row>
    <row r="5054" spans="6:10" x14ac:dyDescent="0.25">
      <c r="F5054" s="76" t="s">
        <v>150</v>
      </c>
      <c r="G5054" s="77" t="s">
        <v>276</v>
      </c>
      <c r="H5054" s="77" t="s">
        <v>267</v>
      </c>
      <c r="I5054" s="86">
        <v>41926</v>
      </c>
      <c r="J5054" s="78">
        <v>695</v>
      </c>
    </row>
    <row r="5055" spans="6:10" x14ac:dyDescent="0.25">
      <c r="F5055" s="76" t="s">
        <v>150</v>
      </c>
      <c r="G5055" s="77" t="s">
        <v>276</v>
      </c>
      <c r="H5055" s="77" t="s">
        <v>267</v>
      </c>
      <c r="I5055" s="86">
        <v>41928</v>
      </c>
      <c r="J5055" s="78">
        <v>1007</v>
      </c>
    </row>
    <row r="5056" spans="6:10" x14ac:dyDescent="0.25">
      <c r="F5056" s="76" t="s">
        <v>150</v>
      </c>
      <c r="G5056" s="77" t="s">
        <v>276</v>
      </c>
      <c r="H5056" s="77" t="s">
        <v>267</v>
      </c>
      <c r="I5056" s="86">
        <v>41939</v>
      </c>
      <c r="J5056" s="78">
        <v>278</v>
      </c>
    </row>
    <row r="5057" spans="6:10" x14ac:dyDescent="0.25">
      <c r="F5057" s="76" t="s">
        <v>150</v>
      </c>
      <c r="G5057" s="77" t="s">
        <v>276</v>
      </c>
      <c r="H5057" s="77" t="s">
        <v>267</v>
      </c>
      <c r="I5057" s="86">
        <v>41939</v>
      </c>
      <c r="J5057" s="78">
        <v>212</v>
      </c>
    </row>
    <row r="5058" spans="6:10" x14ac:dyDescent="0.25">
      <c r="F5058" s="76" t="s">
        <v>150</v>
      </c>
      <c r="G5058" s="77" t="s">
        <v>276</v>
      </c>
      <c r="H5058" s="77" t="s">
        <v>267</v>
      </c>
      <c r="I5058" s="86">
        <v>42001</v>
      </c>
      <c r="J5058" s="78">
        <v>1268</v>
      </c>
    </row>
    <row r="5059" spans="6:10" x14ac:dyDescent="0.25">
      <c r="F5059" s="76" t="s">
        <v>150</v>
      </c>
      <c r="G5059" s="77" t="s">
        <v>277</v>
      </c>
      <c r="H5059" s="77" t="s">
        <v>267</v>
      </c>
      <c r="I5059" s="86">
        <v>41637</v>
      </c>
      <c r="J5059" s="78">
        <v>964</v>
      </c>
    </row>
    <row r="5060" spans="6:10" x14ac:dyDescent="0.25">
      <c r="F5060" s="76" t="s">
        <v>150</v>
      </c>
      <c r="G5060" s="77" t="s">
        <v>277</v>
      </c>
      <c r="H5060" s="77" t="s">
        <v>267</v>
      </c>
      <c r="I5060" s="86">
        <v>41638</v>
      </c>
      <c r="J5060" s="78">
        <v>932</v>
      </c>
    </row>
    <row r="5061" spans="6:10" x14ac:dyDescent="0.25">
      <c r="F5061" s="76" t="s">
        <v>150</v>
      </c>
      <c r="G5061" s="77" t="s">
        <v>277</v>
      </c>
      <c r="H5061" s="77" t="s">
        <v>267</v>
      </c>
      <c r="I5061" s="86">
        <v>41641</v>
      </c>
      <c r="J5061" s="78">
        <v>906</v>
      </c>
    </row>
    <row r="5062" spans="6:10" x14ac:dyDescent="0.25">
      <c r="F5062" s="76" t="s">
        <v>150</v>
      </c>
      <c r="G5062" s="77" t="s">
        <v>277</v>
      </c>
      <c r="H5062" s="77" t="s">
        <v>267</v>
      </c>
      <c r="I5062" s="86">
        <v>41645</v>
      </c>
      <c r="J5062" s="78">
        <v>1386</v>
      </c>
    </row>
    <row r="5063" spans="6:10" x14ac:dyDescent="0.25">
      <c r="F5063" s="76" t="s">
        <v>150</v>
      </c>
      <c r="G5063" s="77" t="s">
        <v>277</v>
      </c>
      <c r="H5063" s="77" t="s">
        <v>267</v>
      </c>
      <c r="I5063" s="86">
        <v>41647</v>
      </c>
      <c r="J5063" s="78">
        <v>1266</v>
      </c>
    </row>
    <row r="5064" spans="6:10" x14ac:dyDescent="0.25">
      <c r="F5064" s="76" t="s">
        <v>150</v>
      </c>
      <c r="G5064" s="77" t="s">
        <v>277</v>
      </c>
      <c r="H5064" s="77" t="s">
        <v>267</v>
      </c>
      <c r="I5064" s="86">
        <v>41662</v>
      </c>
      <c r="J5064" s="78">
        <v>788</v>
      </c>
    </row>
    <row r="5065" spans="6:10" x14ac:dyDescent="0.25">
      <c r="F5065" s="76" t="s">
        <v>150</v>
      </c>
      <c r="G5065" s="77" t="s">
        <v>277</v>
      </c>
      <c r="H5065" s="77" t="s">
        <v>267</v>
      </c>
      <c r="I5065" s="86">
        <v>41663</v>
      </c>
      <c r="J5065" s="78">
        <v>892</v>
      </c>
    </row>
    <row r="5066" spans="6:10" x14ac:dyDescent="0.25">
      <c r="F5066" s="76" t="s">
        <v>150</v>
      </c>
      <c r="G5066" s="77" t="s">
        <v>277</v>
      </c>
      <c r="H5066" s="77" t="s">
        <v>267</v>
      </c>
      <c r="I5066" s="86">
        <v>41667</v>
      </c>
      <c r="J5066" s="78">
        <v>1096</v>
      </c>
    </row>
    <row r="5067" spans="6:10" x14ac:dyDescent="0.25">
      <c r="F5067" s="76" t="s">
        <v>150</v>
      </c>
      <c r="G5067" s="77" t="s">
        <v>277</v>
      </c>
      <c r="H5067" s="77" t="s">
        <v>267</v>
      </c>
      <c r="I5067" s="86">
        <v>41668</v>
      </c>
      <c r="J5067" s="78">
        <v>805</v>
      </c>
    </row>
    <row r="5068" spans="6:10" x14ac:dyDescent="0.25">
      <c r="F5068" s="76" t="s">
        <v>150</v>
      </c>
      <c r="G5068" s="77" t="s">
        <v>277</v>
      </c>
      <c r="H5068" s="77" t="s">
        <v>267</v>
      </c>
      <c r="I5068" s="86">
        <v>41669</v>
      </c>
      <c r="J5068" s="78">
        <v>1422</v>
      </c>
    </row>
    <row r="5069" spans="6:10" x14ac:dyDescent="0.25">
      <c r="F5069" s="76" t="s">
        <v>150</v>
      </c>
      <c r="G5069" s="77" t="s">
        <v>277</v>
      </c>
      <c r="H5069" s="77" t="s">
        <v>267</v>
      </c>
      <c r="I5069" s="86">
        <v>41670</v>
      </c>
      <c r="J5069" s="78">
        <v>540</v>
      </c>
    </row>
    <row r="5070" spans="6:10" x14ac:dyDescent="0.25">
      <c r="F5070" s="76" t="s">
        <v>150</v>
      </c>
      <c r="G5070" s="77" t="s">
        <v>277</v>
      </c>
      <c r="H5070" s="77" t="s">
        <v>267</v>
      </c>
      <c r="I5070" s="86">
        <v>41673</v>
      </c>
      <c r="J5070" s="78">
        <v>851</v>
      </c>
    </row>
    <row r="5071" spans="6:10" x14ac:dyDescent="0.25">
      <c r="F5071" s="76" t="s">
        <v>150</v>
      </c>
      <c r="G5071" s="77" t="s">
        <v>277</v>
      </c>
      <c r="H5071" s="77" t="s">
        <v>267</v>
      </c>
      <c r="I5071" s="86">
        <v>41674</v>
      </c>
      <c r="J5071" s="78">
        <v>650</v>
      </c>
    </row>
    <row r="5072" spans="6:10" x14ac:dyDescent="0.25">
      <c r="F5072" s="76" t="s">
        <v>150</v>
      </c>
      <c r="G5072" s="77" t="s">
        <v>277</v>
      </c>
      <c r="H5072" s="77" t="s">
        <v>267</v>
      </c>
      <c r="I5072" s="86">
        <v>41676</v>
      </c>
      <c r="J5072" s="78">
        <v>839</v>
      </c>
    </row>
    <row r="5073" spans="6:10" x14ac:dyDescent="0.25">
      <c r="F5073" s="76" t="s">
        <v>150</v>
      </c>
      <c r="G5073" s="77" t="s">
        <v>277</v>
      </c>
      <c r="H5073" s="77" t="s">
        <v>267</v>
      </c>
      <c r="I5073" s="86">
        <v>41680</v>
      </c>
      <c r="J5073" s="78">
        <v>631</v>
      </c>
    </row>
    <row r="5074" spans="6:10" x14ac:dyDescent="0.25">
      <c r="F5074" s="76" t="s">
        <v>150</v>
      </c>
      <c r="G5074" s="77" t="s">
        <v>277</v>
      </c>
      <c r="H5074" s="77" t="s">
        <v>267</v>
      </c>
      <c r="I5074" s="86">
        <v>41684</v>
      </c>
      <c r="J5074" s="78">
        <v>1264</v>
      </c>
    </row>
    <row r="5075" spans="6:10" x14ac:dyDescent="0.25">
      <c r="F5075" s="76" t="s">
        <v>150</v>
      </c>
      <c r="G5075" s="77" t="s">
        <v>277</v>
      </c>
      <c r="H5075" s="77" t="s">
        <v>267</v>
      </c>
      <c r="I5075" s="86">
        <v>41696</v>
      </c>
      <c r="J5075" s="78">
        <v>678</v>
      </c>
    </row>
    <row r="5076" spans="6:10" x14ac:dyDescent="0.25">
      <c r="F5076" s="76" t="s">
        <v>150</v>
      </c>
      <c r="G5076" s="77" t="s">
        <v>277</v>
      </c>
      <c r="H5076" s="77" t="s">
        <v>267</v>
      </c>
      <c r="I5076" s="86">
        <v>41702</v>
      </c>
      <c r="J5076" s="78">
        <v>884</v>
      </c>
    </row>
    <row r="5077" spans="6:10" x14ac:dyDescent="0.25">
      <c r="F5077" s="76" t="s">
        <v>150</v>
      </c>
      <c r="G5077" s="77" t="s">
        <v>277</v>
      </c>
      <c r="H5077" s="77" t="s">
        <v>267</v>
      </c>
      <c r="I5077" s="86">
        <v>41703</v>
      </c>
      <c r="J5077" s="78">
        <v>420</v>
      </c>
    </row>
    <row r="5078" spans="6:10" x14ac:dyDescent="0.25">
      <c r="F5078" s="76" t="s">
        <v>150</v>
      </c>
      <c r="G5078" s="77" t="s">
        <v>277</v>
      </c>
      <c r="H5078" s="77" t="s">
        <v>267</v>
      </c>
      <c r="I5078" s="86">
        <v>41705</v>
      </c>
      <c r="J5078" s="78">
        <v>1005</v>
      </c>
    </row>
    <row r="5079" spans="6:10" x14ac:dyDescent="0.25">
      <c r="F5079" s="76" t="s">
        <v>150</v>
      </c>
      <c r="G5079" s="77" t="s">
        <v>277</v>
      </c>
      <c r="H5079" s="77" t="s">
        <v>267</v>
      </c>
      <c r="I5079" s="86">
        <v>41706</v>
      </c>
      <c r="J5079" s="78">
        <v>515</v>
      </c>
    </row>
    <row r="5080" spans="6:10" x14ac:dyDescent="0.25">
      <c r="F5080" s="76" t="s">
        <v>150</v>
      </c>
      <c r="G5080" s="77" t="s">
        <v>277</v>
      </c>
      <c r="H5080" s="77" t="s">
        <v>267</v>
      </c>
      <c r="I5080" s="86">
        <v>41707</v>
      </c>
      <c r="J5080" s="78">
        <v>484</v>
      </c>
    </row>
    <row r="5081" spans="6:10" x14ac:dyDescent="0.25">
      <c r="F5081" s="76" t="s">
        <v>150</v>
      </c>
      <c r="G5081" s="77" t="s">
        <v>277</v>
      </c>
      <c r="H5081" s="77" t="s">
        <v>267</v>
      </c>
      <c r="I5081" s="86">
        <v>41708</v>
      </c>
      <c r="J5081" s="78">
        <v>683</v>
      </c>
    </row>
    <row r="5082" spans="6:10" x14ac:dyDescent="0.25">
      <c r="F5082" s="76" t="s">
        <v>150</v>
      </c>
      <c r="G5082" s="77" t="s">
        <v>277</v>
      </c>
      <c r="H5082" s="77" t="s">
        <v>267</v>
      </c>
      <c r="I5082" s="86">
        <v>41718</v>
      </c>
      <c r="J5082" s="78">
        <v>381</v>
      </c>
    </row>
    <row r="5083" spans="6:10" x14ac:dyDescent="0.25">
      <c r="F5083" s="76" t="s">
        <v>150</v>
      </c>
      <c r="G5083" s="77" t="s">
        <v>277</v>
      </c>
      <c r="H5083" s="77" t="s">
        <v>267</v>
      </c>
      <c r="I5083" s="86">
        <v>41718</v>
      </c>
      <c r="J5083" s="78">
        <v>584</v>
      </c>
    </row>
    <row r="5084" spans="6:10" x14ac:dyDescent="0.25">
      <c r="F5084" s="76" t="s">
        <v>150</v>
      </c>
      <c r="G5084" s="77" t="s">
        <v>277</v>
      </c>
      <c r="H5084" s="77" t="s">
        <v>267</v>
      </c>
      <c r="I5084" s="86">
        <v>41719</v>
      </c>
      <c r="J5084" s="78">
        <v>850</v>
      </c>
    </row>
    <row r="5085" spans="6:10" x14ac:dyDescent="0.25">
      <c r="F5085" s="76" t="s">
        <v>150</v>
      </c>
      <c r="G5085" s="77" t="s">
        <v>277</v>
      </c>
      <c r="H5085" s="77" t="s">
        <v>267</v>
      </c>
      <c r="I5085" s="86">
        <v>41720</v>
      </c>
      <c r="J5085" s="78">
        <v>884</v>
      </c>
    </row>
    <row r="5086" spans="6:10" x14ac:dyDescent="0.25">
      <c r="F5086" s="76" t="s">
        <v>150</v>
      </c>
      <c r="G5086" s="77" t="s">
        <v>277</v>
      </c>
      <c r="H5086" s="77" t="s">
        <v>267</v>
      </c>
      <c r="I5086" s="86">
        <v>41721</v>
      </c>
      <c r="J5086" s="78">
        <v>927</v>
      </c>
    </row>
    <row r="5087" spans="6:10" x14ac:dyDescent="0.25">
      <c r="F5087" s="76" t="s">
        <v>150</v>
      </c>
      <c r="G5087" s="77" t="s">
        <v>277</v>
      </c>
      <c r="H5087" s="77" t="s">
        <v>267</v>
      </c>
      <c r="I5087" s="86">
        <v>41725</v>
      </c>
      <c r="J5087" s="78">
        <v>1168</v>
      </c>
    </row>
    <row r="5088" spans="6:10" x14ac:dyDescent="0.25">
      <c r="F5088" s="76" t="s">
        <v>150</v>
      </c>
      <c r="G5088" s="77" t="s">
        <v>277</v>
      </c>
      <c r="H5088" s="77" t="s">
        <v>267</v>
      </c>
      <c r="I5088" s="86">
        <v>41725</v>
      </c>
      <c r="J5088" s="78">
        <v>1026</v>
      </c>
    </row>
    <row r="5089" spans="6:10" x14ac:dyDescent="0.25">
      <c r="F5089" s="76" t="s">
        <v>150</v>
      </c>
      <c r="G5089" s="77" t="s">
        <v>277</v>
      </c>
      <c r="H5089" s="77" t="s">
        <v>267</v>
      </c>
      <c r="I5089" s="86">
        <v>41729</v>
      </c>
      <c r="J5089" s="78">
        <v>1466</v>
      </c>
    </row>
    <row r="5090" spans="6:10" x14ac:dyDescent="0.25">
      <c r="F5090" s="76" t="s">
        <v>150</v>
      </c>
      <c r="G5090" s="77" t="s">
        <v>277</v>
      </c>
      <c r="H5090" s="77" t="s">
        <v>267</v>
      </c>
      <c r="I5090" s="86">
        <v>41730</v>
      </c>
      <c r="J5090" s="78">
        <v>583</v>
      </c>
    </row>
    <row r="5091" spans="6:10" x14ac:dyDescent="0.25">
      <c r="F5091" s="76" t="s">
        <v>150</v>
      </c>
      <c r="G5091" s="77" t="s">
        <v>277</v>
      </c>
      <c r="H5091" s="77" t="s">
        <v>267</v>
      </c>
      <c r="I5091" s="86">
        <v>41732</v>
      </c>
      <c r="J5091" s="78">
        <v>1103</v>
      </c>
    </row>
    <row r="5092" spans="6:10" x14ac:dyDescent="0.25">
      <c r="F5092" s="76" t="s">
        <v>150</v>
      </c>
      <c r="G5092" s="77" t="s">
        <v>277</v>
      </c>
      <c r="H5092" s="77" t="s">
        <v>267</v>
      </c>
      <c r="I5092" s="86">
        <v>41733</v>
      </c>
      <c r="J5092" s="78">
        <v>849</v>
      </c>
    </row>
    <row r="5093" spans="6:10" x14ac:dyDescent="0.25">
      <c r="F5093" s="76" t="s">
        <v>150</v>
      </c>
      <c r="G5093" s="77" t="s">
        <v>277</v>
      </c>
      <c r="H5093" s="77" t="s">
        <v>267</v>
      </c>
      <c r="I5093" s="86">
        <v>41734</v>
      </c>
      <c r="J5093" s="78">
        <v>921</v>
      </c>
    </row>
    <row r="5094" spans="6:10" x14ac:dyDescent="0.25">
      <c r="F5094" s="76" t="s">
        <v>150</v>
      </c>
      <c r="G5094" s="77" t="s">
        <v>277</v>
      </c>
      <c r="H5094" s="77" t="s">
        <v>267</v>
      </c>
      <c r="I5094" s="86">
        <v>41735</v>
      </c>
      <c r="J5094" s="78">
        <v>868</v>
      </c>
    </row>
    <row r="5095" spans="6:10" x14ac:dyDescent="0.25">
      <c r="F5095" s="76" t="s">
        <v>150</v>
      </c>
      <c r="G5095" s="77" t="s">
        <v>277</v>
      </c>
      <c r="H5095" s="77" t="s">
        <v>267</v>
      </c>
      <c r="I5095" s="86">
        <v>41737</v>
      </c>
      <c r="J5095" s="78">
        <v>1136</v>
      </c>
    </row>
    <row r="5096" spans="6:10" x14ac:dyDescent="0.25">
      <c r="F5096" s="76" t="s">
        <v>150</v>
      </c>
      <c r="G5096" s="77" t="s">
        <v>277</v>
      </c>
      <c r="H5096" s="77" t="s">
        <v>267</v>
      </c>
      <c r="I5096" s="86">
        <v>41739</v>
      </c>
      <c r="J5096" s="78">
        <v>760</v>
      </c>
    </row>
    <row r="5097" spans="6:10" x14ac:dyDescent="0.25">
      <c r="F5097" s="76" t="s">
        <v>150</v>
      </c>
      <c r="G5097" s="77" t="s">
        <v>277</v>
      </c>
      <c r="H5097" s="77" t="s">
        <v>267</v>
      </c>
      <c r="I5097" s="86">
        <v>41744</v>
      </c>
      <c r="J5097" s="78">
        <v>699</v>
      </c>
    </row>
    <row r="5098" spans="6:10" x14ac:dyDescent="0.25">
      <c r="F5098" s="76" t="s">
        <v>150</v>
      </c>
      <c r="G5098" s="77" t="s">
        <v>277</v>
      </c>
      <c r="H5098" s="77" t="s">
        <v>267</v>
      </c>
      <c r="I5098" s="86">
        <v>41746</v>
      </c>
      <c r="J5098" s="78">
        <v>634</v>
      </c>
    </row>
    <row r="5099" spans="6:10" x14ac:dyDescent="0.25">
      <c r="F5099" s="76" t="s">
        <v>150</v>
      </c>
      <c r="G5099" s="77" t="s">
        <v>277</v>
      </c>
      <c r="H5099" s="77" t="s">
        <v>267</v>
      </c>
      <c r="I5099" s="86">
        <v>41750</v>
      </c>
      <c r="J5099" s="78">
        <v>837</v>
      </c>
    </row>
    <row r="5100" spans="6:10" x14ac:dyDescent="0.25">
      <c r="F5100" s="76" t="s">
        <v>150</v>
      </c>
      <c r="G5100" s="77" t="s">
        <v>277</v>
      </c>
      <c r="H5100" s="77" t="s">
        <v>267</v>
      </c>
      <c r="I5100" s="86">
        <v>41751</v>
      </c>
      <c r="J5100" s="78">
        <v>635</v>
      </c>
    </row>
    <row r="5101" spans="6:10" x14ac:dyDescent="0.25">
      <c r="F5101" s="76" t="s">
        <v>150</v>
      </c>
      <c r="G5101" s="77" t="s">
        <v>277</v>
      </c>
      <c r="H5101" s="77" t="s">
        <v>267</v>
      </c>
      <c r="I5101" s="86">
        <v>41908</v>
      </c>
      <c r="J5101" s="78">
        <v>395</v>
      </c>
    </row>
    <row r="5102" spans="6:10" x14ac:dyDescent="0.25">
      <c r="F5102" s="76" t="s">
        <v>150</v>
      </c>
      <c r="G5102" s="77" t="s">
        <v>277</v>
      </c>
      <c r="H5102" s="77" t="s">
        <v>267</v>
      </c>
      <c r="I5102" s="86">
        <v>41910</v>
      </c>
      <c r="J5102" s="78">
        <v>1156</v>
      </c>
    </row>
    <row r="5103" spans="6:10" x14ac:dyDescent="0.25">
      <c r="F5103" s="76" t="s">
        <v>150</v>
      </c>
      <c r="G5103" s="77" t="s">
        <v>277</v>
      </c>
      <c r="H5103" s="77" t="s">
        <v>267</v>
      </c>
      <c r="I5103" s="86">
        <v>41911</v>
      </c>
      <c r="J5103" s="78">
        <v>681</v>
      </c>
    </row>
    <row r="5104" spans="6:10" x14ac:dyDescent="0.25">
      <c r="F5104" s="76" t="s">
        <v>150</v>
      </c>
      <c r="G5104" s="77" t="s">
        <v>277</v>
      </c>
      <c r="H5104" s="77" t="s">
        <v>267</v>
      </c>
      <c r="I5104" s="86">
        <v>41912</v>
      </c>
      <c r="J5104" s="78">
        <v>909</v>
      </c>
    </row>
    <row r="5105" spans="6:10" x14ac:dyDescent="0.25">
      <c r="F5105" s="76" t="s">
        <v>150</v>
      </c>
      <c r="G5105" s="77" t="s">
        <v>277</v>
      </c>
      <c r="H5105" s="77" t="s">
        <v>267</v>
      </c>
      <c r="I5105" s="86">
        <v>41913</v>
      </c>
      <c r="J5105" s="78">
        <v>996</v>
      </c>
    </row>
    <row r="5106" spans="6:10" x14ac:dyDescent="0.25">
      <c r="F5106" s="76" t="s">
        <v>150</v>
      </c>
      <c r="G5106" s="77" t="s">
        <v>277</v>
      </c>
      <c r="H5106" s="77" t="s">
        <v>267</v>
      </c>
      <c r="I5106" s="86">
        <v>41914</v>
      </c>
      <c r="J5106" s="78">
        <v>605</v>
      </c>
    </row>
    <row r="5107" spans="6:10" x14ac:dyDescent="0.25">
      <c r="F5107" s="76" t="s">
        <v>150</v>
      </c>
      <c r="G5107" s="77" t="s">
        <v>277</v>
      </c>
      <c r="H5107" s="77" t="s">
        <v>267</v>
      </c>
      <c r="I5107" s="86">
        <v>41914</v>
      </c>
      <c r="J5107" s="78">
        <v>770</v>
      </c>
    </row>
    <row r="5108" spans="6:10" x14ac:dyDescent="0.25">
      <c r="F5108" s="76" t="s">
        <v>150</v>
      </c>
      <c r="G5108" s="77" t="s">
        <v>277</v>
      </c>
      <c r="H5108" s="77" t="s">
        <v>267</v>
      </c>
      <c r="I5108" s="86">
        <v>41915</v>
      </c>
      <c r="J5108" s="78">
        <v>1031</v>
      </c>
    </row>
    <row r="5109" spans="6:10" x14ac:dyDescent="0.25">
      <c r="F5109" s="76" t="s">
        <v>150</v>
      </c>
      <c r="G5109" s="77" t="s">
        <v>277</v>
      </c>
      <c r="H5109" s="77" t="s">
        <v>267</v>
      </c>
      <c r="I5109" s="86">
        <v>41917</v>
      </c>
      <c r="J5109" s="78">
        <v>945</v>
      </c>
    </row>
    <row r="5110" spans="6:10" x14ac:dyDescent="0.25">
      <c r="F5110" s="76" t="s">
        <v>150</v>
      </c>
      <c r="G5110" s="77" t="s">
        <v>277</v>
      </c>
      <c r="H5110" s="77" t="s">
        <v>267</v>
      </c>
      <c r="I5110" s="86">
        <v>41917</v>
      </c>
      <c r="J5110" s="78">
        <v>361</v>
      </c>
    </row>
    <row r="5111" spans="6:10" x14ac:dyDescent="0.25">
      <c r="F5111" s="76" t="s">
        <v>150</v>
      </c>
      <c r="G5111" s="77" t="s">
        <v>277</v>
      </c>
      <c r="H5111" s="77" t="s">
        <v>267</v>
      </c>
      <c r="I5111" s="86">
        <v>41921</v>
      </c>
      <c r="J5111" s="78">
        <v>1099</v>
      </c>
    </row>
    <row r="5112" spans="6:10" x14ac:dyDescent="0.25">
      <c r="F5112" s="76" t="s">
        <v>150</v>
      </c>
      <c r="G5112" s="77" t="s">
        <v>277</v>
      </c>
      <c r="H5112" s="77" t="s">
        <v>267</v>
      </c>
      <c r="I5112" s="86">
        <v>41922</v>
      </c>
      <c r="J5112" s="78">
        <v>1331</v>
      </c>
    </row>
    <row r="5113" spans="6:10" x14ac:dyDescent="0.25">
      <c r="F5113" s="76" t="s">
        <v>150</v>
      </c>
      <c r="G5113" s="77" t="s">
        <v>277</v>
      </c>
      <c r="H5113" s="77" t="s">
        <v>267</v>
      </c>
      <c r="I5113" s="86">
        <v>41924</v>
      </c>
      <c r="J5113" s="78">
        <v>413</v>
      </c>
    </row>
    <row r="5114" spans="6:10" x14ac:dyDescent="0.25">
      <c r="F5114" s="76" t="s">
        <v>150</v>
      </c>
      <c r="G5114" s="77" t="s">
        <v>277</v>
      </c>
      <c r="H5114" s="77" t="s">
        <v>267</v>
      </c>
      <c r="I5114" s="86">
        <v>41924</v>
      </c>
      <c r="J5114" s="78">
        <v>823</v>
      </c>
    </row>
    <row r="5115" spans="6:10" x14ac:dyDescent="0.25">
      <c r="F5115" s="76" t="s">
        <v>150</v>
      </c>
      <c r="G5115" s="77" t="s">
        <v>277</v>
      </c>
      <c r="H5115" s="77" t="s">
        <v>267</v>
      </c>
      <c r="I5115" s="86">
        <v>41930</v>
      </c>
      <c r="J5115" s="78">
        <v>927</v>
      </c>
    </row>
    <row r="5116" spans="6:10" x14ac:dyDescent="0.25">
      <c r="F5116" s="76" t="s">
        <v>150</v>
      </c>
      <c r="G5116" s="77" t="s">
        <v>277</v>
      </c>
      <c r="H5116" s="77" t="s">
        <v>267</v>
      </c>
      <c r="I5116" s="86">
        <v>41931</v>
      </c>
      <c r="J5116" s="78">
        <v>1143</v>
      </c>
    </row>
    <row r="5117" spans="6:10" x14ac:dyDescent="0.25">
      <c r="F5117" s="76" t="s">
        <v>150</v>
      </c>
      <c r="G5117" s="77" t="s">
        <v>277</v>
      </c>
      <c r="H5117" s="77" t="s">
        <v>267</v>
      </c>
      <c r="I5117" s="86">
        <v>41931</v>
      </c>
      <c r="J5117" s="78">
        <v>490</v>
      </c>
    </row>
    <row r="5118" spans="6:10" x14ac:dyDescent="0.25">
      <c r="F5118" s="76" t="s">
        <v>150</v>
      </c>
      <c r="G5118" s="77" t="s">
        <v>277</v>
      </c>
      <c r="H5118" s="77" t="s">
        <v>267</v>
      </c>
      <c r="I5118" s="86">
        <v>41933</v>
      </c>
      <c r="J5118" s="78">
        <v>1049</v>
      </c>
    </row>
    <row r="5119" spans="6:10" x14ac:dyDescent="0.25">
      <c r="F5119" s="76" t="s">
        <v>150</v>
      </c>
      <c r="G5119" s="77" t="s">
        <v>277</v>
      </c>
      <c r="H5119" s="77" t="s">
        <v>267</v>
      </c>
      <c r="I5119" s="86">
        <v>41934</v>
      </c>
      <c r="J5119" s="78">
        <v>537</v>
      </c>
    </row>
    <row r="5120" spans="6:10" x14ac:dyDescent="0.25">
      <c r="F5120" s="76" t="s">
        <v>150</v>
      </c>
      <c r="G5120" s="77" t="s">
        <v>277</v>
      </c>
      <c r="H5120" s="77" t="s">
        <v>267</v>
      </c>
      <c r="I5120" s="86">
        <v>41957</v>
      </c>
      <c r="J5120" s="78">
        <v>970</v>
      </c>
    </row>
    <row r="5121" spans="6:10" x14ac:dyDescent="0.25">
      <c r="F5121" s="76" t="s">
        <v>150</v>
      </c>
      <c r="G5121" s="77" t="s">
        <v>277</v>
      </c>
      <c r="H5121" s="77" t="s">
        <v>267</v>
      </c>
      <c r="I5121" s="86">
        <v>41961</v>
      </c>
      <c r="J5121" s="78">
        <v>1012</v>
      </c>
    </row>
    <row r="5122" spans="6:10" x14ac:dyDescent="0.25">
      <c r="F5122" s="76" t="s">
        <v>150</v>
      </c>
      <c r="G5122" s="77" t="s">
        <v>277</v>
      </c>
      <c r="H5122" s="77" t="s">
        <v>267</v>
      </c>
      <c r="I5122" s="86">
        <v>41963</v>
      </c>
      <c r="J5122" s="78">
        <v>989</v>
      </c>
    </row>
    <row r="5123" spans="6:10" x14ac:dyDescent="0.25">
      <c r="F5123" s="76" t="s">
        <v>150</v>
      </c>
      <c r="G5123" s="77" t="s">
        <v>277</v>
      </c>
      <c r="H5123" s="77" t="s">
        <v>267</v>
      </c>
      <c r="I5123" s="86">
        <v>41964</v>
      </c>
      <c r="J5123" s="78">
        <v>431</v>
      </c>
    </row>
    <row r="5124" spans="6:10" x14ac:dyDescent="0.25">
      <c r="F5124" s="76" t="s">
        <v>150</v>
      </c>
      <c r="G5124" s="77" t="s">
        <v>277</v>
      </c>
      <c r="H5124" s="77" t="s">
        <v>267</v>
      </c>
      <c r="I5124" s="86">
        <v>41967</v>
      </c>
      <c r="J5124" s="78">
        <v>1001</v>
      </c>
    </row>
    <row r="5125" spans="6:10" x14ac:dyDescent="0.25">
      <c r="F5125" s="76" t="s">
        <v>150</v>
      </c>
      <c r="G5125" s="77" t="s">
        <v>277</v>
      </c>
      <c r="H5125" s="77" t="s">
        <v>267</v>
      </c>
      <c r="I5125" s="86">
        <v>41969</v>
      </c>
      <c r="J5125" s="78">
        <v>364</v>
      </c>
    </row>
    <row r="5126" spans="6:10" x14ac:dyDescent="0.25">
      <c r="F5126" s="76" t="s">
        <v>150</v>
      </c>
      <c r="G5126" s="77" t="s">
        <v>277</v>
      </c>
      <c r="H5126" s="77" t="s">
        <v>267</v>
      </c>
      <c r="I5126" s="86">
        <v>41971</v>
      </c>
      <c r="J5126" s="78">
        <v>809</v>
      </c>
    </row>
    <row r="5127" spans="6:10" x14ac:dyDescent="0.25">
      <c r="F5127" s="76" t="s">
        <v>150</v>
      </c>
      <c r="G5127" s="77" t="s">
        <v>277</v>
      </c>
      <c r="H5127" s="77" t="s">
        <v>267</v>
      </c>
      <c r="I5127" s="86">
        <v>41975</v>
      </c>
      <c r="J5127" s="78">
        <v>1315</v>
      </c>
    </row>
    <row r="5128" spans="6:10" x14ac:dyDescent="0.25">
      <c r="F5128" s="76" t="s">
        <v>150</v>
      </c>
      <c r="G5128" s="77" t="s">
        <v>278</v>
      </c>
      <c r="H5128" s="77" t="s">
        <v>267</v>
      </c>
      <c r="I5128" s="86">
        <v>41635</v>
      </c>
      <c r="J5128" s="78">
        <v>1320</v>
      </c>
    </row>
    <row r="5129" spans="6:10" x14ac:dyDescent="0.25">
      <c r="F5129" s="76" t="s">
        <v>150</v>
      </c>
      <c r="G5129" s="77" t="s">
        <v>278</v>
      </c>
      <c r="H5129" s="77" t="s">
        <v>267</v>
      </c>
      <c r="I5129" s="86">
        <v>41636</v>
      </c>
      <c r="J5129" s="78">
        <v>1124</v>
      </c>
    </row>
    <row r="5130" spans="6:10" x14ac:dyDescent="0.25">
      <c r="F5130" s="76" t="s">
        <v>150</v>
      </c>
      <c r="G5130" s="77" t="s">
        <v>278</v>
      </c>
      <c r="H5130" s="77" t="s">
        <v>267</v>
      </c>
      <c r="I5130" s="86">
        <v>41637</v>
      </c>
      <c r="J5130" s="78">
        <v>992</v>
      </c>
    </row>
    <row r="5131" spans="6:10" x14ac:dyDescent="0.25">
      <c r="F5131" s="76" t="s">
        <v>150</v>
      </c>
      <c r="G5131" s="77" t="s">
        <v>278</v>
      </c>
      <c r="H5131" s="77" t="s">
        <v>267</v>
      </c>
      <c r="I5131" s="86">
        <v>41638</v>
      </c>
      <c r="J5131" s="78">
        <v>1270</v>
      </c>
    </row>
    <row r="5132" spans="6:10" x14ac:dyDescent="0.25">
      <c r="F5132" s="76" t="s">
        <v>150</v>
      </c>
      <c r="G5132" s="77" t="s">
        <v>278</v>
      </c>
      <c r="H5132" s="77" t="s">
        <v>267</v>
      </c>
      <c r="I5132" s="86">
        <v>41639</v>
      </c>
      <c r="J5132" s="78">
        <v>644</v>
      </c>
    </row>
    <row r="5133" spans="6:10" x14ac:dyDescent="0.25">
      <c r="F5133" s="76" t="s">
        <v>150</v>
      </c>
      <c r="G5133" s="77" t="s">
        <v>278</v>
      </c>
      <c r="H5133" s="77" t="s">
        <v>267</v>
      </c>
      <c r="I5133" s="86">
        <v>41639</v>
      </c>
      <c r="J5133" s="78">
        <v>887</v>
      </c>
    </row>
    <row r="5134" spans="6:10" x14ac:dyDescent="0.25">
      <c r="F5134" s="76" t="s">
        <v>150</v>
      </c>
      <c r="G5134" s="77" t="s">
        <v>278</v>
      </c>
      <c r="H5134" s="77" t="s">
        <v>267</v>
      </c>
      <c r="I5134" s="86">
        <v>41642</v>
      </c>
      <c r="J5134" s="78">
        <v>1000</v>
      </c>
    </row>
    <row r="5135" spans="6:10" x14ac:dyDescent="0.25">
      <c r="F5135" s="76" t="s">
        <v>150</v>
      </c>
      <c r="G5135" s="77" t="s">
        <v>278</v>
      </c>
      <c r="H5135" s="77" t="s">
        <v>267</v>
      </c>
      <c r="I5135" s="86">
        <v>41642</v>
      </c>
      <c r="J5135" s="78">
        <v>1058</v>
      </c>
    </row>
    <row r="5136" spans="6:10" x14ac:dyDescent="0.25">
      <c r="F5136" s="76" t="s">
        <v>150</v>
      </c>
      <c r="G5136" s="77" t="s">
        <v>278</v>
      </c>
      <c r="H5136" s="77" t="s">
        <v>267</v>
      </c>
      <c r="I5136" s="86">
        <v>41643</v>
      </c>
      <c r="J5136" s="78">
        <v>801</v>
      </c>
    </row>
    <row r="5137" spans="6:10" x14ac:dyDescent="0.25">
      <c r="F5137" s="76" t="s">
        <v>150</v>
      </c>
      <c r="G5137" s="77" t="s">
        <v>278</v>
      </c>
      <c r="H5137" s="77" t="s">
        <v>267</v>
      </c>
      <c r="I5137" s="86">
        <v>41644</v>
      </c>
      <c r="J5137" s="78">
        <v>530</v>
      </c>
    </row>
    <row r="5138" spans="6:10" x14ac:dyDescent="0.25">
      <c r="F5138" s="76" t="s">
        <v>150</v>
      </c>
      <c r="G5138" s="77" t="s">
        <v>278</v>
      </c>
      <c r="H5138" s="77" t="s">
        <v>267</v>
      </c>
      <c r="I5138" s="86">
        <v>41648</v>
      </c>
      <c r="J5138" s="78">
        <v>1461</v>
      </c>
    </row>
    <row r="5139" spans="6:10" x14ac:dyDescent="0.25">
      <c r="F5139" s="76" t="s">
        <v>150</v>
      </c>
      <c r="G5139" s="77" t="s">
        <v>278</v>
      </c>
      <c r="H5139" s="77" t="s">
        <v>267</v>
      </c>
      <c r="I5139" s="86">
        <v>41649</v>
      </c>
      <c r="J5139" s="78">
        <v>775</v>
      </c>
    </row>
    <row r="5140" spans="6:10" x14ac:dyDescent="0.25">
      <c r="F5140" s="76" t="s">
        <v>150</v>
      </c>
      <c r="G5140" s="77" t="s">
        <v>278</v>
      </c>
      <c r="H5140" s="77" t="s">
        <v>267</v>
      </c>
      <c r="I5140" s="86">
        <v>41652</v>
      </c>
      <c r="J5140" s="78">
        <v>1357</v>
      </c>
    </row>
    <row r="5141" spans="6:10" x14ac:dyDescent="0.25">
      <c r="F5141" s="76" t="s">
        <v>150</v>
      </c>
      <c r="G5141" s="77" t="s">
        <v>278</v>
      </c>
      <c r="H5141" s="77" t="s">
        <v>267</v>
      </c>
      <c r="I5141" s="86">
        <v>41654</v>
      </c>
      <c r="J5141" s="78">
        <v>707</v>
      </c>
    </row>
    <row r="5142" spans="6:10" x14ac:dyDescent="0.25">
      <c r="F5142" s="76" t="s">
        <v>150</v>
      </c>
      <c r="G5142" s="77" t="s">
        <v>278</v>
      </c>
      <c r="H5142" s="77" t="s">
        <v>267</v>
      </c>
      <c r="I5142" s="86">
        <v>41656</v>
      </c>
      <c r="J5142" s="78">
        <v>786</v>
      </c>
    </row>
    <row r="5143" spans="6:10" x14ac:dyDescent="0.25">
      <c r="F5143" s="76" t="s">
        <v>150</v>
      </c>
      <c r="G5143" s="77" t="s">
        <v>278</v>
      </c>
      <c r="H5143" s="77" t="s">
        <v>267</v>
      </c>
      <c r="I5143" s="86">
        <v>41662</v>
      </c>
      <c r="J5143" s="78">
        <v>891</v>
      </c>
    </row>
    <row r="5144" spans="6:10" x14ac:dyDescent="0.25">
      <c r="F5144" s="76" t="s">
        <v>150</v>
      </c>
      <c r="G5144" s="77" t="s">
        <v>278</v>
      </c>
      <c r="H5144" s="77" t="s">
        <v>267</v>
      </c>
      <c r="I5144" s="86">
        <v>41663</v>
      </c>
      <c r="J5144" s="78">
        <v>461</v>
      </c>
    </row>
    <row r="5145" spans="6:10" x14ac:dyDescent="0.25">
      <c r="F5145" s="76" t="s">
        <v>150</v>
      </c>
      <c r="G5145" s="77" t="s">
        <v>278</v>
      </c>
      <c r="H5145" s="77" t="s">
        <v>267</v>
      </c>
      <c r="I5145" s="86">
        <v>41667</v>
      </c>
      <c r="J5145" s="78">
        <v>845</v>
      </c>
    </row>
    <row r="5146" spans="6:10" x14ac:dyDescent="0.25">
      <c r="F5146" s="76" t="s">
        <v>150</v>
      </c>
      <c r="G5146" s="77" t="s">
        <v>278</v>
      </c>
      <c r="H5146" s="77" t="s">
        <v>267</v>
      </c>
      <c r="I5146" s="86">
        <v>41669</v>
      </c>
      <c r="J5146" s="78">
        <v>774</v>
      </c>
    </row>
    <row r="5147" spans="6:10" x14ac:dyDescent="0.25">
      <c r="F5147" s="76" t="s">
        <v>150</v>
      </c>
      <c r="G5147" s="77" t="s">
        <v>278</v>
      </c>
      <c r="H5147" s="77" t="s">
        <v>267</v>
      </c>
      <c r="I5147" s="86">
        <v>41670</v>
      </c>
      <c r="J5147" s="78">
        <v>551</v>
      </c>
    </row>
    <row r="5148" spans="6:10" x14ac:dyDescent="0.25">
      <c r="F5148" s="76" t="s">
        <v>150</v>
      </c>
      <c r="G5148" s="77" t="s">
        <v>278</v>
      </c>
      <c r="H5148" s="77" t="s">
        <v>267</v>
      </c>
      <c r="I5148" s="86">
        <v>41673</v>
      </c>
      <c r="J5148" s="78">
        <v>646</v>
      </c>
    </row>
    <row r="5149" spans="6:10" x14ac:dyDescent="0.25">
      <c r="F5149" s="76" t="s">
        <v>150</v>
      </c>
      <c r="G5149" s="77" t="s">
        <v>278</v>
      </c>
      <c r="H5149" s="77" t="s">
        <v>267</v>
      </c>
      <c r="I5149" s="86">
        <v>41676</v>
      </c>
      <c r="J5149" s="78">
        <v>1205</v>
      </c>
    </row>
    <row r="5150" spans="6:10" x14ac:dyDescent="0.25">
      <c r="F5150" s="76" t="s">
        <v>150</v>
      </c>
      <c r="G5150" s="77" t="s">
        <v>278</v>
      </c>
      <c r="H5150" s="77" t="s">
        <v>267</v>
      </c>
      <c r="I5150" s="86">
        <v>41677</v>
      </c>
      <c r="J5150" s="78">
        <v>585</v>
      </c>
    </row>
    <row r="5151" spans="6:10" x14ac:dyDescent="0.25">
      <c r="F5151" s="76" t="s">
        <v>150</v>
      </c>
      <c r="G5151" s="77" t="s">
        <v>278</v>
      </c>
      <c r="H5151" s="77" t="s">
        <v>267</v>
      </c>
      <c r="I5151" s="86">
        <v>41715</v>
      </c>
      <c r="J5151" s="78">
        <v>718</v>
      </c>
    </row>
    <row r="5152" spans="6:10" x14ac:dyDescent="0.25">
      <c r="F5152" s="76" t="s">
        <v>150</v>
      </c>
      <c r="G5152" s="77" t="s">
        <v>278</v>
      </c>
      <c r="H5152" s="77" t="s">
        <v>267</v>
      </c>
      <c r="I5152" s="86">
        <v>41715</v>
      </c>
      <c r="J5152" s="78">
        <v>672</v>
      </c>
    </row>
    <row r="5153" spans="6:10" x14ac:dyDescent="0.25">
      <c r="F5153" s="76" t="s">
        <v>150</v>
      </c>
      <c r="G5153" s="77" t="s">
        <v>278</v>
      </c>
      <c r="H5153" s="77" t="s">
        <v>267</v>
      </c>
      <c r="I5153" s="86">
        <v>41716</v>
      </c>
      <c r="J5153" s="78">
        <v>942</v>
      </c>
    </row>
    <row r="5154" spans="6:10" x14ac:dyDescent="0.25">
      <c r="F5154" s="76" t="s">
        <v>150</v>
      </c>
      <c r="G5154" s="77" t="s">
        <v>278</v>
      </c>
      <c r="H5154" s="77" t="s">
        <v>267</v>
      </c>
      <c r="I5154" s="86">
        <v>41718</v>
      </c>
      <c r="J5154" s="78">
        <v>353</v>
      </c>
    </row>
    <row r="5155" spans="6:10" x14ac:dyDescent="0.25">
      <c r="F5155" s="76" t="s">
        <v>150</v>
      </c>
      <c r="G5155" s="77" t="s">
        <v>278</v>
      </c>
      <c r="H5155" s="77" t="s">
        <v>267</v>
      </c>
      <c r="I5155" s="86">
        <v>41724</v>
      </c>
      <c r="J5155" s="78">
        <v>746</v>
      </c>
    </row>
    <row r="5156" spans="6:10" x14ac:dyDescent="0.25">
      <c r="F5156" s="76" t="s">
        <v>150</v>
      </c>
      <c r="G5156" s="77" t="s">
        <v>278</v>
      </c>
      <c r="H5156" s="77" t="s">
        <v>267</v>
      </c>
      <c r="I5156" s="86">
        <v>41725</v>
      </c>
      <c r="J5156" s="78">
        <v>1091</v>
      </c>
    </row>
    <row r="5157" spans="6:10" x14ac:dyDescent="0.25">
      <c r="F5157" s="76" t="s">
        <v>150</v>
      </c>
      <c r="G5157" s="77" t="s">
        <v>278</v>
      </c>
      <c r="H5157" s="77" t="s">
        <v>267</v>
      </c>
      <c r="I5157" s="86">
        <v>41733</v>
      </c>
      <c r="J5157" s="78">
        <v>1009</v>
      </c>
    </row>
    <row r="5158" spans="6:10" x14ac:dyDescent="0.25">
      <c r="F5158" s="76" t="s">
        <v>150</v>
      </c>
      <c r="G5158" s="77" t="s">
        <v>278</v>
      </c>
      <c r="H5158" s="77" t="s">
        <v>267</v>
      </c>
      <c r="I5158" s="86">
        <v>41734</v>
      </c>
      <c r="J5158" s="78">
        <v>869</v>
      </c>
    </row>
    <row r="5159" spans="6:10" x14ac:dyDescent="0.25">
      <c r="F5159" s="76" t="s">
        <v>150</v>
      </c>
      <c r="G5159" s="77" t="s">
        <v>278</v>
      </c>
      <c r="H5159" s="77" t="s">
        <v>267</v>
      </c>
      <c r="I5159" s="86">
        <v>41734</v>
      </c>
      <c r="J5159" s="78">
        <v>646</v>
      </c>
    </row>
    <row r="5160" spans="6:10" x14ac:dyDescent="0.25">
      <c r="F5160" s="76" t="s">
        <v>150</v>
      </c>
      <c r="G5160" s="77" t="s">
        <v>278</v>
      </c>
      <c r="H5160" s="77" t="s">
        <v>267</v>
      </c>
      <c r="I5160" s="86">
        <v>41735</v>
      </c>
      <c r="J5160" s="78">
        <v>1124</v>
      </c>
    </row>
    <row r="5161" spans="6:10" x14ac:dyDescent="0.25">
      <c r="F5161" s="76" t="s">
        <v>150</v>
      </c>
      <c r="G5161" s="77" t="s">
        <v>278</v>
      </c>
      <c r="H5161" s="77" t="s">
        <v>267</v>
      </c>
      <c r="I5161" s="86">
        <v>41736</v>
      </c>
      <c r="J5161" s="78">
        <v>800</v>
      </c>
    </row>
    <row r="5162" spans="6:10" x14ac:dyDescent="0.25">
      <c r="F5162" s="76" t="s">
        <v>150</v>
      </c>
      <c r="G5162" s="77" t="s">
        <v>278</v>
      </c>
      <c r="H5162" s="77" t="s">
        <v>267</v>
      </c>
      <c r="I5162" s="86">
        <v>41737</v>
      </c>
      <c r="J5162" s="78">
        <v>798</v>
      </c>
    </row>
    <row r="5163" spans="6:10" x14ac:dyDescent="0.25">
      <c r="F5163" s="76" t="s">
        <v>150</v>
      </c>
      <c r="G5163" s="77" t="s">
        <v>278</v>
      </c>
      <c r="H5163" s="77" t="s">
        <v>267</v>
      </c>
      <c r="I5163" s="86">
        <v>41738</v>
      </c>
      <c r="J5163" s="78">
        <v>628</v>
      </c>
    </row>
    <row r="5164" spans="6:10" x14ac:dyDescent="0.25">
      <c r="F5164" s="76" t="s">
        <v>150</v>
      </c>
      <c r="G5164" s="77" t="s">
        <v>278</v>
      </c>
      <c r="H5164" s="77" t="s">
        <v>267</v>
      </c>
      <c r="I5164" s="86">
        <v>41738</v>
      </c>
      <c r="J5164" s="78">
        <v>621</v>
      </c>
    </row>
    <row r="5165" spans="6:10" x14ac:dyDescent="0.25">
      <c r="F5165" s="76" t="s">
        <v>150</v>
      </c>
      <c r="G5165" s="77" t="s">
        <v>278</v>
      </c>
      <c r="H5165" s="77" t="s">
        <v>267</v>
      </c>
      <c r="I5165" s="86">
        <v>41739</v>
      </c>
      <c r="J5165" s="78">
        <v>950</v>
      </c>
    </row>
    <row r="5166" spans="6:10" x14ac:dyDescent="0.25">
      <c r="F5166" s="76" t="s">
        <v>150</v>
      </c>
      <c r="G5166" s="77" t="s">
        <v>278</v>
      </c>
      <c r="H5166" s="77" t="s">
        <v>267</v>
      </c>
      <c r="I5166" s="86">
        <v>41747</v>
      </c>
      <c r="J5166" s="78">
        <v>772</v>
      </c>
    </row>
    <row r="5167" spans="6:10" x14ac:dyDescent="0.25">
      <c r="F5167" s="76" t="s">
        <v>150</v>
      </c>
      <c r="G5167" s="77" t="s">
        <v>278</v>
      </c>
      <c r="H5167" s="77" t="s">
        <v>267</v>
      </c>
      <c r="I5167" s="86">
        <v>41750</v>
      </c>
      <c r="J5167" s="78">
        <v>1119</v>
      </c>
    </row>
    <row r="5168" spans="6:10" x14ac:dyDescent="0.25">
      <c r="F5168" s="76" t="s">
        <v>150</v>
      </c>
      <c r="G5168" s="77" t="s">
        <v>278</v>
      </c>
      <c r="H5168" s="77" t="s">
        <v>267</v>
      </c>
      <c r="I5168" s="86">
        <v>41754</v>
      </c>
      <c r="J5168" s="78">
        <v>848</v>
      </c>
    </row>
    <row r="5169" spans="6:10" x14ac:dyDescent="0.25">
      <c r="F5169" s="76" t="s">
        <v>150</v>
      </c>
      <c r="G5169" s="77" t="s">
        <v>278</v>
      </c>
      <c r="H5169" s="77" t="s">
        <v>267</v>
      </c>
      <c r="I5169" s="86">
        <v>41757</v>
      </c>
      <c r="J5169" s="78">
        <v>1060</v>
      </c>
    </row>
    <row r="5170" spans="6:10" x14ac:dyDescent="0.25">
      <c r="F5170" s="76" t="s">
        <v>150</v>
      </c>
      <c r="G5170" s="77" t="s">
        <v>278</v>
      </c>
      <c r="H5170" s="77" t="s">
        <v>267</v>
      </c>
      <c r="I5170" s="86">
        <v>41767</v>
      </c>
      <c r="J5170" s="78">
        <v>900</v>
      </c>
    </row>
    <row r="5171" spans="6:10" x14ac:dyDescent="0.25">
      <c r="F5171" s="76" t="s">
        <v>150</v>
      </c>
      <c r="G5171" s="77" t="s">
        <v>278</v>
      </c>
      <c r="H5171" s="77" t="s">
        <v>267</v>
      </c>
      <c r="I5171" s="86">
        <v>41768</v>
      </c>
      <c r="J5171" s="78">
        <v>635</v>
      </c>
    </row>
    <row r="5172" spans="6:10" x14ac:dyDescent="0.25">
      <c r="F5172" s="76" t="s">
        <v>150</v>
      </c>
      <c r="G5172" s="77" t="s">
        <v>278</v>
      </c>
      <c r="H5172" s="77" t="s">
        <v>267</v>
      </c>
      <c r="I5172" s="86">
        <v>41770</v>
      </c>
      <c r="J5172" s="78">
        <v>1082</v>
      </c>
    </row>
    <row r="5173" spans="6:10" x14ac:dyDescent="0.25">
      <c r="F5173" s="76" t="s">
        <v>150</v>
      </c>
      <c r="G5173" s="77" t="s">
        <v>278</v>
      </c>
      <c r="H5173" s="77" t="s">
        <v>267</v>
      </c>
      <c r="I5173" s="86">
        <v>41771</v>
      </c>
      <c r="J5173" s="78">
        <v>607</v>
      </c>
    </row>
    <row r="5174" spans="6:10" x14ac:dyDescent="0.25">
      <c r="F5174" s="76" t="s">
        <v>150</v>
      </c>
      <c r="G5174" s="77" t="s">
        <v>278</v>
      </c>
      <c r="H5174" s="77" t="s">
        <v>267</v>
      </c>
      <c r="I5174" s="86">
        <v>41774</v>
      </c>
      <c r="J5174" s="78">
        <v>858</v>
      </c>
    </row>
    <row r="5175" spans="6:10" x14ac:dyDescent="0.25">
      <c r="F5175" s="76" t="s">
        <v>150</v>
      </c>
      <c r="G5175" s="77" t="s">
        <v>278</v>
      </c>
      <c r="H5175" s="77" t="s">
        <v>267</v>
      </c>
      <c r="I5175" s="86">
        <v>41776</v>
      </c>
      <c r="J5175" s="78">
        <v>882</v>
      </c>
    </row>
    <row r="5176" spans="6:10" x14ac:dyDescent="0.25">
      <c r="F5176" s="76" t="s">
        <v>150</v>
      </c>
      <c r="G5176" s="77" t="s">
        <v>278</v>
      </c>
      <c r="H5176" s="77" t="s">
        <v>267</v>
      </c>
      <c r="I5176" s="86">
        <v>41779</v>
      </c>
      <c r="J5176" s="78">
        <v>628</v>
      </c>
    </row>
    <row r="5177" spans="6:10" x14ac:dyDescent="0.25">
      <c r="F5177" s="76" t="s">
        <v>150</v>
      </c>
      <c r="G5177" s="77" t="s">
        <v>278</v>
      </c>
      <c r="H5177" s="77" t="s">
        <v>267</v>
      </c>
      <c r="I5177" s="86">
        <v>41782</v>
      </c>
      <c r="J5177" s="78">
        <v>778</v>
      </c>
    </row>
    <row r="5178" spans="6:10" x14ac:dyDescent="0.25">
      <c r="F5178" s="76" t="s">
        <v>150</v>
      </c>
      <c r="G5178" s="77" t="s">
        <v>278</v>
      </c>
      <c r="H5178" s="77" t="s">
        <v>267</v>
      </c>
      <c r="I5178" s="86">
        <v>41783</v>
      </c>
      <c r="J5178" s="78">
        <v>612</v>
      </c>
    </row>
    <row r="5179" spans="6:10" x14ac:dyDescent="0.25">
      <c r="F5179" s="76" t="s">
        <v>150</v>
      </c>
      <c r="G5179" s="77" t="s">
        <v>278</v>
      </c>
      <c r="H5179" s="77" t="s">
        <v>267</v>
      </c>
      <c r="I5179" s="86">
        <v>41784</v>
      </c>
      <c r="J5179" s="78">
        <v>670</v>
      </c>
    </row>
    <row r="5180" spans="6:10" x14ac:dyDescent="0.25">
      <c r="F5180" s="76" t="s">
        <v>150</v>
      </c>
      <c r="G5180" s="77" t="s">
        <v>278</v>
      </c>
      <c r="H5180" s="77" t="s">
        <v>267</v>
      </c>
      <c r="I5180" s="86">
        <v>41784</v>
      </c>
      <c r="J5180" s="78">
        <v>416</v>
      </c>
    </row>
    <row r="5181" spans="6:10" x14ac:dyDescent="0.25">
      <c r="F5181" s="76" t="s">
        <v>150</v>
      </c>
      <c r="G5181" s="77" t="s">
        <v>278</v>
      </c>
      <c r="H5181" s="77" t="s">
        <v>267</v>
      </c>
      <c r="I5181" s="86">
        <v>41837</v>
      </c>
      <c r="J5181" s="78">
        <v>879</v>
      </c>
    </row>
    <row r="5182" spans="6:10" x14ac:dyDescent="0.25">
      <c r="F5182" s="76" t="s">
        <v>150</v>
      </c>
      <c r="G5182" s="77" t="s">
        <v>278</v>
      </c>
      <c r="H5182" s="77" t="s">
        <v>267</v>
      </c>
      <c r="I5182" s="86">
        <v>41838</v>
      </c>
      <c r="J5182" s="78">
        <v>1015</v>
      </c>
    </row>
    <row r="5183" spans="6:10" x14ac:dyDescent="0.25">
      <c r="F5183" s="76" t="s">
        <v>150</v>
      </c>
      <c r="G5183" s="77" t="s">
        <v>278</v>
      </c>
      <c r="H5183" s="77" t="s">
        <v>267</v>
      </c>
      <c r="I5183" s="86">
        <v>41841</v>
      </c>
      <c r="J5183" s="78">
        <v>659</v>
      </c>
    </row>
    <row r="5184" spans="6:10" x14ac:dyDescent="0.25">
      <c r="F5184" s="76" t="s">
        <v>150</v>
      </c>
      <c r="G5184" s="77" t="s">
        <v>278</v>
      </c>
      <c r="H5184" s="77" t="s">
        <v>267</v>
      </c>
      <c r="I5184" s="86">
        <v>41842</v>
      </c>
      <c r="J5184" s="78">
        <v>765</v>
      </c>
    </row>
    <row r="5185" spans="6:10" x14ac:dyDescent="0.25">
      <c r="F5185" s="76" t="s">
        <v>150</v>
      </c>
      <c r="G5185" s="77" t="s">
        <v>278</v>
      </c>
      <c r="H5185" s="77" t="s">
        <v>267</v>
      </c>
      <c r="I5185" s="86">
        <v>41842</v>
      </c>
      <c r="J5185" s="78">
        <v>633</v>
      </c>
    </row>
    <row r="5186" spans="6:10" x14ac:dyDescent="0.25">
      <c r="F5186" s="76" t="s">
        <v>150</v>
      </c>
      <c r="G5186" s="77" t="s">
        <v>278</v>
      </c>
      <c r="H5186" s="77" t="s">
        <v>267</v>
      </c>
      <c r="I5186" s="86">
        <v>41867</v>
      </c>
      <c r="J5186" s="78">
        <v>536</v>
      </c>
    </row>
    <row r="5187" spans="6:10" x14ac:dyDescent="0.25">
      <c r="F5187" s="76" t="s">
        <v>150</v>
      </c>
      <c r="G5187" s="77" t="s">
        <v>278</v>
      </c>
      <c r="H5187" s="77" t="s">
        <v>267</v>
      </c>
      <c r="I5187" s="86">
        <v>41868</v>
      </c>
      <c r="J5187" s="78">
        <v>855</v>
      </c>
    </row>
    <row r="5188" spans="6:10" x14ac:dyDescent="0.25">
      <c r="F5188" s="76" t="s">
        <v>150</v>
      </c>
      <c r="G5188" s="77" t="s">
        <v>278</v>
      </c>
      <c r="H5188" s="77" t="s">
        <v>267</v>
      </c>
      <c r="I5188" s="86">
        <v>41898</v>
      </c>
      <c r="J5188" s="78">
        <v>549</v>
      </c>
    </row>
    <row r="5189" spans="6:10" x14ac:dyDescent="0.25">
      <c r="F5189" s="76" t="s">
        <v>150</v>
      </c>
      <c r="G5189" s="77" t="s">
        <v>278</v>
      </c>
      <c r="H5189" s="77" t="s">
        <v>267</v>
      </c>
      <c r="I5189" s="86">
        <v>41905</v>
      </c>
      <c r="J5189" s="78">
        <v>904</v>
      </c>
    </row>
    <row r="5190" spans="6:10" x14ac:dyDescent="0.25">
      <c r="F5190" s="76" t="s">
        <v>150</v>
      </c>
      <c r="G5190" s="77" t="s">
        <v>278</v>
      </c>
      <c r="H5190" s="77" t="s">
        <v>267</v>
      </c>
      <c r="I5190" s="86">
        <v>41905</v>
      </c>
      <c r="J5190" s="78">
        <v>709</v>
      </c>
    </row>
    <row r="5191" spans="6:10" x14ac:dyDescent="0.25">
      <c r="F5191" s="76" t="s">
        <v>150</v>
      </c>
      <c r="G5191" s="77" t="s">
        <v>278</v>
      </c>
      <c r="H5191" s="77" t="s">
        <v>267</v>
      </c>
      <c r="I5191" s="86">
        <v>41916</v>
      </c>
      <c r="J5191" s="78">
        <v>878</v>
      </c>
    </row>
    <row r="5192" spans="6:10" x14ac:dyDescent="0.25">
      <c r="F5192" s="76" t="s">
        <v>150</v>
      </c>
      <c r="G5192" s="77" t="s">
        <v>278</v>
      </c>
      <c r="H5192" s="77" t="s">
        <v>267</v>
      </c>
      <c r="I5192" s="86">
        <v>41916</v>
      </c>
      <c r="J5192" s="78">
        <v>995</v>
      </c>
    </row>
    <row r="5193" spans="6:10" x14ac:dyDescent="0.25">
      <c r="F5193" s="76" t="s">
        <v>150</v>
      </c>
      <c r="G5193" s="77" t="s">
        <v>278</v>
      </c>
      <c r="H5193" s="77" t="s">
        <v>267</v>
      </c>
      <c r="I5193" s="86">
        <v>41918</v>
      </c>
      <c r="J5193" s="78">
        <v>1245</v>
      </c>
    </row>
    <row r="5194" spans="6:10" x14ac:dyDescent="0.25">
      <c r="F5194" s="76" t="s">
        <v>150</v>
      </c>
      <c r="G5194" s="77" t="s">
        <v>278</v>
      </c>
      <c r="H5194" s="77" t="s">
        <v>267</v>
      </c>
      <c r="I5194" s="86">
        <v>41919</v>
      </c>
      <c r="J5194" s="78">
        <v>886</v>
      </c>
    </row>
    <row r="5195" spans="6:10" x14ac:dyDescent="0.25">
      <c r="F5195" s="76" t="s">
        <v>150</v>
      </c>
      <c r="G5195" s="77" t="s">
        <v>278</v>
      </c>
      <c r="H5195" s="77" t="s">
        <v>267</v>
      </c>
      <c r="I5195" s="86">
        <v>41920</v>
      </c>
      <c r="J5195" s="78">
        <v>1160</v>
      </c>
    </row>
    <row r="5196" spans="6:10" x14ac:dyDescent="0.25">
      <c r="F5196" s="76" t="s">
        <v>150</v>
      </c>
      <c r="G5196" s="77" t="s">
        <v>278</v>
      </c>
      <c r="H5196" s="77" t="s">
        <v>267</v>
      </c>
      <c r="I5196" s="86">
        <v>41926</v>
      </c>
      <c r="J5196" s="78">
        <v>909</v>
      </c>
    </row>
    <row r="5197" spans="6:10" x14ac:dyDescent="0.25">
      <c r="F5197" s="76" t="s">
        <v>150</v>
      </c>
      <c r="G5197" s="77" t="s">
        <v>278</v>
      </c>
      <c r="H5197" s="77" t="s">
        <v>267</v>
      </c>
      <c r="I5197" s="86">
        <v>41930</v>
      </c>
      <c r="J5197" s="78">
        <v>817</v>
      </c>
    </row>
    <row r="5198" spans="6:10" x14ac:dyDescent="0.25">
      <c r="F5198" s="76" t="s">
        <v>150</v>
      </c>
      <c r="G5198" s="77" t="s">
        <v>278</v>
      </c>
      <c r="H5198" s="77" t="s">
        <v>267</v>
      </c>
      <c r="I5198" s="86">
        <v>41930</v>
      </c>
      <c r="J5198" s="78">
        <v>739</v>
      </c>
    </row>
    <row r="5199" spans="6:10" x14ac:dyDescent="0.25">
      <c r="F5199" s="76" t="s">
        <v>150</v>
      </c>
      <c r="G5199" s="77" t="s">
        <v>278</v>
      </c>
      <c r="H5199" s="77" t="s">
        <v>267</v>
      </c>
      <c r="I5199" s="86">
        <v>41931</v>
      </c>
      <c r="J5199" s="78">
        <v>844</v>
      </c>
    </row>
    <row r="5200" spans="6:10" x14ac:dyDescent="0.25">
      <c r="F5200" s="76" t="s">
        <v>150</v>
      </c>
      <c r="G5200" s="77" t="s">
        <v>278</v>
      </c>
      <c r="H5200" s="77" t="s">
        <v>267</v>
      </c>
      <c r="I5200" s="86">
        <v>41933</v>
      </c>
      <c r="J5200" s="78">
        <v>1011</v>
      </c>
    </row>
    <row r="5201" spans="6:10" x14ac:dyDescent="0.25">
      <c r="F5201" s="76" t="s">
        <v>150</v>
      </c>
      <c r="G5201" s="77" t="s">
        <v>278</v>
      </c>
      <c r="H5201" s="77" t="s">
        <v>267</v>
      </c>
      <c r="I5201" s="86">
        <v>41934</v>
      </c>
      <c r="J5201" s="78">
        <v>1092</v>
      </c>
    </row>
    <row r="5202" spans="6:10" x14ac:dyDescent="0.25">
      <c r="F5202" s="76" t="s">
        <v>150</v>
      </c>
      <c r="G5202" s="77" t="s">
        <v>278</v>
      </c>
      <c r="H5202" s="77" t="s">
        <v>267</v>
      </c>
      <c r="I5202" s="86">
        <v>41936</v>
      </c>
      <c r="J5202" s="78">
        <v>606</v>
      </c>
    </row>
    <row r="5203" spans="6:10" x14ac:dyDescent="0.25">
      <c r="F5203" s="76" t="s">
        <v>150</v>
      </c>
      <c r="G5203" s="77" t="s">
        <v>278</v>
      </c>
      <c r="H5203" s="77" t="s">
        <v>267</v>
      </c>
      <c r="I5203" s="86">
        <v>41940</v>
      </c>
      <c r="J5203" s="78">
        <v>662</v>
      </c>
    </row>
    <row r="5204" spans="6:10" x14ac:dyDescent="0.25">
      <c r="F5204" s="76" t="s">
        <v>150</v>
      </c>
      <c r="G5204" s="77" t="s">
        <v>278</v>
      </c>
      <c r="H5204" s="77" t="s">
        <v>267</v>
      </c>
      <c r="I5204" s="86">
        <v>41942</v>
      </c>
      <c r="J5204" s="78">
        <v>688</v>
      </c>
    </row>
    <row r="5205" spans="6:10" x14ac:dyDescent="0.25">
      <c r="F5205" s="76" t="s">
        <v>150</v>
      </c>
      <c r="G5205" s="77" t="s">
        <v>278</v>
      </c>
      <c r="H5205" s="77" t="s">
        <v>267</v>
      </c>
      <c r="I5205" s="86">
        <v>41943</v>
      </c>
      <c r="J5205" s="78">
        <v>462</v>
      </c>
    </row>
    <row r="5206" spans="6:10" x14ac:dyDescent="0.25">
      <c r="F5206" s="76" t="s">
        <v>150</v>
      </c>
      <c r="G5206" s="77" t="s">
        <v>278</v>
      </c>
      <c r="H5206" s="77" t="s">
        <v>267</v>
      </c>
      <c r="I5206" s="86">
        <v>41944</v>
      </c>
      <c r="J5206" s="78">
        <v>732</v>
      </c>
    </row>
    <row r="5207" spans="6:10" x14ac:dyDescent="0.25">
      <c r="F5207" s="76" t="s">
        <v>150</v>
      </c>
      <c r="G5207" s="77" t="s">
        <v>278</v>
      </c>
      <c r="H5207" s="77" t="s">
        <v>267</v>
      </c>
      <c r="I5207" s="86">
        <v>41945</v>
      </c>
      <c r="J5207" s="78">
        <v>791</v>
      </c>
    </row>
    <row r="5208" spans="6:10" x14ac:dyDescent="0.25">
      <c r="F5208" s="76" t="s">
        <v>150</v>
      </c>
      <c r="G5208" s="77" t="s">
        <v>278</v>
      </c>
      <c r="H5208" s="77" t="s">
        <v>267</v>
      </c>
      <c r="I5208" s="86">
        <v>41946</v>
      </c>
      <c r="J5208" s="78">
        <v>630</v>
      </c>
    </row>
    <row r="5209" spans="6:10" x14ac:dyDescent="0.25">
      <c r="F5209" s="76" t="s">
        <v>150</v>
      </c>
      <c r="G5209" s="77" t="s">
        <v>278</v>
      </c>
      <c r="H5209" s="77" t="s">
        <v>267</v>
      </c>
      <c r="I5209" s="86">
        <v>41947</v>
      </c>
      <c r="J5209" s="78">
        <v>676</v>
      </c>
    </row>
    <row r="5210" spans="6:10" x14ac:dyDescent="0.25">
      <c r="F5210" s="76" t="s">
        <v>150</v>
      </c>
      <c r="G5210" s="77" t="s">
        <v>278</v>
      </c>
      <c r="H5210" s="77" t="s">
        <v>267</v>
      </c>
      <c r="I5210" s="86">
        <v>41948</v>
      </c>
      <c r="J5210" s="78">
        <v>662</v>
      </c>
    </row>
    <row r="5211" spans="6:10" x14ac:dyDescent="0.25">
      <c r="F5211" s="76" t="s">
        <v>150</v>
      </c>
      <c r="G5211" s="77" t="s">
        <v>278</v>
      </c>
      <c r="H5211" s="77" t="s">
        <v>267</v>
      </c>
      <c r="I5211" s="86">
        <v>41949</v>
      </c>
      <c r="J5211" s="78">
        <v>1237</v>
      </c>
    </row>
    <row r="5212" spans="6:10" x14ac:dyDescent="0.25">
      <c r="F5212" s="76" t="s">
        <v>150</v>
      </c>
      <c r="G5212" s="77" t="s">
        <v>278</v>
      </c>
      <c r="H5212" s="77" t="s">
        <v>267</v>
      </c>
      <c r="I5212" s="86">
        <v>41950</v>
      </c>
      <c r="J5212" s="78">
        <v>950</v>
      </c>
    </row>
    <row r="5213" spans="6:10" x14ac:dyDescent="0.25">
      <c r="F5213" s="76" t="s">
        <v>150</v>
      </c>
      <c r="G5213" s="77" t="s">
        <v>278</v>
      </c>
      <c r="H5213" s="77" t="s">
        <v>267</v>
      </c>
      <c r="I5213" s="86">
        <v>41953</v>
      </c>
      <c r="J5213" s="78">
        <v>603</v>
      </c>
    </row>
    <row r="5214" spans="6:10" x14ac:dyDescent="0.25">
      <c r="F5214" s="76" t="s">
        <v>150</v>
      </c>
      <c r="G5214" s="77" t="s">
        <v>278</v>
      </c>
      <c r="H5214" s="77" t="s">
        <v>267</v>
      </c>
      <c r="I5214" s="86">
        <v>41954</v>
      </c>
      <c r="J5214" s="78">
        <v>863</v>
      </c>
    </row>
    <row r="5215" spans="6:10" x14ac:dyDescent="0.25">
      <c r="F5215" s="76" t="s">
        <v>150</v>
      </c>
      <c r="G5215" s="77" t="s">
        <v>278</v>
      </c>
      <c r="H5215" s="77" t="s">
        <v>267</v>
      </c>
      <c r="I5215" s="86">
        <v>41955</v>
      </c>
      <c r="J5215" s="78">
        <v>880</v>
      </c>
    </row>
    <row r="5216" spans="6:10" x14ac:dyDescent="0.25">
      <c r="F5216" s="76" t="s">
        <v>150</v>
      </c>
      <c r="G5216" s="77" t="s">
        <v>278</v>
      </c>
      <c r="H5216" s="77" t="s">
        <v>267</v>
      </c>
      <c r="I5216" s="86">
        <v>41956</v>
      </c>
      <c r="J5216" s="78">
        <v>487</v>
      </c>
    </row>
    <row r="5217" spans="6:10" x14ac:dyDescent="0.25">
      <c r="F5217" s="76" t="s">
        <v>150</v>
      </c>
      <c r="G5217" s="77" t="s">
        <v>278</v>
      </c>
      <c r="H5217" s="77" t="s">
        <v>267</v>
      </c>
      <c r="I5217" s="86">
        <v>41958</v>
      </c>
      <c r="J5217" s="78">
        <v>975</v>
      </c>
    </row>
    <row r="5218" spans="6:10" x14ac:dyDescent="0.25">
      <c r="F5218" s="76" t="s">
        <v>150</v>
      </c>
      <c r="G5218" s="77" t="s">
        <v>278</v>
      </c>
      <c r="H5218" s="77" t="s">
        <v>267</v>
      </c>
      <c r="I5218" s="86">
        <v>41960</v>
      </c>
      <c r="J5218" s="78">
        <v>900</v>
      </c>
    </row>
    <row r="5219" spans="6:10" x14ac:dyDescent="0.25">
      <c r="F5219" s="76" t="s">
        <v>150</v>
      </c>
      <c r="G5219" s="77" t="s">
        <v>278</v>
      </c>
      <c r="H5219" s="77" t="s">
        <v>267</v>
      </c>
      <c r="I5219" s="86">
        <v>41961</v>
      </c>
      <c r="J5219" s="78">
        <v>892</v>
      </c>
    </row>
    <row r="5220" spans="6:10" x14ac:dyDescent="0.25">
      <c r="F5220" s="76" t="s">
        <v>150</v>
      </c>
      <c r="G5220" s="77" t="s">
        <v>278</v>
      </c>
      <c r="H5220" s="77" t="s">
        <v>267</v>
      </c>
      <c r="I5220" s="86">
        <v>41963</v>
      </c>
      <c r="J5220" s="78">
        <v>729</v>
      </c>
    </row>
    <row r="5221" spans="6:10" x14ac:dyDescent="0.25">
      <c r="F5221" s="76" t="s">
        <v>150</v>
      </c>
      <c r="G5221" s="77" t="s">
        <v>278</v>
      </c>
      <c r="H5221" s="77" t="s">
        <v>267</v>
      </c>
      <c r="I5221" s="86">
        <v>41964</v>
      </c>
      <c r="J5221" s="78">
        <v>739</v>
      </c>
    </row>
    <row r="5222" spans="6:10" x14ac:dyDescent="0.25">
      <c r="F5222" s="76" t="s">
        <v>150</v>
      </c>
      <c r="G5222" s="77" t="s">
        <v>278</v>
      </c>
      <c r="H5222" s="77" t="s">
        <v>267</v>
      </c>
      <c r="I5222" s="86">
        <v>41968</v>
      </c>
      <c r="J5222" s="78">
        <v>1019</v>
      </c>
    </row>
    <row r="5223" spans="6:10" x14ac:dyDescent="0.25">
      <c r="F5223" s="76" t="s">
        <v>150</v>
      </c>
      <c r="G5223" s="77" t="s">
        <v>278</v>
      </c>
      <c r="H5223" s="77" t="s">
        <v>267</v>
      </c>
      <c r="I5223" s="86">
        <v>41970</v>
      </c>
      <c r="J5223" s="78">
        <v>779</v>
      </c>
    </row>
    <row r="5224" spans="6:10" x14ac:dyDescent="0.25">
      <c r="F5224" s="76" t="s">
        <v>150</v>
      </c>
      <c r="G5224" s="77" t="s">
        <v>278</v>
      </c>
      <c r="H5224" s="77" t="s">
        <v>267</v>
      </c>
      <c r="I5224" s="86">
        <v>41971</v>
      </c>
      <c r="J5224" s="78">
        <v>978</v>
      </c>
    </row>
    <row r="5225" spans="6:10" x14ac:dyDescent="0.25">
      <c r="F5225" s="76" t="s">
        <v>150</v>
      </c>
      <c r="G5225" s="77" t="s">
        <v>278</v>
      </c>
      <c r="H5225" s="77" t="s">
        <v>267</v>
      </c>
      <c r="I5225" s="86">
        <v>41974</v>
      </c>
      <c r="J5225" s="78">
        <v>864</v>
      </c>
    </row>
    <row r="5226" spans="6:10" x14ac:dyDescent="0.25">
      <c r="F5226" s="76" t="s">
        <v>150</v>
      </c>
      <c r="G5226" s="77" t="s">
        <v>278</v>
      </c>
      <c r="H5226" s="77" t="s">
        <v>267</v>
      </c>
      <c r="I5226" s="86">
        <v>41975</v>
      </c>
      <c r="J5226" s="78">
        <v>700</v>
      </c>
    </row>
    <row r="5227" spans="6:10" x14ac:dyDescent="0.25">
      <c r="F5227" s="76" t="s">
        <v>150</v>
      </c>
      <c r="G5227" s="77" t="s">
        <v>278</v>
      </c>
      <c r="H5227" s="77" t="s">
        <v>267</v>
      </c>
      <c r="I5227" s="86">
        <v>41976</v>
      </c>
      <c r="J5227" s="78">
        <v>929</v>
      </c>
    </row>
    <row r="5228" spans="6:10" x14ac:dyDescent="0.25">
      <c r="F5228" s="76" t="s">
        <v>150</v>
      </c>
      <c r="G5228" s="77" t="s">
        <v>278</v>
      </c>
      <c r="H5228" s="77" t="s">
        <v>267</v>
      </c>
      <c r="I5228" s="86">
        <v>41978</v>
      </c>
      <c r="J5228" s="78">
        <v>819</v>
      </c>
    </row>
    <row r="5229" spans="6:10" x14ac:dyDescent="0.25">
      <c r="F5229" s="76" t="s">
        <v>150</v>
      </c>
      <c r="G5229" s="77" t="s">
        <v>278</v>
      </c>
      <c r="H5229" s="77" t="s">
        <v>267</v>
      </c>
      <c r="I5229" s="86">
        <v>41981</v>
      </c>
      <c r="J5229" s="78">
        <v>748</v>
      </c>
    </row>
    <row r="5230" spans="6:10" x14ac:dyDescent="0.25">
      <c r="F5230" s="76" t="s">
        <v>150</v>
      </c>
      <c r="G5230" s="77" t="s">
        <v>279</v>
      </c>
      <c r="H5230" s="77" t="s">
        <v>267</v>
      </c>
      <c r="I5230" s="86">
        <v>41635</v>
      </c>
      <c r="J5230" s="78">
        <v>572</v>
      </c>
    </row>
    <row r="5231" spans="6:10" x14ac:dyDescent="0.25">
      <c r="F5231" s="76" t="s">
        <v>150</v>
      </c>
      <c r="G5231" s="77" t="s">
        <v>279</v>
      </c>
      <c r="H5231" s="77" t="s">
        <v>267</v>
      </c>
      <c r="I5231" s="86">
        <v>41638</v>
      </c>
      <c r="J5231" s="78">
        <v>627</v>
      </c>
    </row>
    <row r="5232" spans="6:10" x14ac:dyDescent="0.25">
      <c r="F5232" s="76" t="s">
        <v>150</v>
      </c>
      <c r="G5232" s="77" t="s">
        <v>279</v>
      </c>
      <c r="H5232" s="77" t="s">
        <v>267</v>
      </c>
      <c r="I5232" s="86">
        <v>41639</v>
      </c>
      <c r="J5232" s="78">
        <v>787</v>
      </c>
    </row>
    <row r="5233" spans="6:10" x14ac:dyDescent="0.25">
      <c r="F5233" s="76" t="s">
        <v>150</v>
      </c>
      <c r="G5233" s="77" t="s">
        <v>279</v>
      </c>
      <c r="H5233" s="77" t="s">
        <v>267</v>
      </c>
      <c r="I5233" s="86">
        <v>41640</v>
      </c>
      <c r="J5233" s="78">
        <v>886</v>
      </c>
    </row>
    <row r="5234" spans="6:10" x14ac:dyDescent="0.25">
      <c r="F5234" s="76" t="s">
        <v>150</v>
      </c>
      <c r="G5234" s="77" t="s">
        <v>279</v>
      </c>
      <c r="H5234" s="77" t="s">
        <v>267</v>
      </c>
      <c r="I5234" s="86">
        <v>41640</v>
      </c>
      <c r="J5234" s="78">
        <v>1044</v>
      </c>
    </row>
    <row r="5235" spans="6:10" x14ac:dyDescent="0.25">
      <c r="F5235" s="76" t="s">
        <v>150</v>
      </c>
      <c r="G5235" s="77" t="s">
        <v>279</v>
      </c>
      <c r="H5235" s="77" t="s">
        <v>267</v>
      </c>
      <c r="I5235" s="86">
        <v>41641</v>
      </c>
      <c r="J5235" s="78">
        <v>613</v>
      </c>
    </row>
    <row r="5236" spans="6:10" x14ac:dyDescent="0.25">
      <c r="F5236" s="76" t="s">
        <v>150</v>
      </c>
      <c r="G5236" s="77" t="s">
        <v>279</v>
      </c>
      <c r="H5236" s="77" t="s">
        <v>267</v>
      </c>
      <c r="I5236" s="86">
        <v>41641</v>
      </c>
      <c r="J5236" s="78">
        <v>817</v>
      </c>
    </row>
    <row r="5237" spans="6:10" x14ac:dyDescent="0.25">
      <c r="F5237" s="76" t="s">
        <v>150</v>
      </c>
      <c r="G5237" s="77" t="s">
        <v>279</v>
      </c>
      <c r="H5237" s="77" t="s">
        <v>267</v>
      </c>
      <c r="I5237" s="86">
        <v>41642</v>
      </c>
      <c r="J5237" s="78">
        <v>640</v>
      </c>
    </row>
    <row r="5238" spans="6:10" x14ac:dyDescent="0.25">
      <c r="F5238" s="76" t="s">
        <v>150</v>
      </c>
      <c r="G5238" s="77" t="s">
        <v>279</v>
      </c>
      <c r="H5238" s="77" t="s">
        <v>267</v>
      </c>
      <c r="I5238" s="86">
        <v>41642</v>
      </c>
      <c r="J5238" s="78">
        <v>662</v>
      </c>
    </row>
    <row r="5239" spans="6:10" x14ac:dyDescent="0.25">
      <c r="F5239" s="76" t="s">
        <v>150</v>
      </c>
      <c r="G5239" s="77" t="s">
        <v>279</v>
      </c>
      <c r="H5239" s="77" t="s">
        <v>267</v>
      </c>
      <c r="I5239" s="86">
        <v>41643</v>
      </c>
      <c r="J5239" s="78">
        <v>608</v>
      </c>
    </row>
    <row r="5240" spans="6:10" x14ac:dyDescent="0.25">
      <c r="F5240" s="76" t="s">
        <v>150</v>
      </c>
      <c r="G5240" s="77" t="s">
        <v>279</v>
      </c>
      <c r="H5240" s="77" t="s">
        <v>267</v>
      </c>
      <c r="I5240" s="86">
        <v>41643</v>
      </c>
      <c r="J5240" s="78">
        <v>655</v>
      </c>
    </row>
    <row r="5241" spans="6:10" x14ac:dyDescent="0.25">
      <c r="F5241" s="76" t="s">
        <v>150</v>
      </c>
      <c r="G5241" s="77" t="s">
        <v>279</v>
      </c>
      <c r="H5241" s="77" t="s">
        <v>267</v>
      </c>
      <c r="I5241" s="86">
        <v>41644</v>
      </c>
      <c r="J5241" s="78">
        <v>1233</v>
      </c>
    </row>
    <row r="5242" spans="6:10" x14ac:dyDescent="0.25">
      <c r="F5242" s="76" t="s">
        <v>150</v>
      </c>
      <c r="G5242" s="77" t="s">
        <v>279</v>
      </c>
      <c r="H5242" s="77" t="s">
        <v>267</v>
      </c>
      <c r="I5242" s="86">
        <v>41649</v>
      </c>
      <c r="J5242" s="78">
        <v>759</v>
      </c>
    </row>
    <row r="5243" spans="6:10" x14ac:dyDescent="0.25">
      <c r="F5243" s="76" t="s">
        <v>150</v>
      </c>
      <c r="G5243" s="77" t="s">
        <v>279</v>
      </c>
      <c r="H5243" s="77" t="s">
        <v>267</v>
      </c>
      <c r="I5243" s="86">
        <v>41653</v>
      </c>
      <c r="J5243" s="78">
        <v>879</v>
      </c>
    </row>
    <row r="5244" spans="6:10" x14ac:dyDescent="0.25">
      <c r="F5244" s="76" t="s">
        <v>150</v>
      </c>
      <c r="G5244" s="77" t="s">
        <v>279</v>
      </c>
      <c r="H5244" s="77" t="s">
        <v>267</v>
      </c>
      <c r="I5244" s="86">
        <v>41654</v>
      </c>
      <c r="J5244" s="78">
        <v>756</v>
      </c>
    </row>
    <row r="5245" spans="6:10" x14ac:dyDescent="0.25">
      <c r="F5245" s="76" t="s">
        <v>150</v>
      </c>
      <c r="G5245" s="77" t="s">
        <v>279</v>
      </c>
      <c r="H5245" s="77" t="s">
        <v>267</v>
      </c>
      <c r="I5245" s="86">
        <v>41655</v>
      </c>
      <c r="J5245" s="78">
        <v>536</v>
      </c>
    </row>
    <row r="5246" spans="6:10" x14ac:dyDescent="0.25">
      <c r="F5246" s="76" t="s">
        <v>150</v>
      </c>
      <c r="G5246" s="77" t="s">
        <v>279</v>
      </c>
      <c r="H5246" s="77" t="s">
        <v>267</v>
      </c>
      <c r="I5246" s="86">
        <v>41760</v>
      </c>
      <c r="J5246" s="78">
        <v>759</v>
      </c>
    </row>
    <row r="5247" spans="6:10" x14ac:dyDescent="0.25">
      <c r="F5247" s="76" t="s">
        <v>150</v>
      </c>
      <c r="G5247" s="77" t="s">
        <v>279</v>
      </c>
      <c r="H5247" s="77" t="s">
        <v>267</v>
      </c>
      <c r="I5247" s="86">
        <v>41761</v>
      </c>
      <c r="J5247" s="78">
        <v>1186</v>
      </c>
    </row>
    <row r="5248" spans="6:10" x14ac:dyDescent="0.25">
      <c r="F5248" s="76" t="s">
        <v>150</v>
      </c>
      <c r="G5248" s="77" t="s">
        <v>279</v>
      </c>
      <c r="H5248" s="77" t="s">
        <v>267</v>
      </c>
      <c r="I5248" s="86">
        <v>41765</v>
      </c>
      <c r="J5248" s="78">
        <v>1204</v>
      </c>
    </row>
    <row r="5249" spans="6:10" x14ac:dyDescent="0.25">
      <c r="F5249" s="76" t="s">
        <v>150</v>
      </c>
      <c r="G5249" s="77" t="s">
        <v>279</v>
      </c>
      <c r="H5249" s="77" t="s">
        <v>267</v>
      </c>
      <c r="I5249" s="86">
        <v>41769</v>
      </c>
      <c r="J5249" s="78">
        <v>763</v>
      </c>
    </row>
    <row r="5250" spans="6:10" x14ac:dyDescent="0.25">
      <c r="F5250" s="76" t="s">
        <v>150</v>
      </c>
      <c r="G5250" s="77" t="s">
        <v>279</v>
      </c>
      <c r="H5250" s="77" t="s">
        <v>267</v>
      </c>
      <c r="I5250" s="86">
        <v>41769</v>
      </c>
      <c r="J5250" s="78">
        <v>916</v>
      </c>
    </row>
    <row r="5251" spans="6:10" x14ac:dyDescent="0.25">
      <c r="F5251" s="76" t="s">
        <v>150</v>
      </c>
      <c r="G5251" s="77" t="s">
        <v>279</v>
      </c>
      <c r="H5251" s="77" t="s">
        <v>267</v>
      </c>
      <c r="I5251" s="86">
        <v>41772</v>
      </c>
      <c r="J5251" s="78">
        <v>1462</v>
      </c>
    </row>
    <row r="5252" spans="6:10" x14ac:dyDescent="0.25">
      <c r="F5252" s="76" t="s">
        <v>150</v>
      </c>
      <c r="G5252" s="77" t="s">
        <v>279</v>
      </c>
      <c r="H5252" s="77" t="s">
        <v>267</v>
      </c>
      <c r="I5252" s="86">
        <v>41773</v>
      </c>
      <c r="J5252" s="78">
        <v>692</v>
      </c>
    </row>
    <row r="5253" spans="6:10" x14ac:dyDescent="0.25">
      <c r="F5253" s="76" t="s">
        <v>150</v>
      </c>
      <c r="G5253" s="77" t="s">
        <v>279</v>
      </c>
      <c r="H5253" s="77" t="s">
        <v>267</v>
      </c>
      <c r="I5253" s="86">
        <v>41773</v>
      </c>
      <c r="J5253" s="78">
        <v>618</v>
      </c>
    </row>
    <row r="5254" spans="6:10" x14ac:dyDescent="0.25">
      <c r="F5254" s="76" t="s">
        <v>150</v>
      </c>
      <c r="G5254" s="77" t="s">
        <v>279</v>
      </c>
      <c r="H5254" s="77" t="s">
        <v>267</v>
      </c>
      <c r="I5254" s="86">
        <v>41774</v>
      </c>
      <c r="J5254" s="78">
        <v>1002</v>
      </c>
    </row>
    <row r="5255" spans="6:10" x14ac:dyDescent="0.25">
      <c r="F5255" s="76" t="s">
        <v>150</v>
      </c>
      <c r="G5255" s="77" t="s">
        <v>279</v>
      </c>
      <c r="H5255" s="77" t="s">
        <v>267</v>
      </c>
      <c r="I5255" s="86">
        <v>41775</v>
      </c>
      <c r="J5255" s="78">
        <v>568</v>
      </c>
    </row>
    <row r="5256" spans="6:10" x14ac:dyDescent="0.25">
      <c r="F5256" s="76" t="s">
        <v>150</v>
      </c>
      <c r="G5256" s="77" t="s">
        <v>279</v>
      </c>
      <c r="H5256" s="77" t="s">
        <v>267</v>
      </c>
      <c r="I5256" s="86">
        <v>41778</v>
      </c>
      <c r="J5256" s="78">
        <v>536</v>
      </c>
    </row>
    <row r="5257" spans="6:10" x14ac:dyDescent="0.25">
      <c r="F5257" s="76" t="s">
        <v>150</v>
      </c>
      <c r="G5257" s="77" t="s">
        <v>279</v>
      </c>
      <c r="H5257" s="77" t="s">
        <v>267</v>
      </c>
      <c r="I5257" s="86">
        <v>41781</v>
      </c>
      <c r="J5257" s="78">
        <v>1048</v>
      </c>
    </row>
    <row r="5258" spans="6:10" x14ac:dyDescent="0.25">
      <c r="F5258" s="76" t="s">
        <v>150</v>
      </c>
      <c r="G5258" s="77" t="s">
        <v>279</v>
      </c>
      <c r="H5258" s="77" t="s">
        <v>267</v>
      </c>
      <c r="I5258" s="86">
        <v>41783</v>
      </c>
      <c r="J5258" s="78">
        <v>949</v>
      </c>
    </row>
    <row r="5259" spans="6:10" x14ac:dyDescent="0.25">
      <c r="F5259" s="76" t="s">
        <v>150</v>
      </c>
      <c r="G5259" s="77" t="s">
        <v>279</v>
      </c>
      <c r="H5259" s="77" t="s">
        <v>267</v>
      </c>
      <c r="I5259" s="86">
        <v>41783</v>
      </c>
      <c r="J5259" s="78">
        <v>923</v>
      </c>
    </row>
    <row r="5260" spans="6:10" x14ac:dyDescent="0.25">
      <c r="F5260" s="76" t="s">
        <v>150</v>
      </c>
      <c r="G5260" s="77" t="s">
        <v>279</v>
      </c>
      <c r="H5260" s="77" t="s">
        <v>267</v>
      </c>
      <c r="I5260" s="86">
        <v>41784</v>
      </c>
      <c r="J5260" s="78">
        <v>1140</v>
      </c>
    </row>
    <row r="5261" spans="6:10" x14ac:dyDescent="0.25">
      <c r="F5261" s="76" t="s">
        <v>150</v>
      </c>
      <c r="G5261" s="77" t="s">
        <v>279</v>
      </c>
      <c r="H5261" s="77" t="s">
        <v>267</v>
      </c>
      <c r="I5261" s="86">
        <v>41785</v>
      </c>
      <c r="J5261" s="78">
        <v>1136</v>
      </c>
    </row>
    <row r="5262" spans="6:10" x14ac:dyDescent="0.25">
      <c r="F5262" s="76" t="s">
        <v>150</v>
      </c>
      <c r="G5262" s="77" t="s">
        <v>279</v>
      </c>
      <c r="H5262" s="77" t="s">
        <v>267</v>
      </c>
      <c r="I5262" s="86">
        <v>41786</v>
      </c>
      <c r="J5262" s="78">
        <v>1018</v>
      </c>
    </row>
    <row r="5263" spans="6:10" x14ac:dyDescent="0.25">
      <c r="F5263" s="76" t="s">
        <v>150</v>
      </c>
      <c r="G5263" s="77" t="s">
        <v>279</v>
      </c>
      <c r="H5263" s="77" t="s">
        <v>267</v>
      </c>
      <c r="I5263" s="86">
        <v>41787</v>
      </c>
      <c r="J5263" s="78">
        <v>1011</v>
      </c>
    </row>
    <row r="5264" spans="6:10" x14ac:dyDescent="0.25">
      <c r="F5264" s="76" t="s">
        <v>150</v>
      </c>
      <c r="G5264" s="77" t="s">
        <v>279</v>
      </c>
      <c r="H5264" s="77" t="s">
        <v>267</v>
      </c>
      <c r="I5264" s="86">
        <v>41788</v>
      </c>
      <c r="J5264" s="78">
        <v>606</v>
      </c>
    </row>
    <row r="5265" spans="6:10" x14ac:dyDescent="0.25">
      <c r="F5265" s="76" t="s">
        <v>150</v>
      </c>
      <c r="G5265" s="77" t="s">
        <v>279</v>
      </c>
      <c r="H5265" s="77" t="s">
        <v>267</v>
      </c>
      <c r="I5265" s="86">
        <v>41789</v>
      </c>
      <c r="J5265" s="78">
        <v>517</v>
      </c>
    </row>
    <row r="5266" spans="6:10" x14ac:dyDescent="0.25">
      <c r="F5266" s="76" t="s">
        <v>150</v>
      </c>
      <c r="G5266" s="77" t="s">
        <v>279</v>
      </c>
      <c r="H5266" s="77" t="s">
        <v>267</v>
      </c>
      <c r="I5266" s="86">
        <v>41792</v>
      </c>
      <c r="J5266" s="78">
        <v>520</v>
      </c>
    </row>
    <row r="5267" spans="6:10" x14ac:dyDescent="0.25">
      <c r="F5267" s="76" t="s">
        <v>150</v>
      </c>
      <c r="G5267" s="77" t="s">
        <v>279</v>
      </c>
      <c r="H5267" s="77" t="s">
        <v>267</v>
      </c>
      <c r="I5267" s="86">
        <v>41793</v>
      </c>
      <c r="J5267" s="78">
        <v>526</v>
      </c>
    </row>
    <row r="5268" spans="6:10" x14ac:dyDescent="0.25">
      <c r="F5268" s="76" t="s">
        <v>150</v>
      </c>
      <c r="G5268" s="77" t="s">
        <v>279</v>
      </c>
      <c r="H5268" s="77" t="s">
        <v>267</v>
      </c>
      <c r="I5268" s="86">
        <v>41808</v>
      </c>
      <c r="J5268" s="78">
        <v>894</v>
      </c>
    </row>
    <row r="5269" spans="6:10" x14ac:dyDescent="0.25">
      <c r="F5269" s="76" t="s">
        <v>150</v>
      </c>
      <c r="G5269" s="77" t="s">
        <v>279</v>
      </c>
      <c r="H5269" s="77" t="s">
        <v>267</v>
      </c>
      <c r="I5269" s="86">
        <v>41820</v>
      </c>
      <c r="J5269" s="78">
        <v>632</v>
      </c>
    </row>
    <row r="5270" spans="6:10" x14ac:dyDescent="0.25">
      <c r="F5270" s="76" t="s">
        <v>150</v>
      </c>
      <c r="G5270" s="77" t="s">
        <v>279</v>
      </c>
      <c r="H5270" s="77" t="s">
        <v>267</v>
      </c>
      <c r="I5270" s="86">
        <v>41822</v>
      </c>
      <c r="J5270" s="78">
        <v>1024</v>
      </c>
    </row>
    <row r="5271" spans="6:10" x14ac:dyDescent="0.25">
      <c r="F5271" s="76" t="s">
        <v>150</v>
      </c>
      <c r="G5271" s="77" t="s">
        <v>279</v>
      </c>
      <c r="H5271" s="77" t="s">
        <v>267</v>
      </c>
      <c r="I5271" s="86">
        <v>41824</v>
      </c>
      <c r="J5271" s="78">
        <v>1010</v>
      </c>
    </row>
    <row r="5272" spans="6:10" x14ac:dyDescent="0.25">
      <c r="F5272" s="76" t="s">
        <v>150</v>
      </c>
      <c r="G5272" s="77" t="s">
        <v>279</v>
      </c>
      <c r="H5272" s="77" t="s">
        <v>267</v>
      </c>
      <c r="I5272" s="86">
        <v>41828</v>
      </c>
      <c r="J5272" s="78">
        <v>1094</v>
      </c>
    </row>
    <row r="5273" spans="6:10" x14ac:dyDescent="0.25">
      <c r="F5273" s="76" t="s">
        <v>150</v>
      </c>
      <c r="G5273" s="77" t="s">
        <v>279</v>
      </c>
      <c r="H5273" s="77" t="s">
        <v>267</v>
      </c>
      <c r="I5273" s="86">
        <v>41838</v>
      </c>
      <c r="J5273" s="78">
        <v>1591</v>
      </c>
    </row>
    <row r="5274" spans="6:10" x14ac:dyDescent="0.25">
      <c r="F5274" s="76" t="s">
        <v>150</v>
      </c>
      <c r="G5274" s="77" t="s">
        <v>279</v>
      </c>
      <c r="H5274" s="77" t="s">
        <v>267</v>
      </c>
      <c r="I5274" s="86">
        <v>41851</v>
      </c>
      <c r="J5274" s="78">
        <v>809</v>
      </c>
    </row>
    <row r="5275" spans="6:10" x14ac:dyDescent="0.25">
      <c r="F5275" s="76" t="s">
        <v>150</v>
      </c>
      <c r="G5275" s="77" t="s">
        <v>279</v>
      </c>
      <c r="H5275" s="77" t="s">
        <v>267</v>
      </c>
      <c r="I5275" s="86">
        <v>41855</v>
      </c>
      <c r="J5275" s="78">
        <v>748</v>
      </c>
    </row>
    <row r="5276" spans="6:10" x14ac:dyDescent="0.25">
      <c r="F5276" s="76" t="s">
        <v>150</v>
      </c>
      <c r="G5276" s="77" t="s">
        <v>279</v>
      </c>
      <c r="H5276" s="77" t="s">
        <v>267</v>
      </c>
      <c r="I5276" s="86">
        <v>41856</v>
      </c>
      <c r="J5276" s="78">
        <v>557</v>
      </c>
    </row>
    <row r="5277" spans="6:10" x14ac:dyDescent="0.25">
      <c r="F5277" s="76" t="s">
        <v>150</v>
      </c>
      <c r="G5277" s="77" t="s">
        <v>279</v>
      </c>
      <c r="H5277" s="77" t="s">
        <v>267</v>
      </c>
      <c r="I5277" s="86">
        <v>41860</v>
      </c>
      <c r="J5277" s="78">
        <v>791</v>
      </c>
    </row>
    <row r="5278" spans="6:10" x14ac:dyDescent="0.25">
      <c r="F5278" s="76" t="s">
        <v>150</v>
      </c>
      <c r="G5278" s="77" t="s">
        <v>279</v>
      </c>
      <c r="H5278" s="77" t="s">
        <v>267</v>
      </c>
      <c r="I5278" s="86">
        <v>41860</v>
      </c>
      <c r="J5278" s="78">
        <v>934</v>
      </c>
    </row>
    <row r="5279" spans="6:10" x14ac:dyDescent="0.25">
      <c r="F5279" s="76" t="s">
        <v>150</v>
      </c>
      <c r="G5279" s="77" t="s">
        <v>279</v>
      </c>
      <c r="H5279" s="77" t="s">
        <v>267</v>
      </c>
      <c r="I5279" s="86">
        <v>41861</v>
      </c>
      <c r="J5279" s="78">
        <v>1109</v>
      </c>
    </row>
    <row r="5280" spans="6:10" x14ac:dyDescent="0.25">
      <c r="F5280" s="76" t="s">
        <v>150</v>
      </c>
      <c r="G5280" s="77" t="s">
        <v>279</v>
      </c>
      <c r="H5280" s="77" t="s">
        <v>267</v>
      </c>
      <c r="I5280" s="86">
        <v>41863</v>
      </c>
      <c r="J5280" s="78">
        <v>1177</v>
      </c>
    </row>
    <row r="5281" spans="6:10" x14ac:dyDescent="0.25">
      <c r="F5281" s="76" t="s">
        <v>150</v>
      </c>
      <c r="G5281" s="77" t="s">
        <v>279</v>
      </c>
      <c r="H5281" s="77" t="s">
        <v>267</v>
      </c>
      <c r="I5281" s="86">
        <v>41867</v>
      </c>
      <c r="J5281" s="78">
        <v>862</v>
      </c>
    </row>
    <row r="5282" spans="6:10" x14ac:dyDescent="0.25">
      <c r="F5282" s="76" t="s">
        <v>150</v>
      </c>
      <c r="G5282" s="77" t="s">
        <v>279</v>
      </c>
      <c r="H5282" s="77" t="s">
        <v>267</v>
      </c>
      <c r="I5282" s="86">
        <v>41868</v>
      </c>
      <c r="J5282" s="78">
        <v>938</v>
      </c>
    </row>
    <row r="5283" spans="6:10" x14ac:dyDescent="0.25">
      <c r="F5283" s="76" t="s">
        <v>150</v>
      </c>
      <c r="G5283" s="77" t="s">
        <v>279</v>
      </c>
      <c r="H5283" s="77" t="s">
        <v>267</v>
      </c>
      <c r="I5283" s="86">
        <v>41869</v>
      </c>
      <c r="J5283" s="78">
        <v>867</v>
      </c>
    </row>
    <row r="5284" spans="6:10" x14ac:dyDescent="0.25">
      <c r="F5284" s="76" t="s">
        <v>150</v>
      </c>
      <c r="G5284" s="77" t="s">
        <v>279</v>
      </c>
      <c r="H5284" s="77" t="s">
        <v>267</v>
      </c>
      <c r="I5284" s="86">
        <v>41869</v>
      </c>
      <c r="J5284" s="78">
        <v>686</v>
      </c>
    </row>
    <row r="5285" spans="6:10" x14ac:dyDescent="0.25">
      <c r="F5285" s="76" t="s">
        <v>150</v>
      </c>
      <c r="G5285" s="77" t="s">
        <v>279</v>
      </c>
      <c r="H5285" s="77" t="s">
        <v>267</v>
      </c>
      <c r="I5285" s="86">
        <v>41870</v>
      </c>
      <c r="J5285" s="78">
        <v>500</v>
      </c>
    </row>
    <row r="5286" spans="6:10" x14ac:dyDescent="0.25">
      <c r="F5286" s="76" t="s">
        <v>150</v>
      </c>
      <c r="G5286" s="77" t="s">
        <v>279</v>
      </c>
      <c r="H5286" s="77" t="s">
        <v>267</v>
      </c>
      <c r="I5286" s="86">
        <v>41872</v>
      </c>
      <c r="J5286" s="78">
        <v>940</v>
      </c>
    </row>
    <row r="5287" spans="6:10" x14ac:dyDescent="0.25">
      <c r="F5287" s="76" t="s">
        <v>150</v>
      </c>
      <c r="G5287" s="77" t="s">
        <v>279</v>
      </c>
      <c r="H5287" s="77" t="s">
        <v>267</v>
      </c>
      <c r="I5287" s="86">
        <v>41873</v>
      </c>
      <c r="J5287" s="78">
        <v>1194</v>
      </c>
    </row>
    <row r="5288" spans="6:10" x14ac:dyDescent="0.25">
      <c r="F5288" s="76" t="s">
        <v>150</v>
      </c>
      <c r="G5288" s="77" t="s">
        <v>279</v>
      </c>
      <c r="H5288" s="77" t="s">
        <v>267</v>
      </c>
      <c r="I5288" s="86">
        <v>41891</v>
      </c>
      <c r="J5288" s="78">
        <v>643</v>
      </c>
    </row>
    <row r="5289" spans="6:10" x14ac:dyDescent="0.25">
      <c r="F5289" s="76" t="s">
        <v>150</v>
      </c>
      <c r="G5289" s="77" t="s">
        <v>279</v>
      </c>
      <c r="H5289" s="77" t="s">
        <v>267</v>
      </c>
      <c r="I5289" s="86">
        <v>41893</v>
      </c>
      <c r="J5289" s="78">
        <v>876</v>
      </c>
    </row>
    <row r="5290" spans="6:10" x14ac:dyDescent="0.25">
      <c r="F5290" s="76" t="s">
        <v>150</v>
      </c>
      <c r="G5290" s="77" t="s">
        <v>279</v>
      </c>
      <c r="H5290" s="77" t="s">
        <v>267</v>
      </c>
      <c r="I5290" s="86">
        <v>41904</v>
      </c>
      <c r="J5290" s="78">
        <v>912</v>
      </c>
    </row>
    <row r="5291" spans="6:10" x14ac:dyDescent="0.25">
      <c r="F5291" s="76" t="s">
        <v>150</v>
      </c>
      <c r="G5291" s="77" t="s">
        <v>279</v>
      </c>
      <c r="H5291" s="77" t="s">
        <v>267</v>
      </c>
      <c r="I5291" s="86">
        <v>41915</v>
      </c>
      <c r="J5291" s="78">
        <v>754</v>
      </c>
    </row>
    <row r="5292" spans="6:10" x14ac:dyDescent="0.25">
      <c r="F5292" s="76" t="s">
        <v>150</v>
      </c>
      <c r="G5292" s="77" t="s">
        <v>279</v>
      </c>
      <c r="H5292" s="77" t="s">
        <v>267</v>
      </c>
      <c r="I5292" s="86">
        <v>41916</v>
      </c>
      <c r="J5292" s="78">
        <v>452</v>
      </c>
    </row>
    <row r="5293" spans="6:10" x14ac:dyDescent="0.25">
      <c r="F5293" s="76" t="s">
        <v>150</v>
      </c>
      <c r="G5293" s="77" t="s">
        <v>279</v>
      </c>
      <c r="H5293" s="77" t="s">
        <v>267</v>
      </c>
      <c r="I5293" s="86">
        <v>41918</v>
      </c>
      <c r="J5293" s="78">
        <v>771</v>
      </c>
    </row>
    <row r="5294" spans="6:10" x14ac:dyDescent="0.25">
      <c r="F5294" s="76" t="s">
        <v>150</v>
      </c>
      <c r="G5294" s="77" t="s">
        <v>279</v>
      </c>
      <c r="H5294" s="77" t="s">
        <v>267</v>
      </c>
      <c r="I5294" s="86">
        <v>41919</v>
      </c>
      <c r="J5294" s="78">
        <v>824</v>
      </c>
    </row>
    <row r="5295" spans="6:10" x14ac:dyDescent="0.25">
      <c r="F5295" s="76" t="s">
        <v>150</v>
      </c>
      <c r="G5295" s="77" t="s">
        <v>279</v>
      </c>
      <c r="H5295" s="77" t="s">
        <v>267</v>
      </c>
      <c r="I5295" s="86">
        <v>41922</v>
      </c>
      <c r="J5295" s="78">
        <v>800</v>
      </c>
    </row>
    <row r="5296" spans="6:10" x14ac:dyDescent="0.25">
      <c r="F5296" s="76" t="s">
        <v>150</v>
      </c>
      <c r="G5296" s="77" t="s">
        <v>279</v>
      </c>
      <c r="H5296" s="77" t="s">
        <v>267</v>
      </c>
      <c r="I5296" s="86">
        <v>41923</v>
      </c>
      <c r="J5296" s="78">
        <v>680</v>
      </c>
    </row>
    <row r="5297" spans="6:10" x14ac:dyDescent="0.25">
      <c r="F5297" s="76" t="s">
        <v>150</v>
      </c>
      <c r="G5297" s="77" t="s">
        <v>279</v>
      </c>
      <c r="H5297" s="77" t="s">
        <v>267</v>
      </c>
      <c r="I5297" s="86">
        <v>41924</v>
      </c>
      <c r="J5297" s="78">
        <v>727</v>
      </c>
    </row>
    <row r="5298" spans="6:10" x14ac:dyDescent="0.25">
      <c r="F5298" s="76" t="s">
        <v>150</v>
      </c>
      <c r="G5298" s="77" t="s">
        <v>279</v>
      </c>
      <c r="H5298" s="77" t="s">
        <v>267</v>
      </c>
      <c r="I5298" s="86">
        <v>41925</v>
      </c>
      <c r="J5298" s="78">
        <v>538</v>
      </c>
    </row>
    <row r="5299" spans="6:10" x14ac:dyDescent="0.25">
      <c r="F5299" s="76" t="s">
        <v>150</v>
      </c>
      <c r="G5299" s="77" t="s">
        <v>279</v>
      </c>
      <c r="H5299" s="77" t="s">
        <v>267</v>
      </c>
      <c r="I5299" s="86">
        <v>41926</v>
      </c>
      <c r="J5299" s="78">
        <v>644</v>
      </c>
    </row>
    <row r="5300" spans="6:10" x14ac:dyDescent="0.25">
      <c r="F5300" s="76" t="s">
        <v>150</v>
      </c>
      <c r="G5300" s="77" t="s">
        <v>279</v>
      </c>
      <c r="H5300" s="77" t="s">
        <v>267</v>
      </c>
      <c r="I5300" s="86">
        <v>41927</v>
      </c>
      <c r="J5300" s="78">
        <v>891</v>
      </c>
    </row>
    <row r="5301" spans="6:10" x14ac:dyDescent="0.25">
      <c r="F5301" s="76" t="s">
        <v>150</v>
      </c>
      <c r="G5301" s="77" t="s">
        <v>279</v>
      </c>
      <c r="H5301" s="77" t="s">
        <v>267</v>
      </c>
      <c r="I5301" s="86">
        <v>41929</v>
      </c>
      <c r="J5301" s="78">
        <v>734</v>
      </c>
    </row>
    <row r="5302" spans="6:10" x14ac:dyDescent="0.25">
      <c r="F5302" s="76" t="s">
        <v>150</v>
      </c>
      <c r="G5302" s="77" t="s">
        <v>279</v>
      </c>
      <c r="H5302" s="77" t="s">
        <v>267</v>
      </c>
      <c r="I5302" s="86">
        <v>41931</v>
      </c>
      <c r="J5302" s="78">
        <v>1290</v>
      </c>
    </row>
    <row r="5303" spans="6:10" x14ac:dyDescent="0.25">
      <c r="F5303" s="76" t="s">
        <v>150</v>
      </c>
      <c r="G5303" s="77" t="s">
        <v>279</v>
      </c>
      <c r="H5303" s="77" t="s">
        <v>267</v>
      </c>
      <c r="I5303" s="86">
        <v>41932</v>
      </c>
      <c r="J5303" s="78">
        <v>987</v>
      </c>
    </row>
    <row r="5304" spans="6:10" x14ac:dyDescent="0.25">
      <c r="F5304" s="76" t="s">
        <v>150</v>
      </c>
      <c r="G5304" s="77" t="s">
        <v>279</v>
      </c>
      <c r="H5304" s="77" t="s">
        <v>267</v>
      </c>
      <c r="I5304" s="86">
        <v>41933</v>
      </c>
      <c r="J5304" s="78">
        <v>911</v>
      </c>
    </row>
    <row r="5305" spans="6:10" x14ac:dyDescent="0.25">
      <c r="F5305" s="76" t="s">
        <v>150</v>
      </c>
      <c r="G5305" s="77" t="s">
        <v>279</v>
      </c>
      <c r="H5305" s="77" t="s">
        <v>267</v>
      </c>
      <c r="I5305" s="86">
        <v>41934</v>
      </c>
      <c r="J5305" s="78">
        <v>585</v>
      </c>
    </row>
    <row r="5306" spans="6:10" x14ac:dyDescent="0.25">
      <c r="F5306" s="76" t="s">
        <v>150</v>
      </c>
      <c r="G5306" s="77" t="s">
        <v>279</v>
      </c>
      <c r="H5306" s="77" t="s">
        <v>267</v>
      </c>
      <c r="I5306" s="86">
        <v>41934</v>
      </c>
      <c r="J5306" s="78">
        <v>689</v>
      </c>
    </row>
    <row r="5307" spans="6:10" x14ac:dyDescent="0.25">
      <c r="F5307" s="76" t="s">
        <v>150</v>
      </c>
      <c r="G5307" s="77" t="s">
        <v>279</v>
      </c>
      <c r="H5307" s="77" t="s">
        <v>267</v>
      </c>
      <c r="I5307" s="86">
        <v>41935</v>
      </c>
      <c r="J5307" s="78">
        <v>983</v>
      </c>
    </row>
    <row r="5308" spans="6:10" x14ac:dyDescent="0.25">
      <c r="F5308" s="76" t="s">
        <v>150</v>
      </c>
      <c r="G5308" s="77" t="s">
        <v>279</v>
      </c>
      <c r="H5308" s="77" t="s">
        <v>267</v>
      </c>
      <c r="I5308" s="86">
        <v>41936</v>
      </c>
      <c r="J5308" s="78">
        <v>725</v>
      </c>
    </row>
    <row r="5309" spans="6:10" x14ac:dyDescent="0.25">
      <c r="F5309" s="76" t="s">
        <v>150</v>
      </c>
      <c r="G5309" s="77" t="s">
        <v>279</v>
      </c>
      <c r="H5309" s="77" t="s">
        <v>267</v>
      </c>
      <c r="I5309" s="86">
        <v>41936</v>
      </c>
      <c r="J5309" s="78">
        <v>520</v>
      </c>
    </row>
    <row r="5310" spans="6:10" x14ac:dyDescent="0.25">
      <c r="F5310" s="76" t="s">
        <v>150</v>
      </c>
      <c r="G5310" s="77" t="s">
        <v>279</v>
      </c>
      <c r="H5310" s="77" t="s">
        <v>267</v>
      </c>
      <c r="I5310" s="86">
        <v>41937</v>
      </c>
      <c r="J5310" s="78">
        <v>578</v>
      </c>
    </row>
    <row r="5311" spans="6:10" x14ac:dyDescent="0.25">
      <c r="F5311" s="76" t="s">
        <v>150</v>
      </c>
      <c r="G5311" s="77" t="s">
        <v>279</v>
      </c>
      <c r="H5311" s="77" t="s">
        <v>267</v>
      </c>
      <c r="I5311" s="86">
        <v>41937</v>
      </c>
      <c r="J5311" s="78">
        <v>789</v>
      </c>
    </row>
    <row r="5312" spans="6:10" x14ac:dyDescent="0.25">
      <c r="F5312" s="76" t="s">
        <v>150</v>
      </c>
      <c r="G5312" s="77" t="s">
        <v>279</v>
      </c>
      <c r="H5312" s="77" t="s">
        <v>267</v>
      </c>
      <c r="I5312" s="86">
        <v>41938</v>
      </c>
      <c r="J5312" s="78">
        <v>1159</v>
      </c>
    </row>
    <row r="5313" spans="6:10" x14ac:dyDescent="0.25">
      <c r="F5313" s="76" t="s">
        <v>150</v>
      </c>
      <c r="G5313" s="77" t="s">
        <v>279</v>
      </c>
      <c r="H5313" s="77" t="s">
        <v>267</v>
      </c>
      <c r="I5313" s="86">
        <v>41939</v>
      </c>
      <c r="J5313" s="78">
        <v>603</v>
      </c>
    </row>
    <row r="5314" spans="6:10" x14ac:dyDescent="0.25">
      <c r="F5314" s="76" t="s">
        <v>150</v>
      </c>
      <c r="G5314" s="77" t="s">
        <v>279</v>
      </c>
      <c r="H5314" s="77" t="s">
        <v>267</v>
      </c>
      <c r="I5314" s="86">
        <v>41940</v>
      </c>
      <c r="J5314" s="78">
        <v>683</v>
      </c>
    </row>
    <row r="5315" spans="6:10" x14ac:dyDescent="0.25">
      <c r="F5315" s="76" t="s">
        <v>150</v>
      </c>
      <c r="G5315" s="77" t="s">
        <v>279</v>
      </c>
      <c r="H5315" s="77" t="s">
        <v>267</v>
      </c>
      <c r="I5315" s="86">
        <v>41942</v>
      </c>
      <c r="J5315" s="78">
        <v>803</v>
      </c>
    </row>
    <row r="5316" spans="6:10" x14ac:dyDescent="0.25">
      <c r="F5316" s="76" t="s">
        <v>150</v>
      </c>
      <c r="G5316" s="77" t="s">
        <v>279</v>
      </c>
      <c r="H5316" s="77" t="s">
        <v>267</v>
      </c>
      <c r="I5316" s="86">
        <v>41946</v>
      </c>
      <c r="J5316" s="78">
        <v>739</v>
      </c>
    </row>
    <row r="5317" spans="6:10" x14ac:dyDescent="0.25">
      <c r="F5317" s="76" t="s">
        <v>150</v>
      </c>
      <c r="G5317" s="77" t="s">
        <v>279</v>
      </c>
      <c r="H5317" s="77" t="s">
        <v>267</v>
      </c>
      <c r="I5317" s="86">
        <v>41947</v>
      </c>
      <c r="J5317" s="78">
        <v>657</v>
      </c>
    </row>
    <row r="5318" spans="6:10" x14ac:dyDescent="0.25">
      <c r="F5318" s="76" t="s">
        <v>150</v>
      </c>
      <c r="G5318" s="77" t="s">
        <v>279</v>
      </c>
      <c r="H5318" s="77" t="s">
        <v>267</v>
      </c>
      <c r="I5318" s="86">
        <v>41950</v>
      </c>
      <c r="J5318" s="78">
        <v>820</v>
      </c>
    </row>
    <row r="5319" spans="6:10" x14ac:dyDescent="0.25">
      <c r="F5319" s="76" t="s">
        <v>150</v>
      </c>
      <c r="G5319" s="77" t="s">
        <v>279</v>
      </c>
      <c r="H5319" s="77" t="s">
        <v>267</v>
      </c>
      <c r="I5319" s="86">
        <v>41953</v>
      </c>
      <c r="J5319" s="78">
        <v>1086</v>
      </c>
    </row>
    <row r="5320" spans="6:10" x14ac:dyDescent="0.25">
      <c r="F5320" s="76" t="s">
        <v>150</v>
      </c>
      <c r="G5320" s="77" t="s">
        <v>279</v>
      </c>
      <c r="H5320" s="77" t="s">
        <v>267</v>
      </c>
      <c r="I5320" s="86">
        <v>41954</v>
      </c>
      <c r="J5320" s="78">
        <v>465</v>
      </c>
    </row>
    <row r="5321" spans="6:10" x14ac:dyDescent="0.25">
      <c r="F5321" s="76" t="s">
        <v>150</v>
      </c>
      <c r="G5321" s="77" t="s">
        <v>279</v>
      </c>
      <c r="H5321" s="77" t="s">
        <v>267</v>
      </c>
      <c r="I5321" s="86">
        <v>41955</v>
      </c>
      <c r="J5321" s="78">
        <v>1360</v>
      </c>
    </row>
    <row r="5322" spans="6:10" x14ac:dyDescent="0.25">
      <c r="F5322" s="76" t="s">
        <v>150</v>
      </c>
      <c r="G5322" s="77" t="s">
        <v>279</v>
      </c>
      <c r="H5322" s="77" t="s">
        <v>267</v>
      </c>
      <c r="I5322" s="86">
        <v>41956</v>
      </c>
      <c r="J5322" s="78">
        <v>567</v>
      </c>
    </row>
    <row r="5323" spans="6:10" x14ac:dyDescent="0.25">
      <c r="F5323" s="76" t="s">
        <v>150</v>
      </c>
      <c r="G5323" s="77" t="s">
        <v>279</v>
      </c>
      <c r="H5323" s="77" t="s">
        <v>267</v>
      </c>
      <c r="I5323" s="86">
        <v>41958</v>
      </c>
      <c r="J5323" s="78">
        <v>746</v>
      </c>
    </row>
    <row r="5324" spans="6:10" x14ac:dyDescent="0.25">
      <c r="F5324" s="76" t="s">
        <v>150</v>
      </c>
      <c r="G5324" s="77" t="s">
        <v>279</v>
      </c>
      <c r="H5324" s="77" t="s">
        <v>267</v>
      </c>
      <c r="I5324" s="86">
        <v>41958</v>
      </c>
      <c r="J5324" s="78">
        <v>838</v>
      </c>
    </row>
    <row r="5325" spans="6:10" x14ac:dyDescent="0.25">
      <c r="F5325" s="76" t="s">
        <v>150</v>
      </c>
      <c r="G5325" s="77" t="s">
        <v>279</v>
      </c>
      <c r="H5325" s="77" t="s">
        <v>267</v>
      </c>
      <c r="I5325" s="86">
        <v>41959</v>
      </c>
      <c r="J5325" s="78">
        <v>762</v>
      </c>
    </row>
    <row r="5326" spans="6:10" x14ac:dyDescent="0.25">
      <c r="F5326" s="76" t="s">
        <v>150</v>
      </c>
      <c r="G5326" s="77" t="s">
        <v>279</v>
      </c>
      <c r="H5326" s="77" t="s">
        <v>267</v>
      </c>
      <c r="I5326" s="86">
        <v>41960</v>
      </c>
      <c r="J5326" s="78">
        <v>1161</v>
      </c>
    </row>
    <row r="5327" spans="6:10" x14ac:dyDescent="0.25">
      <c r="F5327" s="76" t="s">
        <v>150</v>
      </c>
      <c r="G5327" s="77" t="s">
        <v>279</v>
      </c>
      <c r="H5327" s="77" t="s">
        <v>267</v>
      </c>
      <c r="I5327" s="86">
        <v>41961</v>
      </c>
      <c r="J5327" s="78">
        <v>1122</v>
      </c>
    </row>
    <row r="5328" spans="6:10" x14ac:dyDescent="0.25">
      <c r="F5328" s="76" t="s">
        <v>150</v>
      </c>
      <c r="G5328" s="77" t="s">
        <v>279</v>
      </c>
      <c r="H5328" s="77" t="s">
        <v>267</v>
      </c>
      <c r="I5328" s="86">
        <v>41962</v>
      </c>
      <c r="J5328" s="78">
        <v>1103</v>
      </c>
    </row>
    <row r="5329" spans="6:10" x14ac:dyDescent="0.25">
      <c r="F5329" s="76" t="s">
        <v>150</v>
      </c>
      <c r="G5329" s="77" t="s">
        <v>279</v>
      </c>
      <c r="H5329" s="77" t="s">
        <v>267</v>
      </c>
      <c r="I5329" s="86">
        <v>41964</v>
      </c>
      <c r="J5329" s="78">
        <v>1168</v>
      </c>
    </row>
    <row r="5330" spans="6:10" x14ac:dyDescent="0.25">
      <c r="F5330" s="76" t="s">
        <v>150</v>
      </c>
      <c r="G5330" s="77" t="s">
        <v>279</v>
      </c>
      <c r="H5330" s="77" t="s">
        <v>267</v>
      </c>
      <c r="I5330" s="86">
        <v>41964</v>
      </c>
      <c r="J5330" s="78">
        <v>1074</v>
      </c>
    </row>
    <row r="5331" spans="6:10" x14ac:dyDescent="0.25">
      <c r="F5331" s="76" t="s">
        <v>150</v>
      </c>
      <c r="G5331" s="77" t="s">
        <v>279</v>
      </c>
      <c r="H5331" s="77" t="s">
        <v>267</v>
      </c>
      <c r="I5331" s="86">
        <v>41965</v>
      </c>
      <c r="J5331" s="78">
        <v>930</v>
      </c>
    </row>
    <row r="5332" spans="6:10" x14ac:dyDescent="0.25">
      <c r="F5332" s="76" t="s">
        <v>150</v>
      </c>
      <c r="G5332" s="77" t="s">
        <v>279</v>
      </c>
      <c r="H5332" s="77" t="s">
        <v>267</v>
      </c>
      <c r="I5332" s="86">
        <v>41966</v>
      </c>
      <c r="J5332" s="78">
        <v>623</v>
      </c>
    </row>
    <row r="5333" spans="6:10" x14ac:dyDescent="0.25">
      <c r="F5333" s="76" t="s">
        <v>150</v>
      </c>
      <c r="G5333" s="77" t="s">
        <v>279</v>
      </c>
      <c r="H5333" s="77" t="s">
        <v>267</v>
      </c>
      <c r="I5333" s="86">
        <v>41966</v>
      </c>
      <c r="J5333" s="78">
        <v>449</v>
      </c>
    </row>
    <row r="5334" spans="6:10" x14ac:dyDescent="0.25">
      <c r="F5334" s="76" t="s">
        <v>150</v>
      </c>
      <c r="G5334" s="77" t="s">
        <v>280</v>
      </c>
      <c r="H5334" s="77" t="s">
        <v>267</v>
      </c>
      <c r="I5334" s="86">
        <v>41638</v>
      </c>
      <c r="J5334" s="78">
        <v>1204</v>
      </c>
    </row>
    <row r="5335" spans="6:10" x14ac:dyDescent="0.25">
      <c r="F5335" s="76" t="s">
        <v>150</v>
      </c>
      <c r="G5335" s="77" t="s">
        <v>280</v>
      </c>
      <c r="H5335" s="77" t="s">
        <v>267</v>
      </c>
      <c r="I5335" s="86">
        <v>41644</v>
      </c>
      <c r="J5335" s="78">
        <v>1262</v>
      </c>
    </row>
    <row r="5336" spans="6:10" x14ac:dyDescent="0.25">
      <c r="F5336" s="76" t="s">
        <v>150</v>
      </c>
      <c r="G5336" s="77" t="s">
        <v>280</v>
      </c>
      <c r="H5336" s="77" t="s">
        <v>267</v>
      </c>
      <c r="I5336" s="86">
        <v>41647</v>
      </c>
      <c r="J5336" s="78">
        <v>1092</v>
      </c>
    </row>
    <row r="5337" spans="6:10" x14ac:dyDescent="0.25">
      <c r="F5337" s="76" t="s">
        <v>150</v>
      </c>
      <c r="G5337" s="77" t="s">
        <v>280</v>
      </c>
      <c r="H5337" s="77" t="s">
        <v>267</v>
      </c>
      <c r="I5337" s="86">
        <v>41648</v>
      </c>
      <c r="J5337" s="78">
        <v>422</v>
      </c>
    </row>
    <row r="5338" spans="6:10" x14ac:dyDescent="0.25">
      <c r="F5338" s="76" t="s">
        <v>150</v>
      </c>
      <c r="G5338" s="77" t="s">
        <v>280</v>
      </c>
      <c r="H5338" s="77" t="s">
        <v>267</v>
      </c>
      <c r="I5338" s="86">
        <v>41649</v>
      </c>
      <c r="J5338" s="78">
        <v>749</v>
      </c>
    </row>
    <row r="5339" spans="6:10" x14ac:dyDescent="0.25">
      <c r="F5339" s="76" t="s">
        <v>150</v>
      </c>
      <c r="G5339" s="77" t="s">
        <v>280</v>
      </c>
      <c r="H5339" s="77" t="s">
        <v>267</v>
      </c>
      <c r="I5339" s="86">
        <v>41652</v>
      </c>
      <c r="J5339" s="78">
        <v>1443</v>
      </c>
    </row>
    <row r="5340" spans="6:10" x14ac:dyDescent="0.25">
      <c r="F5340" s="76" t="s">
        <v>150</v>
      </c>
      <c r="G5340" s="77" t="s">
        <v>280</v>
      </c>
      <c r="H5340" s="77" t="s">
        <v>267</v>
      </c>
      <c r="I5340" s="86">
        <v>41654</v>
      </c>
      <c r="J5340" s="78">
        <v>1027</v>
      </c>
    </row>
    <row r="5341" spans="6:10" x14ac:dyDescent="0.25">
      <c r="F5341" s="76" t="s">
        <v>150</v>
      </c>
      <c r="G5341" s="77" t="s">
        <v>280</v>
      </c>
      <c r="H5341" s="77" t="s">
        <v>267</v>
      </c>
      <c r="I5341" s="86">
        <v>41655</v>
      </c>
      <c r="J5341" s="78">
        <v>787</v>
      </c>
    </row>
    <row r="5342" spans="6:10" x14ac:dyDescent="0.25">
      <c r="F5342" s="76" t="s">
        <v>150</v>
      </c>
      <c r="G5342" s="77" t="s">
        <v>280</v>
      </c>
      <c r="H5342" s="77" t="s">
        <v>267</v>
      </c>
      <c r="I5342" s="86">
        <v>41663</v>
      </c>
      <c r="J5342" s="78">
        <v>1337</v>
      </c>
    </row>
    <row r="5343" spans="6:10" x14ac:dyDescent="0.25">
      <c r="F5343" s="76" t="s">
        <v>150</v>
      </c>
      <c r="G5343" s="77" t="s">
        <v>280</v>
      </c>
      <c r="H5343" s="77" t="s">
        <v>267</v>
      </c>
      <c r="I5343" s="86">
        <v>41664</v>
      </c>
      <c r="J5343" s="78">
        <v>538</v>
      </c>
    </row>
    <row r="5344" spans="6:10" x14ac:dyDescent="0.25">
      <c r="F5344" s="76" t="s">
        <v>150</v>
      </c>
      <c r="G5344" s="77" t="s">
        <v>280</v>
      </c>
      <c r="H5344" s="77" t="s">
        <v>267</v>
      </c>
      <c r="I5344" s="86">
        <v>41667</v>
      </c>
      <c r="J5344" s="78">
        <v>1187</v>
      </c>
    </row>
    <row r="5345" spans="6:10" x14ac:dyDescent="0.25">
      <c r="F5345" s="76" t="s">
        <v>150</v>
      </c>
      <c r="G5345" s="77" t="s">
        <v>280</v>
      </c>
      <c r="H5345" s="77" t="s">
        <v>267</v>
      </c>
      <c r="I5345" s="86">
        <v>41667</v>
      </c>
      <c r="J5345" s="78">
        <v>822</v>
      </c>
    </row>
    <row r="5346" spans="6:10" x14ac:dyDescent="0.25">
      <c r="F5346" s="76" t="s">
        <v>150</v>
      </c>
      <c r="G5346" s="77" t="s">
        <v>280</v>
      </c>
      <c r="H5346" s="77" t="s">
        <v>267</v>
      </c>
      <c r="I5346" s="86">
        <v>41668</v>
      </c>
      <c r="J5346" s="78">
        <v>1142</v>
      </c>
    </row>
    <row r="5347" spans="6:10" x14ac:dyDescent="0.25">
      <c r="F5347" s="76" t="s">
        <v>150</v>
      </c>
      <c r="G5347" s="77" t="s">
        <v>280</v>
      </c>
      <c r="H5347" s="77" t="s">
        <v>267</v>
      </c>
      <c r="I5347" s="86">
        <v>41669</v>
      </c>
      <c r="J5347" s="78">
        <v>775</v>
      </c>
    </row>
    <row r="5348" spans="6:10" x14ac:dyDescent="0.25">
      <c r="F5348" s="76" t="s">
        <v>150</v>
      </c>
      <c r="G5348" s="77" t="s">
        <v>280</v>
      </c>
      <c r="H5348" s="77" t="s">
        <v>267</v>
      </c>
      <c r="I5348" s="86">
        <v>41671</v>
      </c>
      <c r="J5348" s="78">
        <v>824</v>
      </c>
    </row>
    <row r="5349" spans="6:10" x14ac:dyDescent="0.25">
      <c r="F5349" s="76" t="s">
        <v>150</v>
      </c>
      <c r="G5349" s="77" t="s">
        <v>280</v>
      </c>
      <c r="H5349" s="77" t="s">
        <v>267</v>
      </c>
      <c r="I5349" s="86">
        <v>41673</v>
      </c>
      <c r="J5349" s="78">
        <v>863</v>
      </c>
    </row>
    <row r="5350" spans="6:10" x14ac:dyDescent="0.25">
      <c r="F5350" s="76" t="s">
        <v>150</v>
      </c>
      <c r="G5350" s="77" t="s">
        <v>280</v>
      </c>
      <c r="H5350" s="77" t="s">
        <v>267</v>
      </c>
      <c r="I5350" s="86">
        <v>41674</v>
      </c>
      <c r="J5350" s="78">
        <v>801</v>
      </c>
    </row>
    <row r="5351" spans="6:10" x14ac:dyDescent="0.25">
      <c r="F5351" s="76" t="s">
        <v>150</v>
      </c>
      <c r="G5351" s="77" t="s">
        <v>280</v>
      </c>
      <c r="H5351" s="77" t="s">
        <v>267</v>
      </c>
      <c r="I5351" s="86">
        <v>41676</v>
      </c>
      <c r="J5351" s="78">
        <v>1165</v>
      </c>
    </row>
    <row r="5352" spans="6:10" x14ac:dyDescent="0.25">
      <c r="F5352" s="76" t="s">
        <v>150</v>
      </c>
      <c r="G5352" s="77" t="s">
        <v>280</v>
      </c>
      <c r="H5352" s="77" t="s">
        <v>267</v>
      </c>
      <c r="I5352" s="86">
        <v>41677</v>
      </c>
      <c r="J5352" s="78">
        <v>520</v>
      </c>
    </row>
    <row r="5353" spans="6:10" x14ac:dyDescent="0.25">
      <c r="F5353" s="76" t="s">
        <v>150</v>
      </c>
      <c r="G5353" s="77" t="s">
        <v>280</v>
      </c>
      <c r="H5353" s="77" t="s">
        <v>267</v>
      </c>
      <c r="I5353" s="86">
        <v>41679</v>
      </c>
      <c r="J5353" s="78">
        <v>999</v>
      </c>
    </row>
    <row r="5354" spans="6:10" x14ac:dyDescent="0.25">
      <c r="F5354" s="76" t="s">
        <v>150</v>
      </c>
      <c r="G5354" s="77" t="s">
        <v>280</v>
      </c>
      <c r="H5354" s="77" t="s">
        <v>267</v>
      </c>
      <c r="I5354" s="86">
        <v>41680</v>
      </c>
      <c r="J5354" s="78">
        <v>449</v>
      </c>
    </row>
    <row r="5355" spans="6:10" x14ac:dyDescent="0.25">
      <c r="F5355" s="76" t="s">
        <v>150</v>
      </c>
      <c r="G5355" s="77" t="s">
        <v>280</v>
      </c>
      <c r="H5355" s="77" t="s">
        <v>267</v>
      </c>
      <c r="I5355" s="86">
        <v>41682</v>
      </c>
      <c r="J5355" s="78">
        <v>1220</v>
      </c>
    </row>
    <row r="5356" spans="6:10" x14ac:dyDescent="0.25">
      <c r="F5356" s="76" t="s">
        <v>150</v>
      </c>
      <c r="G5356" s="77" t="s">
        <v>280</v>
      </c>
      <c r="H5356" s="77" t="s">
        <v>267</v>
      </c>
      <c r="I5356" s="86">
        <v>41684</v>
      </c>
      <c r="J5356" s="78">
        <v>1239</v>
      </c>
    </row>
    <row r="5357" spans="6:10" x14ac:dyDescent="0.25">
      <c r="F5357" s="76" t="s">
        <v>150</v>
      </c>
      <c r="G5357" s="77" t="s">
        <v>280</v>
      </c>
      <c r="H5357" s="77" t="s">
        <v>267</v>
      </c>
      <c r="I5357" s="86">
        <v>41684</v>
      </c>
      <c r="J5357" s="78">
        <v>362</v>
      </c>
    </row>
    <row r="5358" spans="6:10" x14ac:dyDescent="0.25">
      <c r="F5358" s="76" t="s">
        <v>150</v>
      </c>
      <c r="G5358" s="77" t="s">
        <v>280</v>
      </c>
      <c r="H5358" s="77" t="s">
        <v>267</v>
      </c>
      <c r="I5358" s="86">
        <v>41686</v>
      </c>
      <c r="J5358" s="78">
        <v>733</v>
      </c>
    </row>
    <row r="5359" spans="6:10" x14ac:dyDescent="0.25">
      <c r="F5359" s="76" t="s">
        <v>150</v>
      </c>
      <c r="G5359" s="77" t="s">
        <v>280</v>
      </c>
      <c r="H5359" s="77" t="s">
        <v>267</v>
      </c>
      <c r="I5359" s="86">
        <v>41688</v>
      </c>
      <c r="J5359" s="78">
        <v>909</v>
      </c>
    </row>
    <row r="5360" spans="6:10" x14ac:dyDescent="0.25">
      <c r="F5360" s="76" t="s">
        <v>150</v>
      </c>
      <c r="G5360" s="77" t="s">
        <v>280</v>
      </c>
      <c r="H5360" s="77" t="s">
        <v>267</v>
      </c>
      <c r="I5360" s="86">
        <v>41689</v>
      </c>
      <c r="J5360" s="78">
        <v>354</v>
      </c>
    </row>
    <row r="5361" spans="6:10" x14ac:dyDescent="0.25">
      <c r="F5361" s="76" t="s">
        <v>150</v>
      </c>
      <c r="G5361" s="77" t="s">
        <v>280</v>
      </c>
      <c r="H5361" s="77" t="s">
        <v>267</v>
      </c>
      <c r="I5361" s="86">
        <v>41695</v>
      </c>
      <c r="J5361" s="78">
        <v>721</v>
      </c>
    </row>
    <row r="5362" spans="6:10" x14ac:dyDescent="0.25">
      <c r="F5362" s="76" t="s">
        <v>150</v>
      </c>
      <c r="G5362" s="77" t="s">
        <v>280</v>
      </c>
      <c r="H5362" s="77" t="s">
        <v>267</v>
      </c>
      <c r="I5362" s="86">
        <v>41698</v>
      </c>
      <c r="J5362" s="78">
        <v>973</v>
      </c>
    </row>
    <row r="5363" spans="6:10" x14ac:dyDescent="0.25">
      <c r="F5363" s="76" t="s">
        <v>150</v>
      </c>
      <c r="G5363" s="77" t="s">
        <v>280</v>
      </c>
      <c r="H5363" s="77" t="s">
        <v>267</v>
      </c>
      <c r="I5363" s="86">
        <v>41802</v>
      </c>
      <c r="J5363" s="78">
        <v>768</v>
      </c>
    </row>
    <row r="5364" spans="6:10" x14ac:dyDescent="0.25">
      <c r="F5364" s="76" t="s">
        <v>150</v>
      </c>
      <c r="G5364" s="77" t="s">
        <v>280</v>
      </c>
      <c r="H5364" s="77" t="s">
        <v>267</v>
      </c>
      <c r="I5364" s="86">
        <v>41803</v>
      </c>
      <c r="J5364" s="78">
        <v>521</v>
      </c>
    </row>
    <row r="5365" spans="6:10" x14ac:dyDescent="0.25">
      <c r="F5365" s="76" t="s">
        <v>150</v>
      </c>
      <c r="G5365" s="77" t="s">
        <v>280</v>
      </c>
      <c r="H5365" s="77" t="s">
        <v>267</v>
      </c>
      <c r="I5365" s="86">
        <v>41805</v>
      </c>
      <c r="J5365" s="78">
        <v>744</v>
      </c>
    </row>
    <row r="5366" spans="6:10" x14ac:dyDescent="0.25">
      <c r="F5366" s="76" t="s">
        <v>150</v>
      </c>
      <c r="G5366" s="77" t="s">
        <v>280</v>
      </c>
      <c r="H5366" s="77" t="s">
        <v>267</v>
      </c>
      <c r="I5366" s="86">
        <v>41807</v>
      </c>
      <c r="J5366" s="78">
        <v>1143</v>
      </c>
    </row>
    <row r="5367" spans="6:10" x14ac:dyDescent="0.25">
      <c r="F5367" s="76" t="s">
        <v>150</v>
      </c>
      <c r="G5367" s="77" t="s">
        <v>280</v>
      </c>
      <c r="H5367" s="77" t="s">
        <v>267</v>
      </c>
      <c r="I5367" s="86">
        <v>41808</v>
      </c>
      <c r="J5367" s="78">
        <v>689</v>
      </c>
    </row>
    <row r="5368" spans="6:10" x14ac:dyDescent="0.25">
      <c r="F5368" s="76" t="s">
        <v>150</v>
      </c>
      <c r="G5368" s="77" t="s">
        <v>280</v>
      </c>
      <c r="H5368" s="77" t="s">
        <v>267</v>
      </c>
      <c r="I5368" s="86">
        <v>41809</v>
      </c>
      <c r="J5368" s="78">
        <v>926</v>
      </c>
    </row>
    <row r="5369" spans="6:10" x14ac:dyDescent="0.25">
      <c r="F5369" s="76" t="s">
        <v>150</v>
      </c>
      <c r="G5369" s="77" t="s">
        <v>280</v>
      </c>
      <c r="H5369" s="77" t="s">
        <v>267</v>
      </c>
      <c r="I5369" s="86">
        <v>41813</v>
      </c>
      <c r="J5369" s="78">
        <v>963</v>
      </c>
    </row>
    <row r="5370" spans="6:10" x14ac:dyDescent="0.25">
      <c r="F5370" s="76" t="s">
        <v>150</v>
      </c>
      <c r="G5370" s="77" t="s">
        <v>280</v>
      </c>
      <c r="H5370" s="77" t="s">
        <v>267</v>
      </c>
      <c r="I5370" s="86">
        <v>41814</v>
      </c>
      <c r="J5370" s="78">
        <v>660</v>
      </c>
    </row>
    <row r="5371" spans="6:10" x14ac:dyDescent="0.25">
      <c r="F5371" s="76" t="s">
        <v>150</v>
      </c>
      <c r="G5371" s="77" t="s">
        <v>280</v>
      </c>
      <c r="H5371" s="77" t="s">
        <v>267</v>
      </c>
      <c r="I5371" s="86">
        <v>41816</v>
      </c>
      <c r="J5371" s="78">
        <v>985</v>
      </c>
    </row>
    <row r="5372" spans="6:10" x14ac:dyDescent="0.25">
      <c r="F5372" s="76" t="s">
        <v>150</v>
      </c>
      <c r="G5372" s="77" t="s">
        <v>280</v>
      </c>
      <c r="H5372" s="77" t="s">
        <v>267</v>
      </c>
      <c r="I5372" s="86">
        <v>41821</v>
      </c>
      <c r="J5372" s="78">
        <v>978</v>
      </c>
    </row>
    <row r="5373" spans="6:10" x14ac:dyDescent="0.25">
      <c r="F5373" s="76" t="s">
        <v>150</v>
      </c>
      <c r="G5373" s="77" t="s">
        <v>280</v>
      </c>
      <c r="H5373" s="77" t="s">
        <v>267</v>
      </c>
      <c r="I5373" s="86">
        <v>41822</v>
      </c>
      <c r="J5373" s="78">
        <v>1280</v>
      </c>
    </row>
    <row r="5374" spans="6:10" x14ac:dyDescent="0.25">
      <c r="F5374" s="76" t="s">
        <v>150</v>
      </c>
      <c r="G5374" s="77" t="s">
        <v>280</v>
      </c>
      <c r="H5374" s="77" t="s">
        <v>267</v>
      </c>
      <c r="I5374" s="86">
        <v>41823</v>
      </c>
      <c r="J5374" s="78">
        <v>645</v>
      </c>
    </row>
    <row r="5375" spans="6:10" x14ac:dyDescent="0.25">
      <c r="F5375" s="76" t="s">
        <v>150</v>
      </c>
      <c r="G5375" s="77" t="s">
        <v>280</v>
      </c>
      <c r="H5375" s="77" t="s">
        <v>267</v>
      </c>
      <c r="I5375" s="86">
        <v>41827</v>
      </c>
      <c r="J5375" s="78">
        <v>758</v>
      </c>
    </row>
    <row r="5376" spans="6:10" x14ac:dyDescent="0.25">
      <c r="F5376" s="76" t="s">
        <v>150</v>
      </c>
      <c r="G5376" s="77" t="s">
        <v>280</v>
      </c>
      <c r="H5376" s="77" t="s">
        <v>267</v>
      </c>
      <c r="I5376" s="86">
        <v>41828</v>
      </c>
      <c r="J5376" s="78">
        <v>771</v>
      </c>
    </row>
    <row r="5377" spans="6:10" x14ac:dyDescent="0.25">
      <c r="F5377" s="76" t="s">
        <v>150</v>
      </c>
      <c r="G5377" s="77" t="s">
        <v>280</v>
      </c>
      <c r="H5377" s="77" t="s">
        <v>267</v>
      </c>
      <c r="I5377" s="86">
        <v>41849</v>
      </c>
      <c r="J5377" s="78">
        <v>929</v>
      </c>
    </row>
    <row r="5378" spans="6:10" x14ac:dyDescent="0.25">
      <c r="F5378" s="76" t="s">
        <v>150</v>
      </c>
      <c r="G5378" s="77" t="s">
        <v>280</v>
      </c>
      <c r="H5378" s="77" t="s">
        <v>267</v>
      </c>
      <c r="I5378" s="86">
        <v>41850</v>
      </c>
      <c r="J5378" s="78">
        <v>885</v>
      </c>
    </row>
    <row r="5379" spans="6:10" x14ac:dyDescent="0.25">
      <c r="F5379" s="76" t="s">
        <v>150</v>
      </c>
      <c r="G5379" s="77" t="s">
        <v>280</v>
      </c>
      <c r="H5379" s="77" t="s">
        <v>267</v>
      </c>
      <c r="I5379" s="86">
        <v>41851</v>
      </c>
      <c r="J5379" s="78">
        <v>1094</v>
      </c>
    </row>
    <row r="5380" spans="6:10" x14ac:dyDescent="0.25">
      <c r="F5380" s="76" t="s">
        <v>150</v>
      </c>
      <c r="G5380" s="77" t="s">
        <v>280</v>
      </c>
      <c r="H5380" s="77" t="s">
        <v>267</v>
      </c>
      <c r="I5380" s="86">
        <v>41869</v>
      </c>
      <c r="J5380" s="78">
        <v>800</v>
      </c>
    </row>
    <row r="5381" spans="6:10" x14ac:dyDescent="0.25">
      <c r="F5381" s="76" t="s">
        <v>150</v>
      </c>
      <c r="G5381" s="77" t="s">
        <v>280</v>
      </c>
      <c r="H5381" s="77" t="s">
        <v>267</v>
      </c>
      <c r="I5381" s="86">
        <v>41871</v>
      </c>
      <c r="J5381" s="78">
        <v>1184</v>
      </c>
    </row>
    <row r="5382" spans="6:10" x14ac:dyDescent="0.25">
      <c r="F5382" s="76" t="s">
        <v>150</v>
      </c>
      <c r="G5382" s="77" t="s">
        <v>280</v>
      </c>
      <c r="H5382" s="77" t="s">
        <v>267</v>
      </c>
      <c r="I5382" s="86">
        <v>41872</v>
      </c>
      <c r="J5382" s="78">
        <v>667</v>
      </c>
    </row>
    <row r="5383" spans="6:10" x14ac:dyDescent="0.25">
      <c r="F5383" s="76" t="s">
        <v>150</v>
      </c>
      <c r="G5383" s="77" t="s">
        <v>280</v>
      </c>
      <c r="H5383" s="77" t="s">
        <v>267</v>
      </c>
      <c r="I5383" s="86">
        <v>41873</v>
      </c>
      <c r="J5383" s="78">
        <v>893</v>
      </c>
    </row>
    <row r="5384" spans="6:10" x14ac:dyDescent="0.25">
      <c r="F5384" s="76" t="s">
        <v>150</v>
      </c>
      <c r="G5384" s="77" t="s">
        <v>280</v>
      </c>
      <c r="H5384" s="77" t="s">
        <v>267</v>
      </c>
      <c r="I5384" s="86">
        <v>41874</v>
      </c>
      <c r="J5384" s="78">
        <v>886</v>
      </c>
    </row>
    <row r="5385" spans="6:10" x14ac:dyDescent="0.25">
      <c r="F5385" s="76" t="s">
        <v>150</v>
      </c>
      <c r="G5385" s="77" t="s">
        <v>280</v>
      </c>
      <c r="H5385" s="77" t="s">
        <v>267</v>
      </c>
      <c r="I5385" s="86">
        <v>41875</v>
      </c>
      <c r="J5385" s="78">
        <v>568</v>
      </c>
    </row>
    <row r="5386" spans="6:10" x14ac:dyDescent="0.25">
      <c r="F5386" s="76" t="s">
        <v>150</v>
      </c>
      <c r="G5386" s="77" t="s">
        <v>280</v>
      </c>
      <c r="H5386" s="77" t="s">
        <v>267</v>
      </c>
      <c r="I5386" s="86">
        <v>41876</v>
      </c>
      <c r="J5386" s="78">
        <v>634</v>
      </c>
    </row>
    <row r="5387" spans="6:10" x14ac:dyDescent="0.25">
      <c r="F5387" s="76" t="s">
        <v>150</v>
      </c>
      <c r="G5387" s="77" t="s">
        <v>280</v>
      </c>
      <c r="H5387" s="77" t="s">
        <v>267</v>
      </c>
      <c r="I5387" s="86">
        <v>41877</v>
      </c>
      <c r="J5387" s="78">
        <v>1024</v>
      </c>
    </row>
    <row r="5388" spans="6:10" x14ac:dyDescent="0.25">
      <c r="F5388" s="76" t="s">
        <v>150</v>
      </c>
      <c r="G5388" s="77" t="s">
        <v>280</v>
      </c>
      <c r="H5388" s="77" t="s">
        <v>267</v>
      </c>
      <c r="I5388" s="86">
        <v>41879</v>
      </c>
      <c r="J5388" s="78">
        <v>816</v>
      </c>
    </row>
    <row r="5389" spans="6:10" x14ac:dyDescent="0.25">
      <c r="F5389" s="76" t="s">
        <v>150</v>
      </c>
      <c r="G5389" s="77" t="s">
        <v>280</v>
      </c>
      <c r="H5389" s="77" t="s">
        <v>267</v>
      </c>
      <c r="I5389" s="86">
        <v>41886</v>
      </c>
      <c r="J5389" s="78">
        <v>976</v>
      </c>
    </row>
    <row r="5390" spans="6:10" x14ac:dyDescent="0.25">
      <c r="F5390" s="76" t="s">
        <v>150</v>
      </c>
      <c r="G5390" s="77" t="s">
        <v>280</v>
      </c>
      <c r="H5390" s="77" t="s">
        <v>267</v>
      </c>
      <c r="I5390" s="86">
        <v>41890</v>
      </c>
      <c r="J5390" s="78">
        <v>923</v>
      </c>
    </row>
    <row r="5391" spans="6:10" x14ac:dyDescent="0.25">
      <c r="F5391" s="76" t="s">
        <v>150</v>
      </c>
      <c r="G5391" s="77" t="s">
        <v>280</v>
      </c>
      <c r="H5391" s="77" t="s">
        <v>267</v>
      </c>
      <c r="I5391" s="86">
        <v>41892</v>
      </c>
      <c r="J5391" s="78">
        <v>691</v>
      </c>
    </row>
    <row r="5392" spans="6:10" x14ac:dyDescent="0.25">
      <c r="F5392" s="76" t="s">
        <v>150</v>
      </c>
      <c r="G5392" s="77" t="s">
        <v>280</v>
      </c>
      <c r="H5392" s="77" t="s">
        <v>267</v>
      </c>
      <c r="I5392" s="86">
        <v>41896</v>
      </c>
      <c r="J5392" s="78">
        <v>1009</v>
      </c>
    </row>
    <row r="5393" spans="6:10" x14ac:dyDescent="0.25">
      <c r="F5393" s="76" t="s">
        <v>150</v>
      </c>
      <c r="G5393" s="77" t="s">
        <v>280</v>
      </c>
      <c r="H5393" s="77" t="s">
        <v>267</v>
      </c>
      <c r="I5393" s="86">
        <v>41898</v>
      </c>
      <c r="J5393" s="78">
        <v>1092</v>
      </c>
    </row>
    <row r="5394" spans="6:10" x14ac:dyDescent="0.25">
      <c r="F5394" s="76" t="s">
        <v>150</v>
      </c>
      <c r="G5394" s="77" t="s">
        <v>280</v>
      </c>
      <c r="H5394" s="77" t="s">
        <v>267</v>
      </c>
      <c r="I5394" s="86">
        <v>41899</v>
      </c>
      <c r="J5394" s="78">
        <v>504</v>
      </c>
    </row>
    <row r="5395" spans="6:10" x14ac:dyDescent="0.25">
      <c r="F5395" s="76" t="s">
        <v>150</v>
      </c>
      <c r="G5395" s="77" t="s">
        <v>280</v>
      </c>
      <c r="H5395" s="77" t="s">
        <v>267</v>
      </c>
      <c r="I5395" s="86">
        <v>41901</v>
      </c>
      <c r="J5395" s="78">
        <v>988</v>
      </c>
    </row>
    <row r="5396" spans="6:10" x14ac:dyDescent="0.25">
      <c r="F5396" s="76" t="s">
        <v>150</v>
      </c>
      <c r="G5396" s="77" t="s">
        <v>280</v>
      </c>
      <c r="H5396" s="77" t="s">
        <v>267</v>
      </c>
      <c r="I5396" s="86">
        <v>41903</v>
      </c>
      <c r="J5396" s="78">
        <v>1119</v>
      </c>
    </row>
    <row r="5397" spans="6:10" x14ac:dyDescent="0.25">
      <c r="F5397" s="76" t="s">
        <v>150</v>
      </c>
      <c r="G5397" s="77" t="s">
        <v>280</v>
      </c>
      <c r="H5397" s="77" t="s">
        <v>267</v>
      </c>
      <c r="I5397" s="86">
        <v>41903</v>
      </c>
      <c r="J5397" s="78">
        <v>570</v>
      </c>
    </row>
    <row r="5398" spans="6:10" x14ac:dyDescent="0.25">
      <c r="F5398" s="76" t="s">
        <v>150</v>
      </c>
      <c r="G5398" s="77" t="s">
        <v>280</v>
      </c>
      <c r="H5398" s="77" t="s">
        <v>267</v>
      </c>
      <c r="I5398" s="86">
        <v>41904</v>
      </c>
      <c r="J5398" s="78">
        <v>767</v>
      </c>
    </row>
    <row r="5399" spans="6:10" x14ac:dyDescent="0.25">
      <c r="F5399" s="76" t="s">
        <v>150</v>
      </c>
      <c r="G5399" s="77" t="s">
        <v>280</v>
      </c>
      <c r="H5399" s="77" t="s">
        <v>267</v>
      </c>
      <c r="I5399" s="86">
        <v>41905</v>
      </c>
      <c r="J5399" s="78">
        <v>862</v>
      </c>
    </row>
    <row r="5400" spans="6:10" x14ac:dyDescent="0.25">
      <c r="F5400" s="76" t="s">
        <v>150</v>
      </c>
      <c r="G5400" s="77" t="s">
        <v>280</v>
      </c>
      <c r="H5400" s="77" t="s">
        <v>267</v>
      </c>
      <c r="I5400" s="86">
        <v>41907</v>
      </c>
      <c r="J5400" s="78">
        <v>1082</v>
      </c>
    </row>
    <row r="5401" spans="6:10" x14ac:dyDescent="0.25">
      <c r="F5401" s="76" t="s">
        <v>150</v>
      </c>
      <c r="G5401" s="77" t="s">
        <v>280</v>
      </c>
      <c r="H5401" s="77" t="s">
        <v>267</v>
      </c>
      <c r="I5401" s="86">
        <v>41914</v>
      </c>
      <c r="J5401" s="78">
        <v>702</v>
      </c>
    </row>
    <row r="5402" spans="6:10" x14ac:dyDescent="0.25">
      <c r="F5402" s="76" t="s">
        <v>150</v>
      </c>
      <c r="G5402" s="77" t="s">
        <v>280</v>
      </c>
      <c r="H5402" s="77" t="s">
        <v>267</v>
      </c>
      <c r="I5402" s="86">
        <v>41916</v>
      </c>
      <c r="J5402" s="78">
        <v>1200</v>
      </c>
    </row>
    <row r="5403" spans="6:10" x14ac:dyDescent="0.25">
      <c r="F5403" s="76" t="s">
        <v>150</v>
      </c>
      <c r="G5403" s="77" t="s">
        <v>280</v>
      </c>
      <c r="H5403" s="77" t="s">
        <v>267</v>
      </c>
      <c r="I5403" s="86">
        <v>41918</v>
      </c>
      <c r="J5403" s="78">
        <v>1133</v>
      </c>
    </row>
    <row r="5404" spans="6:10" x14ac:dyDescent="0.25">
      <c r="F5404" s="76" t="s">
        <v>150</v>
      </c>
      <c r="G5404" s="77" t="s">
        <v>280</v>
      </c>
      <c r="H5404" s="77" t="s">
        <v>267</v>
      </c>
      <c r="I5404" s="86">
        <v>41919</v>
      </c>
      <c r="J5404" s="78">
        <v>918</v>
      </c>
    </row>
    <row r="5405" spans="6:10" x14ac:dyDescent="0.25">
      <c r="F5405" s="76" t="s">
        <v>150</v>
      </c>
      <c r="G5405" s="77" t="s">
        <v>280</v>
      </c>
      <c r="H5405" s="77" t="s">
        <v>267</v>
      </c>
      <c r="I5405" s="86">
        <v>41921</v>
      </c>
      <c r="J5405" s="78">
        <v>735</v>
      </c>
    </row>
    <row r="5406" spans="6:10" x14ac:dyDescent="0.25">
      <c r="F5406" s="76" t="s">
        <v>150</v>
      </c>
      <c r="G5406" s="77" t="s">
        <v>280</v>
      </c>
      <c r="H5406" s="77" t="s">
        <v>267</v>
      </c>
      <c r="I5406" s="86">
        <v>41922</v>
      </c>
      <c r="J5406" s="78">
        <v>793</v>
      </c>
    </row>
    <row r="5407" spans="6:10" x14ac:dyDescent="0.25">
      <c r="F5407" s="76" t="s">
        <v>150</v>
      </c>
      <c r="G5407" s="77" t="s">
        <v>280</v>
      </c>
      <c r="H5407" s="77" t="s">
        <v>267</v>
      </c>
      <c r="I5407" s="86">
        <v>41926</v>
      </c>
      <c r="J5407" s="78">
        <v>962</v>
      </c>
    </row>
    <row r="5408" spans="6:10" x14ac:dyDescent="0.25">
      <c r="F5408" s="76" t="s">
        <v>150</v>
      </c>
      <c r="G5408" s="77" t="s">
        <v>280</v>
      </c>
      <c r="H5408" s="77" t="s">
        <v>267</v>
      </c>
      <c r="I5408" s="86">
        <v>41927</v>
      </c>
      <c r="J5408" s="78">
        <v>486</v>
      </c>
    </row>
    <row r="5409" spans="6:10" x14ac:dyDescent="0.25">
      <c r="F5409" s="76" t="s">
        <v>150</v>
      </c>
      <c r="G5409" s="77" t="s">
        <v>280</v>
      </c>
      <c r="H5409" s="77" t="s">
        <v>267</v>
      </c>
      <c r="I5409" s="86">
        <v>41928</v>
      </c>
      <c r="J5409" s="78">
        <v>667</v>
      </c>
    </row>
    <row r="5410" spans="6:10" x14ac:dyDescent="0.25">
      <c r="F5410" s="76" t="s">
        <v>150</v>
      </c>
      <c r="G5410" s="77" t="s">
        <v>280</v>
      </c>
      <c r="H5410" s="77" t="s">
        <v>267</v>
      </c>
      <c r="I5410" s="86">
        <v>41929</v>
      </c>
      <c r="J5410" s="78">
        <v>873</v>
      </c>
    </row>
    <row r="5411" spans="6:10" x14ac:dyDescent="0.25">
      <c r="F5411" s="76" t="s">
        <v>150</v>
      </c>
      <c r="G5411" s="77" t="s">
        <v>280</v>
      </c>
      <c r="H5411" s="77" t="s">
        <v>267</v>
      </c>
      <c r="I5411" s="86">
        <v>41930</v>
      </c>
      <c r="J5411" s="78">
        <v>786</v>
      </c>
    </row>
    <row r="5412" spans="6:10" x14ac:dyDescent="0.25">
      <c r="F5412" s="76" t="s">
        <v>150</v>
      </c>
      <c r="G5412" s="77" t="s">
        <v>280</v>
      </c>
      <c r="H5412" s="77" t="s">
        <v>267</v>
      </c>
      <c r="I5412" s="86">
        <v>41932</v>
      </c>
      <c r="J5412" s="78">
        <v>1051</v>
      </c>
    </row>
    <row r="5413" spans="6:10" x14ac:dyDescent="0.25">
      <c r="F5413" s="76" t="s">
        <v>150</v>
      </c>
      <c r="G5413" s="77" t="s">
        <v>280</v>
      </c>
      <c r="H5413" s="77" t="s">
        <v>267</v>
      </c>
      <c r="I5413" s="86">
        <v>41934</v>
      </c>
      <c r="J5413" s="78">
        <v>722</v>
      </c>
    </row>
    <row r="5414" spans="6:10" x14ac:dyDescent="0.25">
      <c r="F5414" s="76" t="s">
        <v>150</v>
      </c>
      <c r="G5414" s="77" t="s">
        <v>280</v>
      </c>
      <c r="H5414" s="77" t="s">
        <v>267</v>
      </c>
      <c r="I5414" s="86">
        <v>41938</v>
      </c>
      <c r="J5414" s="78">
        <v>666</v>
      </c>
    </row>
    <row r="5415" spans="6:10" x14ac:dyDescent="0.25">
      <c r="F5415" s="76" t="s">
        <v>150</v>
      </c>
      <c r="G5415" s="77" t="s">
        <v>280</v>
      </c>
      <c r="H5415" s="77" t="s">
        <v>267</v>
      </c>
      <c r="I5415" s="86">
        <v>41940</v>
      </c>
      <c r="J5415" s="78">
        <v>512</v>
      </c>
    </row>
    <row r="5416" spans="6:10" x14ac:dyDescent="0.25">
      <c r="F5416" s="76" t="s">
        <v>150</v>
      </c>
      <c r="G5416" s="77" t="s">
        <v>280</v>
      </c>
      <c r="H5416" s="77" t="s">
        <v>267</v>
      </c>
      <c r="I5416" s="86">
        <v>41940</v>
      </c>
      <c r="J5416" s="78">
        <v>488</v>
      </c>
    </row>
    <row r="5417" spans="6:10" x14ac:dyDescent="0.25">
      <c r="F5417" s="76" t="s">
        <v>150</v>
      </c>
      <c r="G5417" s="77" t="s">
        <v>280</v>
      </c>
      <c r="H5417" s="77" t="s">
        <v>267</v>
      </c>
      <c r="I5417" s="86">
        <v>41941</v>
      </c>
      <c r="J5417" s="78">
        <v>600</v>
      </c>
    </row>
    <row r="5418" spans="6:10" x14ac:dyDescent="0.25">
      <c r="F5418" s="76" t="s">
        <v>150</v>
      </c>
      <c r="G5418" s="77" t="s">
        <v>280</v>
      </c>
      <c r="H5418" s="77" t="s">
        <v>267</v>
      </c>
      <c r="I5418" s="86">
        <v>41942</v>
      </c>
      <c r="J5418" s="78">
        <v>599</v>
      </c>
    </row>
    <row r="5419" spans="6:10" x14ac:dyDescent="0.25">
      <c r="F5419" s="76" t="s">
        <v>150</v>
      </c>
      <c r="G5419" s="77" t="s">
        <v>280</v>
      </c>
      <c r="H5419" s="77" t="s">
        <v>267</v>
      </c>
      <c r="I5419" s="86">
        <v>41946</v>
      </c>
      <c r="J5419" s="78">
        <v>721</v>
      </c>
    </row>
    <row r="5420" spans="6:10" x14ac:dyDescent="0.25">
      <c r="F5420" s="76" t="s">
        <v>150</v>
      </c>
      <c r="G5420" s="77" t="s">
        <v>280</v>
      </c>
      <c r="H5420" s="77" t="s">
        <v>267</v>
      </c>
      <c r="I5420" s="86">
        <v>41948</v>
      </c>
      <c r="J5420" s="78">
        <v>687</v>
      </c>
    </row>
    <row r="5421" spans="6:10" x14ac:dyDescent="0.25">
      <c r="F5421" s="76" t="s">
        <v>150</v>
      </c>
      <c r="G5421" s="77" t="s">
        <v>280</v>
      </c>
      <c r="H5421" s="77" t="s">
        <v>267</v>
      </c>
      <c r="I5421" s="86">
        <v>41955</v>
      </c>
      <c r="J5421" s="78">
        <v>670</v>
      </c>
    </row>
    <row r="5422" spans="6:10" x14ac:dyDescent="0.25">
      <c r="F5422" s="76" t="s">
        <v>150</v>
      </c>
      <c r="G5422" s="77" t="s">
        <v>280</v>
      </c>
      <c r="H5422" s="77" t="s">
        <v>267</v>
      </c>
      <c r="I5422" s="86">
        <v>41957</v>
      </c>
      <c r="J5422" s="78">
        <v>678</v>
      </c>
    </row>
    <row r="5423" spans="6:10" x14ac:dyDescent="0.25">
      <c r="F5423" s="76" t="s">
        <v>150</v>
      </c>
      <c r="G5423" s="77" t="s">
        <v>280</v>
      </c>
      <c r="H5423" s="77" t="s">
        <v>267</v>
      </c>
      <c r="I5423" s="86">
        <v>41957</v>
      </c>
      <c r="J5423" s="78">
        <v>769</v>
      </c>
    </row>
    <row r="5424" spans="6:10" x14ac:dyDescent="0.25">
      <c r="F5424" s="76" t="s">
        <v>150</v>
      </c>
      <c r="G5424" s="77" t="s">
        <v>280</v>
      </c>
      <c r="H5424" s="77" t="s">
        <v>267</v>
      </c>
      <c r="I5424" s="86">
        <v>41958</v>
      </c>
      <c r="J5424" s="78">
        <v>511</v>
      </c>
    </row>
    <row r="5425" spans="6:10" x14ac:dyDescent="0.25">
      <c r="F5425" s="76" t="s">
        <v>150</v>
      </c>
      <c r="G5425" s="77" t="s">
        <v>280</v>
      </c>
      <c r="H5425" s="77" t="s">
        <v>267</v>
      </c>
      <c r="I5425" s="86">
        <v>41958</v>
      </c>
      <c r="J5425" s="78">
        <v>817</v>
      </c>
    </row>
    <row r="5426" spans="6:10" x14ac:dyDescent="0.25">
      <c r="F5426" s="76" t="s">
        <v>150</v>
      </c>
      <c r="G5426" s="77" t="s">
        <v>280</v>
      </c>
      <c r="H5426" s="77" t="s">
        <v>267</v>
      </c>
      <c r="I5426" s="86">
        <v>41959</v>
      </c>
      <c r="J5426" s="78">
        <v>959</v>
      </c>
    </row>
    <row r="5427" spans="6:10" x14ac:dyDescent="0.25">
      <c r="F5427" s="76" t="s">
        <v>150</v>
      </c>
      <c r="G5427" s="77" t="s">
        <v>280</v>
      </c>
      <c r="H5427" s="77" t="s">
        <v>267</v>
      </c>
      <c r="I5427" s="86">
        <v>41960</v>
      </c>
      <c r="J5427" s="78">
        <v>632</v>
      </c>
    </row>
    <row r="5428" spans="6:10" x14ac:dyDescent="0.25">
      <c r="F5428" s="76" t="s">
        <v>150</v>
      </c>
      <c r="G5428" s="77" t="s">
        <v>280</v>
      </c>
      <c r="H5428" s="77" t="s">
        <v>267</v>
      </c>
      <c r="I5428" s="86">
        <v>41962</v>
      </c>
      <c r="J5428" s="78">
        <v>666</v>
      </c>
    </row>
    <row r="5429" spans="6:10" x14ac:dyDescent="0.25">
      <c r="F5429" s="76" t="s">
        <v>150</v>
      </c>
      <c r="G5429" s="77" t="s">
        <v>280</v>
      </c>
      <c r="H5429" s="77" t="s">
        <v>267</v>
      </c>
      <c r="I5429" s="86">
        <v>41964</v>
      </c>
      <c r="J5429" s="78">
        <v>954</v>
      </c>
    </row>
    <row r="5430" spans="6:10" x14ac:dyDescent="0.25">
      <c r="F5430" s="76" t="s">
        <v>150</v>
      </c>
      <c r="G5430" s="77" t="s">
        <v>280</v>
      </c>
      <c r="H5430" s="77" t="s">
        <v>267</v>
      </c>
      <c r="I5430" s="86">
        <v>41965</v>
      </c>
      <c r="J5430" s="78">
        <v>881</v>
      </c>
    </row>
    <row r="5431" spans="6:10" x14ac:dyDescent="0.25">
      <c r="F5431" s="76" t="s">
        <v>150</v>
      </c>
      <c r="G5431" s="77" t="s">
        <v>280</v>
      </c>
      <c r="H5431" s="77" t="s">
        <v>267</v>
      </c>
      <c r="I5431" s="86">
        <v>41966</v>
      </c>
      <c r="J5431" s="78">
        <v>561</v>
      </c>
    </row>
    <row r="5432" spans="6:10" x14ac:dyDescent="0.25">
      <c r="F5432" s="76" t="s">
        <v>150</v>
      </c>
      <c r="G5432" s="77" t="s">
        <v>280</v>
      </c>
      <c r="H5432" s="77" t="s">
        <v>267</v>
      </c>
      <c r="I5432" s="86">
        <v>41967</v>
      </c>
      <c r="J5432" s="78">
        <v>593</v>
      </c>
    </row>
    <row r="5433" spans="6:10" x14ac:dyDescent="0.25">
      <c r="F5433" s="76" t="s">
        <v>150</v>
      </c>
      <c r="G5433" s="77" t="s">
        <v>280</v>
      </c>
      <c r="H5433" s="77" t="s">
        <v>267</v>
      </c>
      <c r="I5433" s="86">
        <v>41969</v>
      </c>
      <c r="J5433" s="78">
        <v>563</v>
      </c>
    </row>
    <row r="5434" spans="6:10" x14ac:dyDescent="0.25">
      <c r="F5434" s="76" t="s">
        <v>150</v>
      </c>
      <c r="G5434" s="77" t="s">
        <v>280</v>
      </c>
      <c r="H5434" s="77" t="s">
        <v>267</v>
      </c>
      <c r="I5434" s="86">
        <v>41969</v>
      </c>
      <c r="J5434" s="78">
        <v>901</v>
      </c>
    </row>
    <row r="5435" spans="6:10" x14ac:dyDescent="0.25">
      <c r="F5435" s="76" t="s">
        <v>150</v>
      </c>
      <c r="G5435" s="77" t="s">
        <v>280</v>
      </c>
      <c r="H5435" s="77" t="s">
        <v>267</v>
      </c>
      <c r="I5435" s="86">
        <v>41970</v>
      </c>
      <c r="J5435" s="78">
        <v>842</v>
      </c>
    </row>
    <row r="5436" spans="6:10" x14ac:dyDescent="0.25">
      <c r="F5436" s="76" t="s">
        <v>150</v>
      </c>
      <c r="G5436" s="77" t="s">
        <v>280</v>
      </c>
      <c r="H5436" s="77" t="s">
        <v>267</v>
      </c>
      <c r="I5436" s="86">
        <v>41972</v>
      </c>
      <c r="J5436" s="78">
        <v>689</v>
      </c>
    </row>
    <row r="5437" spans="6:10" x14ac:dyDescent="0.25">
      <c r="F5437" s="76" t="s">
        <v>150</v>
      </c>
      <c r="G5437" s="77" t="s">
        <v>280</v>
      </c>
      <c r="H5437" s="77" t="s">
        <v>267</v>
      </c>
      <c r="I5437" s="86">
        <v>41973</v>
      </c>
      <c r="J5437" s="78">
        <v>983</v>
      </c>
    </row>
    <row r="5438" spans="6:10" x14ac:dyDescent="0.25">
      <c r="F5438" s="76" t="s">
        <v>150</v>
      </c>
      <c r="G5438" s="77" t="s">
        <v>280</v>
      </c>
      <c r="H5438" s="77" t="s">
        <v>267</v>
      </c>
      <c r="I5438" s="86">
        <v>41975</v>
      </c>
      <c r="J5438" s="78">
        <v>1062</v>
      </c>
    </row>
    <row r="5439" spans="6:10" x14ac:dyDescent="0.25">
      <c r="F5439" s="76" t="s">
        <v>150</v>
      </c>
      <c r="G5439" s="77" t="s">
        <v>280</v>
      </c>
      <c r="H5439" s="77" t="s">
        <v>267</v>
      </c>
      <c r="I5439" s="86">
        <v>41976</v>
      </c>
      <c r="J5439" s="78">
        <v>612</v>
      </c>
    </row>
    <row r="5440" spans="6:10" x14ac:dyDescent="0.25">
      <c r="F5440" s="76" t="s">
        <v>150</v>
      </c>
      <c r="G5440" s="77" t="s">
        <v>280</v>
      </c>
      <c r="H5440" s="77" t="s">
        <v>267</v>
      </c>
      <c r="I5440" s="86">
        <v>41977</v>
      </c>
      <c r="J5440" s="78">
        <v>800</v>
      </c>
    </row>
    <row r="5441" spans="6:10" x14ac:dyDescent="0.25">
      <c r="F5441" s="76" t="s">
        <v>150</v>
      </c>
      <c r="G5441" s="77" t="s">
        <v>280</v>
      </c>
      <c r="H5441" s="77" t="s">
        <v>267</v>
      </c>
      <c r="I5441" s="86">
        <v>41997</v>
      </c>
      <c r="J5441" s="78">
        <v>562</v>
      </c>
    </row>
    <row r="5442" spans="6:10" x14ac:dyDescent="0.25">
      <c r="F5442" s="76" t="s">
        <v>150</v>
      </c>
      <c r="G5442" s="77" t="s">
        <v>280</v>
      </c>
      <c r="H5442" s="77" t="s">
        <v>267</v>
      </c>
      <c r="I5442" s="86">
        <v>42002</v>
      </c>
      <c r="J5442" s="78">
        <v>556</v>
      </c>
    </row>
    <row r="5443" spans="6:10" x14ac:dyDescent="0.25">
      <c r="F5443" s="76" t="s">
        <v>150</v>
      </c>
      <c r="G5443" s="77" t="s">
        <v>281</v>
      </c>
      <c r="H5443" s="77" t="s">
        <v>267</v>
      </c>
      <c r="I5443" s="86">
        <v>41637</v>
      </c>
      <c r="J5443" s="78">
        <v>1082</v>
      </c>
    </row>
    <row r="5444" spans="6:10" x14ac:dyDescent="0.25">
      <c r="F5444" s="76" t="s">
        <v>150</v>
      </c>
      <c r="G5444" s="77" t="s">
        <v>281</v>
      </c>
      <c r="H5444" s="77" t="s">
        <v>267</v>
      </c>
      <c r="I5444" s="86">
        <v>41638</v>
      </c>
      <c r="J5444" s="78">
        <v>625</v>
      </c>
    </row>
    <row r="5445" spans="6:10" x14ac:dyDescent="0.25">
      <c r="F5445" s="76" t="s">
        <v>150</v>
      </c>
      <c r="G5445" s="77" t="s">
        <v>281</v>
      </c>
      <c r="H5445" s="77" t="s">
        <v>267</v>
      </c>
      <c r="I5445" s="86">
        <v>41639</v>
      </c>
      <c r="J5445" s="78">
        <v>646</v>
      </c>
    </row>
    <row r="5446" spans="6:10" x14ac:dyDescent="0.25">
      <c r="F5446" s="76" t="s">
        <v>150</v>
      </c>
      <c r="G5446" s="77" t="s">
        <v>281</v>
      </c>
      <c r="H5446" s="77" t="s">
        <v>267</v>
      </c>
      <c r="I5446" s="86">
        <v>41645</v>
      </c>
      <c r="J5446" s="78">
        <v>938</v>
      </c>
    </row>
    <row r="5447" spans="6:10" x14ac:dyDescent="0.25">
      <c r="F5447" s="76" t="s">
        <v>150</v>
      </c>
      <c r="G5447" s="77" t="s">
        <v>281</v>
      </c>
      <c r="H5447" s="77" t="s">
        <v>267</v>
      </c>
      <c r="I5447" s="86">
        <v>41646</v>
      </c>
      <c r="J5447" s="78">
        <v>628</v>
      </c>
    </row>
    <row r="5448" spans="6:10" x14ac:dyDescent="0.25">
      <c r="F5448" s="76" t="s">
        <v>150</v>
      </c>
      <c r="G5448" s="77" t="s">
        <v>281</v>
      </c>
      <c r="H5448" s="77" t="s">
        <v>267</v>
      </c>
      <c r="I5448" s="86">
        <v>41648</v>
      </c>
      <c r="J5448" s="78">
        <v>543</v>
      </c>
    </row>
    <row r="5449" spans="6:10" x14ac:dyDescent="0.25">
      <c r="F5449" s="76" t="s">
        <v>150</v>
      </c>
      <c r="G5449" s="77" t="s">
        <v>281</v>
      </c>
      <c r="H5449" s="77" t="s">
        <v>267</v>
      </c>
      <c r="I5449" s="86">
        <v>41648</v>
      </c>
      <c r="J5449" s="78">
        <v>1187</v>
      </c>
    </row>
    <row r="5450" spans="6:10" x14ac:dyDescent="0.25">
      <c r="F5450" s="76" t="s">
        <v>150</v>
      </c>
      <c r="G5450" s="77" t="s">
        <v>281</v>
      </c>
      <c r="H5450" s="77" t="s">
        <v>267</v>
      </c>
      <c r="I5450" s="86">
        <v>41649</v>
      </c>
      <c r="J5450" s="78">
        <v>1233</v>
      </c>
    </row>
    <row r="5451" spans="6:10" x14ac:dyDescent="0.25">
      <c r="F5451" s="76" t="s">
        <v>150</v>
      </c>
      <c r="G5451" s="77" t="s">
        <v>281</v>
      </c>
      <c r="H5451" s="77" t="s">
        <v>267</v>
      </c>
      <c r="I5451" s="86">
        <v>41650</v>
      </c>
      <c r="J5451" s="78">
        <v>884</v>
      </c>
    </row>
    <row r="5452" spans="6:10" x14ac:dyDescent="0.25">
      <c r="F5452" s="76" t="s">
        <v>150</v>
      </c>
      <c r="G5452" s="77" t="s">
        <v>281</v>
      </c>
      <c r="H5452" s="77" t="s">
        <v>267</v>
      </c>
      <c r="I5452" s="86">
        <v>41651</v>
      </c>
      <c r="J5452" s="78">
        <v>1113</v>
      </c>
    </row>
    <row r="5453" spans="6:10" x14ac:dyDescent="0.25">
      <c r="F5453" s="76" t="s">
        <v>150</v>
      </c>
      <c r="G5453" s="77" t="s">
        <v>281</v>
      </c>
      <c r="H5453" s="77" t="s">
        <v>267</v>
      </c>
      <c r="I5453" s="86">
        <v>41656</v>
      </c>
      <c r="J5453" s="78">
        <v>850</v>
      </c>
    </row>
    <row r="5454" spans="6:10" x14ac:dyDescent="0.25">
      <c r="F5454" s="76" t="s">
        <v>150</v>
      </c>
      <c r="G5454" s="77" t="s">
        <v>281</v>
      </c>
      <c r="H5454" s="77" t="s">
        <v>267</v>
      </c>
      <c r="I5454" s="86">
        <v>41660</v>
      </c>
      <c r="J5454" s="78">
        <v>649</v>
      </c>
    </row>
    <row r="5455" spans="6:10" x14ac:dyDescent="0.25">
      <c r="F5455" s="76" t="s">
        <v>150</v>
      </c>
      <c r="G5455" s="77" t="s">
        <v>281</v>
      </c>
      <c r="H5455" s="77" t="s">
        <v>267</v>
      </c>
      <c r="I5455" s="86">
        <v>41669</v>
      </c>
      <c r="J5455" s="78">
        <v>984</v>
      </c>
    </row>
    <row r="5456" spans="6:10" x14ac:dyDescent="0.25">
      <c r="F5456" s="76" t="s">
        <v>150</v>
      </c>
      <c r="G5456" s="77" t="s">
        <v>281</v>
      </c>
      <c r="H5456" s="77" t="s">
        <v>267</v>
      </c>
      <c r="I5456" s="86">
        <v>41671</v>
      </c>
      <c r="J5456" s="78">
        <v>878</v>
      </c>
    </row>
    <row r="5457" spans="6:10" x14ac:dyDescent="0.25">
      <c r="F5457" s="76" t="s">
        <v>150</v>
      </c>
      <c r="G5457" s="77" t="s">
        <v>281</v>
      </c>
      <c r="H5457" s="77" t="s">
        <v>267</v>
      </c>
      <c r="I5457" s="86">
        <v>41671</v>
      </c>
      <c r="J5457" s="78">
        <v>1072</v>
      </c>
    </row>
    <row r="5458" spans="6:10" x14ac:dyDescent="0.25">
      <c r="F5458" s="76" t="s">
        <v>150</v>
      </c>
      <c r="G5458" s="77" t="s">
        <v>281</v>
      </c>
      <c r="H5458" s="77" t="s">
        <v>267</v>
      </c>
      <c r="I5458" s="86">
        <v>41672</v>
      </c>
      <c r="J5458" s="78">
        <v>364</v>
      </c>
    </row>
    <row r="5459" spans="6:10" x14ac:dyDescent="0.25">
      <c r="F5459" s="76" t="s">
        <v>150</v>
      </c>
      <c r="G5459" s="77" t="s">
        <v>281</v>
      </c>
      <c r="H5459" s="77" t="s">
        <v>267</v>
      </c>
      <c r="I5459" s="86">
        <v>41672</v>
      </c>
      <c r="J5459" s="78">
        <v>762</v>
      </c>
    </row>
    <row r="5460" spans="6:10" x14ac:dyDescent="0.25">
      <c r="F5460" s="76" t="s">
        <v>150</v>
      </c>
      <c r="G5460" s="77" t="s">
        <v>281</v>
      </c>
      <c r="H5460" s="77" t="s">
        <v>267</v>
      </c>
      <c r="I5460" s="86">
        <v>41673</v>
      </c>
      <c r="J5460" s="78">
        <v>1013</v>
      </c>
    </row>
    <row r="5461" spans="6:10" x14ac:dyDescent="0.25">
      <c r="F5461" s="76" t="s">
        <v>150</v>
      </c>
      <c r="G5461" s="77" t="s">
        <v>281</v>
      </c>
      <c r="H5461" s="77" t="s">
        <v>267</v>
      </c>
      <c r="I5461" s="86">
        <v>41674</v>
      </c>
      <c r="J5461" s="78">
        <v>994</v>
      </c>
    </row>
    <row r="5462" spans="6:10" x14ac:dyDescent="0.25">
      <c r="F5462" s="76" t="s">
        <v>150</v>
      </c>
      <c r="G5462" s="77" t="s">
        <v>281</v>
      </c>
      <c r="H5462" s="77" t="s">
        <v>267</v>
      </c>
      <c r="I5462" s="86">
        <v>41675</v>
      </c>
      <c r="J5462" s="78">
        <v>604</v>
      </c>
    </row>
    <row r="5463" spans="6:10" x14ac:dyDescent="0.25">
      <c r="F5463" s="76" t="s">
        <v>150</v>
      </c>
      <c r="G5463" s="77" t="s">
        <v>281</v>
      </c>
      <c r="H5463" s="77" t="s">
        <v>267</v>
      </c>
      <c r="I5463" s="86">
        <v>41676</v>
      </c>
      <c r="J5463" s="78">
        <v>650</v>
      </c>
    </row>
    <row r="5464" spans="6:10" x14ac:dyDescent="0.25">
      <c r="F5464" s="76" t="s">
        <v>150</v>
      </c>
      <c r="G5464" s="77" t="s">
        <v>281</v>
      </c>
      <c r="H5464" s="77" t="s">
        <v>267</v>
      </c>
      <c r="I5464" s="86">
        <v>41680</v>
      </c>
      <c r="J5464" s="78">
        <v>873</v>
      </c>
    </row>
    <row r="5465" spans="6:10" x14ac:dyDescent="0.25">
      <c r="F5465" s="76" t="s">
        <v>150</v>
      </c>
      <c r="G5465" s="77" t="s">
        <v>281</v>
      </c>
      <c r="H5465" s="77" t="s">
        <v>267</v>
      </c>
      <c r="I5465" s="86">
        <v>41683</v>
      </c>
      <c r="J5465" s="78">
        <v>1434</v>
      </c>
    </row>
    <row r="5466" spans="6:10" x14ac:dyDescent="0.25">
      <c r="F5466" s="76" t="s">
        <v>150</v>
      </c>
      <c r="G5466" s="77" t="s">
        <v>281</v>
      </c>
      <c r="H5466" s="77" t="s">
        <v>267</v>
      </c>
      <c r="I5466" s="86">
        <v>41683</v>
      </c>
      <c r="J5466" s="78">
        <v>447</v>
      </c>
    </row>
    <row r="5467" spans="6:10" x14ac:dyDescent="0.25">
      <c r="F5467" s="76" t="s">
        <v>150</v>
      </c>
      <c r="G5467" s="77" t="s">
        <v>281</v>
      </c>
      <c r="H5467" s="77" t="s">
        <v>267</v>
      </c>
      <c r="I5467" s="86">
        <v>41684</v>
      </c>
      <c r="J5467" s="78">
        <v>1179</v>
      </c>
    </row>
    <row r="5468" spans="6:10" x14ac:dyDescent="0.25">
      <c r="F5468" s="76" t="s">
        <v>150</v>
      </c>
      <c r="G5468" s="77" t="s">
        <v>281</v>
      </c>
      <c r="H5468" s="77" t="s">
        <v>267</v>
      </c>
      <c r="I5468" s="86">
        <v>41685</v>
      </c>
      <c r="J5468" s="78">
        <v>794</v>
      </c>
    </row>
    <row r="5469" spans="6:10" x14ac:dyDescent="0.25">
      <c r="F5469" s="76" t="s">
        <v>150</v>
      </c>
      <c r="G5469" s="77" t="s">
        <v>281</v>
      </c>
      <c r="H5469" s="77" t="s">
        <v>267</v>
      </c>
      <c r="I5469" s="86">
        <v>41686</v>
      </c>
      <c r="J5469" s="78">
        <v>806</v>
      </c>
    </row>
    <row r="5470" spans="6:10" x14ac:dyDescent="0.25">
      <c r="F5470" s="76" t="s">
        <v>150</v>
      </c>
      <c r="G5470" s="77" t="s">
        <v>281</v>
      </c>
      <c r="H5470" s="77" t="s">
        <v>267</v>
      </c>
      <c r="I5470" s="86">
        <v>41688</v>
      </c>
      <c r="J5470" s="78">
        <v>720</v>
      </c>
    </row>
    <row r="5471" spans="6:10" x14ac:dyDescent="0.25">
      <c r="F5471" s="76" t="s">
        <v>150</v>
      </c>
      <c r="G5471" s="77" t="s">
        <v>281</v>
      </c>
      <c r="H5471" s="77" t="s">
        <v>267</v>
      </c>
      <c r="I5471" s="86">
        <v>41688</v>
      </c>
      <c r="J5471" s="78">
        <v>1008</v>
      </c>
    </row>
    <row r="5472" spans="6:10" x14ac:dyDescent="0.25">
      <c r="F5472" s="76" t="s">
        <v>150</v>
      </c>
      <c r="G5472" s="77" t="s">
        <v>281</v>
      </c>
      <c r="H5472" s="77" t="s">
        <v>267</v>
      </c>
      <c r="I5472" s="86">
        <v>41689</v>
      </c>
      <c r="J5472" s="78">
        <v>976</v>
      </c>
    </row>
    <row r="5473" spans="6:10" x14ac:dyDescent="0.25">
      <c r="F5473" s="76" t="s">
        <v>150</v>
      </c>
      <c r="G5473" s="77" t="s">
        <v>281</v>
      </c>
      <c r="H5473" s="77" t="s">
        <v>267</v>
      </c>
      <c r="I5473" s="86">
        <v>41691</v>
      </c>
      <c r="J5473" s="78">
        <v>765</v>
      </c>
    </row>
    <row r="5474" spans="6:10" x14ac:dyDescent="0.25">
      <c r="F5474" s="76" t="s">
        <v>150</v>
      </c>
      <c r="G5474" s="77" t="s">
        <v>281</v>
      </c>
      <c r="H5474" s="77" t="s">
        <v>267</v>
      </c>
      <c r="I5474" s="86">
        <v>41692</v>
      </c>
      <c r="J5474" s="78">
        <v>507</v>
      </c>
    </row>
    <row r="5475" spans="6:10" x14ac:dyDescent="0.25">
      <c r="F5475" s="76" t="s">
        <v>150</v>
      </c>
      <c r="G5475" s="77" t="s">
        <v>281</v>
      </c>
      <c r="H5475" s="77" t="s">
        <v>267</v>
      </c>
      <c r="I5475" s="86">
        <v>41693</v>
      </c>
      <c r="J5475" s="78">
        <v>1021</v>
      </c>
    </row>
    <row r="5476" spans="6:10" x14ac:dyDescent="0.25">
      <c r="F5476" s="76" t="s">
        <v>150</v>
      </c>
      <c r="G5476" s="77" t="s">
        <v>281</v>
      </c>
      <c r="H5476" s="77" t="s">
        <v>267</v>
      </c>
      <c r="I5476" s="86">
        <v>41694</v>
      </c>
      <c r="J5476" s="78">
        <v>892</v>
      </c>
    </row>
    <row r="5477" spans="6:10" x14ac:dyDescent="0.25">
      <c r="F5477" s="76" t="s">
        <v>150</v>
      </c>
      <c r="G5477" s="77" t="s">
        <v>281</v>
      </c>
      <c r="H5477" s="77" t="s">
        <v>267</v>
      </c>
      <c r="I5477" s="86">
        <v>41695</v>
      </c>
      <c r="J5477" s="78">
        <v>528</v>
      </c>
    </row>
    <row r="5478" spans="6:10" x14ac:dyDescent="0.25">
      <c r="F5478" s="76" t="s">
        <v>150</v>
      </c>
      <c r="G5478" s="77" t="s">
        <v>281</v>
      </c>
      <c r="H5478" s="77" t="s">
        <v>267</v>
      </c>
      <c r="I5478" s="86">
        <v>41696</v>
      </c>
      <c r="J5478" s="78">
        <v>511</v>
      </c>
    </row>
    <row r="5479" spans="6:10" x14ac:dyDescent="0.25">
      <c r="F5479" s="76" t="s">
        <v>150</v>
      </c>
      <c r="G5479" s="77" t="s">
        <v>281</v>
      </c>
      <c r="H5479" s="77" t="s">
        <v>267</v>
      </c>
      <c r="I5479" s="86">
        <v>41698</v>
      </c>
      <c r="J5479" s="78">
        <v>1159</v>
      </c>
    </row>
    <row r="5480" spans="6:10" x14ac:dyDescent="0.25">
      <c r="F5480" s="76" t="s">
        <v>150</v>
      </c>
      <c r="G5480" s="77" t="s">
        <v>281</v>
      </c>
      <c r="H5480" s="77" t="s">
        <v>267</v>
      </c>
      <c r="I5480" s="86">
        <v>41699</v>
      </c>
      <c r="J5480" s="78">
        <v>777</v>
      </c>
    </row>
    <row r="5481" spans="6:10" x14ac:dyDescent="0.25">
      <c r="F5481" s="76" t="s">
        <v>150</v>
      </c>
      <c r="G5481" s="77" t="s">
        <v>281</v>
      </c>
      <c r="H5481" s="77" t="s">
        <v>267</v>
      </c>
      <c r="I5481" s="86">
        <v>41699</v>
      </c>
      <c r="J5481" s="78">
        <v>783</v>
      </c>
    </row>
    <row r="5482" spans="6:10" x14ac:dyDescent="0.25">
      <c r="F5482" s="76" t="s">
        <v>150</v>
      </c>
      <c r="G5482" s="77" t="s">
        <v>281</v>
      </c>
      <c r="H5482" s="77" t="s">
        <v>267</v>
      </c>
      <c r="I5482" s="86">
        <v>41700</v>
      </c>
      <c r="J5482" s="78">
        <v>1073</v>
      </c>
    </row>
    <row r="5483" spans="6:10" x14ac:dyDescent="0.25">
      <c r="F5483" s="76" t="s">
        <v>150</v>
      </c>
      <c r="G5483" s="77" t="s">
        <v>281</v>
      </c>
      <c r="H5483" s="77" t="s">
        <v>267</v>
      </c>
      <c r="I5483" s="86">
        <v>41701</v>
      </c>
      <c r="J5483" s="78">
        <v>1380</v>
      </c>
    </row>
    <row r="5484" spans="6:10" x14ac:dyDescent="0.25">
      <c r="F5484" s="76" t="s">
        <v>150</v>
      </c>
      <c r="G5484" s="77" t="s">
        <v>281</v>
      </c>
      <c r="H5484" s="77" t="s">
        <v>267</v>
      </c>
      <c r="I5484" s="86">
        <v>41702</v>
      </c>
      <c r="J5484" s="78">
        <v>1139</v>
      </c>
    </row>
    <row r="5485" spans="6:10" x14ac:dyDescent="0.25">
      <c r="F5485" s="76" t="s">
        <v>150</v>
      </c>
      <c r="G5485" s="77" t="s">
        <v>281</v>
      </c>
      <c r="H5485" s="77" t="s">
        <v>267</v>
      </c>
      <c r="I5485" s="86">
        <v>41703</v>
      </c>
      <c r="J5485" s="78">
        <v>1165</v>
      </c>
    </row>
    <row r="5486" spans="6:10" x14ac:dyDescent="0.25">
      <c r="F5486" s="76" t="s">
        <v>150</v>
      </c>
      <c r="G5486" s="77" t="s">
        <v>281</v>
      </c>
      <c r="H5486" s="77" t="s">
        <v>267</v>
      </c>
      <c r="I5486" s="86">
        <v>41704</v>
      </c>
      <c r="J5486" s="78">
        <v>1162</v>
      </c>
    </row>
    <row r="5487" spans="6:10" x14ac:dyDescent="0.25">
      <c r="F5487" s="76" t="s">
        <v>150</v>
      </c>
      <c r="G5487" s="77" t="s">
        <v>281</v>
      </c>
      <c r="H5487" s="77" t="s">
        <v>267</v>
      </c>
      <c r="I5487" s="86">
        <v>41705</v>
      </c>
      <c r="J5487" s="78">
        <v>1129</v>
      </c>
    </row>
    <row r="5488" spans="6:10" x14ac:dyDescent="0.25">
      <c r="F5488" s="76" t="s">
        <v>150</v>
      </c>
      <c r="G5488" s="77" t="s">
        <v>281</v>
      </c>
      <c r="H5488" s="77" t="s">
        <v>267</v>
      </c>
      <c r="I5488" s="86">
        <v>41707</v>
      </c>
      <c r="J5488" s="78">
        <v>782</v>
      </c>
    </row>
    <row r="5489" spans="6:10" x14ac:dyDescent="0.25">
      <c r="F5489" s="76" t="s">
        <v>150</v>
      </c>
      <c r="G5489" s="77" t="s">
        <v>281</v>
      </c>
      <c r="H5489" s="77" t="s">
        <v>267</v>
      </c>
      <c r="I5489" s="86">
        <v>41709</v>
      </c>
      <c r="J5489" s="78">
        <v>1709</v>
      </c>
    </row>
    <row r="5490" spans="6:10" x14ac:dyDescent="0.25">
      <c r="F5490" s="76" t="s">
        <v>150</v>
      </c>
      <c r="G5490" s="77" t="s">
        <v>281</v>
      </c>
      <c r="H5490" s="77" t="s">
        <v>267</v>
      </c>
      <c r="I5490" s="86">
        <v>41711</v>
      </c>
      <c r="J5490" s="78">
        <v>923</v>
      </c>
    </row>
    <row r="5491" spans="6:10" x14ac:dyDescent="0.25">
      <c r="F5491" s="76" t="s">
        <v>150</v>
      </c>
      <c r="G5491" s="77" t="s">
        <v>281</v>
      </c>
      <c r="H5491" s="77" t="s">
        <v>267</v>
      </c>
      <c r="I5491" s="86">
        <v>41712</v>
      </c>
      <c r="J5491" s="78">
        <v>635</v>
      </c>
    </row>
    <row r="5492" spans="6:10" x14ac:dyDescent="0.25">
      <c r="F5492" s="76" t="s">
        <v>150</v>
      </c>
      <c r="G5492" s="77" t="s">
        <v>281</v>
      </c>
      <c r="H5492" s="77" t="s">
        <v>267</v>
      </c>
      <c r="I5492" s="86">
        <v>41712</v>
      </c>
      <c r="J5492" s="78">
        <v>516</v>
      </c>
    </row>
    <row r="5493" spans="6:10" x14ac:dyDescent="0.25">
      <c r="F5493" s="76" t="s">
        <v>150</v>
      </c>
      <c r="G5493" s="77" t="s">
        <v>281</v>
      </c>
      <c r="H5493" s="77" t="s">
        <v>267</v>
      </c>
      <c r="I5493" s="86">
        <v>41713</v>
      </c>
      <c r="J5493" s="78">
        <v>838</v>
      </c>
    </row>
    <row r="5494" spans="6:10" x14ac:dyDescent="0.25">
      <c r="F5494" s="76" t="s">
        <v>150</v>
      </c>
      <c r="G5494" s="77" t="s">
        <v>281</v>
      </c>
      <c r="H5494" s="77" t="s">
        <v>267</v>
      </c>
      <c r="I5494" s="86">
        <v>41715</v>
      </c>
      <c r="J5494" s="78">
        <v>655</v>
      </c>
    </row>
    <row r="5495" spans="6:10" x14ac:dyDescent="0.25">
      <c r="F5495" s="76" t="s">
        <v>150</v>
      </c>
      <c r="G5495" s="77" t="s">
        <v>281</v>
      </c>
      <c r="H5495" s="77" t="s">
        <v>267</v>
      </c>
      <c r="I5495" s="86">
        <v>41884</v>
      </c>
      <c r="J5495" s="78">
        <v>791</v>
      </c>
    </row>
    <row r="5496" spans="6:10" x14ac:dyDescent="0.25">
      <c r="F5496" s="76" t="s">
        <v>150</v>
      </c>
      <c r="G5496" s="77" t="s">
        <v>281</v>
      </c>
      <c r="H5496" s="77" t="s">
        <v>267</v>
      </c>
      <c r="I5496" s="86">
        <v>41934</v>
      </c>
      <c r="J5496" s="78">
        <v>614</v>
      </c>
    </row>
    <row r="5497" spans="6:10" x14ac:dyDescent="0.25">
      <c r="F5497" s="76" t="s">
        <v>150</v>
      </c>
      <c r="G5497" s="77" t="s">
        <v>281</v>
      </c>
      <c r="H5497" s="77" t="s">
        <v>267</v>
      </c>
      <c r="I5497" s="86">
        <v>41935</v>
      </c>
      <c r="J5497" s="78">
        <v>383</v>
      </c>
    </row>
    <row r="5498" spans="6:10" x14ac:dyDescent="0.25">
      <c r="F5498" s="76" t="s">
        <v>150</v>
      </c>
      <c r="G5498" s="77" t="s">
        <v>281</v>
      </c>
      <c r="H5498" s="77" t="s">
        <v>267</v>
      </c>
      <c r="I5498" s="86">
        <v>41936</v>
      </c>
      <c r="J5498" s="78">
        <v>605</v>
      </c>
    </row>
    <row r="5499" spans="6:10" x14ac:dyDescent="0.25">
      <c r="F5499" s="76" t="s">
        <v>150</v>
      </c>
      <c r="G5499" s="77" t="s">
        <v>281</v>
      </c>
      <c r="H5499" s="77" t="s">
        <v>267</v>
      </c>
      <c r="I5499" s="86">
        <v>41938</v>
      </c>
      <c r="J5499" s="78">
        <v>806</v>
      </c>
    </row>
    <row r="5500" spans="6:10" x14ac:dyDescent="0.25">
      <c r="F5500" s="76" t="s">
        <v>150</v>
      </c>
      <c r="G5500" s="77" t="s">
        <v>281</v>
      </c>
      <c r="H5500" s="77" t="s">
        <v>267</v>
      </c>
      <c r="I5500" s="86">
        <v>41939</v>
      </c>
      <c r="J5500" s="78">
        <v>624</v>
      </c>
    </row>
    <row r="5501" spans="6:10" x14ac:dyDescent="0.25">
      <c r="F5501" s="76" t="s">
        <v>150</v>
      </c>
      <c r="G5501" s="77" t="s">
        <v>281</v>
      </c>
      <c r="H5501" s="77" t="s">
        <v>267</v>
      </c>
      <c r="I5501" s="86">
        <v>41940</v>
      </c>
      <c r="J5501" s="78">
        <v>617</v>
      </c>
    </row>
    <row r="5502" spans="6:10" x14ac:dyDescent="0.25">
      <c r="F5502" s="76" t="s">
        <v>150</v>
      </c>
      <c r="G5502" s="77" t="s">
        <v>281</v>
      </c>
      <c r="H5502" s="77" t="s">
        <v>267</v>
      </c>
      <c r="I5502" s="86">
        <v>41941</v>
      </c>
      <c r="J5502" s="78">
        <v>598</v>
      </c>
    </row>
    <row r="5503" spans="6:10" x14ac:dyDescent="0.25">
      <c r="F5503" s="76" t="s">
        <v>150</v>
      </c>
      <c r="G5503" s="77" t="s">
        <v>281</v>
      </c>
      <c r="H5503" s="77" t="s">
        <v>267</v>
      </c>
      <c r="I5503" s="86">
        <v>41941</v>
      </c>
      <c r="J5503" s="78">
        <v>415</v>
      </c>
    </row>
    <row r="5504" spans="6:10" x14ac:dyDescent="0.25">
      <c r="F5504" s="76" t="s">
        <v>150</v>
      </c>
      <c r="G5504" s="77" t="s">
        <v>281</v>
      </c>
      <c r="H5504" s="77" t="s">
        <v>267</v>
      </c>
      <c r="I5504" s="86">
        <v>41943</v>
      </c>
      <c r="J5504" s="78">
        <v>701</v>
      </c>
    </row>
    <row r="5505" spans="6:10" x14ac:dyDescent="0.25">
      <c r="F5505" s="76" t="s">
        <v>150</v>
      </c>
      <c r="G5505" s="77" t="s">
        <v>281</v>
      </c>
      <c r="H5505" s="77" t="s">
        <v>267</v>
      </c>
      <c r="I5505" s="86">
        <v>41948</v>
      </c>
      <c r="J5505" s="78">
        <v>639</v>
      </c>
    </row>
    <row r="5506" spans="6:10" x14ac:dyDescent="0.25">
      <c r="F5506" s="76" t="s">
        <v>150</v>
      </c>
      <c r="G5506" s="77" t="s">
        <v>281</v>
      </c>
      <c r="H5506" s="77" t="s">
        <v>267</v>
      </c>
      <c r="I5506" s="86">
        <v>41949</v>
      </c>
      <c r="J5506" s="78">
        <v>515</v>
      </c>
    </row>
    <row r="5507" spans="6:10" x14ac:dyDescent="0.25">
      <c r="F5507" s="76" t="s">
        <v>150</v>
      </c>
      <c r="G5507" s="77" t="s">
        <v>281</v>
      </c>
      <c r="H5507" s="77" t="s">
        <v>267</v>
      </c>
      <c r="I5507" s="86">
        <v>41953</v>
      </c>
      <c r="J5507" s="78">
        <v>590</v>
      </c>
    </row>
    <row r="5508" spans="6:10" x14ac:dyDescent="0.25">
      <c r="F5508" s="76" t="s">
        <v>150</v>
      </c>
      <c r="G5508" s="77" t="s">
        <v>281</v>
      </c>
      <c r="H5508" s="77" t="s">
        <v>267</v>
      </c>
      <c r="I5508" s="86">
        <v>41955</v>
      </c>
      <c r="J5508" s="78">
        <v>490</v>
      </c>
    </row>
    <row r="5509" spans="6:10" x14ac:dyDescent="0.25">
      <c r="F5509" s="76" t="s">
        <v>150</v>
      </c>
      <c r="G5509" s="77" t="s">
        <v>281</v>
      </c>
      <c r="H5509" s="77" t="s">
        <v>267</v>
      </c>
      <c r="I5509" s="86">
        <v>41956</v>
      </c>
      <c r="J5509" s="78">
        <v>568</v>
      </c>
    </row>
    <row r="5510" spans="6:10" x14ac:dyDescent="0.25">
      <c r="F5510" s="76" t="s">
        <v>150</v>
      </c>
      <c r="G5510" s="77" t="s">
        <v>281</v>
      </c>
      <c r="H5510" s="77" t="s">
        <v>267</v>
      </c>
      <c r="I5510" s="86">
        <v>41988</v>
      </c>
      <c r="J5510" s="78">
        <v>963</v>
      </c>
    </row>
    <row r="5511" spans="6:10" x14ac:dyDescent="0.25">
      <c r="F5511" s="76" t="s">
        <v>150</v>
      </c>
      <c r="G5511" s="77" t="s">
        <v>281</v>
      </c>
      <c r="H5511" s="77" t="s">
        <v>267</v>
      </c>
      <c r="I5511" s="86">
        <v>41990</v>
      </c>
      <c r="J5511" s="78">
        <v>913</v>
      </c>
    </row>
    <row r="5512" spans="6:10" x14ac:dyDescent="0.25">
      <c r="F5512" s="76" t="s">
        <v>150</v>
      </c>
      <c r="G5512" s="77" t="s">
        <v>281</v>
      </c>
      <c r="H5512" s="77" t="s">
        <v>267</v>
      </c>
      <c r="I5512" s="86">
        <v>41991</v>
      </c>
      <c r="J5512" s="78">
        <v>749</v>
      </c>
    </row>
    <row r="5513" spans="6:10" x14ac:dyDescent="0.25">
      <c r="F5513" s="76" t="s">
        <v>150</v>
      </c>
      <c r="G5513" s="77" t="s">
        <v>281</v>
      </c>
      <c r="H5513" s="77" t="s">
        <v>267</v>
      </c>
      <c r="I5513" s="86">
        <v>41992</v>
      </c>
      <c r="J5513" s="78">
        <v>1129</v>
      </c>
    </row>
    <row r="5514" spans="6:10" x14ac:dyDescent="0.25">
      <c r="F5514" s="76" t="s">
        <v>150</v>
      </c>
      <c r="G5514" s="77" t="s">
        <v>281</v>
      </c>
      <c r="H5514" s="77" t="s">
        <v>267</v>
      </c>
      <c r="I5514" s="86">
        <v>41992</v>
      </c>
      <c r="J5514" s="78">
        <v>655</v>
      </c>
    </row>
    <row r="5515" spans="6:10" x14ac:dyDescent="0.25">
      <c r="F5515" s="76" t="s">
        <v>150</v>
      </c>
      <c r="G5515" s="77" t="s">
        <v>281</v>
      </c>
      <c r="H5515" s="77" t="s">
        <v>267</v>
      </c>
      <c r="I5515" s="86">
        <v>41993</v>
      </c>
      <c r="J5515" s="78">
        <v>1024</v>
      </c>
    </row>
    <row r="5516" spans="6:10" x14ac:dyDescent="0.25">
      <c r="F5516" s="76" t="s">
        <v>150</v>
      </c>
      <c r="G5516" s="77" t="s">
        <v>281</v>
      </c>
      <c r="H5516" s="77" t="s">
        <v>267</v>
      </c>
      <c r="I5516" s="86">
        <v>41994</v>
      </c>
      <c r="J5516" s="78">
        <v>1176</v>
      </c>
    </row>
    <row r="5517" spans="6:10" x14ac:dyDescent="0.25">
      <c r="F5517" s="76" t="s">
        <v>150</v>
      </c>
      <c r="G5517" s="77" t="s">
        <v>281</v>
      </c>
      <c r="H5517" s="77" t="s">
        <v>267</v>
      </c>
      <c r="I5517" s="86">
        <v>41995</v>
      </c>
      <c r="J5517" s="78">
        <v>901</v>
      </c>
    </row>
    <row r="5518" spans="6:10" x14ac:dyDescent="0.25">
      <c r="F5518" s="76" t="s">
        <v>150</v>
      </c>
      <c r="G5518" s="77" t="s">
        <v>281</v>
      </c>
      <c r="H5518" s="77" t="s">
        <v>267</v>
      </c>
      <c r="I5518" s="86">
        <v>41996</v>
      </c>
      <c r="J5518" s="78">
        <v>519</v>
      </c>
    </row>
    <row r="5519" spans="6:10" x14ac:dyDescent="0.25">
      <c r="F5519" s="76" t="s">
        <v>150</v>
      </c>
      <c r="G5519" s="77" t="s">
        <v>281</v>
      </c>
      <c r="H5519" s="77" t="s">
        <v>267</v>
      </c>
      <c r="I5519" s="86">
        <v>41997</v>
      </c>
      <c r="J5519" s="78">
        <v>610</v>
      </c>
    </row>
    <row r="5520" spans="6:10" x14ac:dyDescent="0.25">
      <c r="F5520" s="76" t="s">
        <v>150</v>
      </c>
      <c r="G5520" s="77" t="s">
        <v>281</v>
      </c>
      <c r="H5520" s="77" t="s">
        <v>267</v>
      </c>
      <c r="I5520" s="86">
        <v>41997</v>
      </c>
      <c r="J5520" s="78">
        <v>530</v>
      </c>
    </row>
    <row r="5521" spans="6:10" x14ac:dyDescent="0.25">
      <c r="F5521" s="76" t="s">
        <v>150</v>
      </c>
      <c r="G5521" s="77" t="s">
        <v>281</v>
      </c>
      <c r="H5521" s="77" t="s">
        <v>267</v>
      </c>
      <c r="I5521" s="86">
        <v>41998</v>
      </c>
      <c r="J5521" s="78">
        <v>775</v>
      </c>
    </row>
    <row r="5522" spans="6:10" x14ac:dyDescent="0.25">
      <c r="F5522" s="76" t="s">
        <v>150</v>
      </c>
      <c r="G5522" s="77" t="s">
        <v>281</v>
      </c>
      <c r="H5522" s="77" t="s">
        <v>267</v>
      </c>
      <c r="I5522" s="86">
        <v>41998</v>
      </c>
      <c r="J5522" s="78">
        <v>604</v>
      </c>
    </row>
    <row r="5523" spans="6:10" x14ac:dyDescent="0.25">
      <c r="F5523" s="76" t="s">
        <v>150</v>
      </c>
      <c r="G5523" s="77" t="s">
        <v>281</v>
      </c>
      <c r="H5523" s="77" t="s">
        <v>267</v>
      </c>
      <c r="I5523" s="86">
        <v>41999</v>
      </c>
      <c r="J5523" s="78">
        <v>1146</v>
      </c>
    </row>
    <row r="5524" spans="6:10" x14ac:dyDescent="0.25">
      <c r="F5524" s="76" t="s">
        <v>150</v>
      </c>
      <c r="G5524" s="77" t="s">
        <v>281</v>
      </c>
      <c r="H5524" s="77" t="s">
        <v>267</v>
      </c>
      <c r="I5524" s="86">
        <v>42000</v>
      </c>
      <c r="J5524" s="78">
        <v>960</v>
      </c>
    </row>
    <row r="5525" spans="6:10" x14ac:dyDescent="0.25">
      <c r="F5525" s="76" t="s">
        <v>150</v>
      </c>
      <c r="G5525" s="77" t="s">
        <v>281</v>
      </c>
      <c r="H5525" s="77" t="s">
        <v>267</v>
      </c>
      <c r="I5525" s="86">
        <v>42001</v>
      </c>
      <c r="J5525" s="78">
        <v>1137</v>
      </c>
    </row>
    <row r="5526" spans="6:10" x14ac:dyDescent="0.25">
      <c r="F5526" s="76" t="s">
        <v>150</v>
      </c>
      <c r="G5526" s="77" t="s">
        <v>281</v>
      </c>
      <c r="H5526" s="77" t="s">
        <v>267</v>
      </c>
      <c r="I5526" s="86">
        <v>42002</v>
      </c>
      <c r="J5526" s="78">
        <v>1124</v>
      </c>
    </row>
    <row r="5527" spans="6:10" x14ac:dyDescent="0.25">
      <c r="F5527" s="76" t="s">
        <v>150</v>
      </c>
      <c r="G5527" s="77" t="s">
        <v>282</v>
      </c>
      <c r="H5527" s="77" t="s">
        <v>267</v>
      </c>
      <c r="I5527" s="86">
        <v>41841</v>
      </c>
      <c r="J5527" s="78">
        <v>674</v>
      </c>
    </row>
    <row r="5528" spans="6:10" x14ac:dyDescent="0.25">
      <c r="F5528" s="76" t="s">
        <v>150</v>
      </c>
      <c r="G5528" s="77" t="s">
        <v>282</v>
      </c>
      <c r="H5528" s="77" t="s">
        <v>267</v>
      </c>
      <c r="I5528" s="86">
        <v>41847</v>
      </c>
      <c r="J5528" s="78">
        <v>414</v>
      </c>
    </row>
    <row r="5529" spans="6:10" x14ac:dyDescent="0.25">
      <c r="F5529" s="76" t="s">
        <v>150</v>
      </c>
      <c r="G5529" s="77" t="s">
        <v>282</v>
      </c>
      <c r="H5529" s="77" t="s">
        <v>267</v>
      </c>
      <c r="I5529" s="86">
        <v>41849</v>
      </c>
      <c r="J5529" s="78">
        <v>1057</v>
      </c>
    </row>
    <row r="5530" spans="6:10" x14ac:dyDescent="0.25">
      <c r="F5530" s="76" t="s">
        <v>150</v>
      </c>
      <c r="G5530" s="77" t="s">
        <v>282</v>
      </c>
      <c r="H5530" s="77" t="s">
        <v>267</v>
      </c>
      <c r="I5530" s="86">
        <v>41850</v>
      </c>
      <c r="J5530" s="78">
        <v>694</v>
      </c>
    </row>
    <row r="5531" spans="6:10" x14ac:dyDescent="0.25">
      <c r="F5531" s="76" t="s">
        <v>150</v>
      </c>
      <c r="G5531" s="77" t="s">
        <v>282</v>
      </c>
      <c r="H5531" s="77" t="s">
        <v>267</v>
      </c>
      <c r="I5531" s="86">
        <v>41852</v>
      </c>
      <c r="J5531" s="78">
        <v>1112</v>
      </c>
    </row>
    <row r="5532" spans="6:10" x14ac:dyDescent="0.25">
      <c r="F5532" s="76" t="s">
        <v>150</v>
      </c>
      <c r="G5532" s="77" t="s">
        <v>282</v>
      </c>
      <c r="H5532" s="77" t="s">
        <v>267</v>
      </c>
      <c r="I5532" s="86">
        <v>41853</v>
      </c>
      <c r="J5532" s="78">
        <v>672</v>
      </c>
    </row>
    <row r="5533" spans="6:10" x14ac:dyDescent="0.25">
      <c r="F5533" s="76" t="s">
        <v>150</v>
      </c>
      <c r="G5533" s="77" t="s">
        <v>282</v>
      </c>
      <c r="H5533" s="77" t="s">
        <v>267</v>
      </c>
      <c r="I5533" s="86">
        <v>41853</v>
      </c>
      <c r="J5533" s="78">
        <v>1039</v>
      </c>
    </row>
    <row r="5534" spans="6:10" x14ac:dyDescent="0.25">
      <c r="F5534" s="76" t="s">
        <v>150</v>
      </c>
      <c r="G5534" s="77" t="s">
        <v>282</v>
      </c>
      <c r="H5534" s="77" t="s">
        <v>267</v>
      </c>
      <c r="I5534" s="86">
        <v>41854</v>
      </c>
      <c r="J5534" s="78">
        <v>1243</v>
      </c>
    </row>
    <row r="5535" spans="6:10" x14ac:dyDescent="0.25">
      <c r="F5535" s="76" t="s">
        <v>150</v>
      </c>
      <c r="G5535" s="77" t="s">
        <v>282</v>
      </c>
      <c r="H5535" s="77" t="s">
        <v>267</v>
      </c>
      <c r="I5535" s="86">
        <v>41855</v>
      </c>
      <c r="J5535" s="78">
        <v>958</v>
      </c>
    </row>
    <row r="5536" spans="6:10" x14ac:dyDescent="0.25">
      <c r="F5536" s="76" t="s">
        <v>150</v>
      </c>
      <c r="G5536" s="77" t="s">
        <v>282</v>
      </c>
      <c r="H5536" s="77" t="s">
        <v>267</v>
      </c>
      <c r="I5536" s="86">
        <v>41856</v>
      </c>
      <c r="J5536" s="78">
        <v>978</v>
      </c>
    </row>
    <row r="5537" spans="6:10" x14ac:dyDescent="0.25">
      <c r="F5537" s="76" t="s">
        <v>150</v>
      </c>
      <c r="G5537" s="77" t="s">
        <v>282</v>
      </c>
      <c r="H5537" s="77" t="s">
        <v>267</v>
      </c>
      <c r="I5537" s="86">
        <v>41857</v>
      </c>
      <c r="J5537" s="78">
        <v>645</v>
      </c>
    </row>
    <row r="5538" spans="6:10" x14ac:dyDescent="0.25">
      <c r="F5538" s="76" t="s">
        <v>150</v>
      </c>
      <c r="G5538" s="77" t="s">
        <v>282</v>
      </c>
      <c r="H5538" s="77" t="s">
        <v>267</v>
      </c>
      <c r="I5538" s="86">
        <v>41864</v>
      </c>
      <c r="J5538" s="78">
        <v>931</v>
      </c>
    </row>
    <row r="5539" spans="6:10" x14ac:dyDescent="0.25">
      <c r="F5539" s="76" t="s">
        <v>150</v>
      </c>
      <c r="G5539" s="77" t="s">
        <v>282</v>
      </c>
      <c r="H5539" s="77" t="s">
        <v>267</v>
      </c>
      <c r="I5539" s="86">
        <v>41865</v>
      </c>
      <c r="J5539" s="78">
        <v>1258</v>
      </c>
    </row>
    <row r="5540" spans="6:10" x14ac:dyDescent="0.25">
      <c r="F5540" s="76" t="s">
        <v>150</v>
      </c>
      <c r="G5540" s="77" t="s">
        <v>282</v>
      </c>
      <c r="H5540" s="77" t="s">
        <v>267</v>
      </c>
      <c r="I5540" s="86">
        <v>41866</v>
      </c>
      <c r="J5540" s="78">
        <v>722</v>
      </c>
    </row>
    <row r="5541" spans="6:10" x14ac:dyDescent="0.25">
      <c r="F5541" s="76" t="s">
        <v>150</v>
      </c>
      <c r="G5541" s="77" t="s">
        <v>282</v>
      </c>
      <c r="H5541" s="77" t="s">
        <v>267</v>
      </c>
      <c r="I5541" s="86">
        <v>41870</v>
      </c>
      <c r="J5541" s="78">
        <v>947</v>
      </c>
    </row>
    <row r="5542" spans="6:10" x14ac:dyDescent="0.25">
      <c r="F5542" s="76" t="s">
        <v>150</v>
      </c>
      <c r="G5542" s="77" t="s">
        <v>282</v>
      </c>
      <c r="H5542" s="77" t="s">
        <v>267</v>
      </c>
      <c r="I5542" s="86">
        <v>41872</v>
      </c>
      <c r="J5542" s="78">
        <v>1450</v>
      </c>
    </row>
    <row r="5543" spans="6:10" x14ac:dyDescent="0.25">
      <c r="F5543" s="76" t="s">
        <v>150</v>
      </c>
      <c r="G5543" s="77" t="s">
        <v>282</v>
      </c>
      <c r="H5543" s="77" t="s">
        <v>267</v>
      </c>
      <c r="I5543" s="86">
        <v>41876</v>
      </c>
      <c r="J5543" s="78">
        <v>1166</v>
      </c>
    </row>
    <row r="5544" spans="6:10" x14ac:dyDescent="0.25">
      <c r="F5544" s="76" t="s">
        <v>150</v>
      </c>
      <c r="G5544" s="77" t="s">
        <v>282</v>
      </c>
      <c r="H5544" s="77" t="s">
        <v>267</v>
      </c>
      <c r="I5544" s="86">
        <v>41877</v>
      </c>
      <c r="J5544" s="78">
        <v>555</v>
      </c>
    </row>
    <row r="5545" spans="6:10" x14ac:dyDescent="0.25">
      <c r="F5545" s="76" t="s">
        <v>150</v>
      </c>
      <c r="G5545" s="77" t="s">
        <v>282</v>
      </c>
      <c r="H5545" s="77" t="s">
        <v>267</v>
      </c>
      <c r="I5545" s="86">
        <v>41878</v>
      </c>
      <c r="J5545" s="78">
        <v>935</v>
      </c>
    </row>
    <row r="5546" spans="6:10" x14ac:dyDescent="0.25">
      <c r="F5546" s="76" t="s">
        <v>150</v>
      </c>
      <c r="G5546" s="77" t="s">
        <v>282</v>
      </c>
      <c r="H5546" s="77" t="s">
        <v>267</v>
      </c>
      <c r="I5546" s="86">
        <v>41880</v>
      </c>
      <c r="J5546" s="78">
        <v>894</v>
      </c>
    </row>
    <row r="5547" spans="6:10" x14ac:dyDescent="0.25">
      <c r="F5547" s="76" t="s">
        <v>150</v>
      </c>
      <c r="G5547" s="77" t="s">
        <v>282</v>
      </c>
      <c r="H5547" s="77" t="s">
        <v>267</v>
      </c>
      <c r="I5547" s="86">
        <v>41881</v>
      </c>
      <c r="J5547" s="78">
        <v>527</v>
      </c>
    </row>
    <row r="5548" spans="6:10" x14ac:dyDescent="0.25">
      <c r="F5548" s="76" t="s">
        <v>150</v>
      </c>
      <c r="G5548" s="77" t="s">
        <v>282</v>
      </c>
      <c r="H5548" s="77" t="s">
        <v>267</v>
      </c>
      <c r="I5548" s="86">
        <v>41882</v>
      </c>
      <c r="J5548" s="78">
        <v>839</v>
      </c>
    </row>
    <row r="5549" spans="6:10" x14ac:dyDescent="0.25">
      <c r="F5549" s="76" t="s">
        <v>150</v>
      </c>
      <c r="G5549" s="77" t="s">
        <v>282</v>
      </c>
      <c r="H5549" s="77" t="s">
        <v>267</v>
      </c>
      <c r="I5549" s="86">
        <v>41883</v>
      </c>
      <c r="J5549" s="78">
        <v>927</v>
      </c>
    </row>
    <row r="5550" spans="6:10" x14ac:dyDescent="0.25">
      <c r="F5550" s="76" t="s">
        <v>150</v>
      </c>
      <c r="G5550" s="77" t="s">
        <v>282</v>
      </c>
      <c r="H5550" s="77" t="s">
        <v>267</v>
      </c>
      <c r="I5550" s="86">
        <v>41884</v>
      </c>
      <c r="J5550" s="78">
        <v>621</v>
      </c>
    </row>
    <row r="5551" spans="6:10" x14ac:dyDescent="0.25">
      <c r="F5551" s="76" t="s">
        <v>150</v>
      </c>
      <c r="G5551" s="77" t="s">
        <v>282</v>
      </c>
      <c r="H5551" s="77" t="s">
        <v>267</v>
      </c>
      <c r="I5551" s="86">
        <v>41885</v>
      </c>
      <c r="J5551" s="78">
        <v>662</v>
      </c>
    </row>
    <row r="5552" spans="6:10" x14ac:dyDescent="0.25">
      <c r="F5552" s="76" t="s">
        <v>150</v>
      </c>
      <c r="G5552" s="77" t="s">
        <v>282</v>
      </c>
      <c r="H5552" s="77" t="s">
        <v>267</v>
      </c>
      <c r="I5552" s="86">
        <v>41887</v>
      </c>
      <c r="J5552" s="78">
        <v>1164</v>
      </c>
    </row>
    <row r="5553" spans="6:10" x14ac:dyDescent="0.25">
      <c r="F5553" s="76" t="s">
        <v>150</v>
      </c>
      <c r="G5553" s="77" t="s">
        <v>282</v>
      </c>
      <c r="H5553" s="77" t="s">
        <v>267</v>
      </c>
      <c r="I5553" s="86">
        <v>41888</v>
      </c>
      <c r="J5553" s="78">
        <v>700</v>
      </c>
    </row>
    <row r="5554" spans="6:10" x14ac:dyDescent="0.25">
      <c r="F5554" s="76" t="s">
        <v>150</v>
      </c>
      <c r="G5554" s="77" t="s">
        <v>282</v>
      </c>
      <c r="H5554" s="77" t="s">
        <v>267</v>
      </c>
      <c r="I5554" s="86">
        <v>41888</v>
      </c>
      <c r="J5554" s="78">
        <v>800</v>
      </c>
    </row>
    <row r="5555" spans="6:10" x14ac:dyDescent="0.25">
      <c r="F5555" s="76" t="s">
        <v>150</v>
      </c>
      <c r="G5555" s="77" t="s">
        <v>282</v>
      </c>
      <c r="H5555" s="77" t="s">
        <v>267</v>
      </c>
      <c r="I5555" s="86">
        <v>41889</v>
      </c>
      <c r="J5555" s="78">
        <v>958</v>
      </c>
    </row>
    <row r="5556" spans="6:10" x14ac:dyDescent="0.25">
      <c r="F5556" s="76" t="s">
        <v>150</v>
      </c>
      <c r="G5556" s="77" t="s">
        <v>282</v>
      </c>
      <c r="H5556" s="77" t="s">
        <v>267</v>
      </c>
      <c r="I5556" s="86">
        <v>41891</v>
      </c>
      <c r="J5556" s="78">
        <v>956</v>
      </c>
    </row>
    <row r="5557" spans="6:10" x14ac:dyDescent="0.25">
      <c r="F5557" s="76" t="s">
        <v>150</v>
      </c>
      <c r="G5557" s="77" t="s">
        <v>282</v>
      </c>
      <c r="H5557" s="77" t="s">
        <v>267</v>
      </c>
      <c r="I5557" s="86">
        <v>41892</v>
      </c>
      <c r="J5557" s="78">
        <v>543</v>
      </c>
    </row>
    <row r="5558" spans="6:10" x14ac:dyDescent="0.25">
      <c r="F5558" s="76" t="s">
        <v>150</v>
      </c>
      <c r="G5558" s="77" t="s">
        <v>282</v>
      </c>
      <c r="H5558" s="77" t="s">
        <v>267</v>
      </c>
      <c r="I5558" s="86">
        <v>41893</v>
      </c>
      <c r="J5558" s="78">
        <v>590</v>
      </c>
    </row>
    <row r="5559" spans="6:10" x14ac:dyDescent="0.25">
      <c r="F5559" s="76" t="s">
        <v>150</v>
      </c>
      <c r="G5559" s="77" t="s">
        <v>282</v>
      </c>
      <c r="H5559" s="77" t="s">
        <v>267</v>
      </c>
      <c r="I5559" s="86">
        <v>41894</v>
      </c>
      <c r="J5559" s="78">
        <v>707</v>
      </c>
    </row>
    <row r="5560" spans="6:10" x14ac:dyDescent="0.25">
      <c r="F5560" s="76" t="s">
        <v>150</v>
      </c>
      <c r="G5560" s="77" t="s">
        <v>282</v>
      </c>
      <c r="H5560" s="77" t="s">
        <v>267</v>
      </c>
      <c r="I5560" s="86">
        <v>41896</v>
      </c>
      <c r="J5560" s="78">
        <v>714</v>
      </c>
    </row>
    <row r="5561" spans="6:10" x14ac:dyDescent="0.25">
      <c r="F5561" s="76" t="s">
        <v>150</v>
      </c>
      <c r="G5561" s="77" t="s">
        <v>282</v>
      </c>
      <c r="H5561" s="77" t="s">
        <v>267</v>
      </c>
      <c r="I5561" s="86">
        <v>41897</v>
      </c>
      <c r="J5561" s="78">
        <v>930</v>
      </c>
    </row>
    <row r="5562" spans="6:10" x14ac:dyDescent="0.25">
      <c r="F5562" s="76" t="s">
        <v>150</v>
      </c>
      <c r="G5562" s="77" t="s">
        <v>282</v>
      </c>
      <c r="H5562" s="77" t="s">
        <v>267</v>
      </c>
      <c r="I5562" s="86">
        <v>41900</v>
      </c>
      <c r="J5562" s="78">
        <v>719</v>
      </c>
    </row>
    <row r="5563" spans="6:10" x14ac:dyDescent="0.25">
      <c r="F5563" s="76" t="s">
        <v>150</v>
      </c>
      <c r="G5563" s="77" t="s">
        <v>282</v>
      </c>
      <c r="H5563" s="77" t="s">
        <v>267</v>
      </c>
      <c r="I5563" s="86">
        <v>41901</v>
      </c>
      <c r="J5563" s="78">
        <v>876</v>
      </c>
    </row>
    <row r="5564" spans="6:10" x14ac:dyDescent="0.25">
      <c r="F5564" s="76" t="s">
        <v>150</v>
      </c>
      <c r="G5564" s="77" t="s">
        <v>282</v>
      </c>
      <c r="H5564" s="77" t="s">
        <v>267</v>
      </c>
      <c r="I5564" s="86">
        <v>41904</v>
      </c>
      <c r="J5564" s="78">
        <v>765</v>
      </c>
    </row>
    <row r="5565" spans="6:10" x14ac:dyDescent="0.25">
      <c r="F5565" s="76" t="s">
        <v>150</v>
      </c>
      <c r="G5565" s="77" t="s">
        <v>282</v>
      </c>
      <c r="H5565" s="77" t="s">
        <v>267</v>
      </c>
      <c r="I5565" s="86">
        <v>41904</v>
      </c>
      <c r="J5565" s="78">
        <v>585</v>
      </c>
    </row>
    <row r="5566" spans="6:10" x14ac:dyDescent="0.25">
      <c r="F5566" s="76" t="s">
        <v>150</v>
      </c>
      <c r="G5566" s="77" t="s">
        <v>282</v>
      </c>
      <c r="H5566" s="77" t="s">
        <v>267</v>
      </c>
      <c r="I5566" s="86">
        <v>41906</v>
      </c>
      <c r="J5566" s="78">
        <v>707</v>
      </c>
    </row>
    <row r="5567" spans="6:10" x14ac:dyDescent="0.25">
      <c r="F5567" s="76" t="s">
        <v>150</v>
      </c>
      <c r="G5567" s="77" t="s">
        <v>282</v>
      </c>
      <c r="H5567" s="77" t="s">
        <v>267</v>
      </c>
      <c r="I5567" s="86">
        <v>41907</v>
      </c>
      <c r="J5567" s="78">
        <v>698</v>
      </c>
    </row>
    <row r="5568" spans="6:10" x14ac:dyDescent="0.25">
      <c r="F5568" s="76" t="s">
        <v>150</v>
      </c>
      <c r="G5568" s="77" t="s">
        <v>282</v>
      </c>
      <c r="H5568" s="77" t="s">
        <v>267</v>
      </c>
      <c r="I5568" s="86">
        <v>41909</v>
      </c>
      <c r="J5568" s="78">
        <v>578</v>
      </c>
    </row>
    <row r="5569" spans="6:10" x14ac:dyDescent="0.25">
      <c r="F5569" s="76" t="s">
        <v>150</v>
      </c>
      <c r="G5569" s="77" t="s">
        <v>282</v>
      </c>
      <c r="H5569" s="77" t="s">
        <v>267</v>
      </c>
      <c r="I5569" s="86">
        <v>41909</v>
      </c>
      <c r="J5569" s="78">
        <v>536</v>
      </c>
    </row>
    <row r="5570" spans="6:10" x14ac:dyDescent="0.25">
      <c r="F5570" s="76" t="s">
        <v>150</v>
      </c>
      <c r="G5570" s="77" t="s">
        <v>282</v>
      </c>
      <c r="H5570" s="77" t="s">
        <v>267</v>
      </c>
      <c r="I5570" s="86">
        <v>41910</v>
      </c>
      <c r="J5570" s="78">
        <v>453</v>
      </c>
    </row>
    <row r="5571" spans="6:10" x14ac:dyDescent="0.25">
      <c r="F5571" s="76" t="s">
        <v>150</v>
      </c>
      <c r="G5571" s="77" t="s">
        <v>282</v>
      </c>
      <c r="H5571" s="77" t="s">
        <v>267</v>
      </c>
      <c r="I5571" s="86">
        <v>41911</v>
      </c>
      <c r="J5571" s="78">
        <v>918</v>
      </c>
    </row>
    <row r="5572" spans="6:10" x14ac:dyDescent="0.25">
      <c r="F5572" s="76" t="s">
        <v>150</v>
      </c>
      <c r="G5572" s="77" t="s">
        <v>282</v>
      </c>
      <c r="H5572" s="77" t="s">
        <v>267</v>
      </c>
      <c r="I5572" s="86">
        <v>41913</v>
      </c>
      <c r="J5572" s="78">
        <v>722</v>
      </c>
    </row>
    <row r="5573" spans="6:10" x14ac:dyDescent="0.25">
      <c r="F5573" s="76" t="s">
        <v>150</v>
      </c>
      <c r="G5573" s="77" t="s">
        <v>282</v>
      </c>
      <c r="H5573" s="77" t="s">
        <v>267</v>
      </c>
      <c r="I5573" s="86">
        <v>41917</v>
      </c>
      <c r="J5573" s="78">
        <v>868</v>
      </c>
    </row>
    <row r="5574" spans="6:10" x14ac:dyDescent="0.25">
      <c r="F5574" s="76" t="s">
        <v>150</v>
      </c>
      <c r="G5574" s="77" t="s">
        <v>282</v>
      </c>
      <c r="H5574" s="77" t="s">
        <v>267</v>
      </c>
      <c r="I5574" s="86">
        <v>41917</v>
      </c>
      <c r="J5574" s="78">
        <v>413</v>
      </c>
    </row>
    <row r="5575" spans="6:10" x14ac:dyDescent="0.25">
      <c r="F5575" s="76" t="s">
        <v>150</v>
      </c>
      <c r="G5575" s="77" t="s">
        <v>282</v>
      </c>
      <c r="H5575" s="77" t="s">
        <v>267</v>
      </c>
      <c r="I5575" s="86">
        <v>41924</v>
      </c>
      <c r="J5575" s="78">
        <v>1020</v>
      </c>
    </row>
    <row r="5576" spans="6:10" x14ac:dyDescent="0.25">
      <c r="F5576" s="76" t="s">
        <v>150</v>
      </c>
      <c r="G5576" s="77" t="s">
        <v>282</v>
      </c>
      <c r="H5576" s="77" t="s">
        <v>267</v>
      </c>
      <c r="I5576" s="86">
        <v>41931</v>
      </c>
      <c r="J5576" s="78">
        <v>665</v>
      </c>
    </row>
    <row r="5577" spans="6:10" x14ac:dyDescent="0.25">
      <c r="F5577" s="76" t="s">
        <v>150</v>
      </c>
      <c r="G5577" s="77" t="s">
        <v>282</v>
      </c>
      <c r="H5577" s="77" t="s">
        <v>267</v>
      </c>
      <c r="I5577" s="86">
        <v>41932</v>
      </c>
      <c r="J5577" s="78">
        <v>587</v>
      </c>
    </row>
    <row r="5578" spans="6:10" x14ac:dyDescent="0.25">
      <c r="F5578" s="76" t="s">
        <v>150</v>
      </c>
      <c r="G5578" s="77" t="s">
        <v>282</v>
      </c>
      <c r="H5578" s="77" t="s">
        <v>267</v>
      </c>
      <c r="I5578" s="86">
        <v>41933</v>
      </c>
      <c r="J5578" s="78">
        <v>853</v>
      </c>
    </row>
    <row r="5579" spans="6:10" x14ac:dyDescent="0.25">
      <c r="F5579" s="76" t="s">
        <v>150</v>
      </c>
      <c r="G5579" s="77" t="s">
        <v>282</v>
      </c>
      <c r="H5579" s="77" t="s">
        <v>267</v>
      </c>
      <c r="I5579" s="86">
        <v>41935</v>
      </c>
      <c r="J5579" s="78">
        <v>740</v>
      </c>
    </row>
    <row r="5580" spans="6:10" x14ac:dyDescent="0.25">
      <c r="F5580" s="76" t="s">
        <v>150</v>
      </c>
      <c r="G5580" s="77" t="s">
        <v>282</v>
      </c>
      <c r="H5580" s="77" t="s">
        <v>267</v>
      </c>
      <c r="I5580" s="86">
        <v>41936</v>
      </c>
      <c r="J5580" s="78">
        <v>576</v>
      </c>
    </row>
    <row r="5581" spans="6:10" x14ac:dyDescent="0.25">
      <c r="F5581" s="76" t="s">
        <v>150</v>
      </c>
      <c r="G5581" s="77" t="s">
        <v>282</v>
      </c>
      <c r="H5581" s="77" t="s">
        <v>267</v>
      </c>
      <c r="I5581" s="86">
        <v>41940</v>
      </c>
      <c r="J5581" s="78">
        <v>1012</v>
      </c>
    </row>
    <row r="5582" spans="6:10" x14ac:dyDescent="0.25">
      <c r="F5582" s="76" t="s">
        <v>150</v>
      </c>
      <c r="G5582" s="77" t="s">
        <v>282</v>
      </c>
      <c r="H5582" s="77" t="s">
        <v>267</v>
      </c>
      <c r="I5582" s="86">
        <v>41942</v>
      </c>
      <c r="J5582" s="78">
        <v>1032</v>
      </c>
    </row>
    <row r="5583" spans="6:10" x14ac:dyDescent="0.25">
      <c r="F5583" s="76" t="s">
        <v>150</v>
      </c>
      <c r="G5583" s="77" t="s">
        <v>282</v>
      </c>
      <c r="H5583" s="77" t="s">
        <v>267</v>
      </c>
      <c r="I5583" s="86">
        <v>41973</v>
      </c>
      <c r="J5583" s="78">
        <v>1178</v>
      </c>
    </row>
    <row r="5584" spans="6:10" x14ac:dyDescent="0.25">
      <c r="F5584" s="76" t="s">
        <v>150</v>
      </c>
      <c r="G5584" s="77" t="s">
        <v>282</v>
      </c>
      <c r="H5584" s="77" t="s">
        <v>267</v>
      </c>
      <c r="I5584" s="86">
        <v>41974</v>
      </c>
      <c r="J5584" s="78">
        <v>730</v>
      </c>
    </row>
    <row r="5585" spans="6:10" x14ac:dyDescent="0.25">
      <c r="F5585" s="76" t="s">
        <v>150</v>
      </c>
      <c r="G5585" s="77" t="s">
        <v>282</v>
      </c>
      <c r="H5585" s="77" t="s">
        <v>267</v>
      </c>
      <c r="I5585" s="86">
        <v>41984</v>
      </c>
      <c r="J5585" s="78">
        <v>1062</v>
      </c>
    </row>
    <row r="5586" spans="6:10" x14ac:dyDescent="0.25">
      <c r="F5586" s="76" t="s">
        <v>150</v>
      </c>
      <c r="G5586" s="77" t="s">
        <v>282</v>
      </c>
      <c r="H5586" s="77" t="s">
        <v>267</v>
      </c>
      <c r="I5586" s="86">
        <v>41985</v>
      </c>
      <c r="J5586" s="78">
        <v>738</v>
      </c>
    </row>
    <row r="5587" spans="6:10" x14ac:dyDescent="0.25">
      <c r="F5587" s="76" t="s">
        <v>150</v>
      </c>
      <c r="G5587" s="77" t="s">
        <v>282</v>
      </c>
      <c r="H5587" s="77" t="s">
        <v>267</v>
      </c>
      <c r="I5587" s="86">
        <v>41985</v>
      </c>
      <c r="J5587" s="78">
        <v>1086</v>
      </c>
    </row>
    <row r="5588" spans="6:10" x14ac:dyDescent="0.25">
      <c r="F5588" s="76" t="s">
        <v>150</v>
      </c>
      <c r="G5588" s="77" t="s">
        <v>282</v>
      </c>
      <c r="H5588" s="77" t="s">
        <v>267</v>
      </c>
      <c r="I5588" s="86">
        <v>41986</v>
      </c>
      <c r="J5588" s="78">
        <v>1166</v>
      </c>
    </row>
    <row r="5589" spans="6:10" x14ac:dyDescent="0.25">
      <c r="F5589" s="76" t="s">
        <v>150</v>
      </c>
      <c r="G5589" s="77" t="s">
        <v>282</v>
      </c>
      <c r="H5589" s="77" t="s">
        <v>267</v>
      </c>
      <c r="I5589" s="86">
        <v>41987</v>
      </c>
      <c r="J5589" s="78">
        <v>695</v>
      </c>
    </row>
    <row r="5590" spans="6:10" x14ac:dyDescent="0.25">
      <c r="F5590" s="76" t="s">
        <v>150</v>
      </c>
      <c r="G5590" s="77" t="s">
        <v>282</v>
      </c>
      <c r="H5590" s="77" t="s">
        <v>267</v>
      </c>
      <c r="I5590" s="86">
        <v>41987</v>
      </c>
      <c r="J5590" s="78">
        <v>1023</v>
      </c>
    </row>
    <row r="5591" spans="6:10" x14ac:dyDescent="0.25">
      <c r="F5591" s="76" t="s">
        <v>150</v>
      </c>
      <c r="G5591" s="77" t="s">
        <v>282</v>
      </c>
      <c r="H5591" s="77" t="s">
        <v>267</v>
      </c>
      <c r="I5591" s="86">
        <v>41988</v>
      </c>
      <c r="J5591" s="78">
        <v>890</v>
      </c>
    </row>
    <row r="5592" spans="6:10" x14ac:dyDescent="0.25">
      <c r="F5592" s="76" t="s">
        <v>150</v>
      </c>
      <c r="G5592" s="77" t="s">
        <v>282</v>
      </c>
      <c r="H5592" s="77" t="s">
        <v>267</v>
      </c>
      <c r="I5592" s="86">
        <v>41990</v>
      </c>
      <c r="J5592" s="78">
        <v>669</v>
      </c>
    </row>
    <row r="5593" spans="6:10" x14ac:dyDescent="0.25">
      <c r="F5593" s="76" t="s">
        <v>150</v>
      </c>
      <c r="G5593" s="77" t="s">
        <v>282</v>
      </c>
      <c r="H5593" s="77" t="s">
        <v>267</v>
      </c>
      <c r="I5593" s="86">
        <v>41994</v>
      </c>
      <c r="J5593" s="78">
        <v>711</v>
      </c>
    </row>
    <row r="5594" spans="6:10" x14ac:dyDescent="0.25">
      <c r="F5594" s="76" t="s">
        <v>150</v>
      </c>
      <c r="G5594" s="77" t="s">
        <v>282</v>
      </c>
      <c r="H5594" s="77" t="s">
        <v>267</v>
      </c>
      <c r="I5594" s="86">
        <v>41995</v>
      </c>
      <c r="J5594" s="78">
        <v>910</v>
      </c>
    </row>
    <row r="5595" spans="6:10" x14ac:dyDescent="0.25">
      <c r="F5595" s="76" t="s">
        <v>150</v>
      </c>
      <c r="G5595" s="77" t="s">
        <v>282</v>
      </c>
      <c r="H5595" s="77" t="s">
        <v>267</v>
      </c>
      <c r="I5595" s="86">
        <v>41996</v>
      </c>
      <c r="J5595" s="78">
        <v>761</v>
      </c>
    </row>
    <row r="5596" spans="6:10" x14ac:dyDescent="0.25">
      <c r="F5596" s="76" t="s">
        <v>150</v>
      </c>
      <c r="G5596" s="77" t="s">
        <v>282</v>
      </c>
      <c r="H5596" s="77" t="s">
        <v>267</v>
      </c>
      <c r="I5596" s="86">
        <v>41996</v>
      </c>
      <c r="J5596" s="78">
        <v>1137</v>
      </c>
    </row>
    <row r="5597" spans="6:10" x14ac:dyDescent="0.25">
      <c r="F5597" s="76" t="s">
        <v>150</v>
      </c>
      <c r="G5597" s="77" t="s">
        <v>282</v>
      </c>
      <c r="H5597" s="77" t="s">
        <v>267</v>
      </c>
      <c r="I5597" s="86">
        <v>41997</v>
      </c>
      <c r="J5597" s="78">
        <v>961</v>
      </c>
    </row>
    <row r="5598" spans="6:10" x14ac:dyDescent="0.25">
      <c r="F5598" s="76" t="s">
        <v>150</v>
      </c>
      <c r="G5598" s="77" t="s">
        <v>282</v>
      </c>
      <c r="H5598" s="77" t="s">
        <v>267</v>
      </c>
      <c r="I5598" s="86">
        <v>41999</v>
      </c>
      <c r="J5598" s="78">
        <v>783</v>
      </c>
    </row>
    <row r="5599" spans="6:10" x14ac:dyDescent="0.25">
      <c r="F5599" s="76" t="s">
        <v>150</v>
      </c>
      <c r="G5599" s="77" t="s">
        <v>283</v>
      </c>
      <c r="H5599" s="77" t="s">
        <v>267</v>
      </c>
      <c r="I5599" s="86">
        <v>41641</v>
      </c>
      <c r="J5599" s="78">
        <v>843</v>
      </c>
    </row>
    <row r="5600" spans="6:10" x14ac:dyDescent="0.25">
      <c r="F5600" s="76" t="s">
        <v>150</v>
      </c>
      <c r="G5600" s="77" t="s">
        <v>283</v>
      </c>
      <c r="H5600" s="77" t="s">
        <v>267</v>
      </c>
      <c r="I5600" s="86">
        <v>41645</v>
      </c>
      <c r="J5600" s="78">
        <v>1224</v>
      </c>
    </row>
    <row r="5601" spans="6:10" x14ac:dyDescent="0.25">
      <c r="F5601" s="76" t="s">
        <v>150</v>
      </c>
      <c r="G5601" s="77" t="s">
        <v>283</v>
      </c>
      <c r="H5601" s="77" t="s">
        <v>267</v>
      </c>
      <c r="I5601" s="86">
        <v>41646</v>
      </c>
      <c r="J5601" s="78">
        <v>1080</v>
      </c>
    </row>
    <row r="5602" spans="6:10" x14ac:dyDescent="0.25">
      <c r="F5602" s="76" t="s">
        <v>150</v>
      </c>
      <c r="G5602" s="77" t="s">
        <v>283</v>
      </c>
      <c r="H5602" s="77" t="s">
        <v>267</v>
      </c>
      <c r="I5602" s="86">
        <v>41647</v>
      </c>
      <c r="J5602" s="78">
        <v>1200</v>
      </c>
    </row>
    <row r="5603" spans="6:10" x14ac:dyDescent="0.25">
      <c r="F5603" s="76" t="s">
        <v>150</v>
      </c>
      <c r="G5603" s="77" t="s">
        <v>283</v>
      </c>
      <c r="H5603" s="77" t="s">
        <v>267</v>
      </c>
      <c r="I5603" s="86">
        <v>41648</v>
      </c>
      <c r="J5603" s="78">
        <v>695</v>
      </c>
    </row>
    <row r="5604" spans="6:10" x14ac:dyDescent="0.25">
      <c r="F5604" s="76" t="s">
        <v>150</v>
      </c>
      <c r="G5604" s="77" t="s">
        <v>283</v>
      </c>
      <c r="H5604" s="77" t="s">
        <v>267</v>
      </c>
      <c r="I5604" s="86">
        <v>41649</v>
      </c>
      <c r="J5604" s="78">
        <v>652</v>
      </c>
    </row>
    <row r="5605" spans="6:10" x14ac:dyDescent="0.25">
      <c r="F5605" s="76" t="s">
        <v>150</v>
      </c>
      <c r="G5605" s="77" t="s">
        <v>283</v>
      </c>
      <c r="H5605" s="77" t="s">
        <v>267</v>
      </c>
      <c r="I5605" s="86">
        <v>41652</v>
      </c>
      <c r="J5605" s="78">
        <v>512</v>
      </c>
    </row>
    <row r="5606" spans="6:10" x14ac:dyDescent="0.25">
      <c r="F5606" s="76" t="s">
        <v>150</v>
      </c>
      <c r="G5606" s="77" t="s">
        <v>283</v>
      </c>
      <c r="H5606" s="77" t="s">
        <v>267</v>
      </c>
      <c r="I5606" s="86">
        <v>41655</v>
      </c>
      <c r="J5606" s="78">
        <v>812</v>
      </c>
    </row>
    <row r="5607" spans="6:10" x14ac:dyDescent="0.25">
      <c r="F5607" s="76" t="s">
        <v>150</v>
      </c>
      <c r="G5607" s="77" t="s">
        <v>283</v>
      </c>
      <c r="H5607" s="77" t="s">
        <v>267</v>
      </c>
      <c r="I5607" s="86">
        <v>41656</v>
      </c>
      <c r="J5607" s="78">
        <v>1134</v>
      </c>
    </row>
    <row r="5608" spans="6:10" x14ac:dyDescent="0.25">
      <c r="F5608" s="76" t="s">
        <v>150</v>
      </c>
      <c r="G5608" s="77" t="s">
        <v>283</v>
      </c>
      <c r="H5608" s="77" t="s">
        <v>267</v>
      </c>
      <c r="I5608" s="86">
        <v>41661</v>
      </c>
      <c r="J5608" s="78">
        <v>896</v>
      </c>
    </row>
    <row r="5609" spans="6:10" x14ac:dyDescent="0.25">
      <c r="F5609" s="76" t="s">
        <v>150</v>
      </c>
      <c r="G5609" s="77" t="s">
        <v>283</v>
      </c>
      <c r="H5609" s="77" t="s">
        <v>267</v>
      </c>
      <c r="I5609" s="86">
        <v>41661</v>
      </c>
      <c r="J5609" s="78">
        <v>1359</v>
      </c>
    </row>
    <row r="5610" spans="6:10" x14ac:dyDescent="0.25">
      <c r="F5610" s="76" t="s">
        <v>150</v>
      </c>
      <c r="G5610" s="77" t="s">
        <v>283</v>
      </c>
      <c r="H5610" s="77" t="s">
        <v>267</v>
      </c>
      <c r="I5610" s="86">
        <v>41692</v>
      </c>
      <c r="J5610" s="78">
        <v>735</v>
      </c>
    </row>
    <row r="5611" spans="6:10" x14ac:dyDescent="0.25">
      <c r="F5611" s="76" t="s">
        <v>150</v>
      </c>
      <c r="G5611" s="77" t="s">
        <v>283</v>
      </c>
      <c r="H5611" s="77" t="s">
        <v>267</v>
      </c>
      <c r="I5611" s="86">
        <v>41692</v>
      </c>
      <c r="J5611" s="78">
        <v>1165</v>
      </c>
    </row>
    <row r="5612" spans="6:10" x14ac:dyDescent="0.25">
      <c r="F5612" s="76" t="s">
        <v>150</v>
      </c>
      <c r="G5612" s="77" t="s">
        <v>283</v>
      </c>
      <c r="H5612" s="77" t="s">
        <v>267</v>
      </c>
      <c r="I5612" s="86">
        <v>41693</v>
      </c>
      <c r="J5612" s="78">
        <v>961</v>
      </c>
    </row>
    <row r="5613" spans="6:10" x14ac:dyDescent="0.25">
      <c r="F5613" s="76" t="s">
        <v>150</v>
      </c>
      <c r="G5613" s="77" t="s">
        <v>283</v>
      </c>
      <c r="H5613" s="77" t="s">
        <v>267</v>
      </c>
      <c r="I5613" s="86">
        <v>41694</v>
      </c>
      <c r="J5613" s="78">
        <v>446</v>
      </c>
    </row>
    <row r="5614" spans="6:10" x14ac:dyDescent="0.25">
      <c r="F5614" s="76" t="s">
        <v>150</v>
      </c>
      <c r="G5614" s="77" t="s">
        <v>283</v>
      </c>
      <c r="H5614" s="77" t="s">
        <v>267</v>
      </c>
      <c r="I5614" s="86">
        <v>41695</v>
      </c>
      <c r="J5614" s="78">
        <v>480</v>
      </c>
    </row>
    <row r="5615" spans="6:10" x14ac:dyDescent="0.25">
      <c r="F5615" s="76" t="s">
        <v>150</v>
      </c>
      <c r="G5615" s="77" t="s">
        <v>283</v>
      </c>
      <c r="H5615" s="77" t="s">
        <v>267</v>
      </c>
      <c r="I5615" s="86">
        <v>41696</v>
      </c>
      <c r="J5615" s="78">
        <v>646</v>
      </c>
    </row>
    <row r="5616" spans="6:10" x14ac:dyDescent="0.25">
      <c r="F5616" s="76" t="s">
        <v>150</v>
      </c>
      <c r="G5616" s="77" t="s">
        <v>283</v>
      </c>
      <c r="H5616" s="77" t="s">
        <v>267</v>
      </c>
      <c r="I5616" s="86">
        <v>41697</v>
      </c>
      <c r="J5616" s="78">
        <v>521</v>
      </c>
    </row>
    <row r="5617" spans="6:10" x14ac:dyDescent="0.25">
      <c r="F5617" s="76" t="s">
        <v>150</v>
      </c>
      <c r="G5617" s="77" t="s">
        <v>283</v>
      </c>
      <c r="H5617" s="77" t="s">
        <v>267</v>
      </c>
      <c r="I5617" s="86">
        <v>41698</v>
      </c>
      <c r="J5617" s="78">
        <v>1169</v>
      </c>
    </row>
    <row r="5618" spans="6:10" x14ac:dyDescent="0.25">
      <c r="F5618" s="76" t="s">
        <v>150</v>
      </c>
      <c r="G5618" s="77" t="s">
        <v>283</v>
      </c>
      <c r="H5618" s="77" t="s">
        <v>267</v>
      </c>
      <c r="I5618" s="86">
        <v>41700</v>
      </c>
      <c r="J5618" s="78">
        <v>1117</v>
      </c>
    </row>
    <row r="5619" spans="6:10" x14ac:dyDescent="0.25">
      <c r="F5619" s="76" t="s">
        <v>150</v>
      </c>
      <c r="G5619" s="77" t="s">
        <v>283</v>
      </c>
      <c r="H5619" s="77" t="s">
        <v>267</v>
      </c>
      <c r="I5619" s="86">
        <v>41702</v>
      </c>
      <c r="J5619" s="78">
        <v>1125</v>
      </c>
    </row>
    <row r="5620" spans="6:10" x14ac:dyDescent="0.25">
      <c r="F5620" s="76" t="s">
        <v>150</v>
      </c>
      <c r="G5620" s="77" t="s">
        <v>283</v>
      </c>
      <c r="H5620" s="77" t="s">
        <v>267</v>
      </c>
      <c r="I5620" s="86">
        <v>41704</v>
      </c>
      <c r="J5620" s="78">
        <v>697</v>
      </c>
    </row>
    <row r="5621" spans="6:10" x14ac:dyDescent="0.25">
      <c r="F5621" s="76" t="s">
        <v>150</v>
      </c>
      <c r="G5621" s="77" t="s">
        <v>283</v>
      </c>
      <c r="H5621" s="77" t="s">
        <v>267</v>
      </c>
      <c r="I5621" s="86">
        <v>41706</v>
      </c>
      <c r="J5621" s="78">
        <v>728</v>
      </c>
    </row>
    <row r="5622" spans="6:10" x14ac:dyDescent="0.25">
      <c r="F5622" s="76" t="s">
        <v>150</v>
      </c>
      <c r="G5622" s="77" t="s">
        <v>283</v>
      </c>
      <c r="H5622" s="77" t="s">
        <v>267</v>
      </c>
      <c r="I5622" s="86">
        <v>41707</v>
      </c>
      <c r="J5622" s="78">
        <v>884</v>
      </c>
    </row>
    <row r="5623" spans="6:10" x14ac:dyDescent="0.25">
      <c r="F5623" s="76" t="s">
        <v>150</v>
      </c>
      <c r="G5623" s="77" t="s">
        <v>283</v>
      </c>
      <c r="H5623" s="77" t="s">
        <v>267</v>
      </c>
      <c r="I5623" s="86">
        <v>41708</v>
      </c>
      <c r="J5623" s="78">
        <v>514</v>
      </c>
    </row>
    <row r="5624" spans="6:10" x14ac:dyDescent="0.25">
      <c r="F5624" s="76" t="s">
        <v>150</v>
      </c>
      <c r="G5624" s="77" t="s">
        <v>283</v>
      </c>
      <c r="H5624" s="77" t="s">
        <v>267</v>
      </c>
      <c r="I5624" s="86">
        <v>41709</v>
      </c>
      <c r="J5624" s="78">
        <v>564</v>
      </c>
    </row>
    <row r="5625" spans="6:10" x14ac:dyDescent="0.25">
      <c r="F5625" s="76" t="s">
        <v>150</v>
      </c>
      <c r="G5625" s="77" t="s">
        <v>283</v>
      </c>
      <c r="H5625" s="77" t="s">
        <v>267</v>
      </c>
      <c r="I5625" s="86">
        <v>41710</v>
      </c>
      <c r="J5625" s="78">
        <v>802</v>
      </c>
    </row>
    <row r="5626" spans="6:10" x14ac:dyDescent="0.25">
      <c r="F5626" s="76" t="s">
        <v>150</v>
      </c>
      <c r="G5626" s="77" t="s">
        <v>283</v>
      </c>
      <c r="H5626" s="77" t="s">
        <v>267</v>
      </c>
      <c r="I5626" s="86">
        <v>41712</v>
      </c>
      <c r="J5626" s="78">
        <v>903</v>
      </c>
    </row>
    <row r="5627" spans="6:10" x14ac:dyDescent="0.25">
      <c r="F5627" s="76" t="s">
        <v>150</v>
      </c>
      <c r="G5627" s="77" t="s">
        <v>283</v>
      </c>
      <c r="H5627" s="77" t="s">
        <v>267</v>
      </c>
      <c r="I5627" s="86">
        <v>41731</v>
      </c>
      <c r="J5627" s="78">
        <v>597</v>
      </c>
    </row>
    <row r="5628" spans="6:10" x14ac:dyDescent="0.25">
      <c r="F5628" s="76" t="s">
        <v>150</v>
      </c>
      <c r="G5628" s="77" t="s">
        <v>283</v>
      </c>
      <c r="H5628" s="77" t="s">
        <v>267</v>
      </c>
      <c r="I5628" s="86">
        <v>41732</v>
      </c>
      <c r="J5628" s="78">
        <v>469</v>
      </c>
    </row>
    <row r="5629" spans="6:10" x14ac:dyDescent="0.25">
      <c r="F5629" s="76" t="s">
        <v>150</v>
      </c>
      <c r="G5629" s="77" t="s">
        <v>283</v>
      </c>
      <c r="H5629" s="77" t="s">
        <v>267</v>
      </c>
      <c r="I5629" s="86">
        <v>41733</v>
      </c>
      <c r="J5629" s="78">
        <v>610</v>
      </c>
    </row>
    <row r="5630" spans="6:10" x14ac:dyDescent="0.25">
      <c r="F5630" s="76" t="s">
        <v>150</v>
      </c>
      <c r="G5630" s="77" t="s">
        <v>283</v>
      </c>
      <c r="H5630" s="77" t="s">
        <v>267</v>
      </c>
      <c r="I5630" s="86">
        <v>41735</v>
      </c>
      <c r="J5630" s="78">
        <v>662</v>
      </c>
    </row>
    <row r="5631" spans="6:10" x14ac:dyDescent="0.25">
      <c r="F5631" s="76" t="s">
        <v>150</v>
      </c>
      <c r="G5631" s="77" t="s">
        <v>283</v>
      </c>
      <c r="H5631" s="77" t="s">
        <v>267</v>
      </c>
      <c r="I5631" s="86">
        <v>41736</v>
      </c>
      <c r="J5631" s="78">
        <v>796</v>
      </c>
    </row>
    <row r="5632" spans="6:10" x14ac:dyDescent="0.25">
      <c r="F5632" s="76" t="s">
        <v>150</v>
      </c>
      <c r="G5632" s="77" t="s">
        <v>283</v>
      </c>
      <c r="H5632" s="77" t="s">
        <v>267</v>
      </c>
      <c r="I5632" s="86">
        <v>41738</v>
      </c>
      <c r="J5632" s="78">
        <v>619</v>
      </c>
    </row>
    <row r="5633" spans="6:10" x14ac:dyDescent="0.25">
      <c r="F5633" s="76" t="s">
        <v>150</v>
      </c>
      <c r="G5633" s="77" t="s">
        <v>283</v>
      </c>
      <c r="H5633" s="77" t="s">
        <v>267</v>
      </c>
      <c r="I5633" s="86">
        <v>41740</v>
      </c>
      <c r="J5633" s="78">
        <v>881</v>
      </c>
    </row>
    <row r="5634" spans="6:10" x14ac:dyDescent="0.25">
      <c r="F5634" s="76" t="s">
        <v>150</v>
      </c>
      <c r="G5634" s="77" t="s">
        <v>283</v>
      </c>
      <c r="H5634" s="77" t="s">
        <v>267</v>
      </c>
      <c r="I5634" s="86">
        <v>41744</v>
      </c>
      <c r="J5634" s="78">
        <v>682</v>
      </c>
    </row>
    <row r="5635" spans="6:10" x14ac:dyDescent="0.25">
      <c r="F5635" s="76" t="s">
        <v>150</v>
      </c>
      <c r="G5635" s="77" t="s">
        <v>283</v>
      </c>
      <c r="H5635" s="77" t="s">
        <v>267</v>
      </c>
      <c r="I5635" s="86">
        <v>41746</v>
      </c>
      <c r="J5635" s="78">
        <v>994</v>
      </c>
    </row>
    <row r="5636" spans="6:10" x14ac:dyDescent="0.25">
      <c r="F5636" s="76" t="s">
        <v>150</v>
      </c>
      <c r="G5636" s="77" t="s">
        <v>283</v>
      </c>
      <c r="H5636" s="77" t="s">
        <v>267</v>
      </c>
      <c r="I5636" s="86">
        <v>41747</v>
      </c>
      <c r="J5636" s="78">
        <v>930</v>
      </c>
    </row>
    <row r="5637" spans="6:10" x14ac:dyDescent="0.25">
      <c r="F5637" s="76" t="s">
        <v>150</v>
      </c>
      <c r="G5637" s="77" t="s">
        <v>283</v>
      </c>
      <c r="H5637" s="77" t="s">
        <v>267</v>
      </c>
      <c r="I5637" s="86">
        <v>41748</v>
      </c>
      <c r="J5637" s="78">
        <v>869</v>
      </c>
    </row>
    <row r="5638" spans="6:10" x14ac:dyDescent="0.25">
      <c r="F5638" s="76" t="s">
        <v>150</v>
      </c>
      <c r="G5638" s="77" t="s">
        <v>283</v>
      </c>
      <c r="H5638" s="77" t="s">
        <v>267</v>
      </c>
      <c r="I5638" s="86">
        <v>41748</v>
      </c>
      <c r="J5638" s="78">
        <v>548</v>
      </c>
    </row>
    <row r="5639" spans="6:10" x14ac:dyDescent="0.25">
      <c r="F5639" s="76" t="s">
        <v>150</v>
      </c>
      <c r="G5639" s="77" t="s">
        <v>283</v>
      </c>
      <c r="H5639" s="77" t="s">
        <v>267</v>
      </c>
      <c r="I5639" s="86">
        <v>41749</v>
      </c>
      <c r="J5639" s="78">
        <v>1084</v>
      </c>
    </row>
    <row r="5640" spans="6:10" x14ac:dyDescent="0.25">
      <c r="F5640" s="76" t="s">
        <v>150</v>
      </c>
      <c r="G5640" s="77" t="s">
        <v>283</v>
      </c>
      <c r="H5640" s="77" t="s">
        <v>267</v>
      </c>
      <c r="I5640" s="86">
        <v>41750</v>
      </c>
      <c r="J5640" s="78">
        <v>879</v>
      </c>
    </row>
    <row r="5641" spans="6:10" x14ac:dyDescent="0.25">
      <c r="F5641" s="76" t="s">
        <v>150</v>
      </c>
      <c r="G5641" s="77" t="s">
        <v>283</v>
      </c>
      <c r="H5641" s="77" t="s">
        <v>267</v>
      </c>
      <c r="I5641" s="86">
        <v>41751</v>
      </c>
      <c r="J5641" s="78">
        <v>967</v>
      </c>
    </row>
    <row r="5642" spans="6:10" x14ac:dyDescent="0.25">
      <c r="F5642" s="76" t="s">
        <v>150</v>
      </c>
      <c r="G5642" s="77" t="s">
        <v>283</v>
      </c>
      <c r="H5642" s="77" t="s">
        <v>267</v>
      </c>
      <c r="I5642" s="86">
        <v>41755</v>
      </c>
      <c r="J5642" s="78">
        <v>967</v>
      </c>
    </row>
    <row r="5643" spans="6:10" x14ac:dyDescent="0.25">
      <c r="F5643" s="76" t="s">
        <v>150</v>
      </c>
      <c r="G5643" s="77" t="s">
        <v>283</v>
      </c>
      <c r="H5643" s="77" t="s">
        <v>267</v>
      </c>
      <c r="I5643" s="86">
        <v>41755</v>
      </c>
      <c r="J5643" s="78">
        <v>874</v>
      </c>
    </row>
    <row r="5644" spans="6:10" x14ac:dyDescent="0.25">
      <c r="F5644" s="76" t="s">
        <v>150</v>
      </c>
      <c r="G5644" s="77" t="s">
        <v>283</v>
      </c>
      <c r="H5644" s="77" t="s">
        <v>267</v>
      </c>
      <c r="I5644" s="86">
        <v>41774</v>
      </c>
      <c r="J5644" s="78">
        <v>1234</v>
      </c>
    </row>
    <row r="5645" spans="6:10" x14ac:dyDescent="0.25">
      <c r="F5645" s="76" t="s">
        <v>150</v>
      </c>
      <c r="G5645" s="77" t="s">
        <v>283</v>
      </c>
      <c r="H5645" s="77" t="s">
        <v>267</v>
      </c>
      <c r="I5645" s="86">
        <v>41775</v>
      </c>
      <c r="J5645" s="78">
        <v>590</v>
      </c>
    </row>
    <row r="5646" spans="6:10" x14ac:dyDescent="0.25">
      <c r="F5646" s="76" t="s">
        <v>150</v>
      </c>
      <c r="G5646" s="77" t="s">
        <v>283</v>
      </c>
      <c r="H5646" s="77" t="s">
        <v>267</v>
      </c>
      <c r="I5646" s="86">
        <v>41817</v>
      </c>
      <c r="J5646" s="78">
        <v>949</v>
      </c>
    </row>
    <row r="5647" spans="6:10" x14ac:dyDescent="0.25">
      <c r="F5647" s="76" t="s">
        <v>150</v>
      </c>
      <c r="G5647" s="77" t="s">
        <v>283</v>
      </c>
      <c r="H5647" s="77" t="s">
        <v>267</v>
      </c>
      <c r="I5647" s="86">
        <v>41896</v>
      </c>
      <c r="J5647" s="78">
        <v>1000</v>
      </c>
    </row>
    <row r="5648" spans="6:10" x14ac:dyDescent="0.25">
      <c r="F5648" s="76" t="s">
        <v>150</v>
      </c>
      <c r="G5648" s="77" t="s">
        <v>283</v>
      </c>
      <c r="H5648" s="77" t="s">
        <v>267</v>
      </c>
      <c r="I5648" s="86">
        <v>41899</v>
      </c>
      <c r="J5648" s="78">
        <v>1026</v>
      </c>
    </row>
    <row r="5649" spans="6:10" x14ac:dyDescent="0.25">
      <c r="F5649" s="76" t="s">
        <v>150</v>
      </c>
      <c r="G5649" s="77" t="s">
        <v>283</v>
      </c>
      <c r="H5649" s="77" t="s">
        <v>267</v>
      </c>
      <c r="I5649" s="86">
        <v>41901</v>
      </c>
      <c r="J5649" s="78">
        <v>774</v>
      </c>
    </row>
    <row r="5650" spans="6:10" x14ac:dyDescent="0.25">
      <c r="F5650" s="76" t="s">
        <v>150</v>
      </c>
      <c r="G5650" s="77" t="s">
        <v>283</v>
      </c>
      <c r="H5650" s="77" t="s">
        <v>267</v>
      </c>
      <c r="I5650" s="86">
        <v>41902</v>
      </c>
      <c r="J5650" s="78">
        <v>986</v>
      </c>
    </row>
    <row r="5651" spans="6:10" x14ac:dyDescent="0.25">
      <c r="F5651" s="76" t="s">
        <v>150</v>
      </c>
      <c r="G5651" s="77" t="s">
        <v>283</v>
      </c>
      <c r="H5651" s="77" t="s">
        <v>267</v>
      </c>
      <c r="I5651" s="86">
        <v>41903</v>
      </c>
      <c r="J5651" s="78">
        <v>1094</v>
      </c>
    </row>
    <row r="5652" spans="6:10" x14ac:dyDescent="0.25">
      <c r="F5652" s="76" t="s">
        <v>150</v>
      </c>
      <c r="G5652" s="77" t="s">
        <v>283</v>
      </c>
      <c r="H5652" s="77" t="s">
        <v>267</v>
      </c>
      <c r="I5652" s="86">
        <v>41904</v>
      </c>
      <c r="J5652" s="78">
        <v>611</v>
      </c>
    </row>
    <row r="5653" spans="6:10" x14ac:dyDescent="0.25">
      <c r="F5653" s="76" t="s">
        <v>150</v>
      </c>
      <c r="G5653" s="77" t="s">
        <v>283</v>
      </c>
      <c r="H5653" s="77" t="s">
        <v>267</v>
      </c>
      <c r="I5653" s="86">
        <v>41909</v>
      </c>
      <c r="J5653" s="78">
        <v>1250</v>
      </c>
    </row>
    <row r="5654" spans="6:10" x14ac:dyDescent="0.25">
      <c r="F5654" s="76" t="s">
        <v>150</v>
      </c>
      <c r="G5654" s="77" t="s">
        <v>283</v>
      </c>
      <c r="H5654" s="77" t="s">
        <v>267</v>
      </c>
      <c r="I5654" s="86">
        <v>41910</v>
      </c>
      <c r="J5654" s="78">
        <v>933</v>
      </c>
    </row>
    <row r="5655" spans="6:10" x14ac:dyDescent="0.25">
      <c r="F5655" s="76" t="s">
        <v>150</v>
      </c>
      <c r="G5655" s="77" t="s">
        <v>283</v>
      </c>
      <c r="H5655" s="77" t="s">
        <v>267</v>
      </c>
      <c r="I5655" s="86">
        <v>41910</v>
      </c>
      <c r="J5655" s="78">
        <v>502</v>
      </c>
    </row>
    <row r="5656" spans="6:10" x14ac:dyDescent="0.25">
      <c r="F5656" s="76" t="s">
        <v>150</v>
      </c>
      <c r="G5656" s="77" t="s">
        <v>283</v>
      </c>
      <c r="H5656" s="77" t="s">
        <v>267</v>
      </c>
      <c r="I5656" s="86">
        <v>41912</v>
      </c>
      <c r="J5656" s="78">
        <v>1075</v>
      </c>
    </row>
    <row r="5657" spans="6:10" x14ac:dyDescent="0.25">
      <c r="F5657" s="76" t="s">
        <v>150</v>
      </c>
      <c r="G5657" s="77" t="s">
        <v>283</v>
      </c>
      <c r="H5657" s="77" t="s">
        <v>267</v>
      </c>
      <c r="I5657" s="86">
        <v>41913</v>
      </c>
      <c r="J5657" s="78">
        <v>519</v>
      </c>
    </row>
    <row r="5658" spans="6:10" x14ac:dyDescent="0.25">
      <c r="F5658" s="76" t="s">
        <v>150</v>
      </c>
      <c r="G5658" s="77" t="s">
        <v>283</v>
      </c>
      <c r="H5658" s="77" t="s">
        <v>267</v>
      </c>
      <c r="I5658" s="86">
        <v>41914</v>
      </c>
      <c r="J5658" s="78">
        <v>670</v>
      </c>
    </row>
    <row r="5659" spans="6:10" x14ac:dyDescent="0.25">
      <c r="F5659" s="76" t="s">
        <v>150</v>
      </c>
      <c r="G5659" s="77" t="s">
        <v>283</v>
      </c>
      <c r="H5659" s="77" t="s">
        <v>267</v>
      </c>
      <c r="I5659" s="86">
        <v>41915</v>
      </c>
      <c r="J5659" s="78">
        <v>962</v>
      </c>
    </row>
    <row r="5660" spans="6:10" x14ac:dyDescent="0.25">
      <c r="F5660" s="76" t="s">
        <v>150</v>
      </c>
      <c r="G5660" s="77" t="s">
        <v>283</v>
      </c>
      <c r="H5660" s="77" t="s">
        <v>267</v>
      </c>
      <c r="I5660" s="86">
        <v>41916</v>
      </c>
      <c r="J5660" s="78">
        <v>890</v>
      </c>
    </row>
    <row r="5661" spans="6:10" x14ac:dyDescent="0.25">
      <c r="F5661" s="76" t="s">
        <v>150</v>
      </c>
      <c r="G5661" s="77" t="s">
        <v>283</v>
      </c>
      <c r="H5661" s="77" t="s">
        <v>267</v>
      </c>
      <c r="I5661" s="86">
        <v>41917</v>
      </c>
      <c r="J5661" s="78">
        <v>603</v>
      </c>
    </row>
    <row r="5662" spans="6:10" x14ac:dyDescent="0.25">
      <c r="F5662" s="76" t="s">
        <v>150</v>
      </c>
      <c r="G5662" s="77" t="s">
        <v>284</v>
      </c>
      <c r="H5662" s="77" t="s">
        <v>267</v>
      </c>
      <c r="I5662" s="86">
        <v>41645</v>
      </c>
      <c r="J5662" s="78">
        <v>580</v>
      </c>
    </row>
    <row r="5663" spans="6:10" x14ac:dyDescent="0.25">
      <c r="F5663" s="76" t="s">
        <v>150</v>
      </c>
      <c r="G5663" s="77" t="s">
        <v>284</v>
      </c>
      <c r="H5663" s="77" t="s">
        <v>267</v>
      </c>
      <c r="I5663" s="86">
        <v>41647</v>
      </c>
      <c r="J5663" s="78">
        <v>1189</v>
      </c>
    </row>
    <row r="5664" spans="6:10" x14ac:dyDescent="0.25">
      <c r="F5664" s="76" t="s">
        <v>150</v>
      </c>
      <c r="G5664" s="77" t="s">
        <v>284</v>
      </c>
      <c r="H5664" s="77" t="s">
        <v>267</v>
      </c>
      <c r="I5664" s="86">
        <v>41649</v>
      </c>
      <c r="J5664" s="78">
        <v>837</v>
      </c>
    </row>
    <row r="5665" spans="6:10" x14ac:dyDescent="0.25">
      <c r="F5665" s="76" t="s">
        <v>150</v>
      </c>
      <c r="G5665" s="77" t="s">
        <v>284</v>
      </c>
      <c r="H5665" s="77" t="s">
        <v>267</v>
      </c>
      <c r="I5665" s="86">
        <v>41653</v>
      </c>
      <c r="J5665" s="78">
        <v>931</v>
      </c>
    </row>
    <row r="5666" spans="6:10" x14ac:dyDescent="0.25">
      <c r="F5666" s="76" t="s">
        <v>150</v>
      </c>
      <c r="G5666" s="77" t="s">
        <v>284</v>
      </c>
      <c r="H5666" s="77" t="s">
        <v>267</v>
      </c>
      <c r="I5666" s="86">
        <v>41653</v>
      </c>
      <c r="J5666" s="78">
        <v>1143</v>
      </c>
    </row>
    <row r="5667" spans="6:10" x14ac:dyDescent="0.25">
      <c r="F5667" s="76" t="s">
        <v>150</v>
      </c>
      <c r="G5667" s="77" t="s">
        <v>284</v>
      </c>
      <c r="H5667" s="77" t="s">
        <v>267</v>
      </c>
      <c r="I5667" s="86">
        <v>41655</v>
      </c>
      <c r="J5667" s="78">
        <v>714</v>
      </c>
    </row>
    <row r="5668" spans="6:10" x14ac:dyDescent="0.25">
      <c r="F5668" s="76" t="s">
        <v>150</v>
      </c>
      <c r="G5668" s="77" t="s">
        <v>284</v>
      </c>
      <c r="H5668" s="77" t="s">
        <v>267</v>
      </c>
      <c r="I5668" s="86">
        <v>41655</v>
      </c>
      <c r="J5668" s="78">
        <v>1012</v>
      </c>
    </row>
    <row r="5669" spans="6:10" x14ac:dyDescent="0.25">
      <c r="F5669" s="76" t="s">
        <v>150</v>
      </c>
      <c r="G5669" s="77" t="s">
        <v>284</v>
      </c>
      <c r="H5669" s="77" t="s">
        <v>267</v>
      </c>
      <c r="I5669" s="86">
        <v>41656</v>
      </c>
      <c r="J5669" s="78">
        <v>870</v>
      </c>
    </row>
    <row r="5670" spans="6:10" x14ac:dyDescent="0.25">
      <c r="F5670" s="76" t="s">
        <v>150</v>
      </c>
      <c r="G5670" s="77" t="s">
        <v>284</v>
      </c>
      <c r="H5670" s="77" t="s">
        <v>267</v>
      </c>
      <c r="I5670" s="86">
        <v>41666</v>
      </c>
      <c r="J5670" s="78">
        <v>935</v>
      </c>
    </row>
    <row r="5671" spans="6:10" x14ac:dyDescent="0.25">
      <c r="F5671" s="76" t="s">
        <v>150</v>
      </c>
      <c r="G5671" s="77" t="s">
        <v>284</v>
      </c>
      <c r="H5671" s="77" t="s">
        <v>267</v>
      </c>
      <c r="I5671" s="86">
        <v>41668</v>
      </c>
      <c r="J5671" s="78">
        <v>957</v>
      </c>
    </row>
    <row r="5672" spans="6:10" x14ac:dyDescent="0.25">
      <c r="F5672" s="76" t="s">
        <v>150</v>
      </c>
      <c r="G5672" s="77" t="s">
        <v>284</v>
      </c>
      <c r="H5672" s="77" t="s">
        <v>267</v>
      </c>
      <c r="I5672" s="86">
        <v>41669</v>
      </c>
      <c r="J5672" s="78">
        <v>709</v>
      </c>
    </row>
    <row r="5673" spans="6:10" x14ac:dyDescent="0.25">
      <c r="F5673" s="76" t="s">
        <v>150</v>
      </c>
      <c r="G5673" s="77" t="s">
        <v>284</v>
      </c>
      <c r="H5673" s="77" t="s">
        <v>267</v>
      </c>
      <c r="I5673" s="86">
        <v>41670</v>
      </c>
      <c r="J5673" s="78">
        <v>546</v>
      </c>
    </row>
    <row r="5674" spans="6:10" x14ac:dyDescent="0.25">
      <c r="F5674" s="76" t="s">
        <v>150</v>
      </c>
      <c r="G5674" s="77" t="s">
        <v>284</v>
      </c>
      <c r="H5674" s="77" t="s">
        <v>267</v>
      </c>
      <c r="I5674" s="86">
        <v>41671</v>
      </c>
      <c r="J5674" s="78">
        <v>673</v>
      </c>
    </row>
    <row r="5675" spans="6:10" x14ac:dyDescent="0.25">
      <c r="F5675" s="76" t="s">
        <v>150</v>
      </c>
      <c r="G5675" s="77" t="s">
        <v>284</v>
      </c>
      <c r="H5675" s="77" t="s">
        <v>267</v>
      </c>
      <c r="I5675" s="86">
        <v>41672</v>
      </c>
      <c r="J5675" s="78">
        <v>803</v>
      </c>
    </row>
    <row r="5676" spans="6:10" x14ac:dyDescent="0.25">
      <c r="F5676" s="76" t="s">
        <v>150</v>
      </c>
      <c r="G5676" s="77" t="s">
        <v>284</v>
      </c>
      <c r="H5676" s="77" t="s">
        <v>267</v>
      </c>
      <c r="I5676" s="86">
        <v>41673</v>
      </c>
      <c r="J5676" s="78">
        <v>647</v>
      </c>
    </row>
    <row r="5677" spans="6:10" x14ac:dyDescent="0.25">
      <c r="F5677" s="76" t="s">
        <v>150</v>
      </c>
      <c r="G5677" s="77" t="s">
        <v>284</v>
      </c>
      <c r="H5677" s="77" t="s">
        <v>267</v>
      </c>
      <c r="I5677" s="86">
        <v>41677</v>
      </c>
      <c r="J5677" s="78">
        <v>1181</v>
      </c>
    </row>
    <row r="5678" spans="6:10" x14ac:dyDescent="0.25">
      <c r="F5678" s="76" t="s">
        <v>150</v>
      </c>
      <c r="G5678" s="77" t="s">
        <v>284</v>
      </c>
      <c r="H5678" s="77" t="s">
        <v>267</v>
      </c>
      <c r="I5678" s="86">
        <v>41678</v>
      </c>
      <c r="J5678" s="78">
        <v>730</v>
      </c>
    </row>
    <row r="5679" spans="6:10" x14ac:dyDescent="0.25">
      <c r="F5679" s="76" t="s">
        <v>150</v>
      </c>
      <c r="G5679" s="77" t="s">
        <v>284</v>
      </c>
      <c r="H5679" s="77" t="s">
        <v>267</v>
      </c>
      <c r="I5679" s="86">
        <v>41680</v>
      </c>
      <c r="J5679" s="78">
        <v>944</v>
      </c>
    </row>
    <row r="5680" spans="6:10" x14ac:dyDescent="0.25">
      <c r="F5680" s="76" t="s">
        <v>150</v>
      </c>
      <c r="G5680" s="77" t="s">
        <v>284</v>
      </c>
      <c r="H5680" s="77" t="s">
        <v>267</v>
      </c>
      <c r="I5680" s="86">
        <v>41680</v>
      </c>
      <c r="J5680" s="78">
        <v>482</v>
      </c>
    </row>
    <row r="5681" spans="6:10" x14ac:dyDescent="0.25">
      <c r="F5681" s="76" t="s">
        <v>150</v>
      </c>
      <c r="G5681" s="77" t="s">
        <v>284</v>
      </c>
      <c r="H5681" s="77" t="s">
        <v>267</v>
      </c>
      <c r="I5681" s="86">
        <v>41688</v>
      </c>
      <c r="J5681" s="78">
        <v>1107</v>
      </c>
    </row>
    <row r="5682" spans="6:10" x14ac:dyDescent="0.25">
      <c r="F5682" s="76" t="s">
        <v>150</v>
      </c>
      <c r="G5682" s="77" t="s">
        <v>284</v>
      </c>
      <c r="H5682" s="77" t="s">
        <v>267</v>
      </c>
      <c r="I5682" s="86">
        <v>41689</v>
      </c>
      <c r="J5682" s="78">
        <v>380</v>
      </c>
    </row>
    <row r="5683" spans="6:10" x14ac:dyDescent="0.25">
      <c r="F5683" s="76" t="s">
        <v>150</v>
      </c>
      <c r="G5683" s="77" t="s">
        <v>284</v>
      </c>
      <c r="H5683" s="77" t="s">
        <v>267</v>
      </c>
      <c r="I5683" s="86">
        <v>41690</v>
      </c>
      <c r="J5683" s="78">
        <v>445</v>
      </c>
    </row>
    <row r="5684" spans="6:10" x14ac:dyDescent="0.25">
      <c r="F5684" s="76" t="s">
        <v>150</v>
      </c>
      <c r="G5684" s="77" t="s">
        <v>284</v>
      </c>
      <c r="H5684" s="77" t="s">
        <v>267</v>
      </c>
      <c r="I5684" s="86">
        <v>41691</v>
      </c>
      <c r="J5684" s="78">
        <v>691</v>
      </c>
    </row>
    <row r="5685" spans="6:10" x14ac:dyDescent="0.25">
      <c r="F5685" s="76" t="s">
        <v>150</v>
      </c>
      <c r="G5685" s="77" t="s">
        <v>284</v>
      </c>
      <c r="H5685" s="77" t="s">
        <v>267</v>
      </c>
      <c r="I5685" s="86">
        <v>41694</v>
      </c>
      <c r="J5685" s="78">
        <v>500</v>
      </c>
    </row>
    <row r="5686" spans="6:10" x14ac:dyDescent="0.25">
      <c r="F5686" s="76" t="s">
        <v>150</v>
      </c>
      <c r="G5686" s="77" t="s">
        <v>284</v>
      </c>
      <c r="H5686" s="77" t="s">
        <v>267</v>
      </c>
      <c r="I5686" s="86">
        <v>41694</v>
      </c>
      <c r="J5686" s="78">
        <v>508</v>
      </c>
    </row>
    <row r="5687" spans="6:10" x14ac:dyDescent="0.25">
      <c r="F5687" s="76" t="s">
        <v>150</v>
      </c>
      <c r="G5687" s="77" t="s">
        <v>284</v>
      </c>
      <c r="H5687" s="77" t="s">
        <v>267</v>
      </c>
      <c r="I5687" s="86">
        <v>41696</v>
      </c>
      <c r="J5687" s="78">
        <v>832</v>
      </c>
    </row>
    <row r="5688" spans="6:10" x14ac:dyDescent="0.25">
      <c r="F5688" s="76" t="s">
        <v>150</v>
      </c>
      <c r="G5688" s="77" t="s">
        <v>284</v>
      </c>
      <c r="H5688" s="77" t="s">
        <v>267</v>
      </c>
      <c r="I5688" s="86">
        <v>41697</v>
      </c>
      <c r="J5688" s="78">
        <v>723</v>
      </c>
    </row>
    <row r="5689" spans="6:10" x14ac:dyDescent="0.25">
      <c r="F5689" s="76" t="s">
        <v>150</v>
      </c>
      <c r="G5689" s="77" t="s">
        <v>284</v>
      </c>
      <c r="H5689" s="77" t="s">
        <v>267</v>
      </c>
      <c r="I5689" s="86">
        <v>41765</v>
      </c>
      <c r="J5689" s="78">
        <v>331</v>
      </c>
    </row>
    <row r="5690" spans="6:10" x14ac:dyDescent="0.25">
      <c r="F5690" s="76" t="s">
        <v>150</v>
      </c>
      <c r="G5690" s="77" t="s">
        <v>284</v>
      </c>
      <c r="H5690" s="77" t="s">
        <v>267</v>
      </c>
      <c r="I5690" s="86">
        <v>41766</v>
      </c>
      <c r="J5690" s="78">
        <v>490</v>
      </c>
    </row>
    <row r="5691" spans="6:10" x14ac:dyDescent="0.25">
      <c r="F5691" s="76" t="s">
        <v>150</v>
      </c>
      <c r="G5691" s="77" t="s">
        <v>284</v>
      </c>
      <c r="H5691" s="77" t="s">
        <v>267</v>
      </c>
      <c r="I5691" s="86">
        <v>41767</v>
      </c>
      <c r="J5691" s="78">
        <v>665</v>
      </c>
    </row>
    <row r="5692" spans="6:10" x14ac:dyDescent="0.25">
      <c r="F5692" s="76" t="s">
        <v>150</v>
      </c>
      <c r="G5692" s="77" t="s">
        <v>284</v>
      </c>
      <c r="H5692" s="77" t="s">
        <v>267</v>
      </c>
      <c r="I5692" s="86">
        <v>41768</v>
      </c>
      <c r="J5692" s="78">
        <v>907</v>
      </c>
    </row>
    <row r="5693" spans="6:10" x14ac:dyDescent="0.25">
      <c r="F5693" s="76" t="s">
        <v>150</v>
      </c>
      <c r="G5693" s="77" t="s">
        <v>284</v>
      </c>
      <c r="H5693" s="77" t="s">
        <v>267</v>
      </c>
      <c r="I5693" s="86">
        <v>41769</v>
      </c>
      <c r="J5693" s="78">
        <v>978</v>
      </c>
    </row>
    <row r="5694" spans="6:10" x14ac:dyDescent="0.25">
      <c r="F5694" s="76" t="s">
        <v>150</v>
      </c>
      <c r="G5694" s="77" t="s">
        <v>284</v>
      </c>
      <c r="H5694" s="77" t="s">
        <v>267</v>
      </c>
      <c r="I5694" s="86">
        <v>41770</v>
      </c>
      <c r="J5694" s="78">
        <v>963</v>
      </c>
    </row>
    <row r="5695" spans="6:10" x14ac:dyDescent="0.25">
      <c r="F5695" s="76" t="s">
        <v>150</v>
      </c>
      <c r="G5695" s="77" t="s">
        <v>284</v>
      </c>
      <c r="H5695" s="77" t="s">
        <v>267</v>
      </c>
      <c r="I5695" s="86">
        <v>41772</v>
      </c>
      <c r="J5695" s="78">
        <v>916</v>
      </c>
    </row>
    <row r="5696" spans="6:10" x14ac:dyDescent="0.25">
      <c r="F5696" s="76" t="s">
        <v>150</v>
      </c>
      <c r="G5696" s="77" t="s">
        <v>284</v>
      </c>
      <c r="H5696" s="77" t="s">
        <v>267</v>
      </c>
      <c r="I5696" s="86">
        <v>41773</v>
      </c>
      <c r="J5696" s="78">
        <v>699</v>
      </c>
    </row>
    <row r="5697" spans="6:10" x14ac:dyDescent="0.25">
      <c r="F5697" s="76" t="s">
        <v>150</v>
      </c>
      <c r="G5697" s="77" t="s">
        <v>284</v>
      </c>
      <c r="H5697" s="77" t="s">
        <v>267</v>
      </c>
      <c r="I5697" s="86">
        <v>41775</v>
      </c>
      <c r="J5697" s="78">
        <v>1570</v>
      </c>
    </row>
    <row r="5698" spans="6:10" x14ac:dyDescent="0.25">
      <c r="F5698" s="76" t="s">
        <v>150</v>
      </c>
      <c r="G5698" s="77" t="s">
        <v>284</v>
      </c>
      <c r="H5698" s="77" t="s">
        <v>267</v>
      </c>
      <c r="I5698" s="86">
        <v>41776</v>
      </c>
      <c r="J5698" s="78">
        <v>866</v>
      </c>
    </row>
    <row r="5699" spans="6:10" x14ac:dyDescent="0.25">
      <c r="F5699" s="76" t="s">
        <v>150</v>
      </c>
      <c r="G5699" s="77" t="s">
        <v>284</v>
      </c>
      <c r="H5699" s="77" t="s">
        <v>267</v>
      </c>
      <c r="I5699" s="86">
        <v>41777</v>
      </c>
      <c r="J5699" s="78">
        <v>931</v>
      </c>
    </row>
    <row r="5700" spans="6:10" x14ac:dyDescent="0.25">
      <c r="F5700" s="76" t="s">
        <v>150</v>
      </c>
      <c r="G5700" s="77" t="s">
        <v>284</v>
      </c>
      <c r="H5700" s="77" t="s">
        <v>267</v>
      </c>
      <c r="I5700" s="86">
        <v>41778</v>
      </c>
      <c r="J5700" s="78">
        <v>349</v>
      </c>
    </row>
    <row r="5701" spans="6:10" x14ac:dyDescent="0.25">
      <c r="F5701" s="76" t="s">
        <v>150</v>
      </c>
      <c r="G5701" s="77" t="s">
        <v>284</v>
      </c>
      <c r="H5701" s="77" t="s">
        <v>267</v>
      </c>
      <c r="I5701" s="86">
        <v>41833</v>
      </c>
      <c r="J5701" s="78">
        <v>756</v>
      </c>
    </row>
    <row r="5702" spans="6:10" x14ac:dyDescent="0.25">
      <c r="F5702" s="76" t="s">
        <v>150</v>
      </c>
      <c r="G5702" s="77" t="s">
        <v>284</v>
      </c>
      <c r="H5702" s="77" t="s">
        <v>267</v>
      </c>
      <c r="I5702" s="86">
        <v>41847</v>
      </c>
      <c r="J5702" s="78">
        <v>1395</v>
      </c>
    </row>
    <row r="5703" spans="6:10" x14ac:dyDescent="0.25">
      <c r="F5703" s="76" t="s">
        <v>150</v>
      </c>
      <c r="G5703" s="77" t="s">
        <v>284</v>
      </c>
      <c r="H5703" s="77" t="s">
        <v>267</v>
      </c>
      <c r="I5703" s="86">
        <v>41966</v>
      </c>
      <c r="J5703" s="78">
        <v>1063</v>
      </c>
    </row>
    <row r="5704" spans="6:10" x14ac:dyDescent="0.25">
      <c r="F5704" s="76" t="s">
        <v>150</v>
      </c>
      <c r="G5704" s="77" t="s">
        <v>284</v>
      </c>
      <c r="H5704" s="77" t="s">
        <v>267</v>
      </c>
      <c r="I5704" s="86">
        <v>41970</v>
      </c>
      <c r="J5704" s="78">
        <v>503</v>
      </c>
    </row>
    <row r="5705" spans="6:10" x14ac:dyDescent="0.25">
      <c r="F5705" s="76" t="s">
        <v>150</v>
      </c>
      <c r="G5705" s="77" t="s">
        <v>284</v>
      </c>
      <c r="H5705" s="77" t="s">
        <v>267</v>
      </c>
      <c r="I5705" s="86">
        <v>41971</v>
      </c>
      <c r="J5705" s="78">
        <v>643</v>
      </c>
    </row>
    <row r="5706" spans="6:10" x14ac:dyDescent="0.25">
      <c r="F5706" s="76" t="s">
        <v>150</v>
      </c>
      <c r="G5706" s="77" t="s">
        <v>284</v>
      </c>
      <c r="H5706" s="77" t="s">
        <v>267</v>
      </c>
      <c r="I5706" s="86">
        <v>41971</v>
      </c>
      <c r="J5706" s="78">
        <v>505</v>
      </c>
    </row>
    <row r="5707" spans="6:10" x14ac:dyDescent="0.25">
      <c r="F5707" s="76" t="s">
        <v>150</v>
      </c>
      <c r="G5707" s="77" t="s">
        <v>284</v>
      </c>
      <c r="H5707" s="77" t="s">
        <v>267</v>
      </c>
      <c r="I5707" s="86">
        <v>41973</v>
      </c>
      <c r="J5707" s="78">
        <v>913</v>
      </c>
    </row>
    <row r="5708" spans="6:10" x14ac:dyDescent="0.25">
      <c r="F5708" s="76" t="s">
        <v>150</v>
      </c>
      <c r="G5708" s="77" t="s">
        <v>284</v>
      </c>
      <c r="H5708" s="77" t="s">
        <v>267</v>
      </c>
      <c r="I5708" s="86">
        <v>41974</v>
      </c>
      <c r="J5708" s="78">
        <v>358</v>
      </c>
    </row>
    <row r="5709" spans="6:10" x14ac:dyDescent="0.25">
      <c r="F5709" s="76" t="s">
        <v>150</v>
      </c>
      <c r="G5709" s="77" t="s">
        <v>284</v>
      </c>
      <c r="H5709" s="77" t="s">
        <v>267</v>
      </c>
      <c r="I5709" s="86">
        <v>41978</v>
      </c>
      <c r="J5709" s="78">
        <v>945</v>
      </c>
    </row>
    <row r="5710" spans="6:10" x14ac:dyDescent="0.25">
      <c r="F5710" s="76" t="s">
        <v>150</v>
      </c>
      <c r="G5710" s="77" t="s">
        <v>284</v>
      </c>
      <c r="H5710" s="77" t="s">
        <v>267</v>
      </c>
      <c r="I5710" s="86">
        <v>41979</v>
      </c>
      <c r="J5710" s="78">
        <v>431</v>
      </c>
    </row>
    <row r="5711" spans="6:10" x14ac:dyDescent="0.25">
      <c r="F5711" s="76" t="s">
        <v>150</v>
      </c>
      <c r="G5711" s="77" t="s">
        <v>284</v>
      </c>
      <c r="H5711" s="77" t="s">
        <v>267</v>
      </c>
      <c r="I5711" s="86">
        <v>41981</v>
      </c>
      <c r="J5711" s="78">
        <v>621</v>
      </c>
    </row>
    <row r="5712" spans="6:10" x14ac:dyDescent="0.25">
      <c r="F5712" s="76" t="s">
        <v>150</v>
      </c>
      <c r="G5712" s="77" t="s">
        <v>284</v>
      </c>
      <c r="H5712" s="77" t="s">
        <v>267</v>
      </c>
      <c r="I5712" s="86">
        <v>41982</v>
      </c>
      <c r="J5712" s="78">
        <v>718</v>
      </c>
    </row>
    <row r="5713" spans="6:10" x14ac:dyDescent="0.25">
      <c r="F5713" s="76" t="s">
        <v>150</v>
      </c>
      <c r="G5713" s="77" t="s">
        <v>284</v>
      </c>
      <c r="H5713" s="77" t="s">
        <v>267</v>
      </c>
      <c r="I5713" s="86">
        <v>41982</v>
      </c>
      <c r="J5713" s="78">
        <v>624</v>
      </c>
    </row>
    <row r="5714" spans="6:10" x14ac:dyDescent="0.25">
      <c r="F5714" s="76" t="s">
        <v>150</v>
      </c>
      <c r="G5714" s="77" t="s">
        <v>284</v>
      </c>
      <c r="H5714" s="77" t="s">
        <v>267</v>
      </c>
      <c r="I5714" s="86">
        <v>41983</v>
      </c>
      <c r="J5714" s="78">
        <v>867</v>
      </c>
    </row>
    <row r="5715" spans="6:10" x14ac:dyDescent="0.25">
      <c r="F5715" s="76" t="s">
        <v>150</v>
      </c>
      <c r="G5715" s="77" t="s">
        <v>284</v>
      </c>
      <c r="H5715" s="77" t="s">
        <v>267</v>
      </c>
      <c r="I5715" s="86">
        <v>41986</v>
      </c>
      <c r="J5715" s="78">
        <v>879</v>
      </c>
    </row>
    <row r="5716" spans="6:10" x14ac:dyDescent="0.25">
      <c r="F5716" s="76" t="s">
        <v>150</v>
      </c>
      <c r="G5716" s="77" t="s">
        <v>284</v>
      </c>
      <c r="H5716" s="77" t="s">
        <v>267</v>
      </c>
      <c r="I5716" s="86">
        <v>41987</v>
      </c>
      <c r="J5716" s="78">
        <v>621</v>
      </c>
    </row>
    <row r="5717" spans="6:10" x14ac:dyDescent="0.25">
      <c r="F5717" s="76" t="s">
        <v>150</v>
      </c>
      <c r="G5717" s="77" t="s">
        <v>284</v>
      </c>
      <c r="H5717" s="77" t="s">
        <v>267</v>
      </c>
      <c r="I5717" s="86">
        <v>42001</v>
      </c>
      <c r="J5717" s="78">
        <v>787</v>
      </c>
    </row>
    <row r="5718" spans="6:10" x14ac:dyDescent="0.25">
      <c r="F5718" s="76" t="s">
        <v>150</v>
      </c>
      <c r="G5718" s="77" t="s">
        <v>284</v>
      </c>
      <c r="H5718" s="77" t="s">
        <v>267</v>
      </c>
      <c r="I5718" s="86">
        <v>42002</v>
      </c>
      <c r="J5718" s="78">
        <v>886</v>
      </c>
    </row>
    <row r="5719" spans="6:10" x14ac:dyDescent="0.25">
      <c r="F5719" s="76" t="s">
        <v>150</v>
      </c>
      <c r="G5719" s="77" t="s">
        <v>285</v>
      </c>
      <c r="H5719" s="77" t="s">
        <v>267</v>
      </c>
      <c r="I5719" s="86">
        <v>41645</v>
      </c>
      <c r="J5719" s="78">
        <v>328</v>
      </c>
    </row>
    <row r="5720" spans="6:10" x14ac:dyDescent="0.25">
      <c r="F5720" s="76" t="s">
        <v>150</v>
      </c>
      <c r="G5720" s="77" t="s">
        <v>285</v>
      </c>
      <c r="H5720" s="77" t="s">
        <v>267</v>
      </c>
      <c r="I5720" s="86">
        <v>41646</v>
      </c>
      <c r="J5720" s="78">
        <v>990</v>
      </c>
    </row>
    <row r="5721" spans="6:10" x14ac:dyDescent="0.25">
      <c r="F5721" s="76" t="s">
        <v>150</v>
      </c>
      <c r="G5721" s="77" t="s">
        <v>285</v>
      </c>
      <c r="H5721" s="77" t="s">
        <v>267</v>
      </c>
      <c r="I5721" s="86">
        <v>41648</v>
      </c>
      <c r="J5721" s="78">
        <v>1051</v>
      </c>
    </row>
    <row r="5722" spans="6:10" x14ac:dyDescent="0.25">
      <c r="F5722" s="76" t="s">
        <v>150</v>
      </c>
      <c r="G5722" s="77" t="s">
        <v>285</v>
      </c>
      <c r="H5722" s="77" t="s">
        <v>267</v>
      </c>
      <c r="I5722" s="86">
        <v>41649</v>
      </c>
      <c r="J5722" s="78">
        <v>446</v>
      </c>
    </row>
    <row r="5723" spans="6:10" x14ac:dyDescent="0.25">
      <c r="F5723" s="76" t="s">
        <v>150</v>
      </c>
      <c r="G5723" s="77" t="s">
        <v>285</v>
      </c>
      <c r="H5723" s="77" t="s">
        <v>267</v>
      </c>
      <c r="I5723" s="86">
        <v>41650</v>
      </c>
      <c r="J5723" s="78">
        <v>434</v>
      </c>
    </row>
    <row r="5724" spans="6:10" x14ac:dyDescent="0.25">
      <c r="F5724" s="76" t="s">
        <v>150</v>
      </c>
      <c r="G5724" s="77" t="s">
        <v>285</v>
      </c>
      <c r="H5724" s="77" t="s">
        <v>267</v>
      </c>
      <c r="I5724" s="86">
        <v>41651</v>
      </c>
      <c r="J5724" s="78">
        <v>878</v>
      </c>
    </row>
    <row r="5725" spans="6:10" x14ac:dyDescent="0.25">
      <c r="F5725" s="76" t="s">
        <v>150</v>
      </c>
      <c r="G5725" s="77" t="s">
        <v>285</v>
      </c>
      <c r="H5725" s="77" t="s">
        <v>267</v>
      </c>
      <c r="I5725" s="86">
        <v>41652</v>
      </c>
      <c r="J5725" s="78">
        <v>672</v>
      </c>
    </row>
    <row r="5726" spans="6:10" x14ac:dyDescent="0.25">
      <c r="F5726" s="76" t="s">
        <v>150</v>
      </c>
      <c r="G5726" s="77" t="s">
        <v>285</v>
      </c>
      <c r="H5726" s="77" t="s">
        <v>267</v>
      </c>
      <c r="I5726" s="86">
        <v>41653</v>
      </c>
      <c r="J5726" s="78">
        <v>538</v>
      </c>
    </row>
    <row r="5727" spans="6:10" x14ac:dyDescent="0.25">
      <c r="F5727" s="76" t="s">
        <v>150</v>
      </c>
      <c r="G5727" s="77" t="s">
        <v>285</v>
      </c>
      <c r="H5727" s="77" t="s">
        <v>267</v>
      </c>
      <c r="I5727" s="86">
        <v>41654</v>
      </c>
      <c r="J5727" s="78">
        <v>765</v>
      </c>
    </row>
    <row r="5728" spans="6:10" x14ac:dyDescent="0.25">
      <c r="F5728" s="76" t="s">
        <v>150</v>
      </c>
      <c r="G5728" s="77" t="s">
        <v>285</v>
      </c>
      <c r="H5728" s="77" t="s">
        <v>267</v>
      </c>
      <c r="I5728" s="86">
        <v>41655</v>
      </c>
      <c r="J5728" s="78">
        <v>505</v>
      </c>
    </row>
    <row r="5729" spans="6:10" x14ac:dyDescent="0.25">
      <c r="F5729" s="76" t="s">
        <v>150</v>
      </c>
      <c r="G5729" s="77" t="s">
        <v>285</v>
      </c>
      <c r="H5729" s="77" t="s">
        <v>267</v>
      </c>
      <c r="I5729" s="86">
        <v>41656</v>
      </c>
      <c r="J5729" s="78">
        <v>632</v>
      </c>
    </row>
    <row r="5730" spans="6:10" x14ac:dyDescent="0.25">
      <c r="F5730" s="76" t="s">
        <v>150</v>
      </c>
      <c r="G5730" s="77" t="s">
        <v>285</v>
      </c>
      <c r="H5730" s="77" t="s">
        <v>267</v>
      </c>
      <c r="I5730" s="86">
        <v>41657</v>
      </c>
      <c r="J5730" s="78">
        <v>381</v>
      </c>
    </row>
    <row r="5731" spans="6:10" x14ac:dyDescent="0.25">
      <c r="F5731" s="76" t="s">
        <v>150</v>
      </c>
      <c r="G5731" s="77" t="s">
        <v>285</v>
      </c>
      <c r="H5731" s="77" t="s">
        <v>267</v>
      </c>
      <c r="I5731" s="86">
        <v>41658</v>
      </c>
      <c r="J5731" s="78">
        <v>565</v>
      </c>
    </row>
    <row r="5732" spans="6:10" x14ac:dyDescent="0.25">
      <c r="F5732" s="76" t="s">
        <v>150</v>
      </c>
      <c r="G5732" s="77" t="s">
        <v>285</v>
      </c>
      <c r="H5732" s="77" t="s">
        <v>267</v>
      </c>
      <c r="I5732" s="86">
        <v>41659</v>
      </c>
      <c r="J5732" s="78">
        <v>419</v>
      </c>
    </row>
    <row r="5733" spans="6:10" x14ac:dyDescent="0.25">
      <c r="F5733" s="76" t="s">
        <v>150</v>
      </c>
      <c r="G5733" s="77" t="s">
        <v>285</v>
      </c>
      <c r="H5733" s="77" t="s">
        <v>267</v>
      </c>
      <c r="I5733" s="86">
        <v>41659</v>
      </c>
      <c r="J5733" s="78">
        <v>364</v>
      </c>
    </row>
    <row r="5734" spans="6:10" x14ac:dyDescent="0.25">
      <c r="F5734" s="76" t="s">
        <v>150</v>
      </c>
      <c r="G5734" s="77" t="s">
        <v>285</v>
      </c>
      <c r="H5734" s="77" t="s">
        <v>267</v>
      </c>
      <c r="I5734" s="86">
        <v>41662</v>
      </c>
      <c r="J5734" s="78">
        <v>1157</v>
      </c>
    </row>
    <row r="5735" spans="6:10" x14ac:dyDescent="0.25">
      <c r="F5735" s="76" t="s">
        <v>150</v>
      </c>
      <c r="G5735" s="77" t="s">
        <v>285</v>
      </c>
      <c r="H5735" s="77" t="s">
        <v>267</v>
      </c>
      <c r="I5735" s="86">
        <v>41663</v>
      </c>
      <c r="J5735" s="78">
        <v>850</v>
      </c>
    </row>
    <row r="5736" spans="6:10" x14ac:dyDescent="0.25">
      <c r="F5736" s="76" t="s">
        <v>150</v>
      </c>
      <c r="G5736" s="77" t="s">
        <v>285</v>
      </c>
      <c r="H5736" s="77" t="s">
        <v>267</v>
      </c>
      <c r="I5736" s="86">
        <v>41664</v>
      </c>
      <c r="J5736" s="78">
        <v>698</v>
      </c>
    </row>
    <row r="5737" spans="6:10" x14ac:dyDescent="0.25">
      <c r="F5737" s="76" t="s">
        <v>150</v>
      </c>
      <c r="G5737" s="77" t="s">
        <v>285</v>
      </c>
      <c r="H5737" s="77" t="s">
        <v>267</v>
      </c>
      <c r="I5737" s="86">
        <v>41665</v>
      </c>
      <c r="J5737" s="78">
        <v>445</v>
      </c>
    </row>
    <row r="5738" spans="6:10" x14ac:dyDescent="0.25">
      <c r="F5738" s="76" t="s">
        <v>150</v>
      </c>
      <c r="G5738" s="77" t="s">
        <v>285</v>
      </c>
      <c r="H5738" s="77" t="s">
        <v>267</v>
      </c>
      <c r="I5738" s="86">
        <v>41666</v>
      </c>
      <c r="J5738" s="78">
        <v>772</v>
      </c>
    </row>
    <row r="5739" spans="6:10" x14ac:dyDescent="0.25">
      <c r="F5739" s="76" t="s">
        <v>150</v>
      </c>
      <c r="G5739" s="77" t="s">
        <v>285</v>
      </c>
      <c r="H5739" s="77" t="s">
        <v>267</v>
      </c>
      <c r="I5739" s="86">
        <v>41668</v>
      </c>
      <c r="J5739" s="78">
        <v>887</v>
      </c>
    </row>
    <row r="5740" spans="6:10" x14ac:dyDescent="0.25">
      <c r="F5740" s="76" t="s">
        <v>150</v>
      </c>
      <c r="G5740" s="77" t="s">
        <v>285</v>
      </c>
      <c r="H5740" s="77" t="s">
        <v>267</v>
      </c>
      <c r="I5740" s="86">
        <v>41669</v>
      </c>
      <c r="J5740" s="78">
        <v>842</v>
      </c>
    </row>
    <row r="5741" spans="6:10" x14ac:dyDescent="0.25">
      <c r="F5741" s="76" t="s">
        <v>150</v>
      </c>
      <c r="G5741" s="77" t="s">
        <v>285</v>
      </c>
      <c r="H5741" s="77" t="s">
        <v>267</v>
      </c>
      <c r="I5741" s="86">
        <v>41673</v>
      </c>
      <c r="J5741" s="78">
        <v>837</v>
      </c>
    </row>
    <row r="5742" spans="6:10" x14ac:dyDescent="0.25">
      <c r="F5742" s="76" t="s">
        <v>150</v>
      </c>
      <c r="G5742" s="77" t="s">
        <v>285</v>
      </c>
      <c r="H5742" s="77" t="s">
        <v>267</v>
      </c>
      <c r="I5742" s="86">
        <v>41674</v>
      </c>
      <c r="J5742" s="78">
        <v>758</v>
      </c>
    </row>
    <row r="5743" spans="6:10" x14ac:dyDescent="0.25">
      <c r="F5743" s="76" t="s">
        <v>150</v>
      </c>
      <c r="G5743" s="77" t="s">
        <v>285</v>
      </c>
      <c r="H5743" s="77" t="s">
        <v>267</v>
      </c>
      <c r="I5743" s="86">
        <v>41676</v>
      </c>
      <c r="J5743" s="78">
        <v>958</v>
      </c>
    </row>
    <row r="5744" spans="6:10" x14ac:dyDescent="0.25">
      <c r="F5744" s="76" t="s">
        <v>150</v>
      </c>
      <c r="G5744" s="77" t="s">
        <v>285</v>
      </c>
      <c r="H5744" s="77" t="s">
        <v>267</v>
      </c>
      <c r="I5744" s="86">
        <v>41679</v>
      </c>
      <c r="J5744" s="78">
        <v>758</v>
      </c>
    </row>
    <row r="5745" spans="6:10" x14ac:dyDescent="0.25">
      <c r="F5745" s="76" t="s">
        <v>150</v>
      </c>
      <c r="G5745" s="77" t="s">
        <v>285</v>
      </c>
      <c r="H5745" s="77" t="s">
        <v>267</v>
      </c>
      <c r="I5745" s="86">
        <v>41680</v>
      </c>
      <c r="J5745" s="78">
        <v>878</v>
      </c>
    </row>
    <row r="5746" spans="6:10" x14ac:dyDescent="0.25">
      <c r="F5746" s="76" t="s">
        <v>150</v>
      </c>
      <c r="G5746" s="77" t="s">
        <v>285</v>
      </c>
      <c r="H5746" s="77" t="s">
        <v>267</v>
      </c>
      <c r="I5746" s="86">
        <v>41681</v>
      </c>
      <c r="J5746" s="78">
        <v>706</v>
      </c>
    </row>
    <row r="5747" spans="6:10" x14ac:dyDescent="0.25">
      <c r="F5747" s="76" t="s">
        <v>150</v>
      </c>
      <c r="G5747" s="77" t="s">
        <v>285</v>
      </c>
      <c r="H5747" s="77" t="s">
        <v>267</v>
      </c>
      <c r="I5747" s="86">
        <v>41683</v>
      </c>
      <c r="J5747" s="78">
        <v>1332</v>
      </c>
    </row>
    <row r="5748" spans="6:10" x14ac:dyDescent="0.25">
      <c r="F5748" s="76" t="s">
        <v>150</v>
      </c>
      <c r="G5748" s="77" t="s">
        <v>285</v>
      </c>
      <c r="H5748" s="77" t="s">
        <v>267</v>
      </c>
      <c r="I5748" s="86">
        <v>41684</v>
      </c>
      <c r="J5748" s="78">
        <v>669</v>
      </c>
    </row>
    <row r="5749" spans="6:10" x14ac:dyDescent="0.25">
      <c r="F5749" s="76" t="s">
        <v>150</v>
      </c>
      <c r="G5749" s="77" t="s">
        <v>285</v>
      </c>
      <c r="H5749" s="77" t="s">
        <v>267</v>
      </c>
      <c r="I5749" s="86">
        <v>41800</v>
      </c>
      <c r="J5749" s="78">
        <v>767</v>
      </c>
    </row>
    <row r="5750" spans="6:10" x14ac:dyDescent="0.25">
      <c r="F5750" s="76" t="s">
        <v>150</v>
      </c>
      <c r="G5750" s="77" t="s">
        <v>285</v>
      </c>
      <c r="H5750" s="77" t="s">
        <v>267</v>
      </c>
      <c r="I5750" s="86">
        <v>41904</v>
      </c>
      <c r="J5750" s="78">
        <v>395</v>
      </c>
    </row>
    <row r="5751" spans="6:10" x14ac:dyDescent="0.25">
      <c r="F5751" s="76" t="s">
        <v>150</v>
      </c>
      <c r="G5751" s="77" t="s">
        <v>285</v>
      </c>
      <c r="H5751" s="77" t="s">
        <v>267</v>
      </c>
      <c r="I5751" s="86">
        <v>41906</v>
      </c>
      <c r="J5751" s="78">
        <v>976</v>
      </c>
    </row>
    <row r="5752" spans="6:10" x14ac:dyDescent="0.25">
      <c r="F5752" s="76" t="s">
        <v>150</v>
      </c>
      <c r="G5752" s="77" t="s">
        <v>285</v>
      </c>
      <c r="H5752" s="77" t="s">
        <v>267</v>
      </c>
      <c r="I5752" s="86">
        <v>41907</v>
      </c>
      <c r="J5752" s="78">
        <v>529</v>
      </c>
    </row>
    <row r="5753" spans="6:10" x14ac:dyDescent="0.25">
      <c r="F5753" s="76" t="s">
        <v>150</v>
      </c>
      <c r="G5753" s="77" t="s">
        <v>285</v>
      </c>
      <c r="H5753" s="77" t="s">
        <v>267</v>
      </c>
      <c r="I5753" s="86">
        <v>41908</v>
      </c>
      <c r="J5753" s="78">
        <v>1214</v>
      </c>
    </row>
    <row r="5754" spans="6:10" x14ac:dyDescent="0.25">
      <c r="F5754" s="76" t="s">
        <v>150</v>
      </c>
      <c r="G5754" s="77" t="s">
        <v>285</v>
      </c>
      <c r="H5754" s="77" t="s">
        <v>267</v>
      </c>
      <c r="I5754" s="86">
        <v>41915</v>
      </c>
      <c r="J5754" s="78">
        <v>867</v>
      </c>
    </row>
    <row r="5755" spans="6:10" x14ac:dyDescent="0.25">
      <c r="F5755" s="76" t="s">
        <v>150</v>
      </c>
      <c r="G5755" s="77" t="s">
        <v>285</v>
      </c>
      <c r="H5755" s="77" t="s">
        <v>267</v>
      </c>
      <c r="I5755" s="86">
        <v>41918</v>
      </c>
      <c r="J5755" s="78">
        <v>1090</v>
      </c>
    </row>
    <row r="5756" spans="6:10" x14ac:dyDescent="0.25">
      <c r="F5756" s="76" t="s">
        <v>150</v>
      </c>
      <c r="G5756" s="77" t="s">
        <v>285</v>
      </c>
      <c r="H5756" s="77" t="s">
        <v>267</v>
      </c>
      <c r="I5756" s="86">
        <v>41919</v>
      </c>
      <c r="J5756" s="78">
        <v>373</v>
      </c>
    </row>
    <row r="5757" spans="6:10" x14ac:dyDescent="0.25">
      <c r="F5757" s="76" t="s">
        <v>150</v>
      </c>
      <c r="G5757" s="77" t="s">
        <v>285</v>
      </c>
      <c r="H5757" s="77" t="s">
        <v>267</v>
      </c>
      <c r="I5757" s="86">
        <v>41921</v>
      </c>
      <c r="J5757" s="78">
        <v>734</v>
      </c>
    </row>
    <row r="5758" spans="6:10" x14ac:dyDescent="0.25">
      <c r="F5758" s="76" t="s">
        <v>150</v>
      </c>
      <c r="G5758" s="77" t="s">
        <v>285</v>
      </c>
      <c r="H5758" s="77" t="s">
        <v>267</v>
      </c>
      <c r="I5758" s="86">
        <v>41923</v>
      </c>
      <c r="J5758" s="78">
        <v>1220</v>
      </c>
    </row>
    <row r="5759" spans="6:10" x14ac:dyDescent="0.25">
      <c r="F5759" s="76" t="s">
        <v>150</v>
      </c>
      <c r="G5759" s="77" t="s">
        <v>285</v>
      </c>
      <c r="H5759" s="77" t="s">
        <v>267</v>
      </c>
      <c r="I5759" s="86">
        <v>41925</v>
      </c>
      <c r="J5759" s="78">
        <v>577</v>
      </c>
    </row>
    <row r="5760" spans="6:10" x14ac:dyDescent="0.25">
      <c r="F5760" s="76" t="s">
        <v>150</v>
      </c>
      <c r="G5760" s="77" t="s">
        <v>285</v>
      </c>
      <c r="H5760" s="77" t="s">
        <v>267</v>
      </c>
      <c r="I5760" s="86">
        <v>41925</v>
      </c>
      <c r="J5760" s="78">
        <v>636</v>
      </c>
    </row>
    <row r="5761" spans="6:10" x14ac:dyDescent="0.25">
      <c r="F5761" s="76" t="s">
        <v>150</v>
      </c>
      <c r="G5761" s="77" t="s">
        <v>285</v>
      </c>
      <c r="H5761" s="77" t="s">
        <v>267</v>
      </c>
      <c r="I5761" s="86">
        <v>41927</v>
      </c>
      <c r="J5761" s="78">
        <v>729</v>
      </c>
    </row>
    <row r="5762" spans="6:10" x14ac:dyDescent="0.25">
      <c r="F5762" s="76" t="s">
        <v>150</v>
      </c>
      <c r="G5762" s="77" t="s">
        <v>285</v>
      </c>
      <c r="H5762" s="77" t="s">
        <v>267</v>
      </c>
      <c r="I5762" s="86">
        <v>41928</v>
      </c>
      <c r="J5762" s="78">
        <v>557</v>
      </c>
    </row>
    <row r="5763" spans="6:10" x14ac:dyDescent="0.25">
      <c r="F5763" s="76" t="s">
        <v>150</v>
      </c>
      <c r="G5763" s="77" t="s">
        <v>285</v>
      </c>
      <c r="H5763" s="77" t="s">
        <v>267</v>
      </c>
      <c r="I5763" s="86">
        <v>41930</v>
      </c>
      <c r="J5763" s="78">
        <v>935</v>
      </c>
    </row>
    <row r="5764" spans="6:10" x14ac:dyDescent="0.25">
      <c r="F5764" s="76" t="s">
        <v>150</v>
      </c>
      <c r="G5764" s="77" t="s">
        <v>285</v>
      </c>
      <c r="H5764" s="77" t="s">
        <v>267</v>
      </c>
      <c r="I5764" s="86">
        <v>41931</v>
      </c>
      <c r="J5764" s="78">
        <v>902</v>
      </c>
    </row>
    <row r="5765" spans="6:10" x14ac:dyDescent="0.25">
      <c r="F5765" s="76" t="s">
        <v>150</v>
      </c>
      <c r="G5765" s="77" t="s">
        <v>285</v>
      </c>
      <c r="H5765" s="77" t="s">
        <v>267</v>
      </c>
      <c r="I5765" s="86">
        <v>41933</v>
      </c>
      <c r="J5765" s="78">
        <v>831</v>
      </c>
    </row>
    <row r="5766" spans="6:10" x14ac:dyDescent="0.25">
      <c r="F5766" s="76" t="s">
        <v>150</v>
      </c>
      <c r="G5766" s="77" t="s">
        <v>285</v>
      </c>
      <c r="H5766" s="77" t="s">
        <v>267</v>
      </c>
      <c r="I5766" s="86">
        <v>41934</v>
      </c>
      <c r="J5766" s="78">
        <v>569</v>
      </c>
    </row>
    <row r="5767" spans="6:10" x14ac:dyDescent="0.25">
      <c r="F5767" s="76" t="s">
        <v>150</v>
      </c>
      <c r="G5767" s="77" t="s">
        <v>285</v>
      </c>
      <c r="H5767" s="77" t="s">
        <v>267</v>
      </c>
      <c r="I5767" s="86">
        <v>41935</v>
      </c>
      <c r="J5767" s="78">
        <v>853</v>
      </c>
    </row>
    <row r="5768" spans="6:10" x14ac:dyDescent="0.25">
      <c r="F5768" s="76" t="s">
        <v>150</v>
      </c>
      <c r="G5768" s="77" t="s">
        <v>285</v>
      </c>
      <c r="H5768" s="77" t="s">
        <v>267</v>
      </c>
      <c r="I5768" s="86">
        <v>41966</v>
      </c>
      <c r="J5768" s="78">
        <v>1362</v>
      </c>
    </row>
    <row r="5769" spans="6:10" x14ac:dyDescent="0.25">
      <c r="F5769" s="76" t="s">
        <v>150</v>
      </c>
      <c r="G5769" s="77" t="s">
        <v>285</v>
      </c>
      <c r="H5769" s="77" t="s">
        <v>267</v>
      </c>
      <c r="I5769" s="86">
        <v>41978</v>
      </c>
      <c r="J5769" s="78">
        <v>770</v>
      </c>
    </row>
    <row r="5770" spans="6:10" x14ac:dyDescent="0.25">
      <c r="F5770" s="76" t="s">
        <v>150</v>
      </c>
      <c r="G5770" s="77" t="s">
        <v>285</v>
      </c>
      <c r="H5770" s="77" t="s">
        <v>267</v>
      </c>
      <c r="I5770" s="86">
        <v>41980</v>
      </c>
      <c r="J5770" s="78">
        <v>500</v>
      </c>
    </row>
    <row r="5771" spans="6:10" x14ac:dyDescent="0.25">
      <c r="F5771" s="76" t="s">
        <v>150</v>
      </c>
      <c r="G5771" s="77" t="s">
        <v>285</v>
      </c>
      <c r="H5771" s="77" t="s">
        <v>267</v>
      </c>
      <c r="I5771" s="86">
        <v>41982</v>
      </c>
      <c r="J5771" s="78">
        <v>1462</v>
      </c>
    </row>
    <row r="5772" spans="6:10" x14ac:dyDescent="0.25">
      <c r="F5772" s="76" t="s">
        <v>150</v>
      </c>
      <c r="G5772" s="77" t="s">
        <v>285</v>
      </c>
      <c r="H5772" s="77" t="s">
        <v>267</v>
      </c>
      <c r="I5772" s="86">
        <v>41982</v>
      </c>
      <c r="J5772" s="78">
        <v>977</v>
      </c>
    </row>
    <row r="5773" spans="6:10" x14ac:dyDescent="0.25">
      <c r="F5773" s="76" t="s">
        <v>150</v>
      </c>
      <c r="G5773" s="77" t="s">
        <v>285</v>
      </c>
      <c r="H5773" s="77" t="s">
        <v>267</v>
      </c>
      <c r="I5773" s="86">
        <v>41984</v>
      </c>
      <c r="J5773" s="78">
        <v>1197</v>
      </c>
    </row>
    <row r="5774" spans="6:10" x14ac:dyDescent="0.25">
      <c r="F5774" s="76" t="s">
        <v>150</v>
      </c>
      <c r="G5774" s="77" t="s">
        <v>285</v>
      </c>
      <c r="H5774" s="77" t="s">
        <v>267</v>
      </c>
      <c r="I5774" s="86">
        <v>41984</v>
      </c>
      <c r="J5774" s="78">
        <v>723</v>
      </c>
    </row>
    <row r="5775" spans="6:10" x14ac:dyDescent="0.25">
      <c r="F5775" s="76" t="s">
        <v>150</v>
      </c>
      <c r="G5775" s="77" t="s">
        <v>285</v>
      </c>
      <c r="H5775" s="77" t="s">
        <v>267</v>
      </c>
      <c r="I5775" s="86">
        <v>41985</v>
      </c>
      <c r="J5775" s="78">
        <v>864</v>
      </c>
    </row>
    <row r="5776" spans="6:10" x14ac:dyDescent="0.25">
      <c r="F5776" s="76" t="s">
        <v>150</v>
      </c>
      <c r="G5776" s="77" t="s">
        <v>285</v>
      </c>
      <c r="H5776" s="77" t="s">
        <v>267</v>
      </c>
      <c r="I5776" s="86">
        <v>41986</v>
      </c>
      <c r="J5776" s="78">
        <v>664</v>
      </c>
    </row>
    <row r="5777" spans="6:10" x14ac:dyDescent="0.25">
      <c r="F5777" s="76" t="s">
        <v>150</v>
      </c>
      <c r="G5777" s="77" t="s">
        <v>285</v>
      </c>
      <c r="H5777" s="77" t="s">
        <v>267</v>
      </c>
      <c r="I5777" s="86">
        <v>41986</v>
      </c>
      <c r="J5777" s="78">
        <v>767</v>
      </c>
    </row>
    <row r="5778" spans="6:10" x14ac:dyDescent="0.25">
      <c r="F5778" s="76" t="s">
        <v>150</v>
      </c>
      <c r="G5778" s="77" t="s">
        <v>285</v>
      </c>
      <c r="H5778" s="77" t="s">
        <v>267</v>
      </c>
      <c r="I5778" s="86">
        <v>41987</v>
      </c>
      <c r="J5778" s="78">
        <v>1058</v>
      </c>
    </row>
    <row r="5779" spans="6:10" x14ac:dyDescent="0.25">
      <c r="F5779" s="76" t="s">
        <v>150</v>
      </c>
      <c r="G5779" s="77" t="s">
        <v>285</v>
      </c>
      <c r="H5779" s="77" t="s">
        <v>267</v>
      </c>
      <c r="I5779" s="86">
        <v>41988</v>
      </c>
      <c r="J5779" s="78">
        <v>884</v>
      </c>
    </row>
    <row r="5780" spans="6:10" x14ac:dyDescent="0.25">
      <c r="F5780" s="76" t="s">
        <v>150</v>
      </c>
      <c r="G5780" s="77" t="s">
        <v>285</v>
      </c>
      <c r="H5780" s="77" t="s">
        <v>267</v>
      </c>
      <c r="I5780" s="86">
        <v>41989</v>
      </c>
      <c r="J5780" s="78">
        <v>495</v>
      </c>
    </row>
    <row r="5781" spans="6:10" x14ac:dyDescent="0.25">
      <c r="F5781" s="76" t="s">
        <v>150</v>
      </c>
      <c r="G5781" s="77" t="s">
        <v>285</v>
      </c>
      <c r="H5781" s="77" t="s">
        <v>267</v>
      </c>
      <c r="I5781" s="86">
        <v>41989</v>
      </c>
      <c r="J5781" s="78">
        <v>974</v>
      </c>
    </row>
    <row r="5782" spans="6:10" x14ac:dyDescent="0.25">
      <c r="F5782" s="76" t="s">
        <v>150</v>
      </c>
      <c r="G5782" s="77" t="s">
        <v>285</v>
      </c>
      <c r="H5782" s="77" t="s">
        <v>267</v>
      </c>
      <c r="I5782" s="86">
        <v>41991</v>
      </c>
      <c r="J5782" s="78">
        <v>1166</v>
      </c>
    </row>
    <row r="5783" spans="6:10" x14ac:dyDescent="0.25">
      <c r="F5783" s="76" t="s">
        <v>150</v>
      </c>
      <c r="G5783" s="77" t="s">
        <v>285</v>
      </c>
      <c r="H5783" s="77" t="s">
        <v>267</v>
      </c>
      <c r="I5783" s="86">
        <v>41992</v>
      </c>
      <c r="J5783" s="78">
        <v>1060</v>
      </c>
    </row>
    <row r="5784" spans="6:10" x14ac:dyDescent="0.25">
      <c r="F5784" s="76" t="s">
        <v>150</v>
      </c>
      <c r="G5784" s="77" t="s">
        <v>285</v>
      </c>
      <c r="H5784" s="77" t="s">
        <v>267</v>
      </c>
      <c r="I5784" s="86">
        <v>41993</v>
      </c>
      <c r="J5784" s="78">
        <v>1058</v>
      </c>
    </row>
    <row r="5785" spans="6:10" x14ac:dyDescent="0.25">
      <c r="F5785" s="76" t="s">
        <v>150</v>
      </c>
      <c r="G5785" s="77" t="s">
        <v>285</v>
      </c>
      <c r="H5785" s="77" t="s">
        <v>267</v>
      </c>
      <c r="I5785" s="86">
        <v>41993</v>
      </c>
      <c r="J5785" s="78">
        <v>698</v>
      </c>
    </row>
    <row r="5786" spans="6:10" x14ac:dyDescent="0.25">
      <c r="F5786" s="76" t="s">
        <v>150</v>
      </c>
      <c r="G5786" s="77" t="s">
        <v>285</v>
      </c>
      <c r="H5786" s="77" t="s">
        <v>267</v>
      </c>
      <c r="I5786" s="86">
        <v>41994</v>
      </c>
      <c r="J5786" s="78">
        <v>960</v>
      </c>
    </row>
    <row r="5787" spans="6:10" x14ac:dyDescent="0.25">
      <c r="F5787" s="76" t="s">
        <v>150</v>
      </c>
      <c r="G5787" s="77" t="s">
        <v>285</v>
      </c>
      <c r="H5787" s="77" t="s">
        <v>267</v>
      </c>
      <c r="I5787" s="86">
        <v>41995</v>
      </c>
      <c r="J5787" s="78">
        <v>588</v>
      </c>
    </row>
    <row r="5788" spans="6:10" x14ac:dyDescent="0.25">
      <c r="F5788" s="76" t="s">
        <v>150</v>
      </c>
      <c r="G5788" s="77" t="s">
        <v>285</v>
      </c>
      <c r="H5788" s="77" t="s">
        <v>267</v>
      </c>
      <c r="I5788" s="86">
        <v>41996</v>
      </c>
      <c r="J5788" s="78">
        <v>684</v>
      </c>
    </row>
    <row r="5789" spans="6:10" x14ac:dyDescent="0.25">
      <c r="F5789" s="76" t="s">
        <v>150</v>
      </c>
      <c r="G5789" s="77" t="s">
        <v>285</v>
      </c>
      <c r="H5789" s="77" t="s">
        <v>267</v>
      </c>
      <c r="I5789" s="86">
        <v>41997</v>
      </c>
      <c r="J5789" s="78">
        <v>538</v>
      </c>
    </row>
    <row r="5790" spans="6:10" x14ac:dyDescent="0.25">
      <c r="F5790" s="76" t="s">
        <v>150</v>
      </c>
      <c r="G5790" s="77" t="s">
        <v>285</v>
      </c>
      <c r="H5790" s="77" t="s">
        <v>267</v>
      </c>
      <c r="I5790" s="86">
        <v>41999</v>
      </c>
      <c r="J5790" s="78">
        <v>600</v>
      </c>
    </row>
    <row r="5791" spans="6:10" x14ac:dyDescent="0.25">
      <c r="F5791" s="76" t="s">
        <v>150</v>
      </c>
      <c r="G5791" s="77" t="s">
        <v>285</v>
      </c>
      <c r="H5791" s="77" t="s">
        <v>267</v>
      </c>
      <c r="I5791" s="86">
        <v>42002</v>
      </c>
      <c r="J5791" s="78">
        <v>536</v>
      </c>
    </row>
    <row r="5792" spans="6:10" x14ac:dyDescent="0.25">
      <c r="F5792" s="76" t="s">
        <v>150</v>
      </c>
      <c r="G5792" s="77" t="s">
        <v>286</v>
      </c>
      <c r="H5792" s="77" t="s">
        <v>267</v>
      </c>
      <c r="I5792" s="86">
        <v>41791</v>
      </c>
      <c r="J5792" s="78">
        <v>390</v>
      </c>
    </row>
    <row r="5793" spans="6:10" x14ac:dyDescent="0.25">
      <c r="F5793" s="76" t="s">
        <v>150</v>
      </c>
      <c r="G5793" s="77" t="s">
        <v>286</v>
      </c>
      <c r="H5793" s="77" t="s">
        <v>267</v>
      </c>
      <c r="I5793" s="86">
        <v>41793</v>
      </c>
      <c r="J5793" s="78">
        <v>990</v>
      </c>
    </row>
    <row r="5794" spans="6:10" x14ac:dyDescent="0.25">
      <c r="F5794" s="76" t="s">
        <v>150</v>
      </c>
      <c r="G5794" s="77" t="s">
        <v>286</v>
      </c>
      <c r="H5794" s="77" t="s">
        <v>267</v>
      </c>
      <c r="I5794" s="86">
        <v>41794</v>
      </c>
      <c r="J5794" s="78">
        <v>690</v>
      </c>
    </row>
    <row r="5795" spans="6:10" x14ac:dyDescent="0.25">
      <c r="F5795" s="76" t="s">
        <v>150</v>
      </c>
      <c r="G5795" s="77" t="s">
        <v>286</v>
      </c>
      <c r="H5795" s="77" t="s">
        <v>267</v>
      </c>
      <c r="I5795" s="86">
        <v>41795</v>
      </c>
      <c r="J5795" s="78">
        <v>885</v>
      </c>
    </row>
    <row r="5796" spans="6:10" x14ac:dyDescent="0.25">
      <c r="F5796" s="76" t="s">
        <v>150</v>
      </c>
      <c r="G5796" s="77" t="s">
        <v>286</v>
      </c>
      <c r="H5796" s="77" t="s">
        <v>267</v>
      </c>
      <c r="I5796" s="86">
        <v>41799</v>
      </c>
      <c r="J5796" s="78">
        <v>1025</v>
      </c>
    </row>
    <row r="5797" spans="6:10" x14ac:dyDescent="0.25">
      <c r="F5797" s="76" t="s">
        <v>150</v>
      </c>
      <c r="G5797" s="77" t="s">
        <v>286</v>
      </c>
      <c r="H5797" s="77" t="s">
        <v>267</v>
      </c>
      <c r="I5797" s="86">
        <v>41800</v>
      </c>
      <c r="J5797" s="78">
        <v>593</v>
      </c>
    </row>
    <row r="5798" spans="6:10" x14ac:dyDescent="0.25">
      <c r="F5798" s="76" t="s">
        <v>150</v>
      </c>
      <c r="G5798" s="77" t="s">
        <v>286</v>
      </c>
      <c r="H5798" s="77" t="s">
        <v>267</v>
      </c>
      <c r="I5798" s="86">
        <v>41800</v>
      </c>
      <c r="J5798" s="78">
        <v>1013</v>
      </c>
    </row>
    <row r="5799" spans="6:10" x14ac:dyDescent="0.25">
      <c r="F5799" s="76" t="s">
        <v>150</v>
      </c>
      <c r="G5799" s="77" t="s">
        <v>286</v>
      </c>
      <c r="H5799" s="77" t="s">
        <v>267</v>
      </c>
      <c r="I5799" s="86">
        <v>41801</v>
      </c>
      <c r="J5799" s="78">
        <v>1134</v>
      </c>
    </row>
    <row r="5800" spans="6:10" x14ac:dyDescent="0.25">
      <c r="F5800" s="76" t="s">
        <v>150</v>
      </c>
      <c r="G5800" s="77" t="s">
        <v>286</v>
      </c>
      <c r="H5800" s="77" t="s">
        <v>267</v>
      </c>
      <c r="I5800" s="86">
        <v>41802</v>
      </c>
      <c r="J5800" s="78">
        <v>1093</v>
      </c>
    </row>
    <row r="5801" spans="6:10" x14ac:dyDescent="0.25">
      <c r="F5801" s="76" t="s">
        <v>150</v>
      </c>
      <c r="G5801" s="77" t="s">
        <v>286</v>
      </c>
      <c r="H5801" s="77" t="s">
        <v>267</v>
      </c>
      <c r="I5801" s="86">
        <v>41803</v>
      </c>
      <c r="J5801" s="78">
        <v>1171</v>
      </c>
    </row>
    <row r="5802" spans="6:10" x14ac:dyDescent="0.25">
      <c r="F5802" s="76" t="s">
        <v>150</v>
      </c>
      <c r="G5802" s="77" t="s">
        <v>286</v>
      </c>
      <c r="H5802" s="77" t="s">
        <v>267</v>
      </c>
      <c r="I5802" s="86">
        <v>41806</v>
      </c>
      <c r="J5802" s="78">
        <v>532</v>
      </c>
    </row>
    <row r="5803" spans="6:10" x14ac:dyDescent="0.25">
      <c r="F5803" s="76" t="s">
        <v>150</v>
      </c>
      <c r="G5803" s="77" t="s">
        <v>286</v>
      </c>
      <c r="H5803" s="77" t="s">
        <v>267</v>
      </c>
      <c r="I5803" s="86">
        <v>41806</v>
      </c>
      <c r="J5803" s="78">
        <v>1083</v>
      </c>
    </row>
    <row r="5804" spans="6:10" x14ac:dyDescent="0.25">
      <c r="F5804" s="76" t="s">
        <v>150</v>
      </c>
      <c r="G5804" s="77" t="s">
        <v>286</v>
      </c>
      <c r="H5804" s="77" t="s">
        <v>267</v>
      </c>
      <c r="I5804" s="86">
        <v>41807</v>
      </c>
      <c r="J5804" s="78">
        <v>1186</v>
      </c>
    </row>
    <row r="5805" spans="6:10" x14ac:dyDescent="0.25">
      <c r="F5805" s="76" t="s">
        <v>150</v>
      </c>
      <c r="G5805" s="77" t="s">
        <v>286</v>
      </c>
      <c r="H5805" s="77" t="s">
        <v>267</v>
      </c>
      <c r="I5805" s="86">
        <v>41808</v>
      </c>
      <c r="J5805" s="78">
        <v>1249</v>
      </c>
    </row>
    <row r="5806" spans="6:10" x14ac:dyDescent="0.25">
      <c r="F5806" s="76" t="s">
        <v>150</v>
      </c>
      <c r="G5806" s="77" t="s">
        <v>286</v>
      </c>
      <c r="H5806" s="77" t="s">
        <v>267</v>
      </c>
      <c r="I5806" s="86">
        <v>41809</v>
      </c>
      <c r="J5806" s="78">
        <v>1133</v>
      </c>
    </row>
    <row r="5807" spans="6:10" x14ac:dyDescent="0.25">
      <c r="F5807" s="76" t="s">
        <v>150</v>
      </c>
      <c r="G5807" s="77" t="s">
        <v>286</v>
      </c>
      <c r="H5807" s="77" t="s">
        <v>267</v>
      </c>
      <c r="I5807" s="86">
        <v>41810</v>
      </c>
      <c r="J5807" s="78">
        <v>1219</v>
      </c>
    </row>
    <row r="5808" spans="6:10" x14ac:dyDescent="0.25">
      <c r="F5808" s="76" t="s">
        <v>150</v>
      </c>
      <c r="G5808" s="77" t="s">
        <v>286</v>
      </c>
      <c r="H5808" s="77" t="s">
        <v>267</v>
      </c>
      <c r="I5808" s="86">
        <v>41812</v>
      </c>
      <c r="J5808" s="78">
        <v>430</v>
      </c>
    </row>
    <row r="5809" spans="6:10" x14ac:dyDescent="0.25">
      <c r="F5809" s="76" t="s">
        <v>150</v>
      </c>
      <c r="G5809" s="77" t="s">
        <v>286</v>
      </c>
      <c r="H5809" s="77" t="s">
        <v>267</v>
      </c>
      <c r="I5809" s="86">
        <v>41812</v>
      </c>
      <c r="J5809" s="78">
        <v>1141</v>
      </c>
    </row>
    <row r="5810" spans="6:10" x14ac:dyDescent="0.25">
      <c r="F5810" s="76" t="s">
        <v>150</v>
      </c>
      <c r="G5810" s="77" t="s">
        <v>286</v>
      </c>
      <c r="H5810" s="77" t="s">
        <v>267</v>
      </c>
      <c r="I5810" s="86">
        <v>41813</v>
      </c>
      <c r="J5810" s="78">
        <v>1345</v>
      </c>
    </row>
    <row r="5811" spans="6:10" x14ac:dyDescent="0.25">
      <c r="F5811" s="76" t="s">
        <v>150</v>
      </c>
      <c r="G5811" s="77" t="s">
        <v>286</v>
      </c>
      <c r="H5811" s="77" t="s">
        <v>267</v>
      </c>
      <c r="I5811" s="86">
        <v>41814</v>
      </c>
      <c r="J5811" s="78">
        <v>1092</v>
      </c>
    </row>
    <row r="5812" spans="6:10" x14ac:dyDescent="0.25">
      <c r="F5812" s="76" t="s">
        <v>150</v>
      </c>
      <c r="G5812" s="77" t="s">
        <v>286</v>
      </c>
      <c r="H5812" s="77" t="s">
        <v>267</v>
      </c>
      <c r="I5812" s="86">
        <v>41818</v>
      </c>
      <c r="J5812" s="78">
        <v>1095</v>
      </c>
    </row>
    <row r="5813" spans="6:10" x14ac:dyDescent="0.25">
      <c r="F5813" s="76" t="s">
        <v>150</v>
      </c>
      <c r="G5813" s="77" t="s">
        <v>286</v>
      </c>
      <c r="H5813" s="77" t="s">
        <v>267</v>
      </c>
      <c r="I5813" s="86">
        <v>41818</v>
      </c>
      <c r="J5813" s="78">
        <v>1244</v>
      </c>
    </row>
    <row r="5814" spans="6:10" x14ac:dyDescent="0.25">
      <c r="F5814" s="76" t="s">
        <v>150</v>
      </c>
      <c r="G5814" s="77" t="s">
        <v>286</v>
      </c>
      <c r="H5814" s="77" t="s">
        <v>267</v>
      </c>
      <c r="I5814" s="86">
        <v>41819</v>
      </c>
      <c r="J5814" s="78">
        <v>1028</v>
      </c>
    </row>
    <row r="5815" spans="6:10" x14ac:dyDescent="0.25">
      <c r="F5815" s="76" t="s">
        <v>150</v>
      </c>
      <c r="G5815" s="77" t="s">
        <v>286</v>
      </c>
      <c r="H5815" s="77" t="s">
        <v>267</v>
      </c>
      <c r="I5815" s="86">
        <v>41820</v>
      </c>
      <c r="J5815" s="78">
        <v>1282</v>
      </c>
    </row>
    <row r="5816" spans="6:10" x14ac:dyDescent="0.25">
      <c r="F5816" s="76" t="s">
        <v>150</v>
      </c>
      <c r="G5816" s="77" t="s">
        <v>286</v>
      </c>
      <c r="H5816" s="77" t="s">
        <v>267</v>
      </c>
      <c r="I5816" s="86">
        <v>41821</v>
      </c>
      <c r="J5816" s="78">
        <v>1296</v>
      </c>
    </row>
    <row r="5817" spans="6:10" x14ac:dyDescent="0.25">
      <c r="F5817" s="76" t="s">
        <v>150</v>
      </c>
      <c r="G5817" s="77" t="s">
        <v>286</v>
      </c>
      <c r="H5817" s="77" t="s">
        <v>267</v>
      </c>
      <c r="I5817" s="86">
        <v>41822</v>
      </c>
      <c r="J5817" s="78">
        <v>1250</v>
      </c>
    </row>
    <row r="5818" spans="6:10" x14ac:dyDescent="0.25">
      <c r="F5818" s="76" t="s">
        <v>150</v>
      </c>
      <c r="G5818" s="77" t="s">
        <v>286</v>
      </c>
      <c r="H5818" s="77" t="s">
        <v>267</v>
      </c>
      <c r="I5818" s="86">
        <v>41825</v>
      </c>
      <c r="J5818" s="78">
        <v>857</v>
      </c>
    </row>
    <row r="5819" spans="6:10" x14ac:dyDescent="0.25">
      <c r="F5819" s="76" t="s">
        <v>150</v>
      </c>
      <c r="G5819" s="77" t="s">
        <v>286</v>
      </c>
      <c r="H5819" s="77" t="s">
        <v>267</v>
      </c>
      <c r="I5819" s="86">
        <v>41827</v>
      </c>
      <c r="J5819" s="78">
        <v>1116</v>
      </c>
    </row>
    <row r="5820" spans="6:10" x14ac:dyDescent="0.25">
      <c r="F5820" s="76" t="s">
        <v>150</v>
      </c>
      <c r="G5820" s="77" t="s">
        <v>286</v>
      </c>
      <c r="H5820" s="77" t="s">
        <v>267</v>
      </c>
      <c r="I5820" s="86">
        <v>41829</v>
      </c>
      <c r="J5820" s="78">
        <v>753</v>
      </c>
    </row>
    <row r="5821" spans="6:10" x14ac:dyDescent="0.25">
      <c r="F5821" s="76" t="s">
        <v>150</v>
      </c>
      <c r="G5821" s="77" t="s">
        <v>286</v>
      </c>
      <c r="H5821" s="77" t="s">
        <v>267</v>
      </c>
      <c r="I5821" s="86">
        <v>41831</v>
      </c>
      <c r="J5821" s="78">
        <v>998</v>
      </c>
    </row>
    <row r="5822" spans="6:10" x14ac:dyDescent="0.25">
      <c r="F5822" s="76" t="s">
        <v>150</v>
      </c>
      <c r="G5822" s="77" t="s">
        <v>286</v>
      </c>
      <c r="H5822" s="77" t="s">
        <v>267</v>
      </c>
      <c r="I5822" s="86">
        <v>41834</v>
      </c>
      <c r="J5822" s="78">
        <v>446</v>
      </c>
    </row>
    <row r="5823" spans="6:10" x14ac:dyDescent="0.25">
      <c r="F5823" s="76" t="s">
        <v>150</v>
      </c>
      <c r="G5823" s="77" t="s">
        <v>286</v>
      </c>
      <c r="H5823" s="77" t="s">
        <v>267</v>
      </c>
      <c r="I5823" s="86">
        <v>41835</v>
      </c>
      <c r="J5823" s="78">
        <v>531</v>
      </c>
    </row>
    <row r="5824" spans="6:10" x14ac:dyDescent="0.25">
      <c r="F5824" s="76" t="s">
        <v>150</v>
      </c>
      <c r="G5824" s="77" t="s">
        <v>286</v>
      </c>
      <c r="H5824" s="77" t="s">
        <v>267</v>
      </c>
      <c r="I5824" s="86">
        <v>41837</v>
      </c>
      <c r="J5824" s="78">
        <v>951</v>
      </c>
    </row>
    <row r="5825" spans="6:10" x14ac:dyDescent="0.25">
      <c r="F5825" s="76" t="s">
        <v>150</v>
      </c>
      <c r="G5825" s="77" t="s">
        <v>286</v>
      </c>
      <c r="H5825" s="77" t="s">
        <v>267</v>
      </c>
      <c r="I5825" s="86">
        <v>41841</v>
      </c>
      <c r="J5825" s="78">
        <v>1085</v>
      </c>
    </row>
    <row r="5826" spans="6:10" x14ac:dyDescent="0.25">
      <c r="F5826" s="76" t="s">
        <v>150</v>
      </c>
      <c r="G5826" s="77" t="s">
        <v>286</v>
      </c>
      <c r="H5826" s="77" t="s">
        <v>267</v>
      </c>
      <c r="I5826" s="86">
        <v>41842</v>
      </c>
      <c r="J5826" s="78">
        <v>547</v>
      </c>
    </row>
    <row r="5827" spans="6:10" x14ac:dyDescent="0.25">
      <c r="F5827" s="76" t="s">
        <v>150</v>
      </c>
      <c r="G5827" s="77" t="s">
        <v>286</v>
      </c>
      <c r="H5827" s="77" t="s">
        <v>267</v>
      </c>
      <c r="I5827" s="86">
        <v>41843</v>
      </c>
      <c r="J5827" s="78">
        <v>593</v>
      </c>
    </row>
    <row r="5828" spans="6:10" x14ac:dyDescent="0.25">
      <c r="F5828" s="76" t="s">
        <v>150</v>
      </c>
      <c r="G5828" s="77" t="s">
        <v>286</v>
      </c>
      <c r="H5828" s="77" t="s">
        <v>267</v>
      </c>
      <c r="I5828" s="86">
        <v>41844</v>
      </c>
      <c r="J5828" s="78">
        <v>562</v>
      </c>
    </row>
    <row r="5829" spans="6:10" x14ac:dyDescent="0.25">
      <c r="F5829" s="76" t="s">
        <v>150</v>
      </c>
      <c r="G5829" s="77" t="s">
        <v>286</v>
      </c>
      <c r="H5829" s="77" t="s">
        <v>267</v>
      </c>
      <c r="I5829" s="86">
        <v>41845</v>
      </c>
      <c r="J5829" s="78">
        <v>592</v>
      </c>
    </row>
    <row r="5830" spans="6:10" x14ac:dyDescent="0.25">
      <c r="F5830" s="76" t="s">
        <v>150</v>
      </c>
      <c r="G5830" s="77" t="s">
        <v>286</v>
      </c>
      <c r="H5830" s="77" t="s">
        <v>267</v>
      </c>
      <c r="I5830" s="86">
        <v>41848</v>
      </c>
      <c r="J5830" s="78">
        <v>534</v>
      </c>
    </row>
    <row r="5831" spans="6:10" x14ac:dyDescent="0.25">
      <c r="F5831" s="76" t="s">
        <v>150</v>
      </c>
      <c r="G5831" s="77" t="s">
        <v>286</v>
      </c>
      <c r="H5831" s="77" t="s">
        <v>267</v>
      </c>
      <c r="I5831" s="86">
        <v>41849</v>
      </c>
      <c r="J5831" s="78">
        <v>523</v>
      </c>
    </row>
    <row r="5832" spans="6:10" x14ac:dyDescent="0.25">
      <c r="F5832" s="76" t="s">
        <v>150</v>
      </c>
      <c r="G5832" s="77" t="s">
        <v>286</v>
      </c>
      <c r="H5832" s="77" t="s">
        <v>267</v>
      </c>
      <c r="I5832" s="86">
        <v>41877</v>
      </c>
      <c r="J5832" s="78">
        <v>1045</v>
      </c>
    </row>
    <row r="5833" spans="6:10" x14ac:dyDescent="0.25">
      <c r="F5833" s="76" t="s">
        <v>150</v>
      </c>
      <c r="G5833" s="77" t="s">
        <v>286</v>
      </c>
      <c r="H5833" s="77" t="s">
        <v>267</v>
      </c>
      <c r="I5833" s="86">
        <v>41878</v>
      </c>
      <c r="J5833" s="78">
        <v>1140</v>
      </c>
    </row>
    <row r="5834" spans="6:10" x14ac:dyDescent="0.25">
      <c r="F5834" s="76" t="s">
        <v>150</v>
      </c>
      <c r="G5834" s="77" t="s">
        <v>286</v>
      </c>
      <c r="H5834" s="77" t="s">
        <v>267</v>
      </c>
      <c r="I5834" s="86">
        <v>41879</v>
      </c>
      <c r="J5834" s="78">
        <v>1285</v>
      </c>
    </row>
    <row r="5835" spans="6:10" x14ac:dyDescent="0.25">
      <c r="F5835" s="76" t="s">
        <v>150</v>
      </c>
      <c r="G5835" s="77" t="s">
        <v>286</v>
      </c>
      <c r="H5835" s="77" t="s">
        <v>267</v>
      </c>
      <c r="I5835" s="86">
        <v>41881</v>
      </c>
      <c r="J5835" s="78">
        <v>1464</v>
      </c>
    </row>
    <row r="5836" spans="6:10" x14ac:dyDescent="0.25">
      <c r="F5836" s="76" t="s">
        <v>150</v>
      </c>
      <c r="G5836" s="77" t="s">
        <v>286</v>
      </c>
      <c r="H5836" s="77" t="s">
        <v>267</v>
      </c>
      <c r="I5836" s="86">
        <v>41881</v>
      </c>
      <c r="J5836" s="78">
        <v>1288</v>
      </c>
    </row>
    <row r="5837" spans="6:10" x14ac:dyDescent="0.25">
      <c r="F5837" s="76" t="s">
        <v>150</v>
      </c>
      <c r="G5837" s="77" t="s">
        <v>286</v>
      </c>
      <c r="H5837" s="77" t="s">
        <v>267</v>
      </c>
      <c r="I5837" s="86">
        <v>41882</v>
      </c>
      <c r="J5837" s="78">
        <v>1304</v>
      </c>
    </row>
    <row r="5838" spans="6:10" x14ac:dyDescent="0.25">
      <c r="F5838" s="76" t="s">
        <v>150</v>
      </c>
      <c r="G5838" s="77" t="s">
        <v>286</v>
      </c>
      <c r="H5838" s="77" t="s">
        <v>267</v>
      </c>
      <c r="I5838" s="86">
        <v>41883</v>
      </c>
      <c r="J5838" s="78">
        <v>1416</v>
      </c>
    </row>
    <row r="5839" spans="6:10" x14ac:dyDescent="0.25">
      <c r="F5839" s="76" t="s">
        <v>150</v>
      </c>
      <c r="G5839" s="77" t="s">
        <v>286</v>
      </c>
      <c r="H5839" s="77" t="s">
        <v>267</v>
      </c>
      <c r="I5839" s="86">
        <v>41884</v>
      </c>
      <c r="J5839" s="78">
        <v>1152</v>
      </c>
    </row>
    <row r="5840" spans="6:10" x14ac:dyDescent="0.25">
      <c r="F5840" s="76" t="s">
        <v>150</v>
      </c>
      <c r="G5840" s="77" t="s">
        <v>286</v>
      </c>
      <c r="H5840" s="77" t="s">
        <v>267</v>
      </c>
      <c r="I5840" s="86">
        <v>41886</v>
      </c>
      <c r="J5840" s="78">
        <v>1542</v>
      </c>
    </row>
    <row r="5841" spans="6:10" x14ac:dyDescent="0.25">
      <c r="F5841" s="76" t="s">
        <v>150</v>
      </c>
      <c r="G5841" s="77" t="s">
        <v>286</v>
      </c>
      <c r="H5841" s="77" t="s">
        <v>267</v>
      </c>
      <c r="I5841" s="86">
        <v>41887</v>
      </c>
      <c r="J5841" s="78">
        <v>713</v>
      </c>
    </row>
    <row r="5842" spans="6:10" x14ac:dyDescent="0.25">
      <c r="F5842" s="76" t="s">
        <v>150</v>
      </c>
      <c r="G5842" s="77" t="s">
        <v>286</v>
      </c>
      <c r="H5842" s="77" t="s">
        <v>267</v>
      </c>
      <c r="I5842" s="86">
        <v>41887</v>
      </c>
      <c r="J5842" s="78">
        <v>786</v>
      </c>
    </row>
    <row r="5843" spans="6:10" x14ac:dyDescent="0.25">
      <c r="F5843" s="76" t="s">
        <v>150</v>
      </c>
      <c r="G5843" s="77" t="s">
        <v>286</v>
      </c>
      <c r="H5843" s="77" t="s">
        <v>267</v>
      </c>
      <c r="I5843" s="86">
        <v>41888</v>
      </c>
      <c r="J5843" s="78">
        <v>971</v>
      </c>
    </row>
    <row r="5844" spans="6:10" x14ac:dyDescent="0.25">
      <c r="F5844" s="76" t="s">
        <v>150</v>
      </c>
      <c r="G5844" s="77" t="s">
        <v>286</v>
      </c>
      <c r="H5844" s="77" t="s">
        <v>267</v>
      </c>
      <c r="I5844" s="86">
        <v>41888</v>
      </c>
      <c r="J5844" s="78">
        <v>740</v>
      </c>
    </row>
    <row r="5845" spans="6:10" x14ac:dyDescent="0.25">
      <c r="F5845" s="76" t="s">
        <v>150</v>
      </c>
      <c r="G5845" s="77" t="s">
        <v>286</v>
      </c>
      <c r="H5845" s="77" t="s">
        <v>267</v>
      </c>
      <c r="I5845" s="86">
        <v>41889</v>
      </c>
      <c r="J5845" s="78">
        <v>1144</v>
      </c>
    </row>
    <row r="5846" spans="6:10" x14ac:dyDescent="0.25">
      <c r="F5846" s="76" t="s">
        <v>150</v>
      </c>
      <c r="G5846" s="77" t="s">
        <v>286</v>
      </c>
      <c r="H5846" s="77" t="s">
        <v>267</v>
      </c>
      <c r="I5846" s="86">
        <v>41891</v>
      </c>
      <c r="J5846" s="78">
        <v>1193</v>
      </c>
    </row>
    <row r="5847" spans="6:10" x14ac:dyDescent="0.25">
      <c r="F5847" s="76" t="s">
        <v>150</v>
      </c>
      <c r="G5847" s="77" t="s">
        <v>286</v>
      </c>
      <c r="H5847" s="77" t="s">
        <v>267</v>
      </c>
      <c r="I5847" s="86">
        <v>41891</v>
      </c>
      <c r="J5847" s="78">
        <v>756</v>
      </c>
    </row>
    <row r="5848" spans="6:10" x14ac:dyDescent="0.25">
      <c r="F5848" s="76" t="s">
        <v>150</v>
      </c>
      <c r="G5848" s="77" t="s">
        <v>286</v>
      </c>
      <c r="H5848" s="77" t="s">
        <v>267</v>
      </c>
      <c r="I5848" s="86">
        <v>41892</v>
      </c>
      <c r="J5848" s="78">
        <v>924</v>
      </c>
    </row>
    <row r="5849" spans="6:10" x14ac:dyDescent="0.25">
      <c r="F5849" s="76" t="s">
        <v>150</v>
      </c>
      <c r="G5849" s="77" t="s">
        <v>286</v>
      </c>
      <c r="H5849" s="77" t="s">
        <v>267</v>
      </c>
      <c r="I5849" s="86">
        <v>41893</v>
      </c>
      <c r="J5849" s="78">
        <v>557</v>
      </c>
    </row>
    <row r="5850" spans="6:10" x14ac:dyDescent="0.25">
      <c r="F5850" s="76" t="s">
        <v>150</v>
      </c>
      <c r="G5850" s="77" t="s">
        <v>286</v>
      </c>
      <c r="H5850" s="77" t="s">
        <v>267</v>
      </c>
      <c r="I5850" s="86">
        <v>41895</v>
      </c>
      <c r="J5850" s="78">
        <v>1041</v>
      </c>
    </row>
    <row r="5851" spans="6:10" x14ac:dyDescent="0.25">
      <c r="F5851" s="76" t="s">
        <v>150</v>
      </c>
      <c r="G5851" s="77" t="s">
        <v>286</v>
      </c>
      <c r="H5851" s="77" t="s">
        <v>267</v>
      </c>
      <c r="I5851" s="86">
        <v>41897</v>
      </c>
      <c r="J5851" s="78">
        <v>581</v>
      </c>
    </row>
    <row r="5852" spans="6:10" x14ac:dyDescent="0.25">
      <c r="F5852" s="76" t="s">
        <v>150</v>
      </c>
      <c r="G5852" s="77" t="s">
        <v>286</v>
      </c>
      <c r="H5852" s="77" t="s">
        <v>267</v>
      </c>
      <c r="I5852" s="86">
        <v>41897</v>
      </c>
      <c r="J5852" s="78">
        <v>691</v>
      </c>
    </row>
    <row r="5853" spans="6:10" x14ac:dyDescent="0.25">
      <c r="F5853" s="76" t="s">
        <v>150</v>
      </c>
      <c r="G5853" s="77" t="s">
        <v>286</v>
      </c>
      <c r="H5853" s="77" t="s">
        <v>267</v>
      </c>
      <c r="I5853" s="86">
        <v>41899</v>
      </c>
      <c r="J5853" s="78">
        <v>703</v>
      </c>
    </row>
    <row r="5854" spans="6:10" x14ac:dyDescent="0.25">
      <c r="F5854" s="76" t="s">
        <v>150</v>
      </c>
      <c r="G5854" s="77" t="s">
        <v>286</v>
      </c>
      <c r="H5854" s="77" t="s">
        <v>267</v>
      </c>
      <c r="I5854" s="86">
        <v>41900</v>
      </c>
      <c r="J5854" s="78">
        <v>713</v>
      </c>
    </row>
    <row r="5855" spans="6:10" x14ac:dyDescent="0.25">
      <c r="F5855" s="76" t="s">
        <v>150</v>
      </c>
      <c r="G5855" s="77" t="s">
        <v>286</v>
      </c>
      <c r="H5855" s="77" t="s">
        <v>267</v>
      </c>
      <c r="I5855" s="86">
        <v>41902</v>
      </c>
      <c r="J5855" s="78">
        <v>1034</v>
      </c>
    </row>
    <row r="5856" spans="6:10" x14ac:dyDescent="0.25">
      <c r="F5856" s="76" t="s">
        <v>150</v>
      </c>
      <c r="G5856" s="77" t="s">
        <v>286</v>
      </c>
      <c r="H5856" s="77" t="s">
        <v>267</v>
      </c>
      <c r="I5856" s="86">
        <v>41903</v>
      </c>
      <c r="J5856" s="78">
        <v>544</v>
      </c>
    </row>
    <row r="5857" spans="6:10" x14ac:dyDescent="0.25">
      <c r="F5857" s="76" t="s">
        <v>150</v>
      </c>
      <c r="G5857" s="77" t="s">
        <v>286</v>
      </c>
      <c r="H5857" s="77" t="s">
        <v>267</v>
      </c>
      <c r="I5857" s="86">
        <v>41908</v>
      </c>
      <c r="J5857" s="78">
        <v>888</v>
      </c>
    </row>
    <row r="5858" spans="6:10" x14ac:dyDescent="0.25">
      <c r="F5858" s="76" t="s">
        <v>150</v>
      </c>
      <c r="G5858" s="77" t="s">
        <v>286</v>
      </c>
      <c r="H5858" s="77" t="s">
        <v>267</v>
      </c>
      <c r="I5858" s="86">
        <v>41911</v>
      </c>
      <c r="J5858" s="78">
        <v>1057</v>
      </c>
    </row>
    <row r="5859" spans="6:10" x14ac:dyDescent="0.25">
      <c r="F5859" s="76" t="s">
        <v>150</v>
      </c>
      <c r="G5859" s="77" t="s">
        <v>286</v>
      </c>
      <c r="H5859" s="77" t="s">
        <v>267</v>
      </c>
      <c r="I5859" s="86">
        <v>41912</v>
      </c>
      <c r="J5859" s="78">
        <v>502</v>
      </c>
    </row>
    <row r="5860" spans="6:10" x14ac:dyDescent="0.25">
      <c r="F5860" s="76" t="s">
        <v>150</v>
      </c>
      <c r="G5860" s="77" t="s">
        <v>286</v>
      </c>
      <c r="H5860" s="77" t="s">
        <v>267</v>
      </c>
      <c r="I5860" s="86">
        <v>41912</v>
      </c>
      <c r="J5860" s="78">
        <v>588</v>
      </c>
    </row>
    <row r="5861" spans="6:10" x14ac:dyDescent="0.25">
      <c r="F5861" s="76" t="s">
        <v>150</v>
      </c>
      <c r="G5861" s="77" t="s">
        <v>286</v>
      </c>
      <c r="H5861" s="77" t="s">
        <v>267</v>
      </c>
      <c r="I5861" s="86">
        <v>41913</v>
      </c>
      <c r="J5861" s="78">
        <v>716</v>
      </c>
    </row>
    <row r="5862" spans="6:10" x14ac:dyDescent="0.25">
      <c r="F5862" s="76" t="s">
        <v>150</v>
      </c>
      <c r="G5862" s="77" t="s">
        <v>286</v>
      </c>
      <c r="H5862" s="77" t="s">
        <v>267</v>
      </c>
      <c r="I5862" s="86">
        <v>41914</v>
      </c>
      <c r="J5862" s="78">
        <v>654</v>
      </c>
    </row>
    <row r="5863" spans="6:10" x14ac:dyDescent="0.25">
      <c r="F5863" s="76" t="s">
        <v>150</v>
      </c>
      <c r="G5863" s="77" t="s">
        <v>286</v>
      </c>
      <c r="H5863" s="77" t="s">
        <v>267</v>
      </c>
      <c r="I5863" s="86">
        <v>41915</v>
      </c>
      <c r="J5863" s="78">
        <v>667</v>
      </c>
    </row>
    <row r="5864" spans="6:10" x14ac:dyDescent="0.25">
      <c r="F5864" s="76" t="s">
        <v>150</v>
      </c>
      <c r="G5864" s="77" t="s">
        <v>286</v>
      </c>
      <c r="H5864" s="77" t="s">
        <v>267</v>
      </c>
      <c r="I5864" s="86">
        <v>41916</v>
      </c>
      <c r="J5864" s="78">
        <v>882</v>
      </c>
    </row>
    <row r="5865" spans="6:10" x14ac:dyDescent="0.25">
      <c r="F5865" s="76" t="s">
        <v>150</v>
      </c>
      <c r="G5865" s="77" t="s">
        <v>286</v>
      </c>
      <c r="H5865" s="77" t="s">
        <v>267</v>
      </c>
      <c r="I5865" s="86">
        <v>41917</v>
      </c>
      <c r="J5865" s="78">
        <v>565</v>
      </c>
    </row>
    <row r="5866" spans="6:10" x14ac:dyDescent="0.25">
      <c r="F5866" s="76" t="s">
        <v>150</v>
      </c>
      <c r="G5866" s="77" t="s">
        <v>286</v>
      </c>
      <c r="H5866" s="77" t="s">
        <v>267</v>
      </c>
      <c r="I5866" s="86">
        <v>41918</v>
      </c>
      <c r="J5866" s="78">
        <v>802</v>
      </c>
    </row>
    <row r="5867" spans="6:10" x14ac:dyDescent="0.25">
      <c r="F5867" s="76" t="s">
        <v>150</v>
      </c>
      <c r="G5867" s="77" t="s">
        <v>286</v>
      </c>
      <c r="H5867" s="77" t="s">
        <v>267</v>
      </c>
      <c r="I5867" s="86">
        <v>41919</v>
      </c>
      <c r="J5867" s="78">
        <v>844</v>
      </c>
    </row>
    <row r="5868" spans="6:10" x14ac:dyDescent="0.25">
      <c r="F5868" s="76" t="s">
        <v>150</v>
      </c>
      <c r="G5868" s="77" t="s">
        <v>286</v>
      </c>
      <c r="H5868" s="77" t="s">
        <v>267</v>
      </c>
      <c r="I5868" s="86">
        <v>41920</v>
      </c>
      <c r="J5868" s="78">
        <v>780</v>
      </c>
    </row>
    <row r="5869" spans="6:10" x14ac:dyDescent="0.25">
      <c r="F5869" s="76" t="s">
        <v>150</v>
      </c>
      <c r="G5869" s="77" t="s">
        <v>286</v>
      </c>
      <c r="H5869" s="77" t="s">
        <v>267</v>
      </c>
      <c r="I5869" s="86">
        <v>41921</v>
      </c>
      <c r="J5869" s="78">
        <v>807</v>
      </c>
    </row>
    <row r="5870" spans="6:10" x14ac:dyDescent="0.25">
      <c r="F5870" s="76" t="s">
        <v>150</v>
      </c>
      <c r="G5870" s="77" t="s">
        <v>286</v>
      </c>
      <c r="H5870" s="77" t="s">
        <v>267</v>
      </c>
      <c r="I5870" s="86">
        <v>41922</v>
      </c>
      <c r="J5870" s="78">
        <v>814</v>
      </c>
    </row>
    <row r="5871" spans="6:10" x14ac:dyDescent="0.25">
      <c r="F5871" s="76" t="s">
        <v>150</v>
      </c>
      <c r="G5871" s="77" t="s">
        <v>286</v>
      </c>
      <c r="H5871" s="77" t="s">
        <v>267</v>
      </c>
      <c r="I5871" s="86">
        <v>41923</v>
      </c>
      <c r="J5871" s="78">
        <v>799</v>
      </c>
    </row>
    <row r="5872" spans="6:10" x14ac:dyDescent="0.25">
      <c r="F5872" s="76" t="s">
        <v>150</v>
      </c>
      <c r="G5872" s="77" t="s">
        <v>286</v>
      </c>
      <c r="H5872" s="77" t="s">
        <v>267</v>
      </c>
      <c r="I5872" s="86">
        <v>41924</v>
      </c>
      <c r="J5872" s="78">
        <v>824</v>
      </c>
    </row>
    <row r="5873" spans="6:10" x14ac:dyDescent="0.25">
      <c r="F5873" s="76" t="s">
        <v>150</v>
      </c>
      <c r="G5873" s="77" t="s">
        <v>286</v>
      </c>
      <c r="H5873" s="77" t="s">
        <v>267</v>
      </c>
      <c r="I5873" s="86">
        <v>41925</v>
      </c>
      <c r="J5873" s="78">
        <v>742</v>
      </c>
    </row>
    <row r="5874" spans="6:10" x14ac:dyDescent="0.25">
      <c r="F5874" s="76" t="s">
        <v>150</v>
      </c>
      <c r="G5874" s="77" t="s">
        <v>286</v>
      </c>
      <c r="H5874" s="77" t="s">
        <v>267</v>
      </c>
      <c r="I5874" s="86">
        <v>41926</v>
      </c>
      <c r="J5874" s="78">
        <v>693</v>
      </c>
    </row>
    <row r="5875" spans="6:10" x14ac:dyDescent="0.25">
      <c r="F5875" s="76" t="s">
        <v>150</v>
      </c>
      <c r="G5875" s="77" t="s">
        <v>286</v>
      </c>
      <c r="H5875" s="77" t="s">
        <v>267</v>
      </c>
      <c r="I5875" s="86">
        <v>41927</v>
      </c>
      <c r="J5875" s="78">
        <v>614</v>
      </c>
    </row>
    <row r="5876" spans="6:10" x14ac:dyDescent="0.25">
      <c r="F5876" s="76" t="s">
        <v>150</v>
      </c>
      <c r="G5876" s="77" t="s">
        <v>286</v>
      </c>
      <c r="H5876" s="77" t="s">
        <v>267</v>
      </c>
      <c r="I5876" s="86">
        <v>41928</v>
      </c>
      <c r="J5876" s="78">
        <v>655</v>
      </c>
    </row>
    <row r="5877" spans="6:10" x14ac:dyDescent="0.25">
      <c r="F5877" s="76" t="s">
        <v>150</v>
      </c>
      <c r="G5877" s="77" t="s">
        <v>286</v>
      </c>
      <c r="H5877" s="77" t="s">
        <v>267</v>
      </c>
      <c r="I5877" s="86">
        <v>41929</v>
      </c>
      <c r="J5877" s="78">
        <v>636</v>
      </c>
    </row>
    <row r="5878" spans="6:10" x14ac:dyDescent="0.25">
      <c r="F5878" s="76" t="s">
        <v>150</v>
      </c>
      <c r="G5878" s="77" t="s">
        <v>286</v>
      </c>
      <c r="H5878" s="77" t="s">
        <v>267</v>
      </c>
      <c r="I5878" s="86">
        <v>41930</v>
      </c>
      <c r="J5878" s="78">
        <v>668</v>
      </c>
    </row>
    <row r="5879" spans="6:10" x14ac:dyDescent="0.25">
      <c r="F5879" s="76" t="s">
        <v>150</v>
      </c>
      <c r="G5879" s="77" t="s">
        <v>286</v>
      </c>
      <c r="H5879" s="77" t="s">
        <v>267</v>
      </c>
      <c r="I5879" s="86">
        <v>41931</v>
      </c>
      <c r="J5879" s="78">
        <v>789</v>
      </c>
    </row>
    <row r="5880" spans="6:10" x14ac:dyDescent="0.25">
      <c r="F5880" s="76" t="s">
        <v>150</v>
      </c>
      <c r="G5880" s="77" t="s">
        <v>286</v>
      </c>
      <c r="H5880" s="77" t="s">
        <v>267</v>
      </c>
      <c r="I5880" s="86">
        <v>41932</v>
      </c>
      <c r="J5880" s="78">
        <v>787</v>
      </c>
    </row>
    <row r="5881" spans="6:10" x14ac:dyDescent="0.25">
      <c r="F5881" s="76" t="s">
        <v>150</v>
      </c>
      <c r="G5881" s="77" t="s">
        <v>286</v>
      </c>
      <c r="H5881" s="77" t="s">
        <v>267</v>
      </c>
      <c r="I5881" s="86">
        <v>41934</v>
      </c>
      <c r="J5881" s="78">
        <v>423</v>
      </c>
    </row>
    <row r="5882" spans="6:10" x14ac:dyDescent="0.25">
      <c r="F5882" s="76" t="s">
        <v>150</v>
      </c>
      <c r="G5882" s="77" t="s">
        <v>286</v>
      </c>
      <c r="H5882" s="77" t="s">
        <v>267</v>
      </c>
      <c r="I5882" s="86">
        <v>41934</v>
      </c>
      <c r="J5882" s="78">
        <v>714</v>
      </c>
    </row>
    <row r="5883" spans="6:10" x14ac:dyDescent="0.25">
      <c r="F5883" s="76" t="s">
        <v>150</v>
      </c>
      <c r="G5883" s="77" t="s">
        <v>286</v>
      </c>
      <c r="H5883" s="77" t="s">
        <v>267</v>
      </c>
      <c r="I5883" s="86">
        <v>41935</v>
      </c>
      <c r="J5883" s="78">
        <v>1143</v>
      </c>
    </row>
    <row r="5884" spans="6:10" x14ac:dyDescent="0.25">
      <c r="F5884" s="76" t="s">
        <v>150</v>
      </c>
      <c r="G5884" s="77" t="s">
        <v>286</v>
      </c>
      <c r="H5884" s="77" t="s">
        <v>267</v>
      </c>
      <c r="I5884" s="86">
        <v>41936</v>
      </c>
      <c r="J5884" s="78">
        <v>1377</v>
      </c>
    </row>
    <row r="5885" spans="6:10" x14ac:dyDescent="0.25">
      <c r="F5885" s="76" t="s">
        <v>150</v>
      </c>
      <c r="G5885" s="77" t="s">
        <v>286</v>
      </c>
      <c r="H5885" s="77" t="s">
        <v>267</v>
      </c>
      <c r="I5885" s="86">
        <v>41937</v>
      </c>
      <c r="J5885" s="78">
        <v>1383</v>
      </c>
    </row>
    <row r="5886" spans="6:10" x14ac:dyDescent="0.25">
      <c r="F5886" s="76" t="s">
        <v>150</v>
      </c>
      <c r="G5886" s="77" t="s">
        <v>286</v>
      </c>
      <c r="H5886" s="77" t="s">
        <v>267</v>
      </c>
      <c r="I5886" s="86">
        <v>41938</v>
      </c>
      <c r="J5886" s="78">
        <v>1321</v>
      </c>
    </row>
    <row r="5887" spans="6:10" x14ac:dyDescent="0.25">
      <c r="F5887" s="76" t="s">
        <v>150</v>
      </c>
      <c r="G5887" s="77" t="s">
        <v>286</v>
      </c>
      <c r="H5887" s="77" t="s">
        <v>267</v>
      </c>
      <c r="I5887" s="86">
        <v>41939</v>
      </c>
      <c r="J5887" s="78">
        <v>1392</v>
      </c>
    </row>
    <row r="5888" spans="6:10" x14ac:dyDescent="0.25">
      <c r="F5888" s="76" t="s">
        <v>150</v>
      </c>
      <c r="G5888" s="77" t="s">
        <v>286</v>
      </c>
      <c r="H5888" s="77" t="s">
        <v>267</v>
      </c>
      <c r="I5888" s="86">
        <v>41943</v>
      </c>
      <c r="J5888" s="78">
        <v>843</v>
      </c>
    </row>
    <row r="5889" spans="6:10" x14ac:dyDescent="0.25">
      <c r="F5889" s="76" t="s">
        <v>150</v>
      </c>
      <c r="G5889" s="77" t="s">
        <v>286</v>
      </c>
      <c r="H5889" s="77" t="s">
        <v>267</v>
      </c>
      <c r="I5889" s="86">
        <v>41946</v>
      </c>
      <c r="J5889" s="78">
        <v>1287</v>
      </c>
    </row>
    <row r="5890" spans="6:10" x14ac:dyDescent="0.25">
      <c r="F5890" s="76" t="s">
        <v>150</v>
      </c>
      <c r="G5890" s="77" t="s">
        <v>286</v>
      </c>
      <c r="H5890" s="77" t="s">
        <v>267</v>
      </c>
      <c r="I5890" s="86">
        <v>41948</v>
      </c>
      <c r="J5890" s="78">
        <v>708</v>
      </c>
    </row>
    <row r="5891" spans="6:10" x14ac:dyDescent="0.25">
      <c r="F5891" s="76" t="s">
        <v>150</v>
      </c>
      <c r="G5891" s="77" t="s">
        <v>286</v>
      </c>
      <c r="H5891" s="77" t="s">
        <v>267</v>
      </c>
      <c r="I5891" s="86">
        <v>41949</v>
      </c>
      <c r="J5891" s="78">
        <v>466</v>
      </c>
    </row>
    <row r="5892" spans="6:10" x14ac:dyDescent="0.25">
      <c r="F5892" s="76" t="s">
        <v>150</v>
      </c>
      <c r="G5892" s="77" t="s">
        <v>286</v>
      </c>
      <c r="H5892" s="77" t="s">
        <v>267</v>
      </c>
      <c r="I5892" s="86">
        <v>41950</v>
      </c>
      <c r="J5892" s="78">
        <v>533</v>
      </c>
    </row>
    <row r="5893" spans="6:10" x14ac:dyDescent="0.25">
      <c r="F5893" s="76" t="s">
        <v>150</v>
      </c>
      <c r="G5893" s="77" t="s">
        <v>286</v>
      </c>
      <c r="H5893" s="77" t="s">
        <v>267</v>
      </c>
      <c r="I5893" s="86">
        <v>41953</v>
      </c>
      <c r="J5893" s="78">
        <v>763</v>
      </c>
    </row>
    <row r="5894" spans="6:10" x14ac:dyDescent="0.25">
      <c r="F5894" s="76" t="s">
        <v>150</v>
      </c>
      <c r="G5894" s="77" t="s">
        <v>286</v>
      </c>
      <c r="H5894" s="77" t="s">
        <v>267</v>
      </c>
      <c r="I5894" s="86">
        <v>41955</v>
      </c>
      <c r="J5894" s="78">
        <v>898</v>
      </c>
    </row>
    <row r="5895" spans="6:10" x14ac:dyDescent="0.25">
      <c r="F5895" s="76" t="s">
        <v>150</v>
      </c>
      <c r="G5895" s="77" t="s">
        <v>286</v>
      </c>
      <c r="H5895" s="77" t="s">
        <v>267</v>
      </c>
      <c r="I5895" s="86">
        <v>41956</v>
      </c>
      <c r="J5895" s="78">
        <v>650</v>
      </c>
    </row>
    <row r="5896" spans="6:10" x14ac:dyDescent="0.25">
      <c r="F5896" s="76" t="s">
        <v>150</v>
      </c>
      <c r="G5896" s="77" t="s">
        <v>286</v>
      </c>
      <c r="H5896" s="77" t="s">
        <v>267</v>
      </c>
      <c r="I5896" s="86">
        <v>41956</v>
      </c>
      <c r="J5896" s="78">
        <v>595</v>
      </c>
    </row>
    <row r="5897" spans="6:10" x14ac:dyDescent="0.25">
      <c r="F5897" s="76" t="s">
        <v>150</v>
      </c>
      <c r="G5897" s="77" t="s">
        <v>286</v>
      </c>
      <c r="H5897" s="77" t="s">
        <v>267</v>
      </c>
      <c r="I5897" s="86">
        <v>41957</v>
      </c>
      <c r="J5897" s="78">
        <v>935</v>
      </c>
    </row>
    <row r="5898" spans="6:10" x14ac:dyDescent="0.25">
      <c r="F5898" s="76" t="s">
        <v>150</v>
      </c>
      <c r="G5898" s="77" t="s">
        <v>286</v>
      </c>
      <c r="H5898" s="77" t="s">
        <v>267</v>
      </c>
      <c r="I5898" s="86">
        <v>41960</v>
      </c>
      <c r="J5898" s="78">
        <v>1212</v>
      </c>
    </row>
    <row r="5899" spans="6:10" x14ac:dyDescent="0.25">
      <c r="F5899" s="76" t="s">
        <v>150</v>
      </c>
      <c r="G5899" s="77" t="s">
        <v>286</v>
      </c>
      <c r="H5899" s="77" t="s">
        <v>267</v>
      </c>
      <c r="I5899" s="86">
        <v>41962</v>
      </c>
      <c r="J5899" s="78">
        <v>806</v>
      </c>
    </row>
    <row r="5900" spans="6:10" x14ac:dyDescent="0.25">
      <c r="F5900" s="76" t="s">
        <v>150</v>
      </c>
      <c r="G5900" s="77" t="s">
        <v>286</v>
      </c>
      <c r="H5900" s="77" t="s">
        <v>267</v>
      </c>
      <c r="I5900" s="86">
        <v>41996</v>
      </c>
      <c r="J5900" s="78">
        <v>843</v>
      </c>
    </row>
    <row r="5901" spans="6:10" x14ac:dyDescent="0.25">
      <c r="F5901" s="76" t="s">
        <v>150</v>
      </c>
      <c r="G5901" s="77" t="s">
        <v>286</v>
      </c>
      <c r="H5901" s="77" t="s">
        <v>267</v>
      </c>
      <c r="I5901" s="86">
        <v>41999</v>
      </c>
      <c r="J5901" s="78">
        <v>926</v>
      </c>
    </row>
    <row r="5902" spans="6:10" x14ac:dyDescent="0.25">
      <c r="F5902" s="76" t="s">
        <v>150</v>
      </c>
      <c r="G5902" s="77" t="s">
        <v>287</v>
      </c>
      <c r="H5902" s="77" t="s">
        <v>267</v>
      </c>
      <c r="I5902" s="86">
        <v>41734</v>
      </c>
      <c r="J5902" s="78">
        <v>472</v>
      </c>
    </row>
    <row r="5903" spans="6:10" x14ac:dyDescent="0.25">
      <c r="F5903" s="76" t="s">
        <v>150</v>
      </c>
      <c r="G5903" s="77" t="s">
        <v>287</v>
      </c>
      <c r="H5903" s="77" t="s">
        <v>267</v>
      </c>
      <c r="I5903" s="86">
        <v>41751</v>
      </c>
      <c r="J5903" s="78">
        <v>916</v>
      </c>
    </row>
    <row r="5904" spans="6:10" x14ac:dyDescent="0.25">
      <c r="F5904" s="76" t="s">
        <v>150</v>
      </c>
      <c r="G5904" s="77" t="s">
        <v>287</v>
      </c>
      <c r="H5904" s="77" t="s">
        <v>267</v>
      </c>
      <c r="I5904" s="86">
        <v>41755</v>
      </c>
      <c r="J5904" s="78">
        <v>1132</v>
      </c>
    </row>
    <row r="5905" spans="6:10" x14ac:dyDescent="0.25">
      <c r="F5905" s="76" t="s">
        <v>150</v>
      </c>
      <c r="G5905" s="77" t="s">
        <v>287</v>
      </c>
      <c r="H5905" s="77" t="s">
        <v>267</v>
      </c>
      <c r="I5905" s="86">
        <v>41756</v>
      </c>
      <c r="J5905" s="78">
        <v>664</v>
      </c>
    </row>
    <row r="5906" spans="6:10" x14ac:dyDescent="0.25">
      <c r="F5906" s="76" t="s">
        <v>150</v>
      </c>
      <c r="G5906" s="77" t="s">
        <v>287</v>
      </c>
      <c r="H5906" s="77" t="s">
        <v>267</v>
      </c>
      <c r="I5906" s="86">
        <v>41757</v>
      </c>
      <c r="J5906" s="78">
        <v>957</v>
      </c>
    </row>
    <row r="5907" spans="6:10" x14ac:dyDescent="0.25">
      <c r="F5907" s="76" t="s">
        <v>150</v>
      </c>
      <c r="G5907" s="77" t="s">
        <v>287</v>
      </c>
      <c r="H5907" s="77" t="s">
        <v>267</v>
      </c>
      <c r="I5907" s="86">
        <v>41758</v>
      </c>
      <c r="J5907" s="78">
        <v>1034</v>
      </c>
    </row>
    <row r="5908" spans="6:10" x14ac:dyDescent="0.25">
      <c r="F5908" s="76" t="s">
        <v>150</v>
      </c>
      <c r="G5908" s="77" t="s">
        <v>287</v>
      </c>
      <c r="H5908" s="77" t="s">
        <v>267</v>
      </c>
      <c r="I5908" s="86">
        <v>41762</v>
      </c>
      <c r="J5908" s="78">
        <v>1288</v>
      </c>
    </row>
    <row r="5909" spans="6:10" x14ac:dyDescent="0.25">
      <c r="F5909" s="76" t="s">
        <v>150</v>
      </c>
      <c r="G5909" s="77" t="s">
        <v>287</v>
      </c>
      <c r="H5909" s="77" t="s">
        <v>267</v>
      </c>
      <c r="I5909" s="86">
        <v>41762</v>
      </c>
      <c r="J5909" s="78">
        <v>1093</v>
      </c>
    </row>
    <row r="5910" spans="6:10" x14ac:dyDescent="0.25">
      <c r="F5910" s="76" t="s">
        <v>150</v>
      </c>
      <c r="G5910" s="77" t="s">
        <v>287</v>
      </c>
      <c r="H5910" s="77" t="s">
        <v>267</v>
      </c>
      <c r="I5910" s="86">
        <v>41763</v>
      </c>
      <c r="J5910" s="78">
        <v>1389</v>
      </c>
    </row>
    <row r="5911" spans="6:10" x14ac:dyDescent="0.25">
      <c r="F5911" s="76" t="s">
        <v>150</v>
      </c>
      <c r="G5911" s="77" t="s">
        <v>287</v>
      </c>
      <c r="H5911" s="77" t="s">
        <v>267</v>
      </c>
      <c r="I5911" s="86">
        <v>41764</v>
      </c>
      <c r="J5911" s="78">
        <v>1249</v>
      </c>
    </row>
    <row r="5912" spans="6:10" x14ac:dyDescent="0.25">
      <c r="F5912" s="76" t="s">
        <v>150</v>
      </c>
      <c r="G5912" s="77" t="s">
        <v>287</v>
      </c>
      <c r="H5912" s="77" t="s">
        <v>267</v>
      </c>
      <c r="I5912" s="86">
        <v>41765</v>
      </c>
      <c r="J5912" s="78">
        <v>1288</v>
      </c>
    </row>
    <row r="5913" spans="6:10" x14ac:dyDescent="0.25">
      <c r="F5913" s="76" t="s">
        <v>150</v>
      </c>
      <c r="G5913" s="77" t="s">
        <v>287</v>
      </c>
      <c r="H5913" s="77" t="s">
        <v>267</v>
      </c>
      <c r="I5913" s="86">
        <v>41767</v>
      </c>
      <c r="J5913" s="78">
        <v>1424</v>
      </c>
    </row>
    <row r="5914" spans="6:10" x14ac:dyDescent="0.25">
      <c r="F5914" s="76" t="s">
        <v>150</v>
      </c>
      <c r="G5914" s="77" t="s">
        <v>287</v>
      </c>
      <c r="H5914" s="77" t="s">
        <v>267</v>
      </c>
      <c r="I5914" s="86">
        <v>41768</v>
      </c>
      <c r="J5914" s="78">
        <v>1447</v>
      </c>
    </row>
    <row r="5915" spans="6:10" x14ac:dyDescent="0.25">
      <c r="F5915" s="76" t="s">
        <v>150</v>
      </c>
      <c r="G5915" s="77" t="s">
        <v>287</v>
      </c>
      <c r="H5915" s="77" t="s">
        <v>267</v>
      </c>
      <c r="I5915" s="86">
        <v>41771</v>
      </c>
      <c r="J5915" s="78">
        <v>515</v>
      </c>
    </row>
    <row r="5916" spans="6:10" x14ac:dyDescent="0.25">
      <c r="F5916" s="76" t="s">
        <v>150</v>
      </c>
      <c r="G5916" s="77" t="s">
        <v>287</v>
      </c>
      <c r="H5916" s="77" t="s">
        <v>267</v>
      </c>
      <c r="I5916" s="86">
        <v>41772</v>
      </c>
      <c r="J5916" s="78">
        <v>631</v>
      </c>
    </row>
    <row r="5917" spans="6:10" x14ac:dyDescent="0.25">
      <c r="F5917" s="76" t="s">
        <v>150</v>
      </c>
      <c r="G5917" s="77" t="s">
        <v>287</v>
      </c>
      <c r="H5917" s="77" t="s">
        <v>267</v>
      </c>
      <c r="I5917" s="86">
        <v>41779</v>
      </c>
      <c r="J5917" s="78">
        <v>913</v>
      </c>
    </row>
    <row r="5918" spans="6:10" x14ac:dyDescent="0.25">
      <c r="F5918" s="76" t="s">
        <v>150</v>
      </c>
      <c r="G5918" s="77" t="s">
        <v>287</v>
      </c>
      <c r="H5918" s="77" t="s">
        <v>267</v>
      </c>
      <c r="I5918" s="86">
        <v>41780</v>
      </c>
      <c r="J5918" s="78">
        <v>1183</v>
      </c>
    </row>
    <row r="5919" spans="6:10" x14ac:dyDescent="0.25">
      <c r="F5919" s="76" t="s">
        <v>150</v>
      </c>
      <c r="G5919" s="77" t="s">
        <v>287</v>
      </c>
      <c r="H5919" s="77" t="s">
        <v>267</v>
      </c>
      <c r="I5919" s="86">
        <v>41782</v>
      </c>
      <c r="J5919" s="78">
        <v>663</v>
      </c>
    </row>
    <row r="5920" spans="6:10" x14ac:dyDescent="0.25">
      <c r="F5920" s="76" t="s">
        <v>150</v>
      </c>
      <c r="G5920" s="77" t="s">
        <v>287</v>
      </c>
      <c r="H5920" s="77" t="s">
        <v>267</v>
      </c>
      <c r="I5920" s="86">
        <v>41814</v>
      </c>
      <c r="J5920" s="78">
        <v>421</v>
      </c>
    </row>
    <row r="5921" spans="6:10" x14ac:dyDescent="0.25">
      <c r="F5921" s="76" t="s">
        <v>150</v>
      </c>
      <c r="G5921" s="77" t="s">
        <v>287</v>
      </c>
      <c r="H5921" s="77" t="s">
        <v>267</v>
      </c>
      <c r="I5921" s="86">
        <v>41910</v>
      </c>
      <c r="J5921" s="78">
        <v>1477</v>
      </c>
    </row>
    <row r="5922" spans="6:10" x14ac:dyDescent="0.25">
      <c r="F5922" s="76" t="s">
        <v>150</v>
      </c>
      <c r="G5922" s="77" t="s">
        <v>287</v>
      </c>
      <c r="H5922" s="77" t="s">
        <v>267</v>
      </c>
      <c r="I5922" s="86">
        <v>41929</v>
      </c>
      <c r="J5922" s="78">
        <v>906</v>
      </c>
    </row>
    <row r="5923" spans="6:10" x14ac:dyDescent="0.25">
      <c r="F5923" s="76" t="s">
        <v>150</v>
      </c>
      <c r="G5923" s="77" t="s">
        <v>287</v>
      </c>
      <c r="H5923" s="77" t="s">
        <v>267</v>
      </c>
      <c r="I5923" s="86">
        <v>41949</v>
      </c>
      <c r="J5923" s="78">
        <v>286</v>
      </c>
    </row>
    <row r="5924" spans="6:10" x14ac:dyDescent="0.25">
      <c r="F5924" s="76" t="s">
        <v>150</v>
      </c>
      <c r="G5924" s="77" t="s">
        <v>287</v>
      </c>
      <c r="H5924" s="77" t="s">
        <v>267</v>
      </c>
      <c r="I5924" s="86">
        <v>41953</v>
      </c>
      <c r="J5924" s="78">
        <v>1198</v>
      </c>
    </row>
    <row r="5925" spans="6:10" x14ac:dyDescent="0.25">
      <c r="F5925" s="76" t="s">
        <v>150</v>
      </c>
      <c r="G5925" s="77" t="s">
        <v>287</v>
      </c>
      <c r="H5925" s="77" t="s">
        <v>267</v>
      </c>
      <c r="I5925" s="86">
        <v>41954</v>
      </c>
      <c r="J5925" s="78">
        <v>791</v>
      </c>
    </row>
    <row r="5926" spans="6:10" x14ac:dyDescent="0.25">
      <c r="F5926" s="76" t="s">
        <v>150</v>
      </c>
      <c r="G5926" s="77" t="s">
        <v>287</v>
      </c>
      <c r="H5926" s="77" t="s">
        <v>267</v>
      </c>
      <c r="I5926" s="86">
        <v>41955</v>
      </c>
      <c r="J5926" s="78">
        <v>369</v>
      </c>
    </row>
    <row r="5927" spans="6:10" x14ac:dyDescent="0.25">
      <c r="F5927" s="76" t="s">
        <v>150</v>
      </c>
      <c r="G5927" s="77" t="s">
        <v>287</v>
      </c>
      <c r="H5927" s="77" t="s">
        <v>267</v>
      </c>
      <c r="I5927" s="86">
        <v>41959</v>
      </c>
      <c r="J5927" s="78">
        <v>810</v>
      </c>
    </row>
    <row r="5928" spans="6:10" x14ac:dyDescent="0.25">
      <c r="F5928" s="76" t="s">
        <v>150</v>
      </c>
      <c r="G5928" s="77" t="s">
        <v>287</v>
      </c>
      <c r="H5928" s="77" t="s">
        <v>267</v>
      </c>
      <c r="I5928" s="86">
        <v>41965</v>
      </c>
      <c r="J5928" s="78">
        <v>941</v>
      </c>
    </row>
    <row r="5929" spans="6:10" x14ac:dyDescent="0.25">
      <c r="F5929" s="76" t="s">
        <v>150</v>
      </c>
      <c r="G5929" s="77" t="s">
        <v>287</v>
      </c>
      <c r="H5929" s="77" t="s">
        <v>267</v>
      </c>
      <c r="I5929" s="86">
        <v>41966</v>
      </c>
      <c r="J5929" s="78">
        <v>771</v>
      </c>
    </row>
    <row r="5930" spans="6:10" x14ac:dyDescent="0.25">
      <c r="F5930" s="76" t="s">
        <v>150</v>
      </c>
      <c r="G5930" s="77" t="s">
        <v>287</v>
      </c>
      <c r="H5930" s="77" t="s">
        <v>267</v>
      </c>
      <c r="I5930" s="86">
        <v>41970</v>
      </c>
      <c r="J5930" s="78">
        <v>894</v>
      </c>
    </row>
    <row r="5931" spans="6:10" x14ac:dyDescent="0.25">
      <c r="F5931" s="76" t="s">
        <v>150</v>
      </c>
      <c r="G5931" s="77" t="s">
        <v>287</v>
      </c>
      <c r="H5931" s="77" t="s">
        <v>267</v>
      </c>
      <c r="I5931" s="86">
        <v>41971</v>
      </c>
      <c r="J5931" s="78">
        <v>348</v>
      </c>
    </row>
    <row r="5932" spans="6:10" x14ac:dyDescent="0.25">
      <c r="F5932" s="76" t="s">
        <v>150</v>
      </c>
      <c r="G5932" s="77" t="s">
        <v>287</v>
      </c>
      <c r="H5932" s="77" t="s">
        <v>267</v>
      </c>
      <c r="I5932" s="86">
        <v>41972</v>
      </c>
      <c r="J5932" s="78">
        <v>533</v>
      </c>
    </row>
    <row r="5933" spans="6:10" x14ac:dyDescent="0.25">
      <c r="F5933" s="76" t="s">
        <v>150</v>
      </c>
      <c r="G5933" s="77" t="s">
        <v>287</v>
      </c>
      <c r="H5933" s="77" t="s">
        <v>267</v>
      </c>
      <c r="I5933" s="86">
        <v>41972</v>
      </c>
      <c r="J5933" s="78">
        <v>768</v>
      </c>
    </row>
    <row r="5934" spans="6:10" x14ac:dyDescent="0.25">
      <c r="F5934" s="76" t="s">
        <v>150</v>
      </c>
      <c r="G5934" s="77" t="s">
        <v>287</v>
      </c>
      <c r="H5934" s="77" t="s">
        <v>267</v>
      </c>
      <c r="I5934" s="86">
        <v>41973</v>
      </c>
      <c r="J5934" s="78">
        <v>1038</v>
      </c>
    </row>
    <row r="5935" spans="6:10" x14ac:dyDescent="0.25">
      <c r="F5935" s="76" t="s">
        <v>150</v>
      </c>
      <c r="G5935" s="77" t="s">
        <v>287</v>
      </c>
      <c r="H5935" s="77" t="s">
        <v>267</v>
      </c>
      <c r="I5935" s="86">
        <v>41976</v>
      </c>
      <c r="J5935" s="78">
        <v>495</v>
      </c>
    </row>
    <row r="5936" spans="6:10" x14ac:dyDescent="0.25">
      <c r="F5936" s="76" t="s">
        <v>150</v>
      </c>
      <c r="G5936" s="77" t="s">
        <v>287</v>
      </c>
      <c r="H5936" s="77" t="s">
        <v>267</v>
      </c>
      <c r="I5936" s="86">
        <v>41977</v>
      </c>
      <c r="J5936" s="78">
        <v>632</v>
      </c>
    </row>
    <row r="5937" spans="6:10" x14ac:dyDescent="0.25">
      <c r="F5937" s="76" t="s">
        <v>150</v>
      </c>
      <c r="G5937" s="77" t="s">
        <v>287</v>
      </c>
      <c r="H5937" s="77" t="s">
        <v>267</v>
      </c>
      <c r="I5937" s="86">
        <v>41978</v>
      </c>
      <c r="J5937" s="78">
        <v>854</v>
      </c>
    </row>
    <row r="5938" spans="6:10" x14ac:dyDescent="0.25">
      <c r="F5938" s="76" t="s">
        <v>150</v>
      </c>
      <c r="G5938" s="77" t="s">
        <v>287</v>
      </c>
      <c r="H5938" s="77" t="s">
        <v>267</v>
      </c>
      <c r="I5938" s="86">
        <v>41979</v>
      </c>
      <c r="J5938" s="78">
        <v>787</v>
      </c>
    </row>
    <row r="5939" spans="6:10" x14ac:dyDescent="0.25">
      <c r="F5939" s="76" t="s">
        <v>150</v>
      </c>
      <c r="G5939" s="77" t="s">
        <v>287</v>
      </c>
      <c r="H5939" s="77" t="s">
        <v>267</v>
      </c>
      <c r="I5939" s="86">
        <v>41980</v>
      </c>
      <c r="J5939" s="78">
        <v>572</v>
      </c>
    </row>
    <row r="5940" spans="6:10" x14ac:dyDescent="0.25">
      <c r="F5940" s="76" t="s">
        <v>150</v>
      </c>
      <c r="G5940" s="77" t="s">
        <v>287</v>
      </c>
      <c r="H5940" s="77" t="s">
        <v>267</v>
      </c>
      <c r="I5940" s="86">
        <v>41981</v>
      </c>
      <c r="J5940" s="78">
        <v>539</v>
      </c>
    </row>
    <row r="5941" spans="6:10" x14ac:dyDescent="0.25">
      <c r="F5941" s="76" t="s">
        <v>150</v>
      </c>
      <c r="G5941" s="77" t="s">
        <v>287</v>
      </c>
      <c r="H5941" s="77" t="s">
        <v>267</v>
      </c>
      <c r="I5941" s="86">
        <v>41982</v>
      </c>
      <c r="J5941" s="78">
        <v>510</v>
      </c>
    </row>
    <row r="5942" spans="6:10" x14ac:dyDescent="0.25">
      <c r="F5942" s="76" t="s">
        <v>150</v>
      </c>
      <c r="G5942" s="77" t="s">
        <v>287</v>
      </c>
      <c r="H5942" s="77" t="s">
        <v>267</v>
      </c>
      <c r="I5942" s="86">
        <v>41983</v>
      </c>
      <c r="J5942" s="78">
        <v>470</v>
      </c>
    </row>
    <row r="5943" spans="6:10" x14ac:dyDescent="0.25">
      <c r="F5943" s="76" t="s">
        <v>150</v>
      </c>
      <c r="G5943" s="77" t="s">
        <v>287</v>
      </c>
      <c r="H5943" s="77" t="s">
        <v>267</v>
      </c>
      <c r="I5943" s="86">
        <v>41984</v>
      </c>
      <c r="J5943" s="78">
        <v>452</v>
      </c>
    </row>
    <row r="5944" spans="6:10" x14ac:dyDescent="0.25">
      <c r="F5944" s="76" t="s">
        <v>150</v>
      </c>
      <c r="G5944" s="77" t="s">
        <v>287</v>
      </c>
      <c r="H5944" s="77" t="s">
        <v>267</v>
      </c>
      <c r="I5944" s="86">
        <v>41988</v>
      </c>
      <c r="J5944" s="78">
        <v>855</v>
      </c>
    </row>
    <row r="5945" spans="6:10" x14ac:dyDescent="0.25">
      <c r="F5945" s="76" t="s">
        <v>150</v>
      </c>
      <c r="G5945" s="77" t="s">
        <v>287</v>
      </c>
      <c r="H5945" s="77" t="s">
        <v>267</v>
      </c>
      <c r="I5945" s="86">
        <v>41990</v>
      </c>
      <c r="J5945" s="78">
        <v>890</v>
      </c>
    </row>
    <row r="5946" spans="6:10" x14ac:dyDescent="0.25">
      <c r="F5946" s="76" t="s">
        <v>150</v>
      </c>
      <c r="G5946" s="77" t="s">
        <v>287</v>
      </c>
      <c r="H5946" s="77" t="s">
        <v>267</v>
      </c>
      <c r="I5946" s="86">
        <v>41991</v>
      </c>
      <c r="J5946" s="78">
        <v>671</v>
      </c>
    </row>
    <row r="5947" spans="6:10" x14ac:dyDescent="0.25">
      <c r="F5947" s="76" t="s">
        <v>150</v>
      </c>
      <c r="G5947" s="77" t="s">
        <v>287</v>
      </c>
      <c r="H5947" s="77" t="s">
        <v>267</v>
      </c>
      <c r="I5947" s="86">
        <v>41995</v>
      </c>
      <c r="J5947" s="78">
        <v>918</v>
      </c>
    </row>
    <row r="5948" spans="6:10" x14ac:dyDescent="0.25">
      <c r="F5948" s="76" t="s">
        <v>150</v>
      </c>
      <c r="G5948" s="77" t="s">
        <v>287</v>
      </c>
      <c r="H5948" s="77" t="s">
        <v>267</v>
      </c>
      <c r="I5948" s="86">
        <v>41997</v>
      </c>
      <c r="J5948" s="78">
        <v>1121</v>
      </c>
    </row>
    <row r="5949" spans="6:10" x14ac:dyDescent="0.25">
      <c r="F5949" s="76" t="s">
        <v>150</v>
      </c>
      <c r="G5949" s="77" t="s">
        <v>287</v>
      </c>
      <c r="H5949" s="77" t="s">
        <v>267</v>
      </c>
      <c r="I5949" s="86">
        <v>42002</v>
      </c>
      <c r="J5949" s="78">
        <v>1003</v>
      </c>
    </row>
    <row r="5950" spans="6:10" x14ac:dyDescent="0.25">
      <c r="F5950" s="76" t="s">
        <v>150</v>
      </c>
      <c r="G5950" s="77" t="s">
        <v>288</v>
      </c>
      <c r="H5950" s="77" t="s">
        <v>267</v>
      </c>
      <c r="I5950" s="86">
        <v>41663</v>
      </c>
      <c r="J5950" s="78">
        <v>1240</v>
      </c>
    </row>
    <row r="5951" spans="6:10" x14ac:dyDescent="0.25">
      <c r="F5951" s="76" t="s">
        <v>150</v>
      </c>
      <c r="G5951" s="77" t="s">
        <v>288</v>
      </c>
      <c r="H5951" s="77" t="s">
        <v>267</v>
      </c>
      <c r="I5951" s="86">
        <v>41793</v>
      </c>
      <c r="J5951" s="78">
        <v>1145</v>
      </c>
    </row>
    <row r="5952" spans="6:10" x14ac:dyDescent="0.25">
      <c r="F5952" s="76" t="s">
        <v>150</v>
      </c>
      <c r="G5952" s="77" t="s">
        <v>288</v>
      </c>
      <c r="H5952" s="77" t="s">
        <v>267</v>
      </c>
      <c r="I5952" s="86">
        <v>41794</v>
      </c>
      <c r="J5952" s="78">
        <v>535</v>
      </c>
    </row>
    <row r="5953" spans="6:10" x14ac:dyDescent="0.25">
      <c r="F5953" s="76" t="s">
        <v>150</v>
      </c>
      <c r="G5953" s="77" t="s">
        <v>288</v>
      </c>
      <c r="H5953" s="77" t="s">
        <v>267</v>
      </c>
      <c r="I5953" s="86">
        <v>41795</v>
      </c>
      <c r="J5953" s="78">
        <v>704</v>
      </c>
    </row>
    <row r="5954" spans="6:10" x14ac:dyDescent="0.25">
      <c r="F5954" s="76" t="s">
        <v>150</v>
      </c>
      <c r="G5954" s="77" t="s">
        <v>288</v>
      </c>
      <c r="H5954" s="77" t="s">
        <v>267</v>
      </c>
      <c r="I5954" s="86">
        <v>41796</v>
      </c>
      <c r="J5954" s="78">
        <v>884</v>
      </c>
    </row>
    <row r="5955" spans="6:10" x14ac:dyDescent="0.25">
      <c r="F5955" s="76" t="s">
        <v>150</v>
      </c>
      <c r="G5955" s="77" t="s">
        <v>288</v>
      </c>
      <c r="H5955" s="77" t="s">
        <v>267</v>
      </c>
      <c r="I5955" s="86">
        <v>41797</v>
      </c>
      <c r="J5955" s="78">
        <v>666</v>
      </c>
    </row>
    <row r="5956" spans="6:10" x14ac:dyDescent="0.25">
      <c r="F5956" s="76" t="s">
        <v>150</v>
      </c>
      <c r="G5956" s="77" t="s">
        <v>288</v>
      </c>
      <c r="H5956" s="77" t="s">
        <v>267</v>
      </c>
      <c r="I5956" s="86">
        <v>41798</v>
      </c>
      <c r="J5956" s="78">
        <v>721</v>
      </c>
    </row>
    <row r="5957" spans="6:10" x14ac:dyDescent="0.25">
      <c r="F5957" s="76" t="s">
        <v>150</v>
      </c>
      <c r="G5957" s="77" t="s">
        <v>288</v>
      </c>
      <c r="H5957" s="77" t="s">
        <v>267</v>
      </c>
      <c r="I5957" s="86">
        <v>41799</v>
      </c>
      <c r="J5957" s="78">
        <v>631</v>
      </c>
    </row>
    <row r="5958" spans="6:10" x14ac:dyDescent="0.25">
      <c r="F5958" s="76" t="s">
        <v>150</v>
      </c>
      <c r="G5958" s="77" t="s">
        <v>288</v>
      </c>
      <c r="H5958" s="77" t="s">
        <v>267</v>
      </c>
      <c r="I5958" s="86">
        <v>41800</v>
      </c>
      <c r="J5958" s="78">
        <v>634</v>
      </c>
    </row>
    <row r="5959" spans="6:10" x14ac:dyDescent="0.25">
      <c r="F5959" s="76" t="s">
        <v>150</v>
      </c>
      <c r="G5959" s="77" t="s">
        <v>288</v>
      </c>
      <c r="H5959" s="77" t="s">
        <v>267</v>
      </c>
      <c r="I5959" s="86">
        <v>41802</v>
      </c>
      <c r="J5959" s="78">
        <v>1194</v>
      </c>
    </row>
    <row r="5960" spans="6:10" x14ac:dyDescent="0.25">
      <c r="F5960" s="76" t="s">
        <v>150</v>
      </c>
      <c r="G5960" s="77" t="s">
        <v>288</v>
      </c>
      <c r="H5960" s="77" t="s">
        <v>267</v>
      </c>
      <c r="I5960" s="86">
        <v>41803</v>
      </c>
      <c r="J5960" s="78">
        <v>973</v>
      </c>
    </row>
    <row r="5961" spans="6:10" x14ac:dyDescent="0.25">
      <c r="F5961" s="76" t="s">
        <v>150</v>
      </c>
      <c r="G5961" s="77" t="s">
        <v>288</v>
      </c>
      <c r="H5961" s="77" t="s">
        <v>267</v>
      </c>
      <c r="I5961" s="86">
        <v>41804</v>
      </c>
      <c r="J5961" s="78">
        <v>671</v>
      </c>
    </row>
    <row r="5962" spans="6:10" x14ac:dyDescent="0.25">
      <c r="F5962" s="76" t="s">
        <v>150</v>
      </c>
      <c r="G5962" s="77" t="s">
        <v>288</v>
      </c>
      <c r="H5962" s="77" t="s">
        <v>267</v>
      </c>
      <c r="I5962" s="86">
        <v>41806</v>
      </c>
      <c r="J5962" s="78">
        <v>1236</v>
      </c>
    </row>
    <row r="5963" spans="6:10" x14ac:dyDescent="0.25">
      <c r="F5963" s="76" t="s">
        <v>150</v>
      </c>
      <c r="G5963" s="77" t="s">
        <v>288</v>
      </c>
      <c r="H5963" s="77" t="s">
        <v>267</v>
      </c>
      <c r="I5963" s="86">
        <v>41807</v>
      </c>
      <c r="J5963" s="78">
        <v>864</v>
      </c>
    </row>
    <row r="5964" spans="6:10" x14ac:dyDescent="0.25">
      <c r="F5964" s="76" t="s">
        <v>150</v>
      </c>
      <c r="G5964" s="77" t="s">
        <v>288</v>
      </c>
      <c r="H5964" s="77" t="s">
        <v>267</v>
      </c>
      <c r="I5964" s="86">
        <v>41809</v>
      </c>
      <c r="J5964" s="78">
        <v>837</v>
      </c>
    </row>
    <row r="5965" spans="6:10" x14ac:dyDescent="0.25">
      <c r="F5965" s="76" t="s">
        <v>150</v>
      </c>
      <c r="G5965" s="77" t="s">
        <v>288</v>
      </c>
      <c r="H5965" s="77" t="s">
        <v>267</v>
      </c>
      <c r="I5965" s="86">
        <v>41810</v>
      </c>
      <c r="J5965" s="78">
        <v>568</v>
      </c>
    </row>
    <row r="5966" spans="6:10" x14ac:dyDescent="0.25">
      <c r="F5966" s="76" t="s">
        <v>150</v>
      </c>
      <c r="G5966" s="77" t="s">
        <v>288</v>
      </c>
      <c r="H5966" s="77" t="s">
        <v>267</v>
      </c>
      <c r="I5966" s="86">
        <v>41813</v>
      </c>
      <c r="J5966" s="78">
        <v>772</v>
      </c>
    </row>
    <row r="5967" spans="6:10" x14ac:dyDescent="0.25">
      <c r="F5967" s="76" t="s">
        <v>150</v>
      </c>
      <c r="G5967" s="77" t="s">
        <v>288</v>
      </c>
      <c r="H5967" s="77" t="s">
        <v>267</v>
      </c>
      <c r="I5967" s="86">
        <v>41814</v>
      </c>
      <c r="J5967" s="78">
        <v>704</v>
      </c>
    </row>
    <row r="5968" spans="6:10" x14ac:dyDescent="0.25">
      <c r="F5968" s="76" t="s">
        <v>150</v>
      </c>
      <c r="G5968" s="77" t="s">
        <v>288</v>
      </c>
      <c r="H5968" s="77" t="s">
        <v>267</v>
      </c>
      <c r="I5968" s="86">
        <v>41815</v>
      </c>
      <c r="J5968" s="78">
        <v>837</v>
      </c>
    </row>
    <row r="5969" spans="6:10" x14ac:dyDescent="0.25">
      <c r="F5969" s="76" t="s">
        <v>150</v>
      </c>
      <c r="G5969" s="77" t="s">
        <v>288</v>
      </c>
      <c r="H5969" s="77" t="s">
        <v>267</v>
      </c>
      <c r="I5969" s="86">
        <v>41816</v>
      </c>
      <c r="J5969" s="78">
        <v>710</v>
      </c>
    </row>
    <row r="5970" spans="6:10" x14ac:dyDescent="0.25">
      <c r="F5970" s="76" t="s">
        <v>150</v>
      </c>
      <c r="G5970" s="77" t="s">
        <v>288</v>
      </c>
      <c r="H5970" s="77" t="s">
        <v>267</v>
      </c>
      <c r="I5970" s="86">
        <v>41816</v>
      </c>
      <c r="J5970" s="78">
        <v>766</v>
      </c>
    </row>
    <row r="5971" spans="6:10" x14ac:dyDescent="0.25">
      <c r="F5971" s="76" t="s">
        <v>150</v>
      </c>
      <c r="G5971" s="77" t="s">
        <v>288</v>
      </c>
      <c r="H5971" s="77" t="s">
        <v>267</v>
      </c>
      <c r="I5971" s="86">
        <v>41817</v>
      </c>
      <c r="J5971" s="78">
        <v>1021</v>
      </c>
    </row>
    <row r="5972" spans="6:10" x14ac:dyDescent="0.25">
      <c r="F5972" s="76" t="s">
        <v>150</v>
      </c>
      <c r="G5972" s="77" t="s">
        <v>288</v>
      </c>
      <c r="H5972" s="77" t="s">
        <v>267</v>
      </c>
      <c r="I5972" s="86">
        <v>41820</v>
      </c>
      <c r="J5972" s="78">
        <v>706</v>
      </c>
    </row>
    <row r="5973" spans="6:10" x14ac:dyDescent="0.25">
      <c r="F5973" s="76" t="s">
        <v>150</v>
      </c>
      <c r="G5973" s="77" t="s">
        <v>288</v>
      </c>
      <c r="H5973" s="77" t="s">
        <v>267</v>
      </c>
      <c r="I5973" s="86">
        <v>41824</v>
      </c>
      <c r="J5973" s="78">
        <v>958</v>
      </c>
    </row>
    <row r="5974" spans="6:10" x14ac:dyDescent="0.25">
      <c r="F5974" s="76" t="s">
        <v>150</v>
      </c>
      <c r="G5974" s="77" t="s">
        <v>288</v>
      </c>
      <c r="H5974" s="77" t="s">
        <v>267</v>
      </c>
      <c r="I5974" s="86">
        <v>41824</v>
      </c>
      <c r="J5974" s="78">
        <v>836</v>
      </c>
    </row>
    <row r="5975" spans="6:10" x14ac:dyDescent="0.25">
      <c r="F5975" s="76" t="s">
        <v>150</v>
      </c>
      <c r="G5975" s="77" t="s">
        <v>288</v>
      </c>
      <c r="H5975" s="77" t="s">
        <v>267</v>
      </c>
      <c r="I5975" s="86">
        <v>41825</v>
      </c>
      <c r="J5975" s="78">
        <v>1122</v>
      </c>
    </row>
    <row r="5976" spans="6:10" x14ac:dyDescent="0.25">
      <c r="F5976" s="76" t="s">
        <v>150</v>
      </c>
      <c r="G5976" s="77" t="s">
        <v>288</v>
      </c>
      <c r="H5976" s="77" t="s">
        <v>267</v>
      </c>
      <c r="I5976" s="86">
        <v>41826</v>
      </c>
      <c r="J5976" s="78">
        <v>1168</v>
      </c>
    </row>
    <row r="5977" spans="6:10" x14ac:dyDescent="0.25">
      <c r="F5977" s="76" t="s">
        <v>150</v>
      </c>
      <c r="G5977" s="77" t="s">
        <v>288</v>
      </c>
      <c r="H5977" s="77" t="s">
        <v>267</v>
      </c>
      <c r="I5977" s="86">
        <v>41828</v>
      </c>
      <c r="J5977" s="78">
        <v>1388</v>
      </c>
    </row>
    <row r="5978" spans="6:10" x14ac:dyDescent="0.25">
      <c r="F5978" s="76" t="s">
        <v>150</v>
      </c>
      <c r="G5978" s="77" t="s">
        <v>288</v>
      </c>
      <c r="H5978" s="77" t="s">
        <v>267</v>
      </c>
      <c r="I5978" s="86">
        <v>41832</v>
      </c>
      <c r="J5978" s="78">
        <v>1259</v>
      </c>
    </row>
    <row r="5979" spans="6:10" x14ac:dyDescent="0.25">
      <c r="F5979" s="76" t="s">
        <v>150</v>
      </c>
      <c r="G5979" s="77" t="s">
        <v>288</v>
      </c>
      <c r="H5979" s="77" t="s">
        <v>267</v>
      </c>
      <c r="I5979" s="86">
        <v>41833</v>
      </c>
      <c r="J5979" s="78">
        <v>660</v>
      </c>
    </row>
    <row r="5980" spans="6:10" x14ac:dyDescent="0.25">
      <c r="F5980" s="76" t="s">
        <v>150</v>
      </c>
      <c r="G5980" s="77" t="s">
        <v>288</v>
      </c>
      <c r="H5980" s="77" t="s">
        <v>267</v>
      </c>
      <c r="I5980" s="86">
        <v>41833</v>
      </c>
      <c r="J5980" s="78">
        <v>965</v>
      </c>
    </row>
    <row r="5981" spans="6:10" x14ac:dyDescent="0.25">
      <c r="F5981" s="76" t="s">
        <v>150</v>
      </c>
      <c r="G5981" s="77" t="s">
        <v>288</v>
      </c>
      <c r="H5981" s="77" t="s">
        <v>267</v>
      </c>
      <c r="I5981" s="86">
        <v>41834</v>
      </c>
      <c r="J5981" s="78">
        <v>953</v>
      </c>
    </row>
    <row r="5982" spans="6:10" x14ac:dyDescent="0.25">
      <c r="F5982" s="76" t="s">
        <v>150</v>
      </c>
      <c r="G5982" s="77" t="s">
        <v>288</v>
      </c>
      <c r="H5982" s="77" t="s">
        <v>267</v>
      </c>
      <c r="I5982" s="86">
        <v>41835</v>
      </c>
      <c r="J5982" s="78">
        <v>920</v>
      </c>
    </row>
    <row r="5983" spans="6:10" x14ac:dyDescent="0.25">
      <c r="F5983" s="76" t="s">
        <v>150</v>
      </c>
      <c r="G5983" s="77" t="s">
        <v>288</v>
      </c>
      <c r="H5983" s="77" t="s">
        <v>267</v>
      </c>
      <c r="I5983" s="86">
        <v>41837</v>
      </c>
      <c r="J5983" s="78">
        <v>1252</v>
      </c>
    </row>
    <row r="5984" spans="6:10" x14ac:dyDescent="0.25">
      <c r="F5984" s="76" t="s">
        <v>150</v>
      </c>
      <c r="G5984" s="77" t="s">
        <v>288</v>
      </c>
      <c r="H5984" s="77" t="s">
        <v>267</v>
      </c>
      <c r="I5984" s="86">
        <v>41838</v>
      </c>
      <c r="J5984" s="78">
        <v>865</v>
      </c>
    </row>
    <row r="5985" spans="6:10" x14ac:dyDescent="0.25">
      <c r="F5985" s="76" t="s">
        <v>150</v>
      </c>
      <c r="G5985" s="77" t="s">
        <v>288</v>
      </c>
      <c r="H5985" s="77" t="s">
        <v>267</v>
      </c>
      <c r="I5985" s="86">
        <v>41839</v>
      </c>
      <c r="J5985" s="78">
        <v>933</v>
      </c>
    </row>
    <row r="5986" spans="6:10" x14ac:dyDescent="0.25">
      <c r="F5986" s="76" t="s">
        <v>150</v>
      </c>
      <c r="G5986" s="77" t="s">
        <v>288</v>
      </c>
      <c r="H5986" s="77" t="s">
        <v>267</v>
      </c>
      <c r="I5986" s="86">
        <v>41840</v>
      </c>
      <c r="J5986" s="78">
        <v>776</v>
      </c>
    </row>
    <row r="5987" spans="6:10" x14ac:dyDescent="0.25">
      <c r="F5987" s="76" t="s">
        <v>150</v>
      </c>
      <c r="G5987" s="77" t="s">
        <v>288</v>
      </c>
      <c r="H5987" s="77" t="s">
        <v>267</v>
      </c>
      <c r="I5987" s="86">
        <v>41840</v>
      </c>
      <c r="J5987" s="78">
        <v>1181</v>
      </c>
    </row>
    <row r="5988" spans="6:10" x14ac:dyDescent="0.25">
      <c r="F5988" s="76" t="s">
        <v>150</v>
      </c>
      <c r="G5988" s="77" t="s">
        <v>288</v>
      </c>
      <c r="H5988" s="77" t="s">
        <v>267</v>
      </c>
      <c r="I5988" s="86">
        <v>41842</v>
      </c>
      <c r="J5988" s="78">
        <v>1032</v>
      </c>
    </row>
    <row r="5989" spans="6:10" x14ac:dyDescent="0.25">
      <c r="F5989" s="76" t="s">
        <v>150</v>
      </c>
      <c r="G5989" s="77" t="s">
        <v>288</v>
      </c>
      <c r="H5989" s="77" t="s">
        <v>267</v>
      </c>
      <c r="I5989" s="86">
        <v>41842</v>
      </c>
      <c r="J5989" s="78">
        <v>1549</v>
      </c>
    </row>
    <row r="5990" spans="6:10" x14ac:dyDescent="0.25">
      <c r="F5990" s="76" t="s">
        <v>150</v>
      </c>
      <c r="G5990" s="77" t="s">
        <v>288</v>
      </c>
      <c r="H5990" s="77" t="s">
        <v>267</v>
      </c>
      <c r="I5990" s="86">
        <v>41843</v>
      </c>
      <c r="J5990" s="78">
        <v>1347</v>
      </c>
    </row>
    <row r="5991" spans="6:10" x14ac:dyDescent="0.25">
      <c r="F5991" s="76" t="s">
        <v>150</v>
      </c>
      <c r="G5991" s="77" t="s">
        <v>288</v>
      </c>
      <c r="H5991" s="77" t="s">
        <v>267</v>
      </c>
      <c r="I5991" s="86">
        <v>41844</v>
      </c>
      <c r="J5991" s="78">
        <v>1267</v>
      </c>
    </row>
    <row r="5992" spans="6:10" x14ac:dyDescent="0.25">
      <c r="F5992" s="76" t="s">
        <v>150</v>
      </c>
      <c r="G5992" s="77" t="s">
        <v>288</v>
      </c>
      <c r="H5992" s="77" t="s">
        <v>267</v>
      </c>
      <c r="I5992" s="86">
        <v>41846</v>
      </c>
      <c r="J5992" s="78">
        <v>1378</v>
      </c>
    </row>
    <row r="5993" spans="6:10" x14ac:dyDescent="0.25">
      <c r="F5993" s="76" t="s">
        <v>150</v>
      </c>
      <c r="G5993" s="77" t="s">
        <v>288</v>
      </c>
      <c r="H5993" s="77" t="s">
        <v>267</v>
      </c>
      <c r="I5993" s="86">
        <v>41847</v>
      </c>
      <c r="J5993" s="78">
        <v>784</v>
      </c>
    </row>
    <row r="5994" spans="6:10" x14ac:dyDescent="0.25">
      <c r="F5994" s="76" t="s">
        <v>150</v>
      </c>
      <c r="G5994" s="77" t="s">
        <v>288</v>
      </c>
      <c r="H5994" s="77" t="s">
        <v>267</v>
      </c>
      <c r="I5994" s="86">
        <v>41848</v>
      </c>
      <c r="J5994" s="78">
        <v>754</v>
      </c>
    </row>
    <row r="5995" spans="6:10" x14ac:dyDescent="0.25">
      <c r="F5995" s="76" t="s">
        <v>150</v>
      </c>
      <c r="G5995" s="77" t="s">
        <v>288</v>
      </c>
      <c r="H5995" s="77" t="s">
        <v>267</v>
      </c>
      <c r="I5995" s="86">
        <v>41848</v>
      </c>
      <c r="J5995" s="78">
        <v>1184</v>
      </c>
    </row>
    <row r="5996" spans="6:10" x14ac:dyDescent="0.25">
      <c r="F5996" s="76" t="s">
        <v>150</v>
      </c>
      <c r="G5996" s="77" t="s">
        <v>288</v>
      </c>
      <c r="H5996" s="77" t="s">
        <v>267</v>
      </c>
      <c r="I5996" s="86">
        <v>41849</v>
      </c>
      <c r="J5996" s="78">
        <v>1175</v>
      </c>
    </row>
    <row r="5997" spans="6:10" x14ac:dyDescent="0.25">
      <c r="F5997" s="76" t="s">
        <v>150</v>
      </c>
      <c r="G5997" s="77" t="s">
        <v>288</v>
      </c>
      <c r="H5997" s="77" t="s">
        <v>267</v>
      </c>
      <c r="I5997" s="86">
        <v>41850</v>
      </c>
      <c r="J5997" s="78">
        <v>1280</v>
      </c>
    </row>
    <row r="5998" spans="6:10" x14ac:dyDescent="0.25">
      <c r="F5998" s="76" t="s">
        <v>150</v>
      </c>
      <c r="G5998" s="77" t="s">
        <v>288</v>
      </c>
      <c r="H5998" s="77" t="s">
        <v>267</v>
      </c>
      <c r="I5998" s="86">
        <v>41851</v>
      </c>
      <c r="J5998" s="78">
        <v>1279</v>
      </c>
    </row>
    <row r="5999" spans="6:10" x14ac:dyDescent="0.25">
      <c r="F5999" s="76" t="s">
        <v>150</v>
      </c>
      <c r="G5999" s="77" t="s">
        <v>288</v>
      </c>
      <c r="H5999" s="77" t="s">
        <v>267</v>
      </c>
      <c r="I5999" s="86">
        <v>41852</v>
      </c>
      <c r="J5999" s="78">
        <v>1224</v>
      </c>
    </row>
    <row r="6000" spans="6:10" x14ac:dyDescent="0.25">
      <c r="F6000" s="76" t="s">
        <v>150</v>
      </c>
      <c r="G6000" s="77" t="s">
        <v>288</v>
      </c>
      <c r="H6000" s="77" t="s">
        <v>267</v>
      </c>
      <c r="I6000" s="86">
        <v>41854</v>
      </c>
      <c r="J6000" s="78">
        <v>587</v>
      </c>
    </row>
    <row r="6001" spans="6:10" x14ac:dyDescent="0.25">
      <c r="F6001" s="76" t="s">
        <v>150</v>
      </c>
      <c r="G6001" s="77" t="s">
        <v>288</v>
      </c>
      <c r="H6001" s="77" t="s">
        <v>267</v>
      </c>
      <c r="I6001" s="86">
        <v>41854</v>
      </c>
      <c r="J6001" s="78">
        <v>697</v>
      </c>
    </row>
    <row r="6002" spans="6:10" x14ac:dyDescent="0.25">
      <c r="F6002" s="76" t="s">
        <v>150</v>
      </c>
      <c r="G6002" s="77" t="s">
        <v>288</v>
      </c>
      <c r="H6002" s="77" t="s">
        <v>267</v>
      </c>
      <c r="I6002" s="86">
        <v>41855</v>
      </c>
      <c r="J6002" s="78">
        <v>1210</v>
      </c>
    </row>
    <row r="6003" spans="6:10" x14ac:dyDescent="0.25">
      <c r="F6003" s="76" t="s">
        <v>150</v>
      </c>
      <c r="G6003" s="77" t="s">
        <v>288</v>
      </c>
      <c r="H6003" s="77" t="s">
        <v>267</v>
      </c>
      <c r="I6003" s="86">
        <v>41856</v>
      </c>
      <c r="J6003" s="78">
        <v>1214</v>
      </c>
    </row>
    <row r="6004" spans="6:10" x14ac:dyDescent="0.25">
      <c r="F6004" s="76" t="s">
        <v>150</v>
      </c>
      <c r="G6004" s="77" t="s">
        <v>288</v>
      </c>
      <c r="H6004" s="77" t="s">
        <v>267</v>
      </c>
      <c r="I6004" s="86">
        <v>41857</v>
      </c>
      <c r="J6004" s="78">
        <v>1224</v>
      </c>
    </row>
    <row r="6005" spans="6:10" x14ac:dyDescent="0.25">
      <c r="F6005" s="76" t="s">
        <v>150</v>
      </c>
      <c r="G6005" s="77" t="s">
        <v>288</v>
      </c>
      <c r="H6005" s="77" t="s">
        <v>267</v>
      </c>
      <c r="I6005" s="86">
        <v>41858</v>
      </c>
      <c r="J6005" s="78">
        <v>1306</v>
      </c>
    </row>
    <row r="6006" spans="6:10" x14ac:dyDescent="0.25">
      <c r="F6006" s="76" t="s">
        <v>150</v>
      </c>
      <c r="G6006" s="77" t="s">
        <v>288</v>
      </c>
      <c r="H6006" s="77" t="s">
        <v>267</v>
      </c>
      <c r="I6006" s="86">
        <v>41859</v>
      </c>
      <c r="J6006" s="78">
        <v>1334</v>
      </c>
    </row>
    <row r="6007" spans="6:10" x14ac:dyDescent="0.25">
      <c r="F6007" s="76" t="s">
        <v>150</v>
      </c>
      <c r="G6007" s="77" t="s">
        <v>288</v>
      </c>
      <c r="H6007" s="77" t="s">
        <v>267</v>
      </c>
      <c r="I6007" s="86">
        <v>41860</v>
      </c>
      <c r="J6007" s="78">
        <v>1232</v>
      </c>
    </row>
    <row r="6008" spans="6:10" x14ac:dyDescent="0.25">
      <c r="F6008" s="76" t="s">
        <v>150</v>
      </c>
      <c r="G6008" s="77" t="s">
        <v>288</v>
      </c>
      <c r="H6008" s="77" t="s">
        <v>267</v>
      </c>
      <c r="I6008" s="86">
        <v>41861</v>
      </c>
      <c r="J6008" s="78">
        <v>1292</v>
      </c>
    </row>
    <row r="6009" spans="6:10" x14ac:dyDescent="0.25">
      <c r="F6009" s="76" t="s">
        <v>150</v>
      </c>
      <c r="G6009" s="77" t="s">
        <v>288</v>
      </c>
      <c r="H6009" s="77" t="s">
        <v>267</v>
      </c>
      <c r="I6009" s="86">
        <v>41862</v>
      </c>
      <c r="J6009" s="78">
        <v>1038</v>
      </c>
    </row>
    <row r="6010" spans="6:10" x14ac:dyDescent="0.25">
      <c r="F6010" s="76" t="s">
        <v>150</v>
      </c>
      <c r="G6010" s="77" t="s">
        <v>288</v>
      </c>
      <c r="H6010" s="77" t="s">
        <v>267</v>
      </c>
      <c r="I6010" s="86">
        <v>41863</v>
      </c>
      <c r="J6010" s="78">
        <v>1021</v>
      </c>
    </row>
    <row r="6011" spans="6:10" x14ac:dyDescent="0.25">
      <c r="F6011" s="76" t="s">
        <v>150</v>
      </c>
      <c r="G6011" s="77" t="s">
        <v>288</v>
      </c>
      <c r="H6011" s="77" t="s">
        <v>267</v>
      </c>
      <c r="I6011" s="86">
        <v>41864</v>
      </c>
      <c r="J6011" s="78">
        <v>554</v>
      </c>
    </row>
    <row r="6012" spans="6:10" x14ac:dyDescent="0.25">
      <c r="F6012" s="76" t="s">
        <v>150</v>
      </c>
      <c r="G6012" s="77" t="s">
        <v>288</v>
      </c>
      <c r="H6012" s="77" t="s">
        <v>267</v>
      </c>
      <c r="I6012" s="86">
        <v>41893</v>
      </c>
      <c r="J6012" s="78">
        <v>1043</v>
      </c>
    </row>
    <row r="6013" spans="6:10" x14ac:dyDescent="0.25">
      <c r="F6013" s="76" t="s">
        <v>150</v>
      </c>
      <c r="G6013" s="77" t="s">
        <v>288</v>
      </c>
      <c r="H6013" s="77" t="s">
        <v>267</v>
      </c>
      <c r="I6013" s="86">
        <v>41894</v>
      </c>
      <c r="J6013" s="78">
        <v>999</v>
      </c>
    </row>
    <row r="6014" spans="6:10" x14ac:dyDescent="0.25">
      <c r="F6014" s="76" t="s">
        <v>150</v>
      </c>
      <c r="G6014" s="77" t="s">
        <v>288</v>
      </c>
      <c r="H6014" s="77" t="s">
        <v>267</v>
      </c>
      <c r="I6014" s="86">
        <v>41898</v>
      </c>
      <c r="J6014" s="78">
        <v>976</v>
      </c>
    </row>
    <row r="6015" spans="6:10" x14ac:dyDescent="0.25">
      <c r="F6015" s="76" t="s">
        <v>150</v>
      </c>
      <c r="G6015" s="77" t="s">
        <v>288</v>
      </c>
      <c r="H6015" s="77" t="s">
        <v>267</v>
      </c>
      <c r="I6015" s="86">
        <v>41900</v>
      </c>
      <c r="J6015" s="78">
        <v>1063</v>
      </c>
    </row>
    <row r="6016" spans="6:10" x14ac:dyDescent="0.25">
      <c r="F6016" s="76" t="s">
        <v>150</v>
      </c>
      <c r="G6016" s="77" t="s">
        <v>288</v>
      </c>
      <c r="H6016" s="77" t="s">
        <v>267</v>
      </c>
      <c r="I6016" s="86">
        <v>41904</v>
      </c>
      <c r="J6016" s="78">
        <v>1018</v>
      </c>
    </row>
    <row r="6017" spans="6:10" x14ac:dyDescent="0.25">
      <c r="F6017" s="76" t="s">
        <v>150</v>
      </c>
      <c r="G6017" s="77" t="s">
        <v>288</v>
      </c>
      <c r="H6017" s="77" t="s">
        <v>267</v>
      </c>
      <c r="I6017" s="86">
        <v>41905</v>
      </c>
      <c r="J6017" s="78">
        <v>566</v>
      </c>
    </row>
    <row r="6018" spans="6:10" x14ac:dyDescent="0.25">
      <c r="F6018" s="76" t="s">
        <v>150</v>
      </c>
      <c r="G6018" s="77" t="s">
        <v>288</v>
      </c>
      <c r="H6018" s="77" t="s">
        <v>267</v>
      </c>
      <c r="I6018" s="86">
        <v>41907</v>
      </c>
      <c r="J6018" s="78">
        <v>1052</v>
      </c>
    </row>
    <row r="6019" spans="6:10" x14ac:dyDescent="0.25">
      <c r="F6019" s="76" t="s">
        <v>150</v>
      </c>
      <c r="G6019" s="77" t="s">
        <v>288</v>
      </c>
      <c r="H6019" s="77" t="s">
        <v>267</v>
      </c>
      <c r="I6019" s="86">
        <v>41911</v>
      </c>
      <c r="J6019" s="78">
        <v>1085</v>
      </c>
    </row>
    <row r="6020" spans="6:10" x14ac:dyDescent="0.25">
      <c r="F6020" s="76" t="s">
        <v>150</v>
      </c>
      <c r="G6020" s="77" t="s">
        <v>288</v>
      </c>
      <c r="H6020" s="77" t="s">
        <v>267</v>
      </c>
      <c r="I6020" s="86">
        <v>41913</v>
      </c>
      <c r="J6020" s="78">
        <v>1065</v>
      </c>
    </row>
    <row r="6021" spans="6:10" x14ac:dyDescent="0.25">
      <c r="F6021" s="76" t="s">
        <v>150</v>
      </c>
      <c r="G6021" s="77" t="s">
        <v>288</v>
      </c>
      <c r="H6021" s="77" t="s">
        <v>267</v>
      </c>
      <c r="I6021" s="86">
        <v>41915</v>
      </c>
      <c r="J6021" s="78">
        <v>1316</v>
      </c>
    </row>
    <row r="6022" spans="6:10" x14ac:dyDescent="0.25">
      <c r="F6022" s="76" t="s">
        <v>150</v>
      </c>
      <c r="G6022" s="77" t="s">
        <v>288</v>
      </c>
      <c r="H6022" s="77" t="s">
        <v>267</v>
      </c>
      <c r="I6022" s="86">
        <v>41918</v>
      </c>
      <c r="J6022" s="78">
        <v>579</v>
      </c>
    </row>
    <row r="6023" spans="6:10" x14ac:dyDescent="0.25">
      <c r="F6023" s="76" t="s">
        <v>150</v>
      </c>
      <c r="G6023" s="77" t="s">
        <v>288</v>
      </c>
      <c r="H6023" s="77" t="s">
        <v>267</v>
      </c>
      <c r="I6023" s="86">
        <v>41919</v>
      </c>
      <c r="J6023" s="78">
        <v>575</v>
      </c>
    </row>
    <row r="6024" spans="6:10" x14ac:dyDescent="0.25">
      <c r="F6024" s="76" t="s">
        <v>150</v>
      </c>
      <c r="G6024" s="77" t="s">
        <v>288</v>
      </c>
      <c r="H6024" s="77" t="s">
        <v>267</v>
      </c>
      <c r="I6024" s="86">
        <v>41920</v>
      </c>
      <c r="J6024" s="78">
        <v>573</v>
      </c>
    </row>
    <row r="6025" spans="6:10" x14ac:dyDescent="0.25">
      <c r="F6025" s="76" t="s">
        <v>150</v>
      </c>
      <c r="G6025" s="77" t="s">
        <v>288</v>
      </c>
      <c r="H6025" s="77" t="s">
        <v>267</v>
      </c>
      <c r="I6025" s="86">
        <v>41922</v>
      </c>
      <c r="J6025" s="78">
        <v>763</v>
      </c>
    </row>
    <row r="6026" spans="6:10" x14ac:dyDescent="0.25">
      <c r="F6026" s="76" t="s">
        <v>150</v>
      </c>
      <c r="G6026" s="77" t="s">
        <v>288</v>
      </c>
      <c r="H6026" s="77" t="s">
        <v>267</v>
      </c>
      <c r="I6026" s="86">
        <v>41925</v>
      </c>
      <c r="J6026" s="78">
        <v>677</v>
      </c>
    </row>
    <row r="6027" spans="6:10" x14ac:dyDescent="0.25">
      <c r="F6027" s="76" t="s">
        <v>150</v>
      </c>
      <c r="G6027" s="77" t="s">
        <v>288</v>
      </c>
      <c r="H6027" s="77" t="s">
        <v>267</v>
      </c>
      <c r="I6027" s="86">
        <v>41927</v>
      </c>
      <c r="J6027" s="78">
        <v>940</v>
      </c>
    </row>
    <row r="6028" spans="6:10" x14ac:dyDescent="0.25">
      <c r="F6028" s="76" t="s">
        <v>150</v>
      </c>
      <c r="G6028" s="77" t="s">
        <v>288</v>
      </c>
      <c r="H6028" s="77" t="s">
        <v>267</v>
      </c>
      <c r="I6028" s="86">
        <v>41928</v>
      </c>
      <c r="J6028" s="78">
        <v>715</v>
      </c>
    </row>
    <row r="6029" spans="6:10" x14ac:dyDescent="0.25">
      <c r="F6029" s="76" t="s">
        <v>150</v>
      </c>
      <c r="G6029" s="77" t="s">
        <v>288</v>
      </c>
      <c r="H6029" s="77" t="s">
        <v>267</v>
      </c>
      <c r="I6029" s="86">
        <v>41930</v>
      </c>
      <c r="J6029" s="78">
        <v>1067</v>
      </c>
    </row>
    <row r="6030" spans="6:10" x14ac:dyDescent="0.25">
      <c r="F6030" s="76" t="s">
        <v>150</v>
      </c>
      <c r="G6030" s="77" t="s">
        <v>288</v>
      </c>
      <c r="H6030" s="77" t="s">
        <v>267</v>
      </c>
      <c r="I6030" s="86">
        <v>41953</v>
      </c>
      <c r="J6030" s="78">
        <v>1172</v>
      </c>
    </row>
    <row r="6031" spans="6:10" x14ac:dyDescent="0.25">
      <c r="F6031" s="76" t="s">
        <v>150</v>
      </c>
      <c r="G6031" s="77" t="s">
        <v>288</v>
      </c>
      <c r="H6031" s="77" t="s">
        <v>267</v>
      </c>
      <c r="I6031" s="86">
        <v>41955</v>
      </c>
      <c r="J6031" s="78">
        <v>1298</v>
      </c>
    </row>
    <row r="6032" spans="6:10" x14ac:dyDescent="0.25">
      <c r="F6032" s="76" t="s">
        <v>150</v>
      </c>
      <c r="G6032" s="77" t="s">
        <v>288</v>
      </c>
      <c r="H6032" s="77" t="s">
        <v>267</v>
      </c>
      <c r="I6032" s="86">
        <v>41956</v>
      </c>
      <c r="J6032" s="78">
        <v>698</v>
      </c>
    </row>
    <row r="6033" spans="6:10" x14ac:dyDescent="0.25">
      <c r="F6033" s="76" t="s">
        <v>150</v>
      </c>
      <c r="G6033" s="77" t="s">
        <v>288</v>
      </c>
      <c r="H6033" s="77" t="s">
        <v>267</v>
      </c>
      <c r="I6033" s="86">
        <v>41957</v>
      </c>
      <c r="J6033" s="78">
        <v>447</v>
      </c>
    </row>
    <row r="6034" spans="6:10" x14ac:dyDescent="0.25">
      <c r="F6034" s="76" t="s">
        <v>150</v>
      </c>
      <c r="G6034" s="77" t="s">
        <v>288</v>
      </c>
      <c r="H6034" s="77" t="s">
        <v>267</v>
      </c>
      <c r="I6034" s="86">
        <v>41960</v>
      </c>
      <c r="J6034" s="78">
        <v>527</v>
      </c>
    </row>
    <row r="6035" spans="6:10" x14ac:dyDescent="0.25">
      <c r="F6035" s="76" t="s">
        <v>150</v>
      </c>
      <c r="G6035" s="77" t="s">
        <v>288</v>
      </c>
      <c r="H6035" s="77" t="s">
        <v>267</v>
      </c>
      <c r="I6035" s="86">
        <v>41961</v>
      </c>
      <c r="J6035" s="78">
        <v>521</v>
      </c>
    </row>
    <row r="6036" spans="6:10" x14ac:dyDescent="0.25">
      <c r="F6036" s="76" t="s">
        <v>150</v>
      </c>
      <c r="G6036" s="77" t="s">
        <v>288</v>
      </c>
      <c r="H6036" s="77" t="s">
        <v>267</v>
      </c>
      <c r="I6036" s="86">
        <v>41962</v>
      </c>
      <c r="J6036" s="78">
        <v>361</v>
      </c>
    </row>
    <row r="6037" spans="6:10" x14ac:dyDescent="0.25">
      <c r="F6037" s="76" t="s">
        <v>150</v>
      </c>
      <c r="G6037" s="77" t="s">
        <v>288</v>
      </c>
      <c r="H6037" s="77" t="s">
        <v>267</v>
      </c>
      <c r="I6037" s="86">
        <v>41963</v>
      </c>
      <c r="J6037" s="78">
        <v>638</v>
      </c>
    </row>
    <row r="6038" spans="6:10" x14ac:dyDescent="0.25">
      <c r="F6038" s="76" t="s">
        <v>150</v>
      </c>
      <c r="G6038" s="77" t="s">
        <v>288</v>
      </c>
      <c r="H6038" s="77" t="s">
        <v>267</v>
      </c>
      <c r="I6038" s="86">
        <v>41965</v>
      </c>
      <c r="J6038" s="78">
        <v>1224</v>
      </c>
    </row>
    <row r="6039" spans="6:10" x14ac:dyDescent="0.25">
      <c r="F6039" s="76" t="s">
        <v>150</v>
      </c>
      <c r="G6039" s="77" t="s">
        <v>288</v>
      </c>
      <c r="H6039" s="77" t="s">
        <v>267</v>
      </c>
      <c r="I6039" s="86">
        <v>41966</v>
      </c>
      <c r="J6039" s="78">
        <v>635</v>
      </c>
    </row>
    <row r="6040" spans="6:10" x14ac:dyDescent="0.25">
      <c r="F6040" s="76" t="s">
        <v>150</v>
      </c>
      <c r="G6040" s="77" t="s">
        <v>288</v>
      </c>
      <c r="H6040" s="77" t="s">
        <v>267</v>
      </c>
      <c r="I6040" s="86">
        <v>41967</v>
      </c>
      <c r="J6040" s="78">
        <v>1129</v>
      </c>
    </row>
    <row r="6041" spans="6:10" x14ac:dyDescent="0.25">
      <c r="F6041" s="76" t="s">
        <v>150</v>
      </c>
      <c r="G6041" s="77" t="s">
        <v>288</v>
      </c>
      <c r="H6041" s="77" t="s">
        <v>267</v>
      </c>
      <c r="I6041" s="86">
        <v>41969</v>
      </c>
      <c r="J6041" s="78">
        <v>1390</v>
      </c>
    </row>
    <row r="6042" spans="6:10" x14ac:dyDescent="0.25">
      <c r="F6042" s="76" t="s">
        <v>150</v>
      </c>
      <c r="G6042" s="77" t="s">
        <v>288</v>
      </c>
      <c r="H6042" s="77" t="s">
        <v>267</v>
      </c>
      <c r="I6042" s="86">
        <v>41970</v>
      </c>
      <c r="J6042" s="78">
        <v>842</v>
      </c>
    </row>
    <row r="6043" spans="6:10" x14ac:dyDescent="0.25">
      <c r="F6043" s="76" t="s">
        <v>150</v>
      </c>
      <c r="G6043" s="77" t="s">
        <v>288</v>
      </c>
      <c r="H6043" s="77" t="s">
        <v>267</v>
      </c>
      <c r="I6043" s="86">
        <v>41970</v>
      </c>
      <c r="J6043" s="78">
        <v>870</v>
      </c>
    </row>
    <row r="6044" spans="6:10" x14ac:dyDescent="0.25">
      <c r="F6044" s="76" t="s">
        <v>150</v>
      </c>
      <c r="G6044" s="77" t="s">
        <v>288</v>
      </c>
      <c r="H6044" s="77" t="s">
        <v>267</v>
      </c>
      <c r="I6044" s="86">
        <v>41972</v>
      </c>
      <c r="J6044" s="78">
        <v>1174</v>
      </c>
    </row>
    <row r="6045" spans="6:10" x14ac:dyDescent="0.25">
      <c r="F6045" s="76" t="s">
        <v>150</v>
      </c>
      <c r="G6045" s="77" t="s">
        <v>288</v>
      </c>
      <c r="H6045" s="77" t="s">
        <v>267</v>
      </c>
      <c r="I6045" s="86">
        <v>41972</v>
      </c>
      <c r="J6045" s="78">
        <v>889</v>
      </c>
    </row>
    <row r="6046" spans="6:10" x14ac:dyDescent="0.25">
      <c r="F6046" s="76" t="s">
        <v>150</v>
      </c>
      <c r="G6046" s="77" t="s">
        <v>288</v>
      </c>
      <c r="H6046" s="77" t="s">
        <v>267</v>
      </c>
      <c r="I6046" s="86">
        <v>41973</v>
      </c>
      <c r="J6046" s="78">
        <v>479</v>
      </c>
    </row>
    <row r="6047" spans="6:10" x14ac:dyDescent="0.25">
      <c r="F6047" s="76" t="s">
        <v>150</v>
      </c>
      <c r="G6047" s="77" t="s">
        <v>288</v>
      </c>
      <c r="H6047" s="77" t="s">
        <v>267</v>
      </c>
      <c r="I6047" s="86">
        <v>41973</v>
      </c>
      <c r="J6047" s="78">
        <v>633</v>
      </c>
    </row>
    <row r="6048" spans="6:10" x14ac:dyDescent="0.25">
      <c r="F6048" s="76" t="s">
        <v>150</v>
      </c>
      <c r="G6048" s="77" t="s">
        <v>288</v>
      </c>
      <c r="H6048" s="77" t="s">
        <v>267</v>
      </c>
      <c r="I6048" s="86">
        <v>41974</v>
      </c>
      <c r="J6048" s="78">
        <v>849</v>
      </c>
    </row>
    <row r="6049" spans="6:10" x14ac:dyDescent="0.25">
      <c r="F6049" s="76" t="s">
        <v>150</v>
      </c>
      <c r="G6049" s="77" t="s">
        <v>288</v>
      </c>
      <c r="H6049" s="77" t="s">
        <v>267</v>
      </c>
      <c r="I6049" s="86">
        <v>41975</v>
      </c>
      <c r="J6049" s="78">
        <v>980</v>
      </c>
    </row>
    <row r="6050" spans="6:10" x14ac:dyDescent="0.25">
      <c r="F6050" s="76" t="s">
        <v>150</v>
      </c>
      <c r="G6050" s="77" t="s">
        <v>289</v>
      </c>
      <c r="H6050" s="77" t="s">
        <v>267</v>
      </c>
      <c r="I6050" s="86">
        <v>41638</v>
      </c>
      <c r="J6050" s="78">
        <v>758</v>
      </c>
    </row>
    <row r="6051" spans="6:10" x14ac:dyDescent="0.25">
      <c r="F6051" s="76" t="s">
        <v>150</v>
      </c>
      <c r="G6051" s="77" t="s">
        <v>289</v>
      </c>
      <c r="H6051" s="77" t="s">
        <v>267</v>
      </c>
      <c r="I6051" s="86">
        <v>41660</v>
      </c>
      <c r="J6051" s="78">
        <v>1002</v>
      </c>
    </row>
    <row r="6052" spans="6:10" x14ac:dyDescent="0.25">
      <c r="F6052" s="76" t="s">
        <v>150</v>
      </c>
      <c r="G6052" s="77" t="s">
        <v>289</v>
      </c>
      <c r="H6052" s="77" t="s">
        <v>267</v>
      </c>
      <c r="I6052" s="86">
        <v>41661</v>
      </c>
      <c r="J6052" s="78">
        <v>807</v>
      </c>
    </row>
    <row r="6053" spans="6:10" x14ac:dyDescent="0.25">
      <c r="F6053" s="76" t="s">
        <v>150</v>
      </c>
      <c r="G6053" s="77" t="s">
        <v>289</v>
      </c>
      <c r="H6053" s="77" t="s">
        <v>267</v>
      </c>
      <c r="I6053" s="86">
        <v>41662</v>
      </c>
      <c r="J6053" s="78">
        <v>954</v>
      </c>
    </row>
    <row r="6054" spans="6:10" x14ac:dyDescent="0.25">
      <c r="F6054" s="76" t="s">
        <v>150</v>
      </c>
      <c r="G6054" s="77" t="s">
        <v>289</v>
      </c>
      <c r="H6054" s="77" t="s">
        <v>267</v>
      </c>
      <c r="I6054" s="86">
        <v>41663</v>
      </c>
      <c r="J6054" s="78">
        <v>806</v>
      </c>
    </row>
    <row r="6055" spans="6:10" x14ac:dyDescent="0.25">
      <c r="F6055" s="76" t="s">
        <v>150</v>
      </c>
      <c r="G6055" s="77" t="s">
        <v>289</v>
      </c>
      <c r="H6055" s="77" t="s">
        <v>267</v>
      </c>
      <c r="I6055" s="86">
        <v>41664</v>
      </c>
      <c r="J6055" s="78">
        <v>1316</v>
      </c>
    </row>
    <row r="6056" spans="6:10" x14ac:dyDescent="0.25">
      <c r="F6056" s="76" t="s">
        <v>150</v>
      </c>
      <c r="G6056" s="77" t="s">
        <v>289</v>
      </c>
      <c r="H6056" s="77" t="s">
        <v>267</v>
      </c>
      <c r="I6056" s="86">
        <v>41665</v>
      </c>
      <c r="J6056" s="78">
        <v>1152</v>
      </c>
    </row>
    <row r="6057" spans="6:10" x14ac:dyDescent="0.25">
      <c r="F6057" s="76" t="s">
        <v>150</v>
      </c>
      <c r="G6057" s="77" t="s">
        <v>289</v>
      </c>
      <c r="H6057" s="77" t="s">
        <v>267</v>
      </c>
      <c r="I6057" s="86">
        <v>41666</v>
      </c>
      <c r="J6057" s="78">
        <v>579</v>
      </c>
    </row>
    <row r="6058" spans="6:10" x14ac:dyDescent="0.25">
      <c r="F6058" s="76" t="s">
        <v>150</v>
      </c>
      <c r="G6058" s="77" t="s">
        <v>289</v>
      </c>
      <c r="H6058" s="77" t="s">
        <v>267</v>
      </c>
      <c r="I6058" s="86">
        <v>41667</v>
      </c>
      <c r="J6058" s="78">
        <v>810</v>
      </c>
    </row>
    <row r="6059" spans="6:10" x14ac:dyDescent="0.25">
      <c r="F6059" s="76" t="s">
        <v>150</v>
      </c>
      <c r="G6059" s="77" t="s">
        <v>289</v>
      </c>
      <c r="H6059" s="77" t="s">
        <v>267</v>
      </c>
      <c r="I6059" s="86">
        <v>41668</v>
      </c>
      <c r="J6059" s="78">
        <v>1405</v>
      </c>
    </row>
    <row r="6060" spans="6:10" x14ac:dyDescent="0.25">
      <c r="F6060" s="76" t="s">
        <v>150</v>
      </c>
      <c r="G6060" s="77" t="s">
        <v>289</v>
      </c>
      <c r="H6060" s="77" t="s">
        <v>267</v>
      </c>
      <c r="I6060" s="86">
        <v>41670</v>
      </c>
      <c r="J6060" s="78">
        <v>1258</v>
      </c>
    </row>
    <row r="6061" spans="6:10" x14ac:dyDescent="0.25">
      <c r="F6061" s="76" t="s">
        <v>150</v>
      </c>
      <c r="G6061" s="77" t="s">
        <v>289</v>
      </c>
      <c r="H6061" s="77" t="s">
        <v>267</v>
      </c>
      <c r="I6061" s="86">
        <v>41671</v>
      </c>
      <c r="J6061" s="78">
        <v>1214</v>
      </c>
    </row>
    <row r="6062" spans="6:10" x14ac:dyDescent="0.25">
      <c r="F6062" s="76" t="s">
        <v>150</v>
      </c>
      <c r="G6062" s="77" t="s">
        <v>289</v>
      </c>
      <c r="H6062" s="77" t="s">
        <v>267</v>
      </c>
      <c r="I6062" s="86">
        <v>41673</v>
      </c>
      <c r="J6062" s="78">
        <v>632</v>
      </c>
    </row>
    <row r="6063" spans="6:10" x14ac:dyDescent="0.25">
      <c r="F6063" s="76" t="s">
        <v>150</v>
      </c>
      <c r="G6063" s="77" t="s">
        <v>289</v>
      </c>
      <c r="H6063" s="77" t="s">
        <v>267</v>
      </c>
      <c r="I6063" s="86">
        <v>41768</v>
      </c>
      <c r="J6063" s="78">
        <v>776</v>
      </c>
    </row>
    <row r="6064" spans="6:10" x14ac:dyDescent="0.25">
      <c r="F6064" s="76" t="s">
        <v>150</v>
      </c>
      <c r="G6064" s="77" t="s">
        <v>289</v>
      </c>
      <c r="H6064" s="77" t="s">
        <v>267</v>
      </c>
      <c r="I6064" s="86">
        <v>41771</v>
      </c>
      <c r="J6064" s="78">
        <v>1213</v>
      </c>
    </row>
    <row r="6065" spans="6:10" x14ac:dyDescent="0.25">
      <c r="F6065" s="76" t="s">
        <v>150</v>
      </c>
      <c r="G6065" s="77" t="s">
        <v>289</v>
      </c>
      <c r="H6065" s="77" t="s">
        <v>267</v>
      </c>
      <c r="I6065" s="86">
        <v>41772</v>
      </c>
      <c r="J6065" s="78">
        <v>979</v>
      </c>
    </row>
    <row r="6066" spans="6:10" x14ac:dyDescent="0.25">
      <c r="F6066" s="76" t="s">
        <v>150</v>
      </c>
      <c r="G6066" s="77" t="s">
        <v>289</v>
      </c>
      <c r="H6066" s="77" t="s">
        <v>267</v>
      </c>
      <c r="I6066" s="86">
        <v>41773</v>
      </c>
      <c r="J6066" s="78">
        <v>574</v>
      </c>
    </row>
    <row r="6067" spans="6:10" x14ac:dyDescent="0.25">
      <c r="F6067" s="76" t="s">
        <v>150</v>
      </c>
      <c r="G6067" s="77" t="s">
        <v>289</v>
      </c>
      <c r="H6067" s="77" t="s">
        <v>267</v>
      </c>
      <c r="I6067" s="86">
        <v>41778</v>
      </c>
      <c r="J6067" s="78">
        <v>701</v>
      </c>
    </row>
    <row r="6068" spans="6:10" x14ac:dyDescent="0.25">
      <c r="F6068" s="76" t="s">
        <v>150</v>
      </c>
      <c r="G6068" s="77" t="s">
        <v>289</v>
      </c>
      <c r="H6068" s="77" t="s">
        <v>267</v>
      </c>
      <c r="I6068" s="86">
        <v>41779</v>
      </c>
      <c r="J6068" s="78">
        <v>571</v>
      </c>
    </row>
    <row r="6069" spans="6:10" x14ac:dyDescent="0.25">
      <c r="F6069" s="76" t="s">
        <v>150</v>
      </c>
      <c r="G6069" s="77" t="s">
        <v>289</v>
      </c>
      <c r="H6069" s="77" t="s">
        <v>267</v>
      </c>
      <c r="I6069" s="86">
        <v>41783</v>
      </c>
      <c r="J6069" s="78">
        <v>837</v>
      </c>
    </row>
    <row r="6070" spans="6:10" x14ac:dyDescent="0.25">
      <c r="F6070" s="76" t="s">
        <v>150</v>
      </c>
      <c r="G6070" s="77" t="s">
        <v>289</v>
      </c>
      <c r="H6070" s="77" t="s">
        <v>267</v>
      </c>
      <c r="I6070" s="86">
        <v>41783</v>
      </c>
      <c r="J6070" s="78">
        <v>954</v>
      </c>
    </row>
    <row r="6071" spans="6:10" x14ac:dyDescent="0.25">
      <c r="F6071" s="76" t="s">
        <v>150</v>
      </c>
      <c r="G6071" s="77" t="s">
        <v>289</v>
      </c>
      <c r="H6071" s="77" t="s">
        <v>267</v>
      </c>
      <c r="I6071" s="86">
        <v>41784</v>
      </c>
      <c r="J6071" s="78">
        <v>1271</v>
      </c>
    </row>
    <row r="6072" spans="6:10" x14ac:dyDescent="0.25">
      <c r="F6072" s="76" t="s">
        <v>150</v>
      </c>
      <c r="G6072" s="77" t="s">
        <v>289</v>
      </c>
      <c r="H6072" s="77" t="s">
        <v>267</v>
      </c>
      <c r="I6072" s="86">
        <v>41785</v>
      </c>
      <c r="J6072" s="78">
        <v>875</v>
      </c>
    </row>
    <row r="6073" spans="6:10" x14ac:dyDescent="0.25">
      <c r="F6073" s="76" t="s">
        <v>150</v>
      </c>
      <c r="G6073" s="77" t="s">
        <v>289</v>
      </c>
      <c r="H6073" s="77" t="s">
        <v>267</v>
      </c>
      <c r="I6073" s="86">
        <v>41787</v>
      </c>
      <c r="J6073" s="78">
        <v>1478</v>
      </c>
    </row>
    <row r="6074" spans="6:10" x14ac:dyDescent="0.25">
      <c r="F6074" s="76" t="s">
        <v>150</v>
      </c>
      <c r="G6074" s="77" t="s">
        <v>289</v>
      </c>
      <c r="H6074" s="77" t="s">
        <v>267</v>
      </c>
      <c r="I6074" s="86">
        <v>41789</v>
      </c>
      <c r="J6074" s="78">
        <v>567</v>
      </c>
    </row>
    <row r="6075" spans="6:10" x14ac:dyDescent="0.25">
      <c r="F6075" s="76" t="s">
        <v>150</v>
      </c>
      <c r="G6075" s="77" t="s">
        <v>289</v>
      </c>
      <c r="H6075" s="77" t="s">
        <v>267</v>
      </c>
      <c r="I6075" s="86">
        <v>41792</v>
      </c>
      <c r="J6075" s="78">
        <v>315</v>
      </c>
    </row>
    <row r="6076" spans="6:10" x14ac:dyDescent="0.25">
      <c r="F6076" s="76" t="s">
        <v>150</v>
      </c>
      <c r="G6076" s="77" t="s">
        <v>289</v>
      </c>
      <c r="H6076" s="77" t="s">
        <v>267</v>
      </c>
      <c r="I6076" s="86">
        <v>41796</v>
      </c>
      <c r="J6076" s="78">
        <v>910</v>
      </c>
    </row>
    <row r="6077" spans="6:10" x14ac:dyDescent="0.25">
      <c r="F6077" s="76" t="s">
        <v>150</v>
      </c>
      <c r="G6077" s="77" t="s">
        <v>289</v>
      </c>
      <c r="H6077" s="77" t="s">
        <v>267</v>
      </c>
      <c r="I6077" s="86">
        <v>41799</v>
      </c>
      <c r="J6077" s="78">
        <v>1103</v>
      </c>
    </row>
    <row r="6078" spans="6:10" x14ac:dyDescent="0.25">
      <c r="F6078" s="76" t="s">
        <v>150</v>
      </c>
      <c r="G6078" s="77" t="s">
        <v>289</v>
      </c>
      <c r="H6078" s="77" t="s">
        <v>267</v>
      </c>
      <c r="I6078" s="86">
        <v>41800</v>
      </c>
      <c r="J6078" s="78">
        <v>656</v>
      </c>
    </row>
    <row r="6079" spans="6:10" x14ac:dyDescent="0.25">
      <c r="F6079" s="76" t="s">
        <v>150</v>
      </c>
      <c r="G6079" s="77" t="s">
        <v>289</v>
      </c>
      <c r="H6079" s="77" t="s">
        <v>267</v>
      </c>
      <c r="I6079" s="86">
        <v>41815</v>
      </c>
      <c r="J6079" s="78">
        <v>1161</v>
      </c>
    </row>
    <row r="6080" spans="6:10" x14ac:dyDescent="0.25">
      <c r="F6080" s="76" t="s">
        <v>150</v>
      </c>
      <c r="G6080" s="77" t="s">
        <v>289</v>
      </c>
      <c r="H6080" s="77" t="s">
        <v>267</v>
      </c>
      <c r="I6080" s="86">
        <v>41816</v>
      </c>
      <c r="J6080" s="78">
        <v>1990</v>
      </c>
    </row>
    <row r="6081" spans="6:10" x14ac:dyDescent="0.25">
      <c r="F6081" s="76" t="s">
        <v>150</v>
      </c>
      <c r="G6081" s="77" t="s">
        <v>289</v>
      </c>
      <c r="H6081" s="77" t="s">
        <v>267</v>
      </c>
      <c r="I6081" s="86">
        <v>41818</v>
      </c>
      <c r="J6081" s="78">
        <v>691</v>
      </c>
    </row>
    <row r="6082" spans="6:10" x14ac:dyDescent="0.25">
      <c r="F6082" s="76" t="s">
        <v>150</v>
      </c>
      <c r="G6082" s="77" t="s">
        <v>289</v>
      </c>
      <c r="H6082" s="77" t="s">
        <v>267</v>
      </c>
      <c r="I6082" s="86">
        <v>41818</v>
      </c>
      <c r="J6082" s="78">
        <v>472</v>
      </c>
    </row>
    <row r="6083" spans="6:10" x14ac:dyDescent="0.25">
      <c r="F6083" s="76" t="s">
        <v>150</v>
      </c>
      <c r="G6083" s="77" t="s">
        <v>289</v>
      </c>
      <c r="H6083" s="77" t="s">
        <v>267</v>
      </c>
      <c r="I6083" s="86">
        <v>41834</v>
      </c>
      <c r="J6083" s="78">
        <v>965</v>
      </c>
    </row>
    <row r="6084" spans="6:10" x14ac:dyDescent="0.25">
      <c r="F6084" s="76" t="s">
        <v>150</v>
      </c>
      <c r="G6084" s="77" t="s">
        <v>289</v>
      </c>
      <c r="H6084" s="77" t="s">
        <v>267</v>
      </c>
      <c r="I6084" s="86">
        <v>41836</v>
      </c>
      <c r="J6084" s="78">
        <v>1191</v>
      </c>
    </row>
    <row r="6085" spans="6:10" x14ac:dyDescent="0.25">
      <c r="F6085" s="76" t="s">
        <v>150</v>
      </c>
      <c r="G6085" s="77" t="s">
        <v>289</v>
      </c>
      <c r="H6085" s="77" t="s">
        <v>267</v>
      </c>
      <c r="I6085" s="86">
        <v>41837</v>
      </c>
      <c r="J6085" s="78">
        <v>829</v>
      </c>
    </row>
    <row r="6086" spans="6:10" x14ac:dyDescent="0.25">
      <c r="F6086" s="76" t="s">
        <v>150</v>
      </c>
      <c r="G6086" s="77" t="s">
        <v>289</v>
      </c>
      <c r="H6086" s="77" t="s">
        <v>267</v>
      </c>
      <c r="I6086" s="86">
        <v>41842</v>
      </c>
      <c r="J6086" s="78">
        <v>707</v>
      </c>
    </row>
    <row r="6087" spans="6:10" x14ac:dyDescent="0.25">
      <c r="F6087" s="76" t="s">
        <v>150</v>
      </c>
      <c r="G6087" s="77" t="s">
        <v>289</v>
      </c>
      <c r="H6087" s="77" t="s">
        <v>267</v>
      </c>
      <c r="I6087" s="86">
        <v>41844</v>
      </c>
      <c r="J6087" s="78">
        <v>737</v>
      </c>
    </row>
    <row r="6088" spans="6:10" x14ac:dyDescent="0.25">
      <c r="F6088" s="76" t="s">
        <v>150</v>
      </c>
      <c r="G6088" s="77" t="s">
        <v>289</v>
      </c>
      <c r="H6088" s="77" t="s">
        <v>267</v>
      </c>
      <c r="I6088" s="86">
        <v>41846</v>
      </c>
      <c r="J6088" s="78">
        <v>1176</v>
      </c>
    </row>
    <row r="6089" spans="6:10" x14ac:dyDescent="0.25">
      <c r="F6089" s="76" t="s">
        <v>150</v>
      </c>
      <c r="G6089" s="77" t="s">
        <v>289</v>
      </c>
      <c r="H6089" s="77" t="s">
        <v>267</v>
      </c>
      <c r="I6089" s="86">
        <v>41848</v>
      </c>
      <c r="J6089" s="78">
        <v>931</v>
      </c>
    </row>
    <row r="6090" spans="6:10" x14ac:dyDescent="0.25">
      <c r="F6090" s="76" t="s">
        <v>150</v>
      </c>
      <c r="G6090" s="77" t="s">
        <v>289</v>
      </c>
      <c r="H6090" s="77" t="s">
        <v>267</v>
      </c>
      <c r="I6090" s="86">
        <v>41849</v>
      </c>
      <c r="J6090" s="78">
        <v>689</v>
      </c>
    </row>
    <row r="6091" spans="6:10" x14ac:dyDescent="0.25">
      <c r="F6091" s="76" t="s">
        <v>150</v>
      </c>
      <c r="G6091" s="77" t="s">
        <v>289</v>
      </c>
      <c r="H6091" s="77" t="s">
        <v>267</v>
      </c>
      <c r="I6091" s="86">
        <v>41850</v>
      </c>
      <c r="J6091" s="78">
        <v>963</v>
      </c>
    </row>
    <row r="6092" spans="6:10" x14ac:dyDescent="0.25">
      <c r="F6092" s="76" t="s">
        <v>150</v>
      </c>
      <c r="G6092" s="77" t="s">
        <v>289</v>
      </c>
      <c r="H6092" s="77" t="s">
        <v>267</v>
      </c>
      <c r="I6092" s="86">
        <v>41851</v>
      </c>
      <c r="J6092" s="78">
        <v>550</v>
      </c>
    </row>
    <row r="6093" spans="6:10" x14ac:dyDescent="0.25">
      <c r="F6093" s="76" t="s">
        <v>150</v>
      </c>
      <c r="G6093" s="77" t="s">
        <v>289</v>
      </c>
      <c r="H6093" s="77" t="s">
        <v>267</v>
      </c>
      <c r="I6093" s="86">
        <v>41852</v>
      </c>
      <c r="J6093" s="78">
        <v>696</v>
      </c>
    </row>
    <row r="6094" spans="6:10" x14ac:dyDescent="0.25">
      <c r="F6094" s="76" t="s">
        <v>150</v>
      </c>
      <c r="G6094" s="77" t="s">
        <v>289</v>
      </c>
      <c r="H6094" s="77" t="s">
        <v>267</v>
      </c>
      <c r="I6094" s="86">
        <v>41854</v>
      </c>
      <c r="J6094" s="78">
        <v>1067</v>
      </c>
    </row>
    <row r="6095" spans="6:10" x14ac:dyDescent="0.25">
      <c r="F6095" s="76" t="s">
        <v>150</v>
      </c>
      <c r="G6095" s="77" t="s">
        <v>289</v>
      </c>
      <c r="H6095" s="77" t="s">
        <v>267</v>
      </c>
      <c r="I6095" s="86">
        <v>41854</v>
      </c>
      <c r="J6095" s="78">
        <v>603</v>
      </c>
    </row>
    <row r="6096" spans="6:10" x14ac:dyDescent="0.25">
      <c r="F6096" s="76" t="s">
        <v>150</v>
      </c>
      <c r="G6096" s="77" t="s">
        <v>289</v>
      </c>
      <c r="H6096" s="77" t="s">
        <v>267</v>
      </c>
      <c r="I6096" s="86">
        <v>41856</v>
      </c>
      <c r="J6096" s="78">
        <v>874</v>
      </c>
    </row>
    <row r="6097" spans="6:10" x14ac:dyDescent="0.25">
      <c r="F6097" s="76" t="s">
        <v>150</v>
      </c>
      <c r="G6097" s="77" t="s">
        <v>289</v>
      </c>
      <c r="H6097" s="77" t="s">
        <v>267</v>
      </c>
      <c r="I6097" s="86">
        <v>41857</v>
      </c>
      <c r="J6097" s="78">
        <v>727</v>
      </c>
    </row>
    <row r="6098" spans="6:10" x14ac:dyDescent="0.25">
      <c r="F6098" s="76" t="s">
        <v>150</v>
      </c>
      <c r="G6098" s="77" t="s">
        <v>289</v>
      </c>
      <c r="H6098" s="77" t="s">
        <v>267</v>
      </c>
      <c r="I6098" s="86">
        <v>41858</v>
      </c>
      <c r="J6098" s="78">
        <v>912</v>
      </c>
    </row>
    <row r="6099" spans="6:10" x14ac:dyDescent="0.25">
      <c r="F6099" s="76" t="s">
        <v>150</v>
      </c>
      <c r="G6099" s="77" t="s">
        <v>289</v>
      </c>
      <c r="H6099" s="77" t="s">
        <v>267</v>
      </c>
      <c r="I6099" s="86">
        <v>41862</v>
      </c>
      <c r="J6099" s="78">
        <v>795</v>
      </c>
    </row>
    <row r="6100" spans="6:10" x14ac:dyDescent="0.25">
      <c r="F6100" s="76" t="s">
        <v>150</v>
      </c>
      <c r="G6100" s="77" t="s">
        <v>289</v>
      </c>
      <c r="H6100" s="77" t="s">
        <v>267</v>
      </c>
      <c r="I6100" s="86">
        <v>41870</v>
      </c>
      <c r="J6100" s="78">
        <v>1450</v>
      </c>
    </row>
    <row r="6101" spans="6:10" x14ac:dyDescent="0.25">
      <c r="F6101" s="76" t="s">
        <v>150</v>
      </c>
      <c r="G6101" s="77" t="s">
        <v>289</v>
      </c>
      <c r="H6101" s="77" t="s">
        <v>267</v>
      </c>
      <c r="I6101" s="86">
        <v>41872</v>
      </c>
      <c r="J6101" s="78">
        <v>1097</v>
      </c>
    </row>
    <row r="6102" spans="6:10" x14ac:dyDescent="0.25">
      <c r="F6102" s="76" t="s">
        <v>150</v>
      </c>
      <c r="G6102" s="77" t="s">
        <v>289</v>
      </c>
      <c r="H6102" s="77" t="s">
        <v>267</v>
      </c>
      <c r="I6102" s="86">
        <v>41874</v>
      </c>
      <c r="J6102" s="78">
        <v>1078</v>
      </c>
    </row>
    <row r="6103" spans="6:10" x14ac:dyDescent="0.25">
      <c r="F6103" s="76" t="s">
        <v>150</v>
      </c>
      <c r="G6103" s="77" t="s">
        <v>289</v>
      </c>
      <c r="H6103" s="77" t="s">
        <v>267</v>
      </c>
      <c r="I6103" s="86">
        <v>41879</v>
      </c>
      <c r="J6103" s="78">
        <v>1263</v>
      </c>
    </row>
    <row r="6104" spans="6:10" x14ac:dyDescent="0.25">
      <c r="F6104" s="76" t="s">
        <v>150</v>
      </c>
      <c r="G6104" s="77" t="s">
        <v>289</v>
      </c>
      <c r="H6104" s="77" t="s">
        <v>267</v>
      </c>
      <c r="I6104" s="86">
        <v>41880</v>
      </c>
      <c r="J6104" s="78">
        <v>602</v>
      </c>
    </row>
    <row r="6105" spans="6:10" x14ac:dyDescent="0.25">
      <c r="F6105" s="76" t="s">
        <v>150</v>
      </c>
      <c r="G6105" s="77" t="s">
        <v>289</v>
      </c>
      <c r="H6105" s="77" t="s">
        <v>267</v>
      </c>
      <c r="I6105" s="86">
        <v>41884</v>
      </c>
      <c r="J6105" s="78">
        <v>612</v>
      </c>
    </row>
    <row r="6106" spans="6:10" x14ac:dyDescent="0.25">
      <c r="F6106" s="76" t="s">
        <v>150</v>
      </c>
      <c r="G6106" s="77" t="s">
        <v>289</v>
      </c>
      <c r="H6106" s="77" t="s">
        <v>267</v>
      </c>
      <c r="I6106" s="86">
        <v>41890</v>
      </c>
      <c r="J6106" s="78">
        <v>939</v>
      </c>
    </row>
    <row r="6107" spans="6:10" x14ac:dyDescent="0.25">
      <c r="F6107" s="76" t="s">
        <v>150</v>
      </c>
      <c r="G6107" s="77" t="s">
        <v>289</v>
      </c>
      <c r="H6107" s="77" t="s">
        <v>267</v>
      </c>
      <c r="I6107" s="86">
        <v>41975</v>
      </c>
      <c r="J6107" s="78">
        <v>1070</v>
      </c>
    </row>
    <row r="6108" spans="6:10" x14ac:dyDescent="0.25">
      <c r="F6108" s="76" t="s">
        <v>150</v>
      </c>
      <c r="G6108" s="77" t="s">
        <v>290</v>
      </c>
      <c r="H6108" s="77" t="s">
        <v>267</v>
      </c>
      <c r="I6108" s="86">
        <v>41635</v>
      </c>
      <c r="J6108" s="78">
        <v>503</v>
      </c>
    </row>
    <row r="6109" spans="6:10" x14ac:dyDescent="0.25">
      <c r="F6109" s="76" t="s">
        <v>150</v>
      </c>
      <c r="G6109" s="77" t="s">
        <v>290</v>
      </c>
      <c r="H6109" s="77" t="s">
        <v>267</v>
      </c>
      <c r="I6109" s="86">
        <v>41635</v>
      </c>
      <c r="J6109" s="78">
        <v>1404</v>
      </c>
    </row>
    <row r="6110" spans="6:10" x14ac:dyDescent="0.25">
      <c r="F6110" s="76" t="s">
        <v>150</v>
      </c>
      <c r="G6110" s="77" t="s">
        <v>290</v>
      </c>
      <c r="H6110" s="77" t="s">
        <v>267</v>
      </c>
      <c r="I6110" s="86">
        <v>41638</v>
      </c>
      <c r="J6110" s="78">
        <v>1196</v>
      </c>
    </row>
    <row r="6111" spans="6:10" x14ac:dyDescent="0.25">
      <c r="F6111" s="76" t="s">
        <v>150</v>
      </c>
      <c r="G6111" s="77" t="s">
        <v>290</v>
      </c>
      <c r="H6111" s="77" t="s">
        <v>267</v>
      </c>
      <c r="I6111" s="86">
        <v>41648</v>
      </c>
      <c r="J6111" s="78">
        <v>599</v>
      </c>
    </row>
    <row r="6112" spans="6:10" x14ac:dyDescent="0.25">
      <c r="F6112" s="76" t="s">
        <v>150</v>
      </c>
      <c r="G6112" s="77" t="s">
        <v>290</v>
      </c>
      <c r="H6112" s="77" t="s">
        <v>267</v>
      </c>
      <c r="I6112" s="86">
        <v>41650</v>
      </c>
      <c r="J6112" s="78">
        <v>940</v>
      </c>
    </row>
    <row r="6113" spans="6:10" x14ac:dyDescent="0.25">
      <c r="F6113" s="76" t="s">
        <v>150</v>
      </c>
      <c r="G6113" s="77" t="s">
        <v>290</v>
      </c>
      <c r="H6113" s="77" t="s">
        <v>267</v>
      </c>
      <c r="I6113" s="86">
        <v>41652</v>
      </c>
      <c r="J6113" s="78">
        <v>498</v>
      </c>
    </row>
    <row r="6114" spans="6:10" x14ac:dyDescent="0.25">
      <c r="F6114" s="76" t="s">
        <v>150</v>
      </c>
      <c r="G6114" s="77" t="s">
        <v>290</v>
      </c>
      <c r="H6114" s="77" t="s">
        <v>267</v>
      </c>
      <c r="I6114" s="86">
        <v>41654</v>
      </c>
      <c r="J6114" s="78">
        <v>622</v>
      </c>
    </row>
    <row r="6115" spans="6:10" x14ac:dyDescent="0.25">
      <c r="F6115" s="76" t="s">
        <v>150</v>
      </c>
      <c r="G6115" s="77" t="s">
        <v>290</v>
      </c>
      <c r="H6115" s="77" t="s">
        <v>267</v>
      </c>
      <c r="I6115" s="86">
        <v>41662</v>
      </c>
      <c r="J6115" s="78">
        <v>792</v>
      </c>
    </row>
    <row r="6116" spans="6:10" x14ac:dyDescent="0.25">
      <c r="F6116" s="76" t="s">
        <v>150</v>
      </c>
      <c r="G6116" s="77" t="s">
        <v>290</v>
      </c>
      <c r="H6116" s="77" t="s">
        <v>267</v>
      </c>
      <c r="I6116" s="86">
        <v>41663</v>
      </c>
      <c r="J6116" s="78">
        <v>813</v>
      </c>
    </row>
    <row r="6117" spans="6:10" x14ac:dyDescent="0.25">
      <c r="F6117" s="76" t="s">
        <v>150</v>
      </c>
      <c r="G6117" s="77" t="s">
        <v>290</v>
      </c>
      <c r="H6117" s="77" t="s">
        <v>267</v>
      </c>
      <c r="I6117" s="86">
        <v>41664</v>
      </c>
      <c r="J6117" s="78">
        <v>996</v>
      </c>
    </row>
    <row r="6118" spans="6:10" x14ac:dyDescent="0.25">
      <c r="F6118" s="76" t="s">
        <v>150</v>
      </c>
      <c r="G6118" s="77" t="s">
        <v>290</v>
      </c>
      <c r="H6118" s="77" t="s">
        <v>267</v>
      </c>
      <c r="I6118" s="86">
        <v>41665</v>
      </c>
      <c r="J6118" s="78">
        <v>781</v>
      </c>
    </row>
    <row r="6119" spans="6:10" x14ac:dyDescent="0.25">
      <c r="F6119" s="76" t="s">
        <v>150</v>
      </c>
      <c r="G6119" s="77" t="s">
        <v>290</v>
      </c>
      <c r="H6119" s="77" t="s">
        <v>267</v>
      </c>
      <c r="I6119" s="86">
        <v>41666</v>
      </c>
      <c r="J6119" s="78">
        <v>794</v>
      </c>
    </row>
    <row r="6120" spans="6:10" x14ac:dyDescent="0.25">
      <c r="F6120" s="76" t="s">
        <v>150</v>
      </c>
      <c r="G6120" s="77" t="s">
        <v>290</v>
      </c>
      <c r="H6120" s="77" t="s">
        <v>267</v>
      </c>
      <c r="I6120" s="86">
        <v>41667</v>
      </c>
      <c r="J6120" s="78">
        <v>833</v>
      </c>
    </row>
    <row r="6121" spans="6:10" x14ac:dyDescent="0.25">
      <c r="F6121" s="76" t="s">
        <v>150</v>
      </c>
      <c r="G6121" s="77" t="s">
        <v>290</v>
      </c>
      <c r="H6121" s="77" t="s">
        <v>267</v>
      </c>
      <c r="I6121" s="86">
        <v>41668</v>
      </c>
      <c r="J6121" s="78">
        <v>690</v>
      </c>
    </row>
    <row r="6122" spans="6:10" x14ac:dyDescent="0.25">
      <c r="F6122" s="76" t="s">
        <v>150</v>
      </c>
      <c r="G6122" s="77" t="s">
        <v>290</v>
      </c>
      <c r="H6122" s="77" t="s">
        <v>267</v>
      </c>
      <c r="I6122" s="86">
        <v>41674</v>
      </c>
      <c r="J6122" s="78">
        <v>1292</v>
      </c>
    </row>
    <row r="6123" spans="6:10" x14ac:dyDescent="0.25">
      <c r="F6123" s="76" t="s">
        <v>150</v>
      </c>
      <c r="G6123" s="77" t="s">
        <v>290</v>
      </c>
      <c r="H6123" s="77" t="s">
        <v>267</v>
      </c>
      <c r="I6123" s="86">
        <v>41676</v>
      </c>
      <c r="J6123" s="78">
        <v>1130</v>
      </c>
    </row>
    <row r="6124" spans="6:10" x14ac:dyDescent="0.25">
      <c r="F6124" s="76" t="s">
        <v>150</v>
      </c>
      <c r="G6124" s="77" t="s">
        <v>290</v>
      </c>
      <c r="H6124" s="77" t="s">
        <v>267</v>
      </c>
      <c r="I6124" s="86">
        <v>41680</v>
      </c>
      <c r="J6124" s="78">
        <v>1008</v>
      </c>
    </row>
    <row r="6125" spans="6:10" x14ac:dyDescent="0.25">
      <c r="F6125" s="76" t="s">
        <v>150</v>
      </c>
      <c r="G6125" s="77" t="s">
        <v>290</v>
      </c>
      <c r="H6125" s="77" t="s">
        <v>267</v>
      </c>
      <c r="I6125" s="86">
        <v>41681</v>
      </c>
      <c r="J6125" s="78">
        <v>1226</v>
      </c>
    </row>
    <row r="6126" spans="6:10" x14ac:dyDescent="0.25">
      <c r="F6126" s="76" t="s">
        <v>150</v>
      </c>
      <c r="G6126" s="77" t="s">
        <v>290</v>
      </c>
      <c r="H6126" s="77" t="s">
        <v>267</v>
      </c>
      <c r="I6126" s="86">
        <v>41681</v>
      </c>
      <c r="J6126" s="78">
        <v>676</v>
      </c>
    </row>
    <row r="6127" spans="6:10" x14ac:dyDescent="0.25">
      <c r="F6127" s="76" t="s">
        <v>150</v>
      </c>
      <c r="G6127" s="77" t="s">
        <v>290</v>
      </c>
      <c r="H6127" s="77" t="s">
        <v>267</v>
      </c>
      <c r="I6127" s="86">
        <v>41683</v>
      </c>
      <c r="J6127" s="78">
        <v>1257</v>
      </c>
    </row>
    <row r="6128" spans="6:10" x14ac:dyDescent="0.25">
      <c r="F6128" s="76" t="s">
        <v>150</v>
      </c>
      <c r="G6128" s="77" t="s">
        <v>290</v>
      </c>
      <c r="H6128" s="77" t="s">
        <v>267</v>
      </c>
      <c r="I6128" s="86">
        <v>41691</v>
      </c>
      <c r="J6128" s="78">
        <v>878</v>
      </c>
    </row>
    <row r="6129" spans="6:10" x14ac:dyDescent="0.25">
      <c r="F6129" s="76" t="s">
        <v>150</v>
      </c>
      <c r="G6129" s="77" t="s">
        <v>290</v>
      </c>
      <c r="H6129" s="77" t="s">
        <v>267</v>
      </c>
      <c r="I6129" s="86">
        <v>41694</v>
      </c>
      <c r="J6129" s="78">
        <v>682</v>
      </c>
    </row>
    <row r="6130" spans="6:10" x14ac:dyDescent="0.25">
      <c r="F6130" s="76" t="s">
        <v>150</v>
      </c>
      <c r="G6130" s="77" t="s">
        <v>290</v>
      </c>
      <c r="H6130" s="77" t="s">
        <v>267</v>
      </c>
      <c r="I6130" s="86">
        <v>41695</v>
      </c>
      <c r="J6130" s="78">
        <v>757</v>
      </c>
    </row>
    <row r="6131" spans="6:10" x14ac:dyDescent="0.25">
      <c r="F6131" s="76" t="s">
        <v>150</v>
      </c>
      <c r="G6131" s="77" t="s">
        <v>290</v>
      </c>
      <c r="H6131" s="77" t="s">
        <v>267</v>
      </c>
      <c r="I6131" s="86">
        <v>41697</v>
      </c>
      <c r="J6131" s="78">
        <v>1060</v>
      </c>
    </row>
    <row r="6132" spans="6:10" x14ac:dyDescent="0.25">
      <c r="F6132" s="76" t="s">
        <v>150</v>
      </c>
      <c r="G6132" s="77" t="s">
        <v>290</v>
      </c>
      <c r="H6132" s="77" t="s">
        <v>267</v>
      </c>
      <c r="I6132" s="86">
        <v>41761</v>
      </c>
      <c r="J6132" s="78">
        <v>1021</v>
      </c>
    </row>
    <row r="6133" spans="6:10" x14ac:dyDescent="0.25">
      <c r="F6133" s="76" t="s">
        <v>150</v>
      </c>
      <c r="G6133" s="77" t="s">
        <v>290</v>
      </c>
      <c r="H6133" s="77" t="s">
        <v>267</v>
      </c>
      <c r="I6133" s="86">
        <v>41766</v>
      </c>
      <c r="J6133" s="78">
        <v>733</v>
      </c>
    </row>
    <row r="6134" spans="6:10" x14ac:dyDescent="0.25">
      <c r="F6134" s="76" t="s">
        <v>150</v>
      </c>
      <c r="G6134" s="77" t="s">
        <v>290</v>
      </c>
      <c r="H6134" s="77" t="s">
        <v>267</v>
      </c>
      <c r="I6134" s="86">
        <v>41768</v>
      </c>
      <c r="J6134" s="78">
        <v>696</v>
      </c>
    </row>
    <row r="6135" spans="6:10" x14ac:dyDescent="0.25">
      <c r="F6135" s="76" t="s">
        <v>150</v>
      </c>
      <c r="G6135" s="77" t="s">
        <v>290</v>
      </c>
      <c r="H6135" s="77" t="s">
        <v>267</v>
      </c>
      <c r="I6135" s="86">
        <v>41768</v>
      </c>
      <c r="J6135" s="78">
        <v>1181</v>
      </c>
    </row>
    <row r="6136" spans="6:10" x14ac:dyDescent="0.25">
      <c r="F6136" s="76" t="s">
        <v>150</v>
      </c>
      <c r="G6136" s="77" t="s">
        <v>290</v>
      </c>
      <c r="H6136" s="77" t="s">
        <v>267</v>
      </c>
      <c r="I6136" s="86">
        <v>41769</v>
      </c>
      <c r="J6136" s="78">
        <v>772</v>
      </c>
    </row>
    <row r="6137" spans="6:10" x14ac:dyDescent="0.25">
      <c r="F6137" s="76" t="s">
        <v>150</v>
      </c>
      <c r="G6137" s="77" t="s">
        <v>290</v>
      </c>
      <c r="H6137" s="77" t="s">
        <v>267</v>
      </c>
      <c r="I6137" s="86">
        <v>41770</v>
      </c>
      <c r="J6137" s="78">
        <v>1090</v>
      </c>
    </row>
    <row r="6138" spans="6:10" x14ac:dyDescent="0.25">
      <c r="F6138" s="76" t="s">
        <v>150</v>
      </c>
      <c r="G6138" s="77" t="s">
        <v>290</v>
      </c>
      <c r="H6138" s="77" t="s">
        <v>267</v>
      </c>
      <c r="I6138" s="86">
        <v>41771</v>
      </c>
      <c r="J6138" s="78">
        <v>1282</v>
      </c>
    </row>
    <row r="6139" spans="6:10" x14ac:dyDescent="0.25">
      <c r="F6139" s="76" t="s">
        <v>150</v>
      </c>
      <c r="G6139" s="77" t="s">
        <v>290</v>
      </c>
      <c r="H6139" s="77" t="s">
        <v>267</v>
      </c>
      <c r="I6139" s="86">
        <v>41772</v>
      </c>
      <c r="J6139" s="78">
        <v>681</v>
      </c>
    </row>
    <row r="6140" spans="6:10" x14ac:dyDescent="0.25">
      <c r="F6140" s="76" t="s">
        <v>150</v>
      </c>
      <c r="G6140" s="77" t="s">
        <v>290</v>
      </c>
      <c r="H6140" s="77" t="s">
        <v>267</v>
      </c>
      <c r="I6140" s="86">
        <v>41772</v>
      </c>
      <c r="J6140" s="78">
        <v>684</v>
      </c>
    </row>
    <row r="6141" spans="6:10" x14ac:dyDescent="0.25">
      <c r="F6141" s="76" t="s">
        <v>150</v>
      </c>
      <c r="G6141" s="77" t="s">
        <v>290</v>
      </c>
      <c r="H6141" s="77" t="s">
        <v>267</v>
      </c>
      <c r="I6141" s="86">
        <v>41773</v>
      </c>
      <c r="J6141" s="78">
        <v>1039</v>
      </c>
    </row>
    <row r="6142" spans="6:10" x14ac:dyDescent="0.25">
      <c r="F6142" s="76" t="s">
        <v>150</v>
      </c>
      <c r="G6142" s="77" t="s">
        <v>290</v>
      </c>
      <c r="H6142" s="77" t="s">
        <v>267</v>
      </c>
      <c r="I6142" s="86">
        <v>41775</v>
      </c>
      <c r="J6142" s="78">
        <v>977</v>
      </c>
    </row>
    <row r="6143" spans="6:10" x14ac:dyDescent="0.25">
      <c r="F6143" s="76" t="s">
        <v>150</v>
      </c>
      <c r="G6143" s="77" t="s">
        <v>290</v>
      </c>
      <c r="H6143" s="77" t="s">
        <v>267</v>
      </c>
      <c r="I6143" s="86">
        <v>41776</v>
      </c>
      <c r="J6143" s="78">
        <v>604</v>
      </c>
    </row>
    <row r="6144" spans="6:10" x14ac:dyDescent="0.25">
      <c r="F6144" s="76" t="s">
        <v>150</v>
      </c>
      <c r="G6144" s="77" t="s">
        <v>290</v>
      </c>
      <c r="H6144" s="77" t="s">
        <v>267</v>
      </c>
      <c r="I6144" s="86">
        <v>41778</v>
      </c>
      <c r="J6144" s="78">
        <v>1378</v>
      </c>
    </row>
    <row r="6145" spans="6:10" x14ac:dyDescent="0.25">
      <c r="F6145" s="76" t="s">
        <v>150</v>
      </c>
      <c r="G6145" s="77" t="s">
        <v>290</v>
      </c>
      <c r="H6145" s="77" t="s">
        <v>267</v>
      </c>
      <c r="I6145" s="86">
        <v>41779</v>
      </c>
      <c r="J6145" s="78">
        <v>886</v>
      </c>
    </row>
    <row r="6146" spans="6:10" x14ac:dyDescent="0.25">
      <c r="F6146" s="76" t="s">
        <v>150</v>
      </c>
      <c r="G6146" s="77" t="s">
        <v>290</v>
      </c>
      <c r="H6146" s="77" t="s">
        <v>267</v>
      </c>
      <c r="I6146" s="86">
        <v>41781</v>
      </c>
      <c r="J6146" s="78">
        <v>1166</v>
      </c>
    </row>
    <row r="6147" spans="6:10" x14ac:dyDescent="0.25">
      <c r="F6147" s="76" t="s">
        <v>150</v>
      </c>
      <c r="G6147" s="77" t="s">
        <v>290</v>
      </c>
      <c r="H6147" s="77" t="s">
        <v>267</v>
      </c>
      <c r="I6147" s="86">
        <v>41781</v>
      </c>
      <c r="J6147" s="78">
        <v>1361</v>
      </c>
    </row>
    <row r="6148" spans="6:10" x14ac:dyDescent="0.25">
      <c r="F6148" s="76" t="s">
        <v>150</v>
      </c>
      <c r="G6148" s="77" t="s">
        <v>290</v>
      </c>
      <c r="H6148" s="77" t="s">
        <v>267</v>
      </c>
      <c r="I6148" s="86">
        <v>41783</v>
      </c>
      <c r="J6148" s="78">
        <v>1352</v>
      </c>
    </row>
    <row r="6149" spans="6:10" x14ac:dyDescent="0.25">
      <c r="F6149" s="76" t="s">
        <v>150</v>
      </c>
      <c r="G6149" s="77" t="s">
        <v>290</v>
      </c>
      <c r="H6149" s="77" t="s">
        <v>267</v>
      </c>
      <c r="I6149" s="86">
        <v>41784</v>
      </c>
      <c r="J6149" s="78">
        <v>1045</v>
      </c>
    </row>
    <row r="6150" spans="6:10" x14ac:dyDescent="0.25">
      <c r="F6150" s="76" t="s">
        <v>150</v>
      </c>
      <c r="G6150" s="77" t="s">
        <v>290</v>
      </c>
      <c r="H6150" s="77" t="s">
        <v>267</v>
      </c>
      <c r="I6150" s="86">
        <v>41785</v>
      </c>
      <c r="J6150" s="78">
        <v>1260</v>
      </c>
    </row>
    <row r="6151" spans="6:10" x14ac:dyDescent="0.25">
      <c r="F6151" s="76" t="s">
        <v>150</v>
      </c>
      <c r="G6151" s="77" t="s">
        <v>290</v>
      </c>
      <c r="H6151" s="77" t="s">
        <v>267</v>
      </c>
      <c r="I6151" s="86">
        <v>41785</v>
      </c>
      <c r="J6151" s="78">
        <v>1063</v>
      </c>
    </row>
    <row r="6152" spans="6:10" x14ac:dyDescent="0.25">
      <c r="F6152" s="76" t="s">
        <v>150</v>
      </c>
      <c r="G6152" s="77" t="s">
        <v>290</v>
      </c>
      <c r="H6152" s="77" t="s">
        <v>267</v>
      </c>
      <c r="I6152" s="86">
        <v>41786</v>
      </c>
      <c r="J6152" s="78">
        <v>1249</v>
      </c>
    </row>
    <row r="6153" spans="6:10" x14ac:dyDescent="0.25">
      <c r="F6153" s="76" t="s">
        <v>150</v>
      </c>
      <c r="G6153" s="77" t="s">
        <v>290</v>
      </c>
      <c r="H6153" s="77" t="s">
        <v>267</v>
      </c>
      <c r="I6153" s="86">
        <v>41787</v>
      </c>
      <c r="J6153" s="78">
        <v>1363</v>
      </c>
    </row>
    <row r="6154" spans="6:10" x14ac:dyDescent="0.25">
      <c r="F6154" s="76" t="s">
        <v>150</v>
      </c>
      <c r="G6154" s="77" t="s">
        <v>290</v>
      </c>
      <c r="H6154" s="77" t="s">
        <v>267</v>
      </c>
      <c r="I6154" s="86">
        <v>41788</v>
      </c>
      <c r="J6154" s="78">
        <v>1495</v>
      </c>
    </row>
    <row r="6155" spans="6:10" x14ac:dyDescent="0.25">
      <c r="F6155" s="76" t="s">
        <v>150</v>
      </c>
      <c r="G6155" s="77" t="s">
        <v>290</v>
      </c>
      <c r="H6155" s="77" t="s">
        <v>267</v>
      </c>
      <c r="I6155" s="86">
        <v>41789</v>
      </c>
      <c r="J6155" s="78">
        <v>1414</v>
      </c>
    </row>
    <row r="6156" spans="6:10" x14ac:dyDescent="0.25">
      <c r="F6156" s="76" t="s">
        <v>150</v>
      </c>
      <c r="G6156" s="77" t="s">
        <v>290</v>
      </c>
      <c r="H6156" s="77" t="s">
        <v>267</v>
      </c>
      <c r="I6156" s="86">
        <v>41791</v>
      </c>
      <c r="J6156" s="78">
        <v>1148</v>
      </c>
    </row>
    <row r="6157" spans="6:10" x14ac:dyDescent="0.25">
      <c r="F6157" s="76" t="s">
        <v>150</v>
      </c>
      <c r="G6157" s="77" t="s">
        <v>290</v>
      </c>
      <c r="H6157" s="77" t="s">
        <v>267</v>
      </c>
      <c r="I6157" s="86">
        <v>41793</v>
      </c>
      <c r="J6157" s="78">
        <v>1404</v>
      </c>
    </row>
    <row r="6158" spans="6:10" x14ac:dyDescent="0.25">
      <c r="F6158" s="76" t="s">
        <v>150</v>
      </c>
      <c r="G6158" s="77" t="s">
        <v>290</v>
      </c>
      <c r="H6158" s="77" t="s">
        <v>267</v>
      </c>
      <c r="I6158" s="86">
        <v>41794</v>
      </c>
      <c r="J6158" s="78">
        <v>1573</v>
      </c>
    </row>
    <row r="6159" spans="6:10" x14ac:dyDescent="0.25">
      <c r="F6159" s="76" t="s">
        <v>150</v>
      </c>
      <c r="G6159" s="77" t="s">
        <v>290</v>
      </c>
      <c r="H6159" s="77" t="s">
        <v>267</v>
      </c>
      <c r="I6159" s="86">
        <v>41795</v>
      </c>
      <c r="J6159" s="78">
        <v>596</v>
      </c>
    </row>
    <row r="6160" spans="6:10" x14ac:dyDescent="0.25">
      <c r="F6160" s="76" t="s">
        <v>150</v>
      </c>
      <c r="G6160" s="77" t="s">
        <v>290</v>
      </c>
      <c r="H6160" s="77" t="s">
        <v>267</v>
      </c>
      <c r="I6160" s="86">
        <v>41800</v>
      </c>
      <c r="J6160" s="78">
        <v>918</v>
      </c>
    </row>
    <row r="6161" spans="6:10" x14ac:dyDescent="0.25">
      <c r="F6161" s="76" t="s">
        <v>150</v>
      </c>
      <c r="G6161" s="77" t="s">
        <v>290</v>
      </c>
      <c r="H6161" s="77" t="s">
        <v>267</v>
      </c>
      <c r="I6161" s="86">
        <v>41801</v>
      </c>
      <c r="J6161" s="78">
        <v>868</v>
      </c>
    </row>
    <row r="6162" spans="6:10" x14ac:dyDescent="0.25">
      <c r="F6162" s="76" t="s">
        <v>150</v>
      </c>
      <c r="G6162" s="77" t="s">
        <v>290</v>
      </c>
      <c r="H6162" s="77" t="s">
        <v>267</v>
      </c>
      <c r="I6162" s="86">
        <v>41802</v>
      </c>
      <c r="J6162" s="78">
        <v>1189</v>
      </c>
    </row>
    <row r="6163" spans="6:10" x14ac:dyDescent="0.25">
      <c r="F6163" s="76" t="s">
        <v>150</v>
      </c>
      <c r="G6163" s="77" t="s">
        <v>290</v>
      </c>
      <c r="H6163" s="77" t="s">
        <v>267</v>
      </c>
      <c r="I6163" s="86">
        <v>41803</v>
      </c>
      <c r="J6163" s="78">
        <v>564</v>
      </c>
    </row>
    <row r="6164" spans="6:10" x14ac:dyDescent="0.25">
      <c r="F6164" s="76" t="s">
        <v>150</v>
      </c>
      <c r="G6164" s="77" t="s">
        <v>290</v>
      </c>
      <c r="H6164" s="77" t="s">
        <v>267</v>
      </c>
      <c r="I6164" s="86">
        <v>41804</v>
      </c>
      <c r="J6164" s="78">
        <v>967</v>
      </c>
    </row>
    <row r="6165" spans="6:10" x14ac:dyDescent="0.25">
      <c r="F6165" s="76" t="s">
        <v>150</v>
      </c>
      <c r="G6165" s="77" t="s">
        <v>290</v>
      </c>
      <c r="H6165" s="77" t="s">
        <v>267</v>
      </c>
      <c r="I6165" s="86">
        <v>41804</v>
      </c>
      <c r="J6165" s="78">
        <v>735</v>
      </c>
    </row>
    <row r="6166" spans="6:10" x14ac:dyDescent="0.25">
      <c r="F6166" s="76" t="s">
        <v>150</v>
      </c>
      <c r="G6166" s="77" t="s">
        <v>290</v>
      </c>
      <c r="H6166" s="77" t="s">
        <v>267</v>
      </c>
      <c r="I6166" s="86">
        <v>41805</v>
      </c>
      <c r="J6166" s="78">
        <v>1195</v>
      </c>
    </row>
    <row r="6167" spans="6:10" x14ac:dyDescent="0.25">
      <c r="F6167" s="76" t="s">
        <v>150</v>
      </c>
      <c r="G6167" s="77" t="s">
        <v>290</v>
      </c>
      <c r="H6167" s="77" t="s">
        <v>267</v>
      </c>
      <c r="I6167" s="86">
        <v>41806</v>
      </c>
      <c r="J6167" s="78">
        <v>977</v>
      </c>
    </row>
    <row r="6168" spans="6:10" x14ac:dyDescent="0.25">
      <c r="F6168" s="76" t="s">
        <v>150</v>
      </c>
      <c r="G6168" s="77" t="s">
        <v>290</v>
      </c>
      <c r="H6168" s="77" t="s">
        <v>267</v>
      </c>
      <c r="I6168" s="86">
        <v>41807</v>
      </c>
      <c r="J6168" s="78">
        <v>1017</v>
      </c>
    </row>
    <row r="6169" spans="6:10" x14ac:dyDescent="0.25">
      <c r="F6169" s="76" t="s">
        <v>150</v>
      </c>
      <c r="G6169" s="77" t="s">
        <v>290</v>
      </c>
      <c r="H6169" s="77" t="s">
        <v>267</v>
      </c>
      <c r="I6169" s="86">
        <v>41808</v>
      </c>
      <c r="J6169" s="78">
        <v>724</v>
      </c>
    </row>
    <row r="6170" spans="6:10" x14ac:dyDescent="0.25">
      <c r="F6170" s="76" t="s">
        <v>150</v>
      </c>
      <c r="G6170" s="77" t="s">
        <v>290</v>
      </c>
      <c r="H6170" s="77" t="s">
        <v>267</v>
      </c>
      <c r="I6170" s="86">
        <v>41808</v>
      </c>
      <c r="J6170" s="78">
        <v>707</v>
      </c>
    </row>
    <row r="6171" spans="6:10" x14ac:dyDescent="0.25">
      <c r="F6171" s="76" t="s">
        <v>150</v>
      </c>
      <c r="G6171" s="77" t="s">
        <v>290</v>
      </c>
      <c r="H6171" s="77" t="s">
        <v>267</v>
      </c>
      <c r="I6171" s="86">
        <v>41836</v>
      </c>
      <c r="J6171" s="78">
        <v>351</v>
      </c>
    </row>
    <row r="6172" spans="6:10" x14ac:dyDescent="0.25">
      <c r="F6172" s="76" t="s">
        <v>150</v>
      </c>
      <c r="G6172" s="77" t="s">
        <v>290</v>
      </c>
      <c r="H6172" s="77" t="s">
        <v>267</v>
      </c>
      <c r="I6172" s="86">
        <v>41837</v>
      </c>
      <c r="J6172" s="78">
        <v>1386</v>
      </c>
    </row>
    <row r="6173" spans="6:10" x14ac:dyDescent="0.25">
      <c r="F6173" s="76" t="s">
        <v>150</v>
      </c>
      <c r="G6173" s="77" t="s">
        <v>290</v>
      </c>
      <c r="H6173" s="77" t="s">
        <v>267</v>
      </c>
      <c r="I6173" s="86">
        <v>41838</v>
      </c>
      <c r="J6173" s="78">
        <v>557</v>
      </c>
    </row>
    <row r="6174" spans="6:10" x14ac:dyDescent="0.25">
      <c r="F6174" s="76" t="s">
        <v>150</v>
      </c>
      <c r="G6174" s="77" t="s">
        <v>290</v>
      </c>
      <c r="H6174" s="77" t="s">
        <v>267</v>
      </c>
      <c r="I6174" s="86">
        <v>41839</v>
      </c>
      <c r="J6174" s="78">
        <v>556</v>
      </c>
    </row>
    <row r="6175" spans="6:10" x14ac:dyDescent="0.25">
      <c r="F6175" s="76" t="s">
        <v>150</v>
      </c>
      <c r="G6175" s="77" t="s">
        <v>290</v>
      </c>
      <c r="H6175" s="77" t="s">
        <v>267</v>
      </c>
      <c r="I6175" s="86">
        <v>41841</v>
      </c>
      <c r="J6175" s="78">
        <v>953</v>
      </c>
    </row>
    <row r="6176" spans="6:10" x14ac:dyDescent="0.25">
      <c r="F6176" s="76" t="s">
        <v>150</v>
      </c>
      <c r="G6176" s="77" t="s">
        <v>290</v>
      </c>
      <c r="H6176" s="77" t="s">
        <v>267</v>
      </c>
      <c r="I6176" s="86">
        <v>41842</v>
      </c>
      <c r="J6176" s="78">
        <v>635</v>
      </c>
    </row>
    <row r="6177" spans="6:10" x14ac:dyDescent="0.25">
      <c r="F6177" s="76" t="s">
        <v>150</v>
      </c>
      <c r="G6177" s="77" t="s">
        <v>290</v>
      </c>
      <c r="H6177" s="77" t="s">
        <v>267</v>
      </c>
      <c r="I6177" s="86">
        <v>41851</v>
      </c>
      <c r="J6177" s="78">
        <v>816</v>
      </c>
    </row>
    <row r="6178" spans="6:10" x14ac:dyDescent="0.25">
      <c r="F6178" s="76" t="s">
        <v>150</v>
      </c>
      <c r="G6178" s="77" t="s">
        <v>290</v>
      </c>
      <c r="H6178" s="77" t="s">
        <v>267</v>
      </c>
      <c r="I6178" s="86">
        <v>41851</v>
      </c>
      <c r="J6178" s="78">
        <v>1461</v>
      </c>
    </row>
    <row r="6179" spans="6:10" x14ac:dyDescent="0.25">
      <c r="F6179" s="76" t="s">
        <v>150</v>
      </c>
      <c r="G6179" s="77" t="s">
        <v>290</v>
      </c>
      <c r="H6179" s="77" t="s">
        <v>267</v>
      </c>
      <c r="I6179" s="86">
        <v>41858</v>
      </c>
      <c r="J6179" s="78">
        <v>925</v>
      </c>
    </row>
    <row r="6180" spans="6:10" x14ac:dyDescent="0.25">
      <c r="F6180" s="76" t="s">
        <v>150</v>
      </c>
      <c r="G6180" s="77" t="s">
        <v>290</v>
      </c>
      <c r="H6180" s="77" t="s">
        <v>267</v>
      </c>
      <c r="I6180" s="86">
        <v>41859</v>
      </c>
      <c r="J6180" s="78">
        <v>1260</v>
      </c>
    </row>
    <row r="6181" spans="6:10" x14ac:dyDescent="0.25">
      <c r="F6181" s="76" t="s">
        <v>150</v>
      </c>
      <c r="G6181" s="77" t="s">
        <v>290</v>
      </c>
      <c r="H6181" s="77" t="s">
        <v>267</v>
      </c>
      <c r="I6181" s="86">
        <v>41862</v>
      </c>
      <c r="J6181" s="78">
        <v>326</v>
      </c>
    </row>
    <row r="6182" spans="6:10" x14ac:dyDescent="0.25">
      <c r="F6182" s="76" t="s">
        <v>150</v>
      </c>
      <c r="G6182" s="77" t="s">
        <v>290</v>
      </c>
      <c r="H6182" s="77" t="s">
        <v>267</v>
      </c>
      <c r="I6182" s="86">
        <v>41863</v>
      </c>
      <c r="J6182" s="78">
        <v>1244</v>
      </c>
    </row>
    <row r="6183" spans="6:10" x14ac:dyDescent="0.25">
      <c r="F6183" s="76" t="s">
        <v>150</v>
      </c>
      <c r="G6183" s="77" t="s">
        <v>290</v>
      </c>
      <c r="H6183" s="77" t="s">
        <v>267</v>
      </c>
      <c r="I6183" s="86">
        <v>41864</v>
      </c>
      <c r="J6183" s="78">
        <v>1223</v>
      </c>
    </row>
    <row r="6184" spans="6:10" x14ac:dyDescent="0.25">
      <c r="F6184" s="76" t="s">
        <v>150</v>
      </c>
      <c r="G6184" s="77" t="s">
        <v>290</v>
      </c>
      <c r="H6184" s="77" t="s">
        <v>267</v>
      </c>
      <c r="I6184" s="86">
        <v>41865</v>
      </c>
      <c r="J6184" s="78">
        <v>1228</v>
      </c>
    </row>
    <row r="6185" spans="6:10" x14ac:dyDescent="0.25">
      <c r="F6185" s="76" t="s">
        <v>150</v>
      </c>
      <c r="G6185" s="77" t="s">
        <v>290</v>
      </c>
      <c r="H6185" s="77" t="s">
        <v>267</v>
      </c>
      <c r="I6185" s="86">
        <v>41867</v>
      </c>
      <c r="J6185" s="78">
        <v>943</v>
      </c>
    </row>
    <row r="6186" spans="6:10" x14ac:dyDescent="0.25">
      <c r="F6186" s="76" t="s">
        <v>150</v>
      </c>
      <c r="G6186" s="77" t="s">
        <v>290</v>
      </c>
      <c r="H6186" s="77" t="s">
        <v>267</v>
      </c>
      <c r="I6186" s="86">
        <v>41868</v>
      </c>
      <c r="J6186" s="78">
        <v>1181</v>
      </c>
    </row>
    <row r="6187" spans="6:10" x14ac:dyDescent="0.25">
      <c r="F6187" s="76" t="s">
        <v>150</v>
      </c>
      <c r="G6187" s="77" t="s">
        <v>290</v>
      </c>
      <c r="H6187" s="77" t="s">
        <v>267</v>
      </c>
      <c r="I6187" s="86">
        <v>41869</v>
      </c>
      <c r="J6187" s="78">
        <v>1307</v>
      </c>
    </row>
    <row r="6188" spans="6:10" x14ac:dyDescent="0.25">
      <c r="F6188" s="76" t="s">
        <v>150</v>
      </c>
      <c r="G6188" s="77" t="s">
        <v>290</v>
      </c>
      <c r="H6188" s="77" t="s">
        <v>267</v>
      </c>
      <c r="I6188" s="86">
        <v>41871</v>
      </c>
      <c r="J6188" s="78">
        <v>789</v>
      </c>
    </row>
    <row r="6189" spans="6:10" x14ac:dyDescent="0.25">
      <c r="F6189" s="76" t="s">
        <v>150</v>
      </c>
      <c r="G6189" s="77" t="s">
        <v>290</v>
      </c>
      <c r="H6189" s="77" t="s">
        <v>267</v>
      </c>
      <c r="I6189" s="86">
        <v>41871</v>
      </c>
      <c r="J6189" s="78">
        <v>1362</v>
      </c>
    </row>
    <row r="6190" spans="6:10" x14ac:dyDescent="0.25">
      <c r="F6190" s="76" t="s">
        <v>150</v>
      </c>
      <c r="G6190" s="77" t="s">
        <v>290</v>
      </c>
      <c r="H6190" s="77" t="s">
        <v>267</v>
      </c>
      <c r="I6190" s="86">
        <v>41872</v>
      </c>
      <c r="J6190" s="78">
        <v>1067</v>
      </c>
    </row>
    <row r="6191" spans="6:10" x14ac:dyDescent="0.25">
      <c r="F6191" s="76" t="s">
        <v>150</v>
      </c>
      <c r="G6191" s="77" t="s">
        <v>290</v>
      </c>
      <c r="H6191" s="77" t="s">
        <v>267</v>
      </c>
      <c r="I6191" s="86">
        <v>41876</v>
      </c>
      <c r="J6191" s="78">
        <v>1416</v>
      </c>
    </row>
    <row r="6192" spans="6:10" x14ac:dyDescent="0.25">
      <c r="F6192" s="76" t="s">
        <v>150</v>
      </c>
      <c r="G6192" s="77" t="s">
        <v>290</v>
      </c>
      <c r="H6192" s="77" t="s">
        <v>267</v>
      </c>
      <c r="I6192" s="86">
        <v>41878</v>
      </c>
      <c r="J6192" s="78">
        <v>1126</v>
      </c>
    </row>
    <row r="6193" spans="6:10" x14ac:dyDescent="0.25">
      <c r="F6193" s="76" t="s">
        <v>150</v>
      </c>
      <c r="G6193" s="77" t="s">
        <v>290</v>
      </c>
      <c r="H6193" s="77" t="s">
        <v>267</v>
      </c>
      <c r="I6193" s="86">
        <v>41879</v>
      </c>
      <c r="J6193" s="78">
        <v>834</v>
      </c>
    </row>
    <row r="6194" spans="6:10" x14ac:dyDescent="0.25">
      <c r="F6194" s="76" t="s">
        <v>150</v>
      </c>
      <c r="G6194" s="77" t="s">
        <v>290</v>
      </c>
      <c r="H6194" s="77" t="s">
        <v>267</v>
      </c>
      <c r="I6194" s="86">
        <v>41880</v>
      </c>
      <c r="J6194" s="78">
        <v>864</v>
      </c>
    </row>
    <row r="6195" spans="6:10" x14ac:dyDescent="0.25">
      <c r="F6195" s="76" t="s">
        <v>150</v>
      </c>
      <c r="G6195" s="77" t="s">
        <v>290</v>
      </c>
      <c r="H6195" s="77" t="s">
        <v>267</v>
      </c>
      <c r="I6195" s="86">
        <v>41884</v>
      </c>
      <c r="J6195" s="78">
        <v>616</v>
      </c>
    </row>
    <row r="6196" spans="6:10" x14ac:dyDescent="0.25">
      <c r="F6196" s="76" t="s">
        <v>150</v>
      </c>
      <c r="G6196" s="77" t="s">
        <v>290</v>
      </c>
      <c r="H6196" s="77" t="s">
        <v>267</v>
      </c>
      <c r="I6196" s="86">
        <v>41885</v>
      </c>
      <c r="J6196" s="78">
        <v>592</v>
      </c>
    </row>
    <row r="6197" spans="6:10" x14ac:dyDescent="0.25">
      <c r="F6197" s="76" t="s">
        <v>150</v>
      </c>
      <c r="G6197" s="77" t="s">
        <v>290</v>
      </c>
      <c r="H6197" s="77" t="s">
        <v>267</v>
      </c>
      <c r="I6197" s="86">
        <v>41886</v>
      </c>
      <c r="J6197" s="78">
        <v>642</v>
      </c>
    </row>
    <row r="6198" spans="6:10" x14ac:dyDescent="0.25">
      <c r="F6198" s="76" t="s">
        <v>150</v>
      </c>
      <c r="G6198" s="77" t="s">
        <v>290</v>
      </c>
      <c r="H6198" s="77" t="s">
        <v>267</v>
      </c>
      <c r="I6198" s="86">
        <v>41887</v>
      </c>
      <c r="J6198" s="78">
        <v>557</v>
      </c>
    </row>
    <row r="6199" spans="6:10" x14ac:dyDescent="0.25">
      <c r="F6199" s="76" t="s">
        <v>150</v>
      </c>
      <c r="G6199" s="77" t="s">
        <v>290</v>
      </c>
      <c r="H6199" s="77" t="s">
        <v>267</v>
      </c>
      <c r="I6199" s="86">
        <v>41889</v>
      </c>
      <c r="J6199" s="78">
        <v>1007</v>
      </c>
    </row>
    <row r="6200" spans="6:10" x14ac:dyDescent="0.25">
      <c r="F6200" s="76" t="s">
        <v>150</v>
      </c>
      <c r="G6200" s="77" t="s">
        <v>290</v>
      </c>
      <c r="H6200" s="77" t="s">
        <v>267</v>
      </c>
      <c r="I6200" s="86">
        <v>41892</v>
      </c>
      <c r="J6200" s="78">
        <v>820</v>
      </c>
    </row>
    <row r="6201" spans="6:10" x14ac:dyDescent="0.25">
      <c r="F6201" s="76" t="s">
        <v>150</v>
      </c>
      <c r="G6201" s="77" t="s">
        <v>290</v>
      </c>
      <c r="H6201" s="77" t="s">
        <v>267</v>
      </c>
      <c r="I6201" s="86">
        <v>41894</v>
      </c>
      <c r="J6201" s="78">
        <v>1098</v>
      </c>
    </row>
    <row r="6202" spans="6:10" x14ac:dyDescent="0.25">
      <c r="F6202" s="76" t="s">
        <v>150</v>
      </c>
      <c r="G6202" s="77" t="s">
        <v>290</v>
      </c>
      <c r="H6202" s="77" t="s">
        <v>267</v>
      </c>
      <c r="I6202" s="86">
        <v>41897</v>
      </c>
      <c r="J6202" s="78">
        <v>619</v>
      </c>
    </row>
    <row r="6203" spans="6:10" x14ac:dyDescent="0.25">
      <c r="F6203" s="76" t="s">
        <v>150</v>
      </c>
      <c r="G6203" s="77" t="s">
        <v>290</v>
      </c>
      <c r="H6203" s="77" t="s">
        <v>267</v>
      </c>
      <c r="I6203" s="86">
        <v>41898</v>
      </c>
      <c r="J6203" s="78">
        <v>597</v>
      </c>
    </row>
    <row r="6204" spans="6:10" x14ac:dyDescent="0.25">
      <c r="F6204" s="76" t="s">
        <v>150</v>
      </c>
      <c r="G6204" s="77" t="s">
        <v>291</v>
      </c>
      <c r="H6204" s="77" t="s">
        <v>267</v>
      </c>
      <c r="I6204" s="86">
        <v>41821</v>
      </c>
      <c r="J6204" s="78">
        <v>861</v>
      </c>
    </row>
    <row r="6205" spans="6:10" x14ac:dyDescent="0.25">
      <c r="F6205" s="76" t="s">
        <v>150</v>
      </c>
      <c r="G6205" s="77" t="s">
        <v>291</v>
      </c>
      <c r="H6205" s="77" t="s">
        <v>267</v>
      </c>
      <c r="I6205" s="86">
        <v>41822</v>
      </c>
      <c r="J6205" s="78">
        <v>713</v>
      </c>
    </row>
    <row r="6206" spans="6:10" x14ac:dyDescent="0.25">
      <c r="F6206" s="76" t="s">
        <v>150</v>
      </c>
      <c r="G6206" s="77" t="s">
        <v>291</v>
      </c>
      <c r="H6206" s="77" t="s">
        <v>267</v>
      </c>
      <c r="I6206" s="86">
        <v>41823</v>
      </c>
      <c r="J6206" s="78">
        <v>725</v>
      </c>
    </row>
    <row r="6207" spans="6:10" x14ac:dyDescent="0.25">
      <c r="F6207" s="76" t="s">
        <v>150</v>
      </c>
      <c r="G6207" s="77" t="s">
        <v>291</v>
      </c>
      <c r="H6207" s="77" t="s">
        <v>267</v>
      </c>
      <c r="I6207" s="86">
        <v>41841</v>
      </c>
      <c r="J6207" s="78">
        <v>1012</v>
      </c>
    </row>
    <row r="6208" spans="6:10" x14ac:dyDescent="0.25">
      <c r="F6208" s="76" t="s">
        <v>150</v>
      </c>
      <c r="G6208" s="77" t="s">
        <v>291</v>
      </c>
      <c r="H6208" s="77" t="s">
        <v>267</v>
      </c>
      <c r="I6208" s="86">
        <v>41842</v>
      </c>
      <c r="J6208" s="78">
        <v>527</v>
      </c>
    </row>
    <row r="6209" spans="6:10" x14ac:dyDescent="0.25">
      <c r="F6209" s="76" t="s">
        <v>150</v>
      </c>
      <c r="G6209" s="77" t="s">
        <v>291</v>
      </c>
      <c r="H6209" s="77" t="s">
        <v>267</v>
      </c>
      <c r="I6209" s="86">
        <v>41843</v>
      </c>
      <c r="J6209" s="78">
        <v>617</v>
      </c>
    </row>
    <row r="6210" spans="6:10" x14ac:dyDescent="0.25">
      <c r="F6210" s="76" t="s">
        <v>150</v>
      </c>
      <c r="G6210" s="77" t="s">
        <v>291</v>
      </c>
      <c r="H6210" s="77" t="s">
        <v>267</v>
      </c>
      <c r="I6210" s="86">
        <v>41853</v>
      </c>
      <c r="J6210" s="78">
        <v>1192</v>
      </c>
    </row>
    <row r="6211" spans="6:10" x14ac:dyDescent="0.25">
      <c r="F6211" s="76" t="s">
        <v>150</v>
      </c>
      <c r="G6211" s="77" t="s">
        <v>291</v>
      </c>
      <c r="H6211" s="77" t="s">
        <v>267</v>
      </c>
      <c r="I6211" s="86">
        <v>41855</v>
      </c>
      <c r="J6211" s="78">
        <v>1416</v>
      </c>
    </row>
    <row r="6212" spans="6:10" x14ac:dyDescent="0.25">
      <c r="F6212" s="76" t="s">
        <v>150</v>
      </c>
      <c r="G6212" s="77" t="s">
        <v>291</v>
      </c>
      <c r="H6212" s="77" t="s">
        <v>267</v>
      </c>
      <c r="I6212" s="86">
        <v>41857</v>
      </c>
      <c r="J6212" s="78">
        <v>1137</v>
      </c>
    </row>
    <row r="6213" spans="6:10" x14ac:dyDescent="0.25">
      <c r="F6213" s="76" t="s">
        <v>150</v>
      </c>
      <c r="G6213" s="77" t="s">
        <v>291</v>
      </c>
      <c r="H6213" s="77" t="s">
        <v>267</v>
      </c>
      <c r="I6213" s="86">
        <v>41859</v>
      </c>
      <c r="J6213" s="78">
        <v>1132</v>
      </c>
    </row>
    <row r="6214" spans="6:10" x14ac:dyDescent="0.25">
      <c r="F6214" s="76" t="s">
        <v>150</v>
      </c>
      <c r="G6214" s="77" t="s">
        <v>291</v>
      </c>
      <c r="H6214" s="77" t="s">
        <v>267</v>
      </c>
      <c r="I6214" s="86">
        <v>41862</v>
      </c>
      <c r="J6214" s="78">
        <v>542</v>
      </c>
    </row>
    <row r="6215" spans="6:10" x14ac:dyDescent="0.25">
      <c r="F6215" s="76" t="s">
        <v>150</v>
      </c>
      <c r="G6215" s="77" t="s">
        <v>291</v>
      </c>
      <c r="H6215" s="77" t="s">
        <v>267</v>
      </c>
      <c r="I6215" s="86">
        <v>41864</v>
      </c>
      <c r="J6215" s="78">
        <v>1078</v>
      </c>
    </row>
    <row r="6216" spans="6:10" x14ac:dyDescent="0.25">
      <c r="F6216" s="76" t="s">
        <v>150</v>
      </c>
      <c r="G6216" s="77" t="s">
        <v>291</v>
      </c>
      <c r="H6216" s="77" t="s">
        <v>267</v>
      </c>
      <c r="I6216" s="86">
        <v>41871</v>
      </c>
      <c r="J6216" s="78">
        <v>741</v>
      </c>
    </row>
    <row r="6217" spans="6:10" x14ac:dyDescent="0.25">
      <c r="F6217" s="76" t="s">
        <v>150</v>
      </c>
      <c r="G6217" s="77" t="s">
        <v>291</v>
      </c>
      <c r="H6217" s="77" t="s">
        <v>267</v>
      </c>
      <c r="I6217" s="86">
        <v>41873</v>
      </c>
      <c r="J6217" s="78">
        <v>1003</v>
      </c>
    </row>
    <row r="6218" spans="6:10" x14ac:dyDescent="0.25">
      <c r="F6218" s="76" t="s">
        <v>150</v>
      </c>
      <c r="G6218" s="77" t="s">
        <v>291</v>
      </c>
      <c r="H6218" s="77" t="s">
        <v>267</v>
      </c>
      <c r="I6218" s="86">
        <v>41874</v>
      </c>
      <c r="J6218" s="78">
        <v>1018</v>
      </c>
    </row>
    <row r="6219" spans="6:10" x14ac:dyDescent="0.25">
      <c r="F6219" s="76" t="s">
        <v>150</v>
      </c>
      <c r="G6219" s="77" t="s">
        <v>291</v>
      </c>
      <c r="H6219" s="77" t="s">
        <v>267</v>
      </c>
      <c r="I6219" s="86">
        <v>41874</v>
      </c>
      <c r="J6219" s="78">
        <v>574</v>
      </c>
    </row>
    <row r="6220" spans="6:10" x14ac:dyDescent="0.25">
      <c r="F6220" s="76" t="s">
        <v>150</v>
      </c>
      <c r="G6220" s="77" t="s">
        <v>291</v>
      </c>
      <c r="H6220" s="77" t="s">
        <v>267</v>
      </c>
      <c r="I6220" s="86">
        <v>41883</v>
      </c>
      <c r="J6220" s="78">
        <v>709</v>
      </c>
    </row>
    <row r="6221" spans="6:10" x14ac:dyDescent="0.25">
      <c r="F6221" s="76" t="s">
        <v>150</v>
      </c>
      <c r="G6221" s="77" t="s">
        <v>291</v>
      </c>
      <c r="H6221" s="77" t="s">
        <v>267</v>
      </c>
      <c r="I6221" s="86">
        <v>41883</v>
      </c>
      <c r="J6221" s="78">
        <v>213</v>
      </c>
    </row>
    <row r="6222" spans="6:10" x14ac:dyDescent="0.25">
      <c r="F6222" s="76" t="s">
        <v>150</v>
      </c>
      <c r="G6222" s="77" t="s">
        <v>291</v>
      </c>
      <c r="H6222" s="77" t="s">
        <v>267</v>
      </c>
      <c r="I6222" s="86">
        <v>41884</v>
      </c>
      <c r="J6222" s="78">
        <v>741</v>
      </c>
    </row>
    <row r="6223" spans="6:10" x14ac:dyDescent="0.25">
      <c r="F6223" s="76" t="s">
        <v>150</v>
      </c>
      <c r="G6223" s="77" t="s">
        <v>291</v>
      </c>
      <c r="H6223" s="77" t="s">
        <v>267</v>
      </c>
      <c r="I6223" s="86">
        <v>41885</v>
      </c>
      <c r="J6223" s="78">
        <v>901</v>
      </c>
    </row>
    <row r="6224" spans="6:10" x14ac:dyDescent="0.25">
      <c r="F6224" s="76" t="s">
        <v>150</v>
      </c>
      <c r="G6224" s="77" t="s">
        <v>291</v>
      </c>
      <c r="H6224" s="77" t="s">
        <v>267</v>
      </c>
      <c r="I6224" s="86">
        <v>41887</v>
      </c>
      <c r="J6224" s="78">
        <v>1141</v>
      </c>
    </row>
    <row r="6225" spans="6:10" x14ac:dyDescent="0.25">
      <c r="F6225" s="76" t="s">
        <v>150</v>
      </c>
      <c r="G6225" s="77" t="s">
        <v>291</v>
      </c>
      <c r="H6225" s="77" t="s">
        <v>267</v>
      </c>
      <c r="I6225" s="86">
        <v>41890</v>
      </c>
      <c r="J6225" s="78">
        <v>958</v>
      </c>
    </row>
    <row r="6226" spans="6:10" x14ac:dyDescent="0.25">
      <c r="F6226" s="76" t="s">
        <v>150</v>
      </c>
      <c r="G6226" s="77" t="s">
        <v>291</v>
      </c>
      <c r="H6226" s="77" t="s">
        <v>267</v>
      </c>
      <c r="I6226" s="86">
        <v>41891</v>
      </c>
      <c r="J6226" s="78">
        <v>716</v>
      </c>
    </row>
    <row r="6227" spans="6:10" x14ac:dyDescent="0.25">
      <c r="F6227" s="76" t="s">
        <v>150</v>
      </c>
      <c r="G6227" s="77" t="s">
        <v>291</v>
      </c>
      <c r="H6227" s="77" t="s">
        <v>267</v>
      </c>
      <c r="I6227" s="86">
        <v>41892</v>
      </c>
      <c r="J6227" s="78">
        <v>858</v>
      </c>
    </row>
    <row r="6228" spans="6:10" x14ac:dyDescent="0.25">
      <c r="F6228" s="76" t="s">
        <v>150</v>
      </c>
      <c r="G6228" s="77" t="s">
        <v>291</v>
      </c>
      <c r="H6228" s="77" t="s">
        <v>267</v>
      </c>
      <c r="I6228" s="86">
        <v>41894</v>
      </c>
      <c r="J6228" s="78">
        <v>993</v>
      </c>
    </row>
    <row r="6229" spans="6:10" x14ac:dyDescent="0.25">
      <c r="F6229" s="76" t="s">
        <v>150</v>
      </c>
      <c r="G6229" s="77" t="s">
        <v>291</v>
      </c>
      <c r="H6229" s="77" t="s">
        <v>267</v>
      </c>
      <c r="I6229" s="86">
        <v>41895</v>
      </c>
      <c r="J6229" s="78">
        <v>635</v>
      </c>
    </row>
    <row r="6230" spans="6:10" x14ac:dyDescent="0.25">
      <c r="F6230" s="76" t="s">
        <v>150</v>
      </c>
      <c r="G6230" s="77" t="s">
        <v>291</v>
      </c>
      <c r="H6230" s="77" t="s">
        <v>267</v>
      </c>
      <c r="I6230" s="86">
        <v>41896</v>
      </c>
      <c r="J6230" s="78">
        <v>468</v>
      </c>
    </row>
    <row r="6231" spans="6:10" x14ac:dyDescent="0.25">
      <c r="F6231" s="76" t="s">
        <v>150</v>
      </c>
      <c r="G6231" s="77" t="s">
        <v>291</v>
      </c>
      <c r="H6231" s="77" t="s">
        <v>267</v>
      </c>
      <c r="I6231" s="86">
        <v>41897</v>
      </c>
      <c r="J6231" s="78">
        <v>820</v>
      </c>
    </row>
    <row r="6232" spans="6:10" x14ac:dyDescent="0.25">
      <c r="F6232" s="76" t="s">
        <v>150</v>
      </c>
      <c r="G6232" s="77" t="s">
        <v>291</v>
      </c>
      <c r="H6232" s="77" t="s">
        <v>267</v>
      </c>
      <c r="I6232" s="86">
        <v>41898</v>
      </c>
      <c r="J6232" s="78">
        <v>934</v>
      </c>
    </row>
    <row r="6233" spans="6:10" x14ac:dyDescent="0.25">
      <c r="F6233" s="76" t="s">
        <v>150</v>
      </c>
      <c r="G6233" s="77" t="s">
        <v>291</v>
      </c>
      <c r="H6233" s="77" t="s">
        <v>267</v>
      </c>
      <c r="I6233" s="86">
        <v>41900</v>
      </c>
      <c r="J6233" s="78">
        <v>852</v>
      </c>
    </row>
    <row r="6234" spans="6:10" x14ac:dyDescent="0.25">
      <c r="F6234" s="76" t="s">
        <v>150</v>
      </c>
      <c r="G6234" s="77" t="s">
        <v>291</v>
      </c>
      <c r="H6234" s="77" t="s">
        <v>267</v>
      </c>
      <c r="I6234" s="86">
        <v>41920</v>
      </c>
      <c r="J6234" s="78">
        <v>1083</v>
      </c>
    </row>
    <row r="6235" spans="6:10" x14ac:dyDescent="0.25">
      <c r="F6235" s="76" t="s">
        <v>150</v>
      </c>
      <c r="G6235" s="77" t="s">
        <v>291</v>
      </c>
      <c r="H6235" s="77" t="s">
        <v>267</v>
      </c>
      <c r="I6235" s="86">
        <v>41924</v>
      </c>
      <c r="J6235" s="78">
        <v>773</v>
      </c>
    </row>
    <row r="6236" spans="6:10" x14ac:dyDescent="0.25">
      <c r="F6236" s="76" t="s">
        <v>150</v>
      </c>
      <c r="G6236" s="77" t="s">
        <v>291</v>
      </c>
      <c r="H6236" s="77" t="s">
        <v>267</v>
      </c>
      <c r="I6236" s="86">
        <v>41929</v>
      </c>
      <c r="J6236" s="78">
        <v>692</v>
      </c>
    </row>
    <row r="6237" spans="6:10" x14ac:dyDescent="0.25">
      <c r="F6237" s="76" t="s">
        <v>150</v>
      </c>
      <c r="G6237" s="77" t="s">
        <v>291</v>
      </c>
      <c r="H6237" s="77" t="s">
        <v>267</v>
      </c>
      <c r="I6237" s="86">
        <v>41929</v>
      </c>
      <c r="J6237" s="78">
        <v>910</v>
      </c>
    </row>
    <row r="6238" spans="6:10" x14ac:dyDescent="0.25">
      <c r="F6238" s="76" t="s">
        <v>150</v>
      </c>
      <c r="G6238" s="77" t="s">
        <v>291</v>
      </c>
      <c r="H6238" s="77" t="s">
        <v>267</v>
      </c>
      <c r="I6238" s="86">
        <v>41936</v>
      </c>
      <c r="J6238" s="78">
        <v>819</v>
      </c>
    </row>
    <row r="6239" spans="6:10" x14ac:dyDescent="0.25">
      <c r="F6239" s="76" t="s">
        <v>150</v>
      </c>
      <c r="G6239" s="77" t="s">
        <v>291</v>
      </c>
      <c r="H6239" s="77" t="s">
        <v>267</v>
      </c>
      <c r="I6239" s="86">
        <v>41937</v>
      </c>
      <c r="J6239" s="78">
        <v>991</v>
      </c>
    </row>
    <row r="6240" spans="6:10" x14ac:dyDescent="0.25">
      <c r="F6240" s="76" t="s">
        <v>150</v>
      </c>
      <c r="G6240" s="77" t="s">
        <v>291</v>
      </c>
      <c r="H6240" s="77" t="s">
        <v>267</v>
      </c>
      <c r="I6240" s="86">
        <v>41937</v>
      </c>
      <c r="J6240" s="78">
        <v>791</v>
      </c>
    </row>
    <row r="6241" spans="6:10" x14ac:dyDescent="0.25">
      <c r="F6241" s="76" t="s">
        <v>150</v>
      </c>
      <c r="G6241" s="77" t="s">
        <v>291</v>
      </c>
      <c r="H6241" s="77" t="s">
        <v>267</v>
      </c>
      <c r="I6241" s="86">
        <v>41938</v>
      </c>
      <c r="J6241" s="78">
        <v>1091</v>
      </c>
    </row>
    <row r="6242" spans="6:10" x14ac:dyDescent="0.25">
      <c r="F6242" s="76" t="s">
        <v>150</v>
      </c>
      <c r="G6242" s="77" t="s">
        <v>291</v>
      </c>
      <c r="H6242" s="77" t="s">
        <v>267</v>
      </c>
      <c r="I6242" s="86">
        <v>41940</v>
      </c>
      <c r="J6242" s="78">
        <v>1025</v>
      </c>
    </row>
    <row r="6243" spans="6:10" x14ac:dyDescent="0.25">
      <c r="F6243" s="76" t="s">
        <v>150</v>
      </c>
      <c r="G6243" s="77" t="s">
        <v>291</v>
      </c>
      <c r="H6243" s="77" t="s">
        <v>267</v>
      </c>
      <c r="I6243" s="86">
        <v>41941</v>
      </c>
      <c r="J6243" s="78">
        <v>835</v>
      </c>
    </row>
    <row r="6244" spans="6:10" x14ac:dyDescent="0.25">
      <c r="F6244" s="76" t="s">
        <v>150</v>
      </c>
      <c r="G6244" s="77" t="s">
        <v>291</v>
      </c>
      <c r="H6244" s="77" t="s">
        <v>267</v>
      </c>
      <c r="I6244" s="86">
        <v>41941</v>
      </c>
      <c r="J6244" s="78">
        <v>1266</v>
      </c>
    </row>
    <row r="6245" spans="6:10" x14ac:dyDescent="0.25">
      <c r="F6245" s="76" t="s">
        <v>150</v>
      </c>
      <c r="G6245" s="77" t="s">
        <v>291</v>
      </c>
      <c r="H6245" s="77" t="s">
        <v>267</v>
      </c>
      <c r="I6245" s="86">
        <v>41942</v>
      </c>
      <c r="J6245" s="78">
        <v>1034</v>
      </c>
    </row>
    <row r="6246" spans="6:10" x14ac:dyDescent="0.25">
      <c r="F6246" s="76" t="s">
        <v>150</v>
      </c>
      <c r="G6246" s="77" t="s">
        <v>291</v>
      </c>
      <c r="H6246" s="77" t="s">
        <v>267</v>
      </c>
      <c r="I6246" s="86">
        <v>41947</v>
      </c>
      <c r="J6246" s="78">
        <v>1268</v>
      </c>
    </row>
    <row r="6247" spans="6:10" x14ac:dyDescent="0.25">
      <c r="F6247" s="76" t="s">
        <v>150</v>
      </c>
      <c r="G6247" s="77" t="s">
        <v>291</v>
      </c>
      <c r="H6247" s="77" t="s">
        <v>267</v>
      </c>
      <c r="I6247" s="86">
        <v>41947</v>
      </c>
      <c r="J6247" s="78">
        <v>589</v>
      </c>
    </row>
    <row r="6248" spans="6:10" x14ac:dyDescent="0.25">
      <c r="F6248" s="76" t="s">
        <v>150</v>
      </c>
      <c r="G6248" s="77" t="s">
        <v>291</v>
      </c>
      <c r="H6248" s="77" t="s">
        <v>267</v>
      </c>
      <c r="I6248" s="86">
        <v>41948</v>
      </c>
      <c r="J6248" s="78">
        <v>1086</v>
      </c>
    </row>
    <row r="6249" spans="6:10" x14ac:dyDescent="0.25">
      <c r="F6249" s="76" t="s">
        <v>150</v>
      </c>
      <c r="G6249" s="77" t="s">
        <v>291</v>
      </c>
      <c r="H6249" s="77" t="s">
        <v>267</v>
      </c>
      <c r="I6249" s="86">
        <v>41949</v>
      </c>
      <c r="J6249" s="78">
        <v>470</v>
      </c>
    </row>
    <row r="6250" spans="6:10" x14ac:dyDescent="0.25">
      <c r="F6250" s="76" t="s">
        <v>150</v>
      </c>
      <c r="G6250" s="77" t="s">
        <v>291</v>
      </c>
      <c r="H6250" s="77" t="s">
        <v>267</v>
      </c>
      <c r="I6250" s="86">
        <v>41950</v>
      </c>
      <c r="J6250" s="78">
        <v>370</v>
      </c>
    </row>
    <row r="6251" spans="6:10" x14ac:dyDescent="0.25">
      <c r="F6251" s="76" t="s">
        <v>150</v>
      </c>
      <c r="G6251" s="77" t="s">
        <v>291</v>
      </c>
      <c r="H6251" s="77" t="s">
        <v>267</v>
      </c>
      <c r="I6251" s="86">
        <v>41988</v>
      </c>
      <c r="J6251" s="78">
        <v>331</v>
      </c>
    </row>
    <row r="6252" spans="6:10" x14ac:dyDescent="0.25">
      <c r="F6252" s="76" t="s">
        <v>150</v>
      </c>
      <c r="G6252" s="77" t="s">
        <v>291</v>
      </c>
      <c r="H6252" s="77" t="s">
        <v>267</v>
      </c>
      <c r="I6252" s="86">
        <v>41990</v>
      </c>
      <c r="J6252" s="78">
        <v>942</v>
      </c>
    </row>
    <row r="6253" spans="6:10" x14ac:dyDescent="0.25">
      <c r="F6253" s="76" t="s">
        <v>150</v>
      </c>
      <c r="G6253" s="77" t="s">
        <v>292</v>
      </c>
      <c r="H6253" s="77" t="s">
        <v>267</v>
      </c>
      <c r="I6253" s="86">
        <v>41636</v>
      </c>
      <c r="J6253" s="78">
        <v>708</v>
      </c>
    </row>
    <row r="6254" spans="6:10" x14ac:dyDescent="0.25">
      <c r="F6254" s="76" t="s">
        <v>150</v>
      </c>
      <c r="G6254" s="77" t="s">
        <v>292</v>
      </c>
      <c r="H6254" s="77" t="s">
        <v>267</v>
      </c>
      <c r="I6254" s="86">
        <v>41636</v>
      </c>
      <c r="J6254" s="78">
        <v>541</v>
      </c>
    </row>
    <row r="6255" spans="6:10" x14ac:dyDescent="0.25">
      <c r="F6255" s="76" t="s">
        <v>150</v>
      </c>
      <c r="G6255" s="77" t="s">
        <v>292</v>
      </c>
      <c r="H6255" s="77" t="s">
        <v>267</v>
      </c>
      <c r="I6255" s="86">
        <v>41637</v>
      </c>
      <c r="J6255" s="78">
        <v>1168</v>
      </c>
    </row>
    <row r="6256" spans="6:10" x14ac:dyDescent="0.25">
      <c r="F6256" s="76" t="s">
        <v>150</v>
      </c>
      <c r="G6256" s="77" t="s">
        <v>292</v>
      </c>
      <c r="H6256" s="77" t="s">
        <v>267</v>
      </c>
      <c r="I6256" s="86">
        <v>41639</v>
      </c>
      <c r="J6256" s="78">
        <v>1344</v>
      </c>
    </row>
    <row r="6257" spans="6:10" x14ac:dyDescent="0.25">
      <c r="F6257" s="76" t="s">
        <v>150</v>
      </c>
      <c r="G6257" s="77" t="s">
        <v>292</v>
      </c>
      <c r="H6257" s="77" t="s">
        <v>267</v>
      </c>
      <c r="I6257" s="86">
        <v>41640</v>
      </c>
      <c r="J6257" s="78">
        <v>917</v>
      </c>
    </row>
    <row r="6258" spans="6:10" x14ac:dyDescent="0.25">
      <c r="F6258" s="76" t="s">
        <v>150</v>
      </c>
      <c r="G6258" s="77" t="s">
        <v>292</v>
      </c>
      <c r="H6258" s="77" t="s">
        <v>267</v>
      </c>
      <c r="I6258" s="86">
        <v>41641</v>
      </c>
      <c r="J6258" s="78">
        <v>1184</v>
      </c>
    </row>
    <row r="6259" spans="6:10" x14ac:dyDescent="0.25">
      <c r="F6259" s="76" t="s">
        <v>150</v>
      </c>
      <c r="G6259" s="77" t="s">
        <v>292</v>
      </c>
      <c r="H6259" s="77" t="s">
        <v>267</v>
      </c>
      <c r="I6259" s="86">
        <v>41642</v>
      </c>
      <c r="J6259" s="78">
        <v>980</v>
      </c>
    </row>
    <row r="6260" spans="6:10" x14ac:dyDescent="0.25">
      <c r="F6260" s="76" t="s">
        <v>150</v>
      </c>
      <c r="G6260" s="77" t="s">
        <v>292</v>
      </c>
      <c r="H6260" s="77" t="s">
        <v>267</v>
      </c>
      <c r="I6260" s="86">
        <v>41643</v>
      </c>
      <c r="J6260" s="78">
        <v>879</v>
      </c>
    </row>
    <row r="6261" spans="6:10" x14ac:dyDescent="0.25">
      <c r="F6261" s="76" t="s">
        <v>150</v>
      </c>
      <c r="G6261" s="77" t="s">
        <v>292</v>
      </c>
      <c r="H6261" s="77" t="s">
        <v>267</v>
      </c>
      <c r="I6261" s="86">
        <v>41644</v>
      </c>
      <c r="J6261" s="78">
        <v>582</v>
      </c>
    </row>
    <row r="6262" spans="6:10" x14ac:dyDescent="0.25">
      <c r="F6262" s="76" t="s">
        <v>150</v>
      </c>
      <c r="G6262" s="77" t="s">
        <v>292</v>
      </c>
      <c r="H6262" s="77" t="s">
        <v>267</v>
      </c>
      <c r="I6262" s="86">
        <v>41645</v>
      </c>
      <c r="J6262" s="78">
        <v>824</v>
      </c>
    </row>
    <row r="6263" spans="6:10" x14ac:dyDescent="0.25">
      <c r="F6263" s="76" t="s">
        <v>150</v>
      </c>
      <c r="G6263" s="77" t="s">
        <v>292</v>
      </c>
      <c r="H6263" s="77" t="s">
        <v>267</v>
      </c>
      <c r="I6263" s="86">
        <v>41646</v>
      </c>
      <c r="J6263" s="78">
        <v>471</v>
      </c>
    </row>
    <row r="6264" spans="6:10" x14ac:dyDescent="0.25">
      <c r="F6264" s="76" t="s">
        <v>150</v>
      </c>
      <c r="G6264" s="77" t="s">
        <v>292</v>
      </c>
      <c r="H6264" s="77" t="s">
        <v>267</v>
      </c>
      <c r="I6264" s="86">
        <v>41648</v>
      </c>
      <c r="J6264" s="78">
        <v>1168</v>
      </c>
    </row>
    <row r="6265" spans="6:10" x14ac:dyDescent="0.25">
      <c r="F6265" s="76" t="s">
        <v>150</v>
      </c>
      <c r="G6265" s="77" t="s">
        <v>292</v>
      </c>
      <c r="H6265" s="77" t="s">
        <v>267</v>
      </c>
      <c r="I6265" s="86">
        <v>41654</v>
      </c>
      <c r="J6265" s="78">
        <v>831</v>
      </c>
    </row>
    <row r="6266" spans="6:10" x14ac:dyDescent="0.25">
      <c r="F6266" s="76" t="s">
        <v>150</v>
      </c>
      <c r="G6266" s="77" t="s">
        <v>292</v>
      </c>
      <c r="H6266" s="77" t="s">
        <v>267</v>
      </c>
      <c r="I6266" s="86">
        <v>41655</v>
      </c>
      <c r="J6266" s="78">
        <v>887</v>
      </c>
    </row>
    <row r="6267" spans="6:10" x14ac:dyDescent="0.25">
      <c r="F6267" s="76" t="s">
        <v>150</v>
      </c>
      <c r="G6267" s="77" t="s">
        <v>292</v>
      </c>
      <c r="H6267" s="77" t="s">
        <v>267</v>
      </c>
      <c r="I6267" s="86">
        <v>41656</v>
      </c>
      <c r="J6267" s="78">
        <v>529</v>
      </c>
    </row>
    <row r="6268" spans="6:10" x14ac:dyDescent="0.25">
      <c r="F6268" s="76" t="s">
        <v>150</v>
      </c>
      <c r="G6268" s="77" t="s">
        <v>292</v>
      </c>
      <c r="H6268" s="77" t="s">
        <v>267</v>
      </c>
      <c r="I6268" s="86">
        <v>41657</v>
      </c>
      <c r="J6268" s="78">
        <v>434</v>
      </c>
    </row>
    <row r="6269" spans="6:10" x14ac:dyDescent="0.25">
      <c r="F6269" s="76" t="s">
        <v>150</v>
      </c>
      <c r="G6269" s="77" t="s">
        <v>292</v>
      </c>
      <c r="H6269" s="77" t="s">
        <v>267</v>
      </c>
      <c r="I6269" s="86">
        <v>41658</v>
      </c>
      <c r="J6269" s="78">
        <v>407</v>
      </c>
    </row>
    <row r="6270" spans="6:10" x14ac:dyDescent="0.25">
      <c r="F6270" s="76" t="s">
        <v>150</v>
      </c>
      <c r="G6270" s="77" t="s">
        <v>292</v>
      </c>
      <c r="H6270" s="77" t="s">
        <v>267</v>
      </c>
      <c r="I6270" s="86">
        <v>41660</v>
      </c>
      <c r="J6270" s="78">
        <v>970</v>
      </c>
    </row>
    <row r="6271" spans="6:10" x14ac:dyDescent="0.25">
      <c r="F6271" s="76" t="s">
        <v>150</v>
      </c>
      <c r="G6271" s="77" t="s">
        <v>292</v>
      </c>
      <c r="H6271" s="77" t="s">
        <v>267</v>
      </c>
      <c r="I6271" s="86">
        <v>41662</v>
      </c>
      <c r="J6271" s="78">
        <v>1050</v>
      </c>
    </row>
    <row r="6272" spans="6:10" x14ac:dyDescent="0.25">
      <c r="F6272" s="76" t="s">
        <v>150</v>
      </c>
      <c r="G6272" s="77" t="s">
        <v>292</v>
      </c>
      <c r="H6272" s="77" t="s">
        <v>267</v>
      </c>
      <c r="I6272" s="86">
        <v>41663</v>
      </c>
      <c r="J6272" s="78">
        <v>704</v>
      </c>
    </row>
    <row r="6273" spans="6:10" x14ac:dyDescent="0.25">
      <c r="F6273" s="76" t="s">
        <v>150</v>
      </c>
      <c r="G6273" s="77" t="s">
        <v>292</v>
      </c>
      <c r="H6273" s="77" t="s">
        <v>267</v>
      </c>
      <c r="I6273" s="86">
        <v>41666</v>
      </c>
      <c r="J6273" s="78">
        <v>1025</v>
      </c>
    </row>
    <row r="6274" spans="6:10" x14ac:dyDescent="0.25">
      <c r="F6274" s="76" t="s">
        <v>150</v>
      </c>
      <c r="G6274" s="77" t="s">
        <v>292</v>
      </c>
      <c r="H6274" s="77" t="s">
        <v>267</v>
      </c>
      <c r="I6274" s="86">
        <v>41666</v>
      </c>
      <c r="J6274" s="78">
        <v>349</v>
      </c>
    </row>
    <row r="6275" spans="6:10" x14ac:dyDescent="0.25">
      <c r="F6275" s="76" t="s">
        <v>150</v>
      </c>
      <c r="G6275" s="77" t="s">
        <v>292</v>
      </c>
      <c r="H6275" s="77" t="s">
        <v>267</v>
      </c>
      <c r="I6275" s="86">
        <v>41667</v>
      </c>
      <c r="J6275" s="78">
        <v>1108</v>
      </c>
    </row>
    <row r="6276" spans="6:10" x14ac:dyDescent="0.25">
      <c r="F6276" s="76" t="s">
        <v>150</v>
      </c>
      <c r="G6276" s="77" t="s">
        <v>292</v>
      </c>
      <c r="H6276" s="77" t="s">
        <v>267</v>
      </c>
      <c r="I6276" s="86">
        <v>41669</v>
      </c>
      <c r="J6276" s="78">
        <v>866</v>
      </c>
    </row>
    <row r="6277" spans="6:10" x14ac:dyDescent="0.25">
      <c r="F6277" s="76" t="s">
        <v>150</v>
      </c>
      <c r="G6277" s="77" t="s">
        <v>292</v>
      </c>
      <c r="H6277" s="77" t="s">
        <v>267</v>
      </c>
      <c r="I6277" s="86">
        <v>41670</v>
      </c>
      <c r="J6277" s="78">
        <v>570</v>
      </c>
    </row>
    <row r="6278" spans="6:10" x14ac:dyDescent="0.25">
      <c r="F6278" s="76" t="s">
        <v>150</v>
      </c>
      <c r="G6278" s="77" t="s">
        <v>292</v>
      </c>
      <c r="H6278" s="77" t="s">
        <v>267</v>
      </c>
      <c r="I6278" s="86">
        <v>41674</v>
      </c>
      <c r="J6278" s="78">
        <v>1135</v>
      </c>
    </row>
    <row r="6279" spans="6:10" x14ac:dyDescent="0.25">
      <c r="F6279" s="76" t="s">
        <v>150</v>
      </c>
      <c r="G6279" s="77" t="s">
        <v>292</v>
      </c>
      <c r="H6279" s="77" t="s">
        <v>267</v>
      </c>
      <c r="I6279" s="86">
        <v>41676</v>
      </c>
      <c r="J6279" s="78">
        <v>1098</v>
      </c>
    </row>
    <row r="6280" spans="6:10" x14ac:dyDescent="0.25">
      <c r="F6280" s="76" t="s">
        <v>150</v>
      </c>
      <c r="G6280" s="77" t="s">
        <v>292</v>
      </c>
      <c r="H6280" s="77" t="s">
        <v>267</v>
      </c>
      <c r="I6280" s="86">
        <v>41677</v>
      </c>
      <c r="J6280" s="78">
        <v>644</v>
      </c>
    </row>
    <row r="6281" spans="6:10" x14ac:dyDescent="0.25">
      <c r="F6281" s="76" t="s">
        <v>150</v>
      </c>
      <c r="G6281" s="77" t="s">
        <v>292</v>
      </c>
      <c r="H6281" s="77" t="s">
        <v>267</v>
      </c>
      <c r="I6281" s="86">
        <v>41678</v>
      </c>
      <c r="J6281" s="78">
        <v>1173</v>
      </c>
    </row>
    <row r="6282" spans="6:10" x14ac:dyDescent="0.25">
      <c r="F6282" s="76" t="s">
        <v>150</v>
      </c>
      <c r="G6282" s="77" t="s">
        <v>292</v>
      </c>
      <c r="H6282" s="77" t="s">
        <v>267</v>
      </c>
      <c r="I6282" s="86">
        <v>41678</v>
      </c>
      <c r="J6282" s="78">
        <v>732</v>
      </c>
    </row>
    <row r="6283" spans="6:10" x14ac:dyDescent="0.25">
      <c r="F6283" s="76" t="s">
        <v>150</v>
      </c>
      <c r="G6283" s="77" t="s">
        <v>292</v>
      </c>
      <c r="H6283" s="77" t="s">
        <v>267</v>
      </c>
      <c r="I6283" s="86">
        <v>41679</v>
      </c>
      <c r="J6283" s="78">
        <v>1210</v>
      </c>
    </row>
    <row r="6284" spans="6:10" x14ac:dyDescent="0.25">
      <c r="F6284" s="76" t="s">
        <v>150</v>
      </c>
      <c r="G6284" s="77" t="s">
        <v>292</v>
      </c>
      <c r="H6284" s="77" t="s">
        <v>267</v>
      </c>
      <c r="I6284" s="86">
        <v>41681</v>
      </c>
      <c r="J6284" s="78">
        <v>1397</v>
      </c>
    </row>
    <row r="6285" spans="6:10" x14ac:dyDescent="0.25">
      <c r="F6285" s="76" t="s">
        <v>150</v>
      </c>
      <c r="G6285" s="77" t="s">
        <v>292</v>
      </c>
      <c r="H6285" s="77" t="s">
        <v>267</v>
      </c>
      <c r="I6285" s="86">
        <v>41683</v>
      </c>
      <c r="J6285" s="78">
        <v>1285</v>
      </c>
    </row>
    <row r="6286" spans="6:10" x14ac:dyDescent="0.25">
      <c r="F6286" s="76" t="s">
        <v>150</v>
      </c>
      <c r="G6286" s="77" t="s">
        <v>292</v>
      </c>
      <c r="H6286" s="77" t="s">
        <v>267</v>
      </c>
      <c r="I6286" s="86">
        <v>41684</v>
      </c>
      <c r="J6286" s="78">
        <v>993</v>
      </c>
    </row>
    <row r="6287" spans="6:10" x14ac:dyDescent="0.25">
      <c r="F6287" s="76" t="s">
        <v>150</v>
      </c>
      <c r="G6287" s="77" t="s">
        <v>292</v>
      </c>
      <c r="H6287" s="77" t="s">
        <v>267</v>
      </c>
      <c r="I6287" s="86">
        <v>41684</v>
      </c>
      <c r="J6287" s="78">
        <v>879</v>
      </c>
    </row>
    <row r="6288" spans="6:10" x14ac:dyDescent="0.25">
      <c r="F6288" s="76" t="s">
        <v>150</v>
      </c>
      <c r="G6288" s="77" t="s">
        <v>292</v>
      </c>
      <c r="H6288" s="77" t="s">
        <v>267</v>
      </c>
      <c r="I6288" s="86">
        <v>41685</v>
      </c>
      <c r="J6288" s="78">
        <v>708</v>
      </c>
    </row>
    <row r="6289" spans="6:10" x14ac:dyDescent="0.25">
      <c r="F6289" s="76" t="s">
        <v>150</v>
      </c>
      <c r="G6289" s="77" t="s">
        <v>292</v>
      </c>
      <c r="H6289" s="77" t="s">
        <v>267</v>
      </c>
      <c r="I6289" s="86">
        <v>41686</v>
      </c>
      <c r="J6289" s="78">
        <v>634</v>
      </c>
    </row>
    <row r="6290" spans="6:10" x14ac:dyDescent="0.25">
      <c r="F6290" s="76" t="s">
        <v>150</v>
      </c>
      <c r="G6290" s="77" t="s">
        <v>292</v>
      </c>
      <c r="H6290" s="77" t="s">
        <v>267</v>
      </c>
      <c r="I6290" s="86">
        <v>41686</v>
      </c>
      <c r="J6290" s="78">
        <v>827</v>
      </c>
    </row>
    <row r="6291" spans="6:10" x14ac:dyDescent="0.25">
      <c r="F6291" s="76" t="s">
        <v>150</v>
      </c>
      <c r="G6291" s="77" t="s">
        <v>292</v>
      </c>
      <c r="H6291" s="77" t="s">
        <v>267</v>
      </c>
      <c r="I6291" s="86">
        <v>41687</v>
      </c>
      <c r="J6291" s="78">
        <v>1050</v>
      </c>
    </row>
    <row r="6292" spans="6:10" x14ac:dyDescent="0.25">
      <c r="F6292" s="76" t="s">
        <v>150</v>
      </c>
      <c r="G6292" s="77" t="s">
        <v>292</v>
      </c>
      <c r="H6292" s="77" t="s">
        <v>267</v>
      </c>
      <c r="I6292" s="86">
        <v>41691</v>
      </c>
      <c r="J6292" s="78">
        <v>1169</v>
      </c>
    </row>
    <row r="6293" spans="6:10" x14ac:dyDescent="0.25">
      <c r="F6293" s="76" t="s">
        <v>150</v>
      </c>
      <c r="G6293" s="77" t="s">
        <v>292</v>
      </c>
      <c r="H6293" s="77" t="s">
        <v>267</v>
      </c>
      <c r="I6293" s="86">
        <v>41718</v>
      </c>
      <c r="J6293" s="78">
        <v>1075</v>
      </c>
    </row>
    <row r="6294" spans="6:10" x14ac:dyDescent="0.25">
      <c r="F6294" s="76" t="s">
        <v>150</v>
      </c>
      <c r="G6294" s="77" t="s">
        <v>292</v>
      </c>
      <c r="H6294" s="77" t="s">
        <v>267</v>
      </c>
      <c r="I6294" s="86">
        <v>41719</v>
      </c>
      <c r="J6294" s="78">
        <v>700</v>
      </c>
    </row>
    <row r="6295" spans="6:10" x14ac:dyDescent="0.25">
      <c r="F6295" s="76" t="s">
        <v>150</v>
      </c>
      <c r="G6295" s="77" t="s">
        <v>292</v>
      </c>
      <c r="H6295" s="77" t="s">
        <v>267</v>
      </c>
      <c r="I6295" s="86">
        <v>41719</v>
      </c>
      <c r="J6295" s="78">
        <v>466</v>
      </c>
    </row>
    <row r="6296" spans="6:10" x14ac:dyDescent="0.25">
      <c r="F6296" s="76" t="s">
        <v>150</v>
      </c>
      <c r="G6296" s="77" t="s">
        <v>292</v>
      </c>
      <c r="H6296" s="77" t="s">
        <v>267</v>
      </c>
      <c r="I6296" s="86">
        <v>41720</v>
      </c>
      <c r="J6296" s="78">
        <v>819</v>
      </c>
    </row>
    <row r="6297" spans="6:10" x14ac:dyDescent="0.25">
      <c r="F6297" s="76" t="s">
        <v>150</v>
      </c>
      <c r="G6297" s="77" t="s">
        <v>292</v>
      </c>
      <c r="H6297" s="77" t="s">
        <v>267</v>
      </c>
      <c r="I6297" s="86">
        <v>41721</v>
      </c>
      <c r="J6297" s="78">
        <v>704</v>
      </c>
    </row>
    <row r="6298" spans="6:10" x14ac:dyDescent="0.25">
      <c r="F6298" s="76" t="s">
        <v>150</v>
      </c>
      <c r="G6298" s="77" t="s">
        <v>292</v>
      </c>
      <c r="H6298" s="77" t="s">
        <v>267</v>
      </c>
      <c r="I6298" s="86">
        <v>41721</v>
      </c>
      <c r="J6298" s="78">
        <v>976</v>
      </c>
    </row>
    <row r="6299" spans="6:10" x14ac:dyDescent="0.25">
      <c r="F6299" s="76" t="s">
        <v>150</v>
      </c>
      <c r="G6299" s="77" t="s">
        <v>292</v>
      </c>
      <c r="H6299" s="77" t="s">
        <v>267</v>
      </c>
      <c r="I6299" s="86">
        <v>41723</v>
      </c>
      <c r="J6299" s="78">
        <v>720</v>
      </c>
    </row>
    <row r="6300" spans="6:10" x14ac:dyDescent="0.25">
      <c r="F6300" s="76" t="s">
        <v>150</v>
      </c>
      <c r="G6300" s="77" t="s">
        <v>292</v>
      </c>
      <c r="H6300" s="77" t="s">
        <v>267</v>
      </c>
      <c r="I6300" s="86">
        <v>41723</v>
      </c>
      <c r="J6300" s="78">
        <v>1236</v>
      </c>
    </row>
    <row r="6301" spans="6:10" x14ac:dyDescent="0.25">
      <c r="F6301" s="76" t="s">
        <v>150</v>
      </c>
      <c r="G6301" s="77" t="s">
        <v>292</v>
      </c>
      <c r="H6301" s="77" t="s">
        <v>267</v>
      </c>
      <c r="I6301" s="86">
        <v>41764</v>
      </c>
      <c r="J6301" s="78">
        <v>1192</v>
      </c>
    </row>
    <row r="6302" spans="6:10" x14ac:dyDescent="0.25">
      <c r="F6302" s="76" t="s">
        <v>150</v>
      </c>
      <c r="G6302" s="77" t="s">
        <v>292</v>
      </c>
      <c r="H6302" s="77" t="s">
        <v>267</v>
      </c>
      <c r="I6302" s="86">
        <v>41810</v>
      </c>
      <c r="J6302" s="78">
        <v>771</v>
      </c>
    </row>
    <row r="6303" spans="6:10" x14ac:dyDescent="0.25">
      <c r="F6303" s="76" t="s">
        <v>150</v>
      </c>
      <c r="G6303" s="77" t="s">
        <v>292</v>
      </c>
      <c r="H6303" s="77" t="s">
        <v>267</v>
      </c>
      <c r="I6303" s="86">
        <v>41822</v>
      </c>
      <c r="J6303" s="78">
        <v>1094</v>
      </c>
    </row>
    <row r="6304" spans="6:10" x14ac:dyDescent="0.25">
      <c r="F6304" s="76" t="s">
        <v>150</v>
      </c>
      <c r="G6304" s="77" t="s">
        <v>292</v>
      </c>
      <c r="H6304" s="77" t="s">
        <v>267</v>
      </c>
      <c r="I6304" s="86">
        <v>41827</v>
      </c>
      <c r="J6304" s="78">
        <v>841</v>
      </c>
    </row>
    <row r="6305" spans="6:10" x14ac:dyDescent="0.25">
      <c r="F6305" s="76" t="s">
        <v>150</v>
      </c>
      <c r="G6305" s="77" t="s">
        <v>292</v>
      </c>
      <c r="H6305" s="77" t="s">
        <v>267</v>
      </c>
      <c r="I6305" s="86">
        <v>41829</v>
      </c>
      <c r="J6305" s="78">
        <v>854</v>
      </c>
    </row>
    <row r="6306" spans="6:10" x14ac:dyDescent="0.25">
      <c r="F6306" s="76" t="s">
        <v>150</v>
      </c>
      <c r="G6306" s="77" t="s">
        <v>292</v>
      </c>
      <c r="H6306" s="77" t="s">
        <v>267</v>
      </c>
      <c r="I6306" s="86">
        <v>41831</v>
      </c>
      <c r="J6306" s="78">
        <v>820</v>
      </c>
    </row>
    <row r="6307" spans="6:10" x14ac:dyDescent="0.25">
      <c r="F6307" s="76" t="s">
        <v>150</v>
      </c>
      <c r="G6307" s="77" t="s">
        <v>292</v>
      </c>
      <c r="H6307" s="77" t="s">
        <v>267</v>
      </c>
      <c r="I6307" s="86">
        <v>41834</v>
      </c>
      <c r="J6307" s="78">
        <v>401</v>
      </c>
    </row>
    <row r="6308" spans="6:10" x14ac:dyDescent="0.25">
      <c r="F6308" s="76" t="s">
        <v>150</v>
      </c>
      <c r="G6308" s="77" t="s">
        <v>292</v>
      </c>
      <c r="H6308" s="77" t="s">
        <v>267</v>
      </c>
      <c r="I6308" s="86">
        <v>41836</v>
      </c>
      <c r="J6308" s="78">
        <v>1002</v>
      </c>
    </row>
    <row r="6309" spans="6:10" x14ac:dyDescent="0.25">
      <c r="F6309" s="76" t="s">
        <v>150</v>
      </c>
      <c r="G6309" s="77" t="s">
        <v>292</v>
      </c>
      <c r="H6309" s="77" t="s">
        <v>267</v>
      </c>
      <c r="I6309" s="86">
        <v>41838</v>
      </c>
      <c r="J6309" s="78">
        <v>770</v>
      </c>
    </row>
    <row r="6310" spans="6:10" x14ac:dyDescent="0.25">
      <c r="F6310" s="76" t="s">
        <v>150</v>
      </c>
      <c r="G6310" s="77" t="s">
        <v>292</v>
      </c>
      <c r="H6310" s="77" t="s">
        <v>267</v>
      </c>
      <c r="I6310" s="86">
        <v>41842</v>
      </c>
      <c r="J6310" s="78">
        <v>796</v>
      </c>
    </row>
    <row r="6311" spans="6:10" x14ac:dyDescent="0.25">
      <c r="F6311" s="76" t="s">
        <v>150</v>
      </c>
      <c r="G6311" s="77" t="s">
        <v>292</v>
      </c>
      <c r="H6311" s="77" t="s">
        <v>267</v>
      </c>
      <c r="I6311" s="86">
        <v>41844</v>
      </c>
      <c r="J6311" s="78">
        <v>825</v>
      </c>
    </row>
    <row r="6312" spans="6:10" x14ac:dyDescent="0.25">
      <c r="F6312" s="76" t="s">
        <v>150</v>
      </c>
      <c r="G6312" s="77" t="s">
        <v>292</v>
      </c>
      <c r="H6312" s="77" t="s">
        <v>267</v>
      </c>
      <c r="I6312" s="86">
        <v>41848</v>
      </c>
      <c r="J6312" s="78">
        <v>792</v>
      </c>
    </row>
    <row r="6313" spans="6:10" x14ac:dyDescent="0.25">
      <c r="F6313" s="76" t="s">
        <v>150</v>
      </c>
      <c r="G6313" s="77" t="s">
        <v>292</v>
      </c>
      <c r="H6313" s="77" t="s">
        <v>267</v>
      </c>
      <c r="I6313" s="86">
        <v>41850</v>
      </c>
      <c r="J6313" s="78">
        <v>787</v>
      </c>
    </row>
    <row r="6314" spans="6:10" x14ac:dyDescent="0.25">
      <c r="F6314" s="76" t="s">
        <v>150</v>
      </c>
      <c r="G6314" s="77" t="s">
        <v>292</v>
      </c>
      <c r="H6314" s="77" t="s">
        <v>267</v>
      </c>
      <c r="I6314" s="86">
        <v>41853</v>
      </c>
      <c r="J6314" s="78">
        <v>948</v>
      </c>
    </row>
    <row r="6315" spans="6:10" x14ac:dyDescent="0.25">
      <c r="F6315" s="76" t="s">
        <v>150</v>
      </c>
      <c r="G6315" s="77" t="s">
        <v>292</v>
      </c>
      <c r="H6315" s="77" t="s">
        <v>267</v>
      </c>
      <c r="I6315" s="86">
        <v>41875</v>
      </c>
      <c r="J6315" s="78">
        <v>1648</v>
      </c>
    </row>
    <row r="6316" spans="6:10" x14ac:dyDescent="0.25">
      <c r="F6316" s="76" t="s">
        <v>150</v>
      </c>
      <c r="G6316" s="77" t="s">
        <v>292</v>
      </c>
      <c r="H6316" s="77" t="s">
        <v>267</v>
      </c>
      <c r="I6316" s="86">
        <v>41875</v>
      </c>
      <c r="J6316" s="78">
        <v>422</v>
      </c>
    </row>
    <row r="6317" spans="6:10" x14ac:dyDescent="0.25">
      <c r="F6317" s="76" t="s">
        <v>150</v>
      </c>
      <c r="G6317" s="77" t="s">
        <v>292</v>
      </c>
      <c r="H6317" s="77" t="s">
        <v>267</v>
      </c>
      <c r="I6317" s="86">
        <v>41876</v>
      </c>
      <c r="J6317" s="78">
        <v>983</v>
      </c>
    </row>
    <row r="6318" spans="6:10" x14ac:dyDescent="0.25">
      <c r="F6318" s="76" t="s">
        <v>150</v>
      </c>
      <c r="G6318" s="77" t="s">
        <v>292</v>
      </c>
      <c r="H6318" s="77" t="s">
        <v>267</v>
      </c>
      <c r="I6318" s="86">
        <v>41877</v>
      </c>
      <c r="J6318" s="78">
        <v>1113</v>
      </c>
    </row>
    <row r="6319" spans="6:10" x14ac:dyDescent="0.25">
      <c r="F6319" s="76" t="s">
        <v>150</v>
      </c>
      <c r="G6319" s="77" t="s">
        <v>292</v>
      </c>
      <c r="H6319" s="77" t="s">
        <v>267</v>
      </c>
      <c r="I6319" s="86">
        <v>41878</v>
      </c>
      <c r="J6319" s="78">
        <v>560</v>
      </c>
    </row>
    <row r="6320" spans="6:10" x14ac:dyDescent="0.25">
      <c r="F6320" s="76" t="s">
        <v>150</v>
      </c>
      <c r="G6320" s="77" t="s">
        <v>292</v>
      </c>
      <c r="H6320" s="77" t="s">
        <v>267</v>
      </c>
      <c r="I6320" s="86">
        <v>41879</v>
      </c>
      <c r="J6320" s="78">
        <v>600</v>
      </c>
    </row>
    <row r="6321" spans="6:10" x14ac:dyDescent="0.25">
      <c r="F6321" s="76" t="s">
        <v>150</v>
      </c>
      <c r="G6321" s="77" t="s">
        <v>292</v>
      </c>
      <c r="H6321" s="77" t="s">
        <v>267</v>
      </c>
      <c r="I6321" s="86">
        <v>41903</v>
      </c>
      <c r="J6321" s="78">
        <v>1460</v>
      </c>
    </row>
    <row r="6322" spans="6:10" x14ac:dyDescent="0.25">
      <c r="F6322" s="76" t="s">
        <v>150</v>
      </c>
      <c r="G6322" s="77" t="s">
        <v>292</v>
      </c>
      <c r="H6322" s="77" t="s">
        <v>267</v>
      </c>
      <c r="I6322" s="86">
        <v>41904</v>
      </c>
      <c r="J6322" s="78">
        <v>792</v>
      </c>
    </row>
    <row r="6323" spans="6:10" x14ac:dyDescent="0.25">
      <c r="F6323" s="76" t="s">
        <v>150</v>
      </c>
      <c r="G6323" s="77" t="s">
        <v>292</v>
      </c>
      <c r="H6323" s="77" t="s">
        <v>267</v>
      </c>
      <c r="I6323" s="86">
        <v>41928</v>
      </c>
      <c r="J6323" s="78">
        <v>1153</v>
      </c>
    </row>
    <row r="6324" spans="6:10" x14ac:dyDescent="0.25">
      <c r="F6324" s="76" t="s">
        <v>150</v>
      </c>
      <c r="G6324" s="77" t="s">
        <v>292</v>
      </c>
      <c r="H6324" s="77" t="s">
        <v>267</v>
      </c>
      <c r="I6324" s="86">
        <v>41930</v>
      </c>
      <c r="J6324" s="78">
        <v>984</v>
      </c>
    </row>
    <row r="6325" spans="6:10" x14ac:dyDescent="0.25">
      <c r="F6325" s="76" t="s">
        <v>150</v>
      </c>
      <c r="G6325" s="77" t="s">
        <v>292</v>
      </c>
      <c r="H6325" s="77" t="s">
        <v>267</v>
      </c>
      <c r="I6325" s="86">
        <v>41932</v>
      </c>
      <c r="J6325" s="78">
        <v>852</v>
      </c>
    </row>
    <row r="6326" spans="6:10" x14ac:dyDescent="0.25">
      <c r="F6326" s="76" t="s">
        <v>150</v>
      </c>
      <c r="G6326" s="77" t="s">
        <v>292</v>
      </c>
      <c r="H6326" s="77" t="s">
        <v>267</v>
      </c>
      <c r="I6326" s="86">
        <v>41934</v>
      </c>
      <c r="J6326" s="78">
        <v>1097</v>
      </c>
    </row>
    <row r="6327" spans="6:10" x14ac:dyDescent="0.25">
      <c r="F6327" s="76" t="s">
        <v>150</v>
      </c>
      <c r="G6327" s="77" t="s">
        <v>292</v>
      </c>
      <c r="H6327" s="77" t="s">
        <v>267</v>
      </c>
      <c r="I6327" s="86">
        <v>41935</v>
      </c>
      <c r="J6327" s="78">
        <v>766</v>
      </c>
    </row>
    <row r="6328" spans="6:10" x14ac:dyDescent="0.25">
      <c r="F6328" s="76" t="s">
        <v>150</v>
      </c>
      <c r="G6328" s="77" t="s">
        <v>292</v>
      </c>
      <c r="H6328" s="77" t="s">
        <v>267</v>
      </c>
      <c r="I6328" s="86">
        <v>41936</v>
      </c>
      <c r="J6328" s="78">
        <v>591</v>
      </c>
    </row>
    <row r="6329" spans="6:10" x14ac:dyDescent="0.25">
      <c r="F6329" s="76" t="s">
        <v>150</v>
      </c>
      <c r="G6329" s="77" t="s">
        <v>292</v>
      </c>
      <c r="H6329" s="77" t="s">
        <v>267</v>
      </c>
      <c r="I6329" s="86">
        <v>41943</v>
      </c>
      <c r="J6329" s="78">
        <v>847</v>
      </c>
    </row>
    <row r="6330" spans="6:10" x14ac:dyDescent="0.25">
      <c r="F6330" s="76" t="s">
        <v>150</v>
      </c>
      <c r="G6330" s="77" t="s">
        <v>292</v>
      </c>
      <c r="H6330" s="77" t="s">
        <v>267</v>
      </c>
      <c r="I6330" s="86">
        <v>41947</v>
      </c>
      <c r="J6330" s="78">
        <v>594</v>
      </c>
    </row>
    <row r="6331" spans="6:10" x14ac:dyDescent="0.25">
      <c r="F6331" s="76" t="s">
        <v>150</v>
      </c>
      <c r="G6331" s="77" t="s">
        <v>292</v>
      </c>
      <c r="H6331" s="77" t="s">
        <v>267</v>
      </c>
      <c r="I6331" s="86">
        <v>41948</v>
      </c>
      <c r="J6331" s="78">
        <v>852</v>
      </c>
    </row>
    <row r="6332" spans="6:10" x14ac:dyDescent="0.25">
      <c r="F6332" s="76" t="s">
        <v>150</v>
      </c>
      <c r="G6332" s="77" t="s">
        <v>292</v>
      </c>
      <c r="H6332" s="77" t="s">
        <v>267</v>
      </c>
      <c r="I6332" s="86">
        <v>41949</v>
      </c>
      <c r="J6332" s="78">
        <v>274</v>
      </c>
    </row>
    <row r="6333" spans="6:10" x14ac:dyDescent="0.25">
      <c r="F6333" s="76" t="s">
        <v>150</v>
      </c>
      <c r="G6333" s="77" t="s">
        <v>292</v>
      </c>
      <c r="H6333" s="77" t="s">
        <v>267</v>
      </c>
      <c r="I6333" s="86">
        <v>41982</v>
      </c>
      <c r="J6333" s="78">
        <v>1083</v>
      </c>
    </row>
    <row r="6334" spans="6:10" x14ac:dyDescent="0.25">
      <c r="F6334" s="76" t="s">
        <v>150</v>
      </c>
      <c r="G6334" s="77" t="s">
        <v>292</v>
      </c>
      <c r="H6334" s="77" t="s">
        <v>267</v>
      </c>
      <c r="I6334" s="86">
        <v>41983</v>
      </c>
      <c r="J6334" s="78">
        <v>871</v>
      </c>
    </row>
    <row r="6335" spans="6:10" x14ac:dyDescent="0.25">
      <c r="F6335" s="76" t="s">
        <v>150</v>
      </c>
      <c r="G6335" s="77" t="s">
        <v>292</v>
      </c>
      <c r="H6335" s="77" t="s">
        <v>267</v>
      </c>
      <c r="I6335" s="86">
        <v>41985</v>
      </c>
      <c r="J6335" s="78">
        <v>1013</v>
      </c>
    </row>
    <row r="6336" spans="6:10" x14ac:dyDescent="0.25">
      <c r="F6336" s="76" t="s">
        <v>150</v>
      </c>
      <c r="G6336" s="77" t="s">
        <v>292</v>
      </c>
      <c r="H6336" s="77" t="s">
        <v>267</v>
      </c>
      <c r="I6336" s="86">
        <v>41988</v>
      </c>
      <c r="J6336" s="78">
        <v>748</v>
      </c>
    </row>
    <row r="6337" spans="6:10" x14ac:dyDescent="0.25">
      <c r="F6337" s="76" t="s">
        <v>150</v>
      </c>
      <c r="G6337" s="77" t="s">
        <v>292</v>
      </c>
      <c r="H6337" s="77" t="s">
        <v>267</v>
      </c>
      <c r="I6337" s="86">
        <v>41989</v>
      </c>
      <c r="J6337" s="78">
        <v>738</v>
      </c>
    </row>
    <row r="6338" spans="6:10" x14ac:dyDescent="0.25">
      <c r="F6338" s="76" t="s">
        <v>150</v>
      </c>
      <c r="G6338" s="77" t="s">
        <v>292</v>
      </c>
      <c r="H6338" s="77" t="s">
        <v>267</v>
      </c>
      <c r="I6338" s="86">
        <v>41992</v>
      </c>
      <c r="J6338" s="78">
        <v>733</v>
      </c>
    </row>
    <row r="6339" spans="6:10" x14ac:dyDescent="0.25">
      <c r="F6339" s="76" t="s">
        <v>150</v>
      </c>
      <c r="G6339" s="77" t="s">
        <v>292</v>
      </c>
      <c r="H6339" s="77" t="s">
        <v>267</v>
      </c>
      <c r="I6339" s="86">
        <v>41997</v>
      </c>
      <c r="J6339" s="78">
        <v>565</v>
      </c>
    </row>
    <row r="6340" spans="6:10" x14ac:dyDescent="0.25">
      <c r="F6340" s="76" t="s">
        <v>150</v>
      </c>
      <c r="G6340" s="77" t="s">
        <v>292</v>
      </c>
      <c r="H6340" s="77" t="s">
        <v>267</v>
      </c>
      <c r="I6340" s="86">
        <v>41998</v>
      </c>
      <c r="J6340" s="78">
        <v>330</v>
      </c>
    </row>
    <row r="6341" spans="6:10" x14ac:dyDescent="0.25">
      <c r="F6341" s="76" t="s">
        <v>150</v>
      </c>
      <c r="G6341" s="77" t="s">
        <v>292</v>
      </c>
      <c r="H6341" s="77" t="s">
        <v>267</v>
      </c>
      <c r="I6341" s="86">
        <v>41999</v>
      </c>
      <c r="J6341" s="78">
        <v>681</v>
      </c>
    </row>
    <row r="6342" spans="6:10" x14ac:dyDescent="0.25">
      <c r="F6342" s="76" t="s">
        <v>150</v>
      </c>
      <c r="G6342" s="77" t="s">
        <v>292</v>
      </c>
      <c r="H6342" s="77" t="s">
        <v>267</v>
      </c>
      <c r="I6342" s="86">
        <v>42000</v>
      </c>
      <c r="J6342" s="78">
        <v>345</v>
      </c>
    </row>
    <row r="6343" spans="6:10" x14ac:dyDescent="0.25">
      <c r="F6343" s="76" t="s">
        <v>150</v>
      </c>
      <c r="G6343" s="77" t="s">
        <v>292</v>
      </c>
      <c r="H6343" s="77" t="s">
        <v>267</v>
      </c>
      <c r="I6343" s="86">
        <v>42002</v>
      </c>
      <c r="J6343" s="78">
        <v>712</v>
      </c>
    </row>
    <row r="6344" spans="6:10" x14ac:dyDescent="0.25">
      <c r="F6344" s="76" t="s">
        <v>150</v>
      </c>
      <c r="G6344" s="77" t="s">
        <v>293</v>
      </c>
      <c r="H6344" s="77" t="s">
        <v>267</v>
      </c>
      <c r="I6344" s="86">
        <v>41997</v>
      </c>
      <c r="J6344" s="78">
        <v>529</v>
      </c>
    </row>
    <row r="6345" spans="6:10" x14ac:dyDescent="0.25">
      <c r="F6345" s="76" t="s">
        <v>150</v>
      </c>
      <c r="G6345" s="77" t="s">
        <v>294</v>
      </c>
      <c r="H6345" s="77" t="s">
        <v>267</v>
      </c>
      <c r="I6345" s="86">
        <v>41651</v>
      </c>
      <c r="J6345" s="78">
        <v>611</v>
      </c>
    </row>
    <row r="6346" spans="6:10" x14ac:dyDescent="0.25">
      <c r="F6346" s="76" t="s">
        <v>150</v>
      </c>
      <c r="G6346" s="77" t="s">
        <v>294</v>
      </c>
      <c r="H6346" s="77" t="s">
        <v>267</v>
      </c>
      <c r="I6346" s="86">
        <v>41652</v>
      </c>
      <c r="J6346" s="78">
        <v>841</v>
      </c>
    </row>
    <row r="6347" spans="6:10" x14ac:dyDescent="0.25">
      <c r="F6347" s="76" t="s">
        <v>150</v>
      </c>
      <c r="G6347" s="77" t="s">
        <v>294</v>
      </c>
      <c r="H6347" s="77" t="s">
        <v>267</v>
      </c>
      <c r="I6347" s="86">
        <v>41653</v>
      </c>
      <c r="J6347" s="78">
        <v>779</v>
      </c>
    </row>
    <row r="6348" spans="6:10" x14ac:dyDescent="0.25">
      <c r="F6348" s="76" t="s">
        <v>150</v>
      </c>
      <c r="G6348" s="77" t="s">
        <v>294</v>
      </c>
      <c r="H6348" s="77" t="s">
        <v>267</v>
      </c>
      <c r="I6348" s="86">
        <v>41654</v>
      </c>
      <c r="J6348" s="78">
        <v>1369</v>
      </c>
    </row>
    <row r="6349" spans="6:10" x14ac:dyDescent="0.25">
      <c r="F6349" s="76" t="s">
        <v>150</v>
      </c>
      <c r="G6349" s="77" t="s">
        <v>294</v>
      </c>
      <c r="H6349" s="77" t="s">
        <v>267</v>
      </c>
      <c r="I6349" s="86">
        <v>41658</v>
      </c>
      <c r="J6349" s="78">
        <v>453</v>
      </c>
    </row>
    <row r="6350" spans="6:10" x14ac:dyDescent="0.25">
      <c r="F6350" s="76" t="s">
        <v>150</v>
      </c>
      <c r="G6350" s="77" t="s">
        <v>294</v>
      </c>
      <c r="H6350" s="77" t="s">
        <v>267</v>
      </c>
      <c r="I6350" s="86">
        <v>41662</v>
      </c>
      <c r="J6350" s="78">
        <v>1049</v>
      </c>
    </row>
    <row r="6351" spans="6:10" x14ac:dyDescent="0.25">
      <c r="F6351" s="76" t="s">
        <v>150</v>
      </c>
      <c r="G6351" s="77" t="s">
        <v>294</v>
      </c>
      <c r="H6351" s="77" t="s">
        <v>267</v>
      </c>
      <c r="I6351" s="86">
        <v>41664</v>
      </c>
      <c r="J6351" s="78">
        <v>1422</v>
      </c>
    </row>
    <row r="6352" spans="6:10" x14ac:dyDescent="0.25">
      <c r="F6352" s="76" t="s">
        <v>150</v>
      </c>
      <c r="G6352" s="77" t="s">
        <v>294</v>
      </c>
      <c r="H6352" s="77" t="s">
        <v>267</v>
      </c>
      <c r="I6352" s="86">
        <v>41664</v>
      </c>
      <c r="J6352" s="78">
        <v>891</v>
      </c>
    </row>
    <row r="6353" spans="6:10" x14ac:dyDescent="0.25">
      <c r="F6353" s="76" t="s">
        <v>150</v>
      </c>
      <c r="G6353" s="77" t="s">
        <v>294</v>
      </c>
      <c r="H6353" s="77" t="s">
        <v>267</v>
      </c>
      <c r="I6353" s="86">
        <v>41665</v>
      </c>
      <c r="J6353" s="78">
        <v>1249</v>
      </c>
    </row>
    <row r="6354" spans="6:10" x14ac:dyDescent="0.25">
      <c r="F6354" s="76" t="s">
        <v>150</v>
      </c>
      <c r="G6354" s="77" t="s">
        <v>294</v>
      </c>
      <c r="H6354" s="77" t="s">
        <v>267</v>
      </c>
      <c r="I6354" s="86">
        <v>41666</v>
      </c>
      <c r="J6354" s="78">
        <v>818</v>
      </c>
    </row>
    <row r="6355" spans="6:10" x14ac:dyDescent="0.25">
      <c r="F6355" s="76" t="s">
        <v>150</v>
      </c>
      <c r="G6355" s="77" t="s">
        <v>294</v>
      </c>
      <c r="H6355" s="77" t="s">
        <v>267</v>
      </c>
      <c r="I6355" s="86">
        <v>41667</v>
      </c>
      <c r="J6355" s="78">
        <v>534</v>
      </c>
    </row>
    <row r="6356" spans="6:10" x14ac:dyDescent="0.25">
      <c r="F6356" s="76" t="s">
        <v>150</v>
      </c>
      <c r="G6356" s="77" t="s">
        <v>294</v>
      </c>
      <c r="H6356" s="77" t="s">
        <v>267</v>
      </c>
      <c r="I6356" s="86">
        <v>41668</v>
      </c>
      <c r="J6356" s="78">
        <v>753</v>
      </c>
    </row>
    <row r="6357" spans="6:10" x14ac:dyDescent="0.25">
      <c r="F6357" s="76" t="s">
        <v>150</v>
      </c>
      <c r="G6357" s="77" t="s">
        <v>294</v>
      </c>
      <c r="H6357" s="77" t="s">
        <v>267</v>
      </c>
      <c r="I6357" s="86">
        <v>41669</v>
      </c>
      <c r="J6357" s="78">
        <v>515</v>
      </c>
    </row>
    <row r="6358" spans="6:10" x14ac:dyDescent="0.25">
      <c r="F6358" s="76" t="s">
        <v>150</v>
      </c>
      <c r="G6358" s="77" t="s">
        <v>294</v>
      </c>
      <c r="H6358" s="77" t="s">
        <v>267</v>
      </c>
      <c r="I6358" s="86">
        <v>41682</v>
      </c>
      <c r="J6358" s="78">
        <v>1196</v>
      </c>
    </row>
    <row r="6359" spans="6:10" x14ac:dyDescent="0.25">
      <c r="F6359" s="76" t="s">
        <v>150</v>
      </c>
      <c r="G6359" s="77" t="s">
        <v>294</v>
      </c>
      <c r="H6359" s="77" t="s">
        <v>267</v>
      </c>
      <c r="I6359" s="86">
        <v>41682</v>
      </c>
      <c r="J6359" s="78">
        <v>1178</v>
      </c>
    </row>
    <row r="6360" spans="6:10" x14ac:dyDescent="0.25">
      <c r="F6360" s="76" t="s">
        <v>150</v>
      </c>
      <c r="G6360" s="77" t="s">
        <v>294</v>
      </c>
      <c r="H6360" s="77" t="s">
        <v>267</v>
      </c>
      <c r="I6360" s="86">
        <v>41684</v>
      </c>
      <c r="J6360" s="78">
        <v>1264</v>
      </c>
    </row>
    <row r="6361" spans="6:10" x14ac:dyDescent="0.25">
      <c r="F6361" s="76" t="s">
        <v>150</v>
      </c>
      <c r="G6361" s="77" t="s">
        <v>294</v>
      </c>
      <c r="H6361" s="77" t="s">
        <v>267</v>
      </c>
      <c r="I6361" s="86">
        <v>41685</v>
      </c>
      <c r="J6361" s="78">
        <v>1182</v>
      </c>
    </row>
    <row r="6362" spans="6:10" x14ac:dyDescent="0.25">
      <c r="F6362" s="76" t="s">
        <v>150</v>
      </c>
      <c r="G6362" s="77" t="s">
        <v>294</v>
      </c>
      <c r="H6362" s="77" t="s">
        <v>267</v>
      </c>
      <c r="I6362" s="86">
        <v>41686</v>
      </c>
      <c r="J6362" s="78">
        <v>1170</v>
      </c>
    </row>
    <row r="6363" spans="6:10" x14ac:dyDescent="0.25">
      <c r="F6363" s="76" t="s">
        <v>150</v>
      </c>
      <c r="G6363" s="77" t="s">
        <v>294</v>
      </c>
      <c r="H6363" s="77" t="s">
        <v>267</v>
      </c>
      <c r="I6363" s="86">
        <v>41687</v>
      </c>
      <c r="J6363" s="78">
        <v>1213</v>
      </c>
    </row>
    <row r="6364" spans="6:10" x14ac:dyDescent="0.25">
      <c r="F6364" s="76" t="s">
        <v>150</v>
      </c>
      <c r="G6364" s="77" t="s">
        <v>294</v>
      </c>
      <c r="H6364" s="77" t="s">
        <v>267</v>
      </c>
      <c r="I6364" s="86">
        <v>41758</v>
      </c>
      <c r="J6364" s="78">
        <v>875</v>
      </c>
    </row>
    <row r="6365" spans="6:10" x14ac:dyDescent="0.25">
      <c r="F6365" s="76" t="s">
        <v>150</v>
      </c>
      <c r="G6365" s="77" t="s">
        <v>294</v>
      </c>
      <c r="H6365" s="77" t="s">
        <v>267</v>
      </c>
      <c r="I6365" s="86">
        <v>41759</v>
      </c>
      <c r="J6365" s="78">
        <v>1119</v>
      </c>
    </row>
    <row r="6366" spans="6:10" x14ac:dyDescent="0.25">
      <c r="F6366" s="76" t="s">
        <v>150</v>
      </c>
      <c r="G6366" s="77" t="s">
        <v>294</v>
      </c>
      <c r="H6366" s="77" t="s">
        <v>267</v>
      </c>
      <c r="I6366" s="86">
        <v>41765</v>
      </c>
      <c r="J6366" s="78">
        <v>901</v>
      </c>
    </row>
    <row r="6367" spans="6:10" x14ac:dyDescent="0.25">
      <c r="F6367" s="76" t="s">
        <v>150</v>
      </c>
      <c r="G6367" s="77" t="s">
        <v>294</v>
      </c>
      <c r="H6367" s="77" t="s">
        <v>267</v>
      </c>
      <c r="I6367" s="86">
        <v>41766</v>
      </c>
      <c r="J6367" s="78">
        <v>452</v>
      </c>
    </row>
    <row r="6368" spans="6:10" x14ac:dyDescent="0.25">
      <c r="F6368" s="76" t="s">
        <v>150</v>
      </c>
      <c r="G6368" s="77" t="s">
        <v>294</v>
      </c>
      <c r="H6368" s="77" t="s">
        <v>267</v>
      </c>
      <c r="I6368" s="86">
        <v>41766</v>
      </c>
      <c r="J6368" s="78">
        <v>1103</v>
      </c>
    </row>
    <row r="6369" spans="6:10" x14ac:dyDescent="0.25">
      <c r="F6369" s="76" t="s">
        <v>150</v>
      </c>
      <c r="G6369" s="77" t="s">
        <v>294</v>
      </c>
      <c r="H6369" s="77" t="s">
        <v>267</v>
      </c>
      <c r="I6369" s="86">
        <v>41767</v>
      </c>
      <c r="J6369" s="78">
        <v>1098</v>
      </c>
    </row>
    <row r="6370" spans="6:10" x14ac:dyDescent="0.25">
      <c r="F6370" s="76" t="s">
        <v>150</v>
      </c>
      <c r="G6370" s="77" t="s">
        <v>294</v>
      </c>
      <c r="H6370" s="77" t="s">
        <v>267</v>
      </c>
      <c r="I6370" s="86">
        <v>41780</v>
      </c>
      <c r="J6370" s="78">
        <v>701</v>
      </c>
    </row>
    <row r="6371" spans="6:10" x14ac:dyDescent="0.25">
      <c r="F6371" s="76" t="s">
        <v>150</v>
      </c>
      <c r="G6371" s="77" t="s">
        <v>294</v>
      </c>
      <c r="H6371" s="77" t="s">
        <v>267</v>
      </c>
      <c r="I6371" s="86">
        <v>41782</v>
      </c>
      <c r="J6371" s="78">
        <v>1017</v>
      </c>
    </row>
    <row r="6372" spans="6:10" x14ac:dyDescent="0.25">
      <c r="F6372" s="76" t="s">
        <v>150</v>
      </c>
      <c r="G6372" s="77" t="s">
        <v>294</v>
      </c>
      <c r="H6372" s="77" t="s">
        <v>267</v>
      </c>
      <c r="I6372" s="86">
        <v>41785</v>
      </c>
      <c r="J6372" s="78">
        <v>465</v>
      </c>
    </row>
    <row r="6373" spans="6:10" x14ac:dyDescent="0.25">
      <c r="F6373" s="76" t="s">
        <v>150</v>
      </c>
      <c r="G6373" s="77" t="s">
        <v>294</v>
      </c>
      <c r="H6373" s="77" t="s">
        <v>267</v>
      </c>
      <c r="I6373" s="86">
        <v>41787</v>
      </c>
      <c r="J6373" s="78">
        <v>972</v>
      </c>
    </row>
    <row r="6374" spans="6:10" x14ac:dyDescent="0.25">
      <c r="F6374" s="76" t="s">
        <v>150</v>
      </c>
      <c r="G6374" s="77" t="s">
        <v>294</v>
      </c>
      <c r="H6374" s="77" t="s">
        <v>267</v>
      </c>
      <c r="I6374" s="86">
        <v>41788</v>
      </c>
      <c r="J6374" s="78">
        <v>686</v>
      </c>
    </row>
    <row r="6375" spans="6:10" x14ac:dyDescent="0.25">
      <c r="F6375" s="76" t="s">
        <v>150</v>
      </c>
      <c r="G6375" s="77" t="s">
        <v>294</v>
      </c>
      <c r="H6375" s="77" t="s">
        <v>267</v>
      </c>
      <c r="I6375" s="86">
        <v>41789</v>
      </c>
      <c r="J6375" s="78">
        <v>939</v>
      </c>
    </row>
    <row r="6376" spans="6:10" x14ac:dyDescent="0.25">
      <c r="F6376" s="76" t="s">
        <v>150</v>
      </c>
      <c r="G6376" s="77" t="s">
        <v>294</v>
      </c>
      <c r="H6376" s="77" t="s">
        <v>267</v>
      </c>
      <c r="I6376" s="86">
        <v>41790</v>
      </c>
      <c r="J6376" s="78">
        <v>872</v>
      </c>
    </row>
    <row r="6377" spans="6:10" x14ac:dyDescent="0.25">
      <c r="F6377" s="76" t="s">
        <v>150</v>
      </c>
      <c r="G6377" s="77" t="s">
        <v>294</v>
      </c>
      <c r="H6377" s="77" t="s">
        <v>267</v>
      </c>
      <c r="I6377" s="86">
        <v>41791</v>
      </c>
      <c r="J6377" s="78">
        <v>899</v>
      </c>
    </row>
    <row r="6378" spans="6:10" x14ac:dyDescent="0.25">
      <c r="F6378" s="76" t="s">
        <v>150</v>
      </c>
      <c r="G6378" s="77" t="s">
        <v>294</v>
      </c>
      <c r="H6378" s="77" t="s">
        <v>267</v>
      </c>
      <c r="I6378" s="86">
        <v>41793</v>
      </c>
      <c r="J6378" s="78">
        <v>1037</v>
      </c>
    </row>
    <row r="6379" spans="6:10" x14ac:dyDescent="0.25">
      <c r="F6379" s="76" t="s">
        <v>150</v>
      </c>
      <c r="G6379" s="77" t="s">
        <v>294</v>
      </c>
      <c r="H6379" s="77" t="s">
        <v>267</v>
      </c>
      <c r="I6379" s="86">
        <v>41794</v>
      </c>
      <c r="J6379" s="78">
        <v>704</v>
      </c>
    </row>
    <row r="6380" spans="6:10" x14ac:dyDescent="0.25">
      <c r="F6380" s="76" t="s">
        <v>150</v>
      </c>
      <c r="G6380" s="77" t="s">
        <v>294</v>
      </c>
      <c r="H6380" s="77" t="s">
        <v>267</v>
      </c>
      <c r="I6380" s="86">
        <v>41821</v>
      </c>
      <c r="J6380" s="78">
        <v>985</v>
      </c>
    </row>
    <row r="6381" spans="6:10" x14ac:dyDescent="0.25">
      <c r="F6381" s="76" t="s">
        <v>150</v>
      </c>
      <c r="G6381" s="77" t="s">
        <v>294</v>
      </c>
      <c r="H6381" s="77" t="s">
        <v>267</v>
      </c>
      <c r="I6381" s="86">
        <v>41823</v>
      </c>
      <c r="J6381" s="78">
        <v>1171</v>
      </c>
    </row>
    <row r="6382" spans="6:10" x14ac:dyDescent="0.25">
      <c r="F6382" s="76" t="s">
        <v>150</v>
      </c>
      <c r="G6382" s="77" t="s">
        <v>294</v>
      </c>
      <c r="H6382" s="77" t="s">
        <v>267</v>
      </c>
      <c r="I6382" s="86">
        <v>41827</v>
      </c>
      <c r="J6382" s="78">
        <v>1040</v>
      </c>
    </row>
    <row r="6383" spans="6:10" x14ac:dyDescent="0.25">
      <c r="F6383" s="76" t="s">
        <v>150</v>
      </c>
      <c r="G6383" s="77" t="s">
        <v>294</v>
      </c>
      <c r="H6383" s="77" t="s">
        <v>267</v>
      </c>
      <c r="I6383" s="86">
        <v>41829</v>
      </c>
      <c r="J6383" s="78">
        <v>1122</v>
      </c>
    </row>
    <row r="6384" spans="6:10" x14ac:dyDescent="0.25">
      <c r="F6384" s="76" t="s">
        <v>150</v>
      </c>
      <c r="G6384" s="77" t="s">
        <v>294</v>
      </c>
      <c r="H6384" s="77" t="s">
        <v>267</v>
      </c>
      <c r="I6384" s="86">
        <v>41830</v>
      </c>
      <c r="J6384" s="78">
        <v>1229</v>
      </c>
    </row>
    <row r="6385" spans="6:10" x14ac:dyDescent="0.25">
      <c r="F6385" s="76" t="s">
        <v>150</v>
      </c>
      <c r="G6385" s="77" t="s">
        <v>294</v>
      </c>
      <c r="H6385" s="77" t="s">
        <v>267</v>
      </c>
      <c r="I6385" s="86">
        <v>41831</v>
      </c>
      <c r="J6385" s="78">
        <v>665</v>
      </c>
    </row>
    <row r="6386" spans="6:10" x14ac:dyDescent="0.25">
      <c r="F6386" s="76" t="s">
        <v>150</v>
      </c>
      <c r="G6386" s="77" t="s">
        <v>294</v>
      </c>
      <c r="H6386" s="77" t="s">
        <v>267</v>
      </c>
      <c r="I6386" s="86">
        <v>41834</v>
      </c>
      <c r="J6386" s="78">
        <v>1040</v>
      </c>
    </row>
    <row r="6387" spans="6:10" x14ac:dyDescent="0.25">
      <c r="F6387" s="76" t="s">
        <v>150</v>
      </c>
      <c r="G6387" s="77" t="s">
        <v>294</v>
      </c>
      <c r="H6387" s="77" t="s">
        <v>267</v>
      </c>
      <c r="I6387" s="86">
        <v>41835</v>
      </c>
      <c r="J6387" s="78">
        <v>568</v>
      </c>
    </row>
    <row r="6388" spans="6:10" x14ac:dyDescent="0.25">
      <c r="F6388" s="76" t="s">
        <v>150</v>
      </c>
      <c r="G6388" s="77" t="s">
        <v>294</v>
      </c>
      <c r="H6388" s="77" t="s">
        <v>267</v>
      </c>
      <c r="I6388" s="86">
        <v>41836</v>
      </c>
      <c r="J6388" s="78">
        <v>644</v>
      </c>
    </row>
    <row r="6389" spans="6:10" x14ac:dyDescent="0.25">
      <c r="F6389" s="76" t="s">
        <v>150</v>
      </c>
      <c r="G6389" s="77" t="s">
        <v>294</v>
      </c>
      <c r="H6389" s="77" t="s">
        <v>267</v>
      </c>
      <c r="I6389" s="86">
        <v>41838</v>
      </c>
      <c r="J6389" s="78">
        <v>913</v>
      </c>
    </row>
    <row r="6390" spans="6:10" x14ac:dyDescent="0.25">
      <c r="F6390" s="76" t="s">
        <v>150</v>
      </c>
      <c r="G6390" s="77" t="s">
        <v>294</v>
      </c>
      <c r="H6390" s="77" t="s">
        <v>267</v>
      </c>
      <c r="I6390" s="86">
        <v>41841</v>
      </c>
      <c r="J6390" s="78">
        <v>598</v>
      </c>
    </row>
    <row r="6391" spans="6:10" x14ac:dyDescent="0.25">
      <c r="F6391" s="76" t="s">
        <v>150</v>
      </c>
      <c r="G6391" s="77" t="s">
        <v>294</v>
      </c>
      <c r="H6391" s="77" t="s">
        <v>267</v>
      </c>
      <c r="I6391" s="86">
        <v>41843</v>
      </c>
      <c r="J6391" s="78">
        <v>999</v>
      </c>
    </row>
    <row r="6392" spans="6:10" x14ac:dyDescent="0.25">
      <c r="F6392" s="76" t="s">
        <v>150</v>
      </c>
      <c r="G6392" s="77" t="s">
        <v>294</v>
      </c>
      <c r="H6392" s="77" t="s">
        <v>267</v>
      </c>
      <c r="I6392" s="86">
        <v>41844</v>
      </c>
      <c r="J6392" s="78">
        <v>777</v>
      </c>
    </row>
    <row r="6393" spans="6:10" x14ac:dyDescent="0.25">
      <c r="F6393" s="76" t="s">
        <v>150</v>
      </c>
      <c r="G6393" s="77" t="s">
        <v>294</v>
      </c>
      <c r="H6393" s="77" t="s">
        <v>267</v>
      </c>
      <c r="I6393" s="86">
        <v>41844</v>
      </c>
      <c r="J6393" s="78">
        <v>687</v>
      </c>
    </row>
    <row r="6394" spans="6:10" x14ac:dyDescent="0.25">
      <c r="F6394" s="76" t="s">
        <v>150</v>
      </c>
      <c r="G6394" s="77" t="s">
        <v>294</v>
      </c>
      <c r="H6394" s="77" t="s">
        <v>267</v>
      </c>
      <c r="I6394" s="86">
        <v>41845</v>
      </c>
      <c r="J6394" s="78">
        <v>1003</v>
      </c>
    </row>
    <row r="6395" spans="6:10" x14ac:dyDescent="0.25">
      <c r="F6395" s="76" t="s">
        <v>150</v>
      </c>
      <c r="G6395" s="77" t="s">
        <v>294</v>
      </c>
      <c r="H6395" s="77" t="s">
        <v>267</v>
      </c>
      <c r="I6395" s="86">
        <v>41848</v>
      </c>
      <c r="J6395" s="78">
        <v>451</v>
      </c>
    </row>
    <row r="6396" spans="6:10" x14ac:dyDescent="0.25">
      <c r="F6396" s="76" t="s">
        <v>150</v>
      </c>
      <c r="G6396" s="77" t="s">
        <v>294</v>
      </c>
      <c r="H6396" s="77" t="s">
        <v>267</v>
      </c>
      <c r="I6396" s="86">
        <v>41849</v>
      </c>
      <c r="J6396" s="78">
        <v>534</v>
      </c>
    </row>
    <row r="6397" spans="6:10" x14ac:dyDescent="0.25">
      <c r="F6397" s="76" t="s">
        <v>150</v>
      </c>
      <c r="G6397" s="77" t="s">
        <v>294</v>
      </c>
      <c r="H6397" s="77" t="s">
        <v>267</v>
      </c>
      <c r="I6397" s="86">
        <v>41851</v>
      </c>
      <c r="J6397" s="78">
        <v>743</v>
      </c>
    </row>
    <row r="6398" spans="6:10" x14ac:dyDescent="0.25">
      <c r="F6398" s="76" t="s">
        <v>150</v>
      </c>
      <c r="G6398" s="77" t="s">
        <v>294</v>
      </c>
      <c r="H6398" s="77" t="s">
        <v>267</v>
      </c>
      <c r="I6398" s="86">
        <v>41855</v>
      </c>
      <c r="J6398" s="78">
        <v>762</v>
      </c>
    </row>
    <row r="6399" spans="6:10" x14ac:dyDescent="0.25">
      <c r="F6399" s="76" t="s">
        <v>150</v>
      </c>
      <c r="G6399" s="77" t="s">
        <v>294</v>
      </c>
      <c r="H6399" s="77" t="s">
        <v>267</v>
      </c>
      <c r="I6399" s="86">
        <v>41857</v>
      </c>
      <c r="J6399" s="78">
        <v>981</v>
      </c>
    </row>
    <row r="6400" spans="6:10" x14ac:dyDescent="0.25">
      <c r="F6400" s="76" t="s">
        <v>150</v>
      </c>
      <c r="G6400" s="77" t="s">
        <v>294</v>
      </c>
      <c r="H6400" s="77" t="s">
        <v>267</v>
      </c>
      <c r="I6400" s="86">
        <v>41872</v>
      </c>
      <c r="J6400" s="78">
        <v>671</v>
      </c>
    </row>
    <row r="6401" spans="6:10" x14ac:dyDescent="0.25">
      <c r="F6401" s="76" t="s">
        <v>150</v>
      </c>
      <c r="G6401" s="77" t="s">
        <v>294</v>
      </c>
      <c r="H6401" s="77" t="s">
        <v>267</v>
      </c>
      <c r="I6401" s="86">
        <v>41877</v>
      </c>
      <c r="J6401" s="78">
        <v>924</v>
      </c>
    </row>
    <row r="6402" spans="6:10" x14ac:dyDescent="0.25">
      <c r="F6402" s="76" t="s">
        <v>150</v>
      </c>
      <c r="G6402" s="77" t="s">
        <v>294</v>
      </c>
      <c r="H6402" s="77" t="s">
        <v>267</v>
      </c>
      <c r="I6402" s="86">
        <v>41878</v>
      </c>
      <c r="J6402" s="78">
        <v>655</v>
      </c>
    </row>
    <row r="6403" spans="6:10" x14ac:dyDescent="0.25">
      <c r="F6403" s="76" t="s">
        <v>150</v>
      </c>
      <c r="G6403" s="77" t="s">
        <v>294</v>
      </c>
      <c r="H6403" s="77" t="s">
        <v>267</v>
      </c>
      <c r="I6403" s="86">
        <v>41879</v>
      </c>
      <c r="J6403" s="78">
        <v>668</v>
      </c>
    </row>
    <row r="6404" spans="6:10" x14ac:dyDescent="0.25">
      <c r="F6404" s="76" t="s">
        <v>150</v>
      </c>
      <c r="G6404" s="77" t="s">
        <v>294</v>
      </c>
      <c r="H6404" s="77" t="s">
        <v>267</v>
      </c>
      <c r="I6404" s="86">
        <v>41885</v>
      </c>
      <c r="J6404" s="78">
        <v>730</v>
      </c>
    </row>
    <row r="6405" spans="6:10" x14ac:dyDescent="0.25">
      <c r="F6405" s="76" t="s">
        <v>150</v>
      </c>
      <c r="G6405" s="77" t="s">
        <v>294</v>
      </c>
      <c r="H6405" s="77" t="s">
        <v>267</v>
      </c>
      <c r="I6405" s="86">
        <v>41889</v>
      </c>
      <c r="J6405" s="78">
        <v>1016</v>
      </c>
    </row>
    <row r="6406" spans="6:10" x14ac:dyDescent="0.25">
      <c r="F6406" s="76" t="s">
        <v>150</v>
      </c>
      <c r="G6406" s="77" t="s">
        <v>294</v>
      </c>
      <c r="H6406" s="77" t="s">
        <v>267</v>
      </c>
      <c r="I6406" s="86">
        <v>41892</v>
      </c>
      <c r="J6406" s="78">
        <v>1049</v>
      </c>
    </row>
    <row r="6407" spans="6:10" x14ac:dyDescent="0.25">
      <c r="F6407" s="76" t="s">
        <v>150</v>
      </c>
      <c r="G6407" s="77" t="s">
        <v>294</v>
      </c>
      <c r="H6407" s="77" t="s">
        <v>267</v>
      </c>
      <c r="I6407" s="86">
        <v>41893</v>
      </c>
      <c r="J6407" s="78">
        <v>686</v>
      </c>
    </row>
    <row r="6408" spans="6:10" x14ac:dyDescent="0.25">
      <c r="F6408" s="76" t="s">
        <v>150</v>
      </c>
      <c r="G6408" s="77" t="s">
        <v>294</v>
      </c>
      <c r="H6408" s="77" t="s">
        <v>267</v>
      </c>
      <c r="I6408" s="86">
        <v>41894</v>
      </c>
      <c r="J6408" s="78">
        <v>942</v>
      </c>
    </row>
    <row r="6409" spans="6:10" x14ac:dyDescent="0.25">
      <c r="F6409" s="76" t="s">
        <v>150</v>
      </c>
      <c r="G6409" s="77" t="s">
        <v>294</v>
      </c>
      <c r="H6409" s="77" t="s">
        <v>267</v>
      </c>
      <c r="I6409" s="86">
        <v>41895</v>
      </c>
      <c r="J6409" s="78">
        <v>916</v>
      </c>
    </row>
    <row r="6410" spans="6:10" x14ac:dyDescent="0.25">
      <c r="F6410" s="76" t="s">
        <v>150</v>
      </c>
      <c r="G6410" s="77" t="s">
        <v>294</v>
      </c>
      <c r="H6410" s="77" t="s">
        <v>267</v>
      </c>
      <c r="I6410" s="86">
        <v>41896</v>
      </c>
      <c r="J6410" s="78">
        <v>469</v>
      </c>
    </row>
    <row r="6411" spans="6:10" x14ac:dyDescent="0.25">
      <c r="F6411" s="76" t="s">
        <v>150</v>
      </c>
      <c r="G6411" s="77" t="s">
        <v>294</v>
      </c>
      <c r="H6411" s="77" t="s">
        <v>267</v>
      </c>
      <c r="I6411" s="86">
        <v>41897</v>
      </c>
      <c r="J6411" s="78">
        <v>636</v>
      </c>
    </row>
    <row r="6412" spans="6:10" x14ac:dyDescent="0.25">
      <c r="F6412" s="76" t="s">
        <v>150</v>
      </c>
      <c r="G6412" s="77" t="s">
        <v>294</v>
      </c>
      <c r="H6412" s="77" t="s">
        <v>267</v>
      </c>
      <c r="I6412" s="86">
        <v>41898</v>
      </c>
      <c r="J6412" s="78">
        <v>660</v>
      </c>
    </row>
    <row r="6413" spans="6:10" x14ac:dyDescent="0.25">
      <c r="F6413" s="76" t="s">
        <v>150</v>
      </c>
      <c r="G6413" s="77" t="s">
        <v>294</v>
      </c>
      <c r="H6413" s="77" t="s">
        <v>267</v>
      </c>
      <c r="I6413" s="86">
        <v>41899</v>
      </c>
      <c r="J6413" s="78">
        <v>939</v>
      </c>
    </row>
    <row r="6414" spans="6:10" x14ac:dyDescent="0.25">
      <c r="F6414" s="76" t="s">
        <v>150</v>
      </c>
      <c r="G6414" s="77" t="s">
        <v>294</v>
      </c>
      <c r="H6414" s="77" t="s">
        <v>267</v>
      </c>
      <c r="I6414" s="86">
        <v>41901</v>
      </c>
      <c r="J6414" s="78">
        <v>756</v>
      </c>
    </row>
    <row r="6415" spans="6:10" x14ac:dyDescent="0.25">
      <c r="F6415" s="76" t="s">
        <v>150</v>
      </c>
      <c r="G6415" s="77" t="s">
        <v>294</v>
      </c>
      <c r="H6415" s="77" t="s">
        <v>267</v>
      </c>
      <c r="I6415" s="86">
        <v>41906</v>
      </c>
      <c r="J6415" s="78">
        <v>1123</v>
      </c>
    </row>
    <row r="6416" spans="6:10" x14ac:dyDescent="0.25">
      <c r="F6416" s="76" t="s">
        <v>150</v>
      </c>
      <c r="G6416" s="77" t="s">
        <v>294</v>
      </c>
      <c r="H6416" s="77" t="s">
        <v>267</v>
      </c>
      <c r="I6416" s="86">
        <v>41908</v>
      </c>
      <c r="J6416" s="78">
        <v>947</v>
      </c>
    </row>
    <row r="6417" spans="6:10" x14ac:dyDescent="0.25">
      <c r="F6417" s="76" t="s">
        <v>150</v>
      </c>
      <c r="G6417" s="77" t="s">
        <v>294</v>
      </c>
      <c r="H6417" s="77" t="s">
        <v>267</v>
      </c>
      <c r="I6417" s="86">
        <v>41910</v>
      </c>
      <c r="J6417" s="78">
        <v>903</v>
      </c>
    </row>
    <row r="6418" spans="6:10" x14ac:dyDescent="0.25">
      <c r="F6418" s="76" t="s">
        <v>150</v>
      </c>
      <c r="G6418" s="77" t="s">
        <v>294</v>
      </c>
      <c r="H6418" s="77" t="s">
        <v>267</v>
      </c>
      <c r="I6418" s="86">
        <v>41911</v>
      </c>
      <c r="J6418" s="78">
        <v>790</v>
      </c>
    </row>
    <row r="6419" spans="6:10" x14ac:dyDescent="0.25">
      <c r="F6419" s="76" t="s">
        <v>150</v>
      </c>
      <c r="G6419" s="77" t="s">
        <v>294</v>
      </c>
      <c r="H6419" s="77" t="s">
        <v>267</v>
      </c>
      <c r="I6419" s="86">
        <v>41912</v>
      </c>
      <c r="J6419" s="78">
        <v>431</v>
      </c>
    </row>
    <row r="6420" spans="6:10" x14ac:dyDescent="0.25">
      <c r="F6420" s="76" t="s">
        <v>150</v>
      </c>
      <c r="G6420" s="77" t="s">
        <v>294</v>
      </c>
      <c r="H6420" s="77" t="s">
        <v>267</v>
      </c>
      <c r="I6420" s="86">
        <v>41913</v>
      </c>
      <c r="J6420" s="78">
        <v>532</v>
      </c>
    </row>
    <row r="6421" spans="6:10" x14ac:dyDescent="0.25">
      <c r="F6421" s="76" t="s">
        <v>150</v>
      </c>
      <c r="G6421" s="77" t="s">
        <v>294</v>
      </c>
      <c r="H6421" s="77" t="s">
        <v>267</v>
      </c>
      <c r="I6421" s="86">
        <v>41914</v>
      </c>
      <c r="J6421" s="78">
        <v>856</v>
      </c>
    </row>
    <row r="6422" spans="6:10" x14ac:dyDescent="0.25">
      <c r="F6422" s="76" t="s">
        <v>150</v>
      </c>
      <c r="G6422" s="77" t="s">
        <v>294</v>
      </c>
      <c r="H6422" s="77" t="s">
        <v>267</v>
      </c>
      <c r="I6422" s="86">
        <v>41918</v>
      </c>
      <c r="J6422" s="78">
        <v>1380</v>
      </c>
    </row>
    <row r="6423" spans="6:10" x14ac:dyDescent="0.25">
      <c r="F6423" s="76" t="s">
        <v>150</v>
      </c>
      <c r="G6423" s="77" t="s">
        <v>294</v>
      </c>
      <c r="H6423" s="77" t="s">
        <v>267</v>
      </c>
      <c r="I6423" s="86">
        <v>41919</v>
      </c>
      <c r="J6423" s="78">
        <v>502</v>
      </c>
    </row>
    <row r="6424" spans="6:10" x14ac:dyDescent="0.25">
      <c r="F6424" s="76" t="s">
        <v>150</v>
      </c>
      <c r="G6424" s="77" t="s">
        <v>294</v>
      </c>
      <c r="H6424" s="77" t="s">
        <v>267</v>
      </c>
      <c r="I6424" s="86">
        <v>41920</v>
      </c>
      <c r="J6424" s="78">
        <v>1186</v>
      </c>
    </row>
    <row r="6425" spans="6:10" x14ac:dyDescent="0.25">
      <c r="F6425" s="76" t="s">
        <v>150</v>
      </c>
      <c r="G6425" s="77" t="s">
        <v>294</v>
      </c>
      <c r="H6425" s="77" t="s">
        <v>267</v>
      </c>
      <c r="I6425" s="86">
        <v>41921</v>
      </c>
      <c r="J6425" s="78">
        <v>644</v>
      </c>
    </row>
    <row r="6426" spans="6:10" x14ac:dyDescent="0.25">
      <c r="F6426" s="76" t="s">
        <v>150</v>
      </c>
      <c r="G6426" s="77" t="s">
        <v>294</v>
      </c>
      <c r="H6426" s="77" t="s">
        <v>267</v>
      </c>
      <c r="I6426" s="86">
        <v>41925</v>
      </c>
      <c r="J6426" s="78">
        <v>869</v>
      </c>
    </row>
    <row r="6427" spans="6:10" x14ac:dyDescent="0.25">
      <c r="F6427" s="76" t="s">
        <v>150</v>
      </c>
      <c r="G6427" s="77" t="s">
        <v>295</v>
      </c>
      <c r="H6427" s="77" t="s">
        <v>267</v>
      </c>
      <c r="I6427" s="86">
        <v>41828</v>
      </c>
      <c r="J6427" s="78">
        <v>1092</v>
      </c>
    </row>
    <row r="6428" spans="6:10" x14ac:dyDescent="0.25">
      <c r="F6428" s="76" t="s">
        <v>150</v>
      </c>
      <c r="G6428" s="77" t="s">
        <v>295</v>
      </c>
      <c r="H6428" s="77" t="s">
        <v>267</v>
      </c>
      <c r="I6428" s="86">
        <v>41829</v>
      </c>
      <c r="J6428" s="78">
        <v>1193</v>
      </c>
    </row>
    <row r="6429" spans="6:10" x14ac:dyDescent="0.25">
      <c r="F6429" s="76" t="s">
        <v>150</v>
      </c>
      <c r="G6429" s="77" t="s">
        <v>295</v>
      </c>
      <c r="H6429" s="77" t="s">
        <v>267</v>
      </c>
      <c r="I6429" s="86">
        <v>41830</v>
      </c>
      <c r="J6429" s="78">
        <v>527</v>
      </c>
    </row>
    <row r="6430" spans="6:10" x14ac:dyDescent="0.25">
      <c r="F6430" s="76" t="s">
        <v>150</v>
      </c>
      <c r="G6430" s="77" t="s">
        <v>295</v>
      </c>
      <c r="H6430" s="77" t="s">
        <v>267</v>
      </c>
      <c r="I6430" s="86">
        <v>41831</v>
      </c>
      <c r="J6430" s="78">
        <v>913</v>
      </c>
    </row>
    <row r="6431" spans="6:10" x14ac:dyDescent="0.25">
      <c r="F6431" s="76" t="s">
        <v>150</v>
      </c>
      <c r="G6431" s="77" t="s">
        <v>295</v>
      </c>
      <c r="H6431" s="77" t="s">
        <v>267</v>
      </c>
      <c r="I6431" s="86">
        <v>41833</v>
      </c>
      <c r="J6431" s="78">
        <v>1064</v>
      </c>
    </row>
    <row r="6432" spans="6:10" x14ac:dyDescent="0.25">
      <c r="F6432" s="76" t="s">
        <v>150</v>
      </c>
      <c r="G6432" s="77" t="s">
        <v>295</v>
      </c>
      <c r="H6432" s="77" t="s">
        <v>267</v>
      </c>
      <c r="I6432" s="86">
        <v>41834</v>
      </c>
      <c r="J6432" s="78">
        <v>951</v>
      </c>
    </row>
    <row r="6433" spans="6:10" x14ac:dyDescent="0.25">
      <c r="F6433" s="76" t="s">
        <v>150</v>
      </c>
      <c r="G6433" s="77" t="s">
        <v>295</v>
      </c>
      <c r="H6433" s="77" t="s">
        <v>267</v>
      </c>
      <c r="I6433" s="86">
        <v>41836</v>
      </c>
      <c r="J6433" s="78">
        <v>568</v>
      </c>
    </row>
    <row r="6434" spans="6:10" x14ac:dyDescent="0.25">
      <c r="F6434" s="76" t="s">
        <v>150</v>
      </c>
      <c r="G6434" s="77" t="s">
        <v>295</v>
      </c>
      <c r="H6434" s="77" t="s">
        <v>267</v>
      </c>
      <c r="I6434" s="86">
        <v>41836</v>
      </c>
      <c r="J6434" s="78">
        <v>793</v>
      </c>
    </row>
    <row r="6435" spans="6:10" x14ac:dyDescent="0.25">
      <c r="F6435" s="76" t="s">
        <v>150</v>
      </c>
      <c r="G6435" s="77" t="s">
        <v>295</v>
      </c>
      <c r="H6435" s="77" t="s">
        <v>267</v>
      </c>
      <c r="I6435" s="86">
        <v>41839</v>
      </c>
      <c r="J6435" s="78">
        <v>846</v>
      </c>
    </row>
    <row r="6436" spans="6:10" x14ac:dyDescent="0.25">
      <c r="F6436" s="76" t="s">
        <v>150</v>
      </c>
      <c r="G6436" s="77" t="s">
        <v>295</v>
      </c>
      <c r="H6436" s="77" t="s">
        <v>267</v>
      </c>
      <c r="I6436" s="86">
        <v>41839</v>
      </c>
      <c r="J6436" s="78">
        <v>793</v>
      </c>
    </row>
    <row r="6437" spans="6:10" x14ac:dyDescent="0.25">
      <c r="F6437" s="76" t="s">
        <v>150</v>
      </c>
      <c r="G6437" s="77" t="s">
        <v>295</v>
      </c>
      <c r="H6437" s="77" t="s">
        <v>267</v>
      </c>
      <c r="I6437" s="86">
        <v>41840</v>
      </c>
      <c r="J6437" s="78">
        <v>1071</v>
      </c>
    </row>
    <row r="6438" spans="6:10" x14ac:dyDescent="0.25">
      <c r="F6438" s="76" t="s">
        <v>150</v>
      </c>
      <c r="G6438" s="77" t="s">
        <v>295</v>
      </c>
      <c r="H6438" s="77" t="s">
        <v>267</v>
      </c>
      <c r="I6438" s="86">
        <v>41842</v>
      </c>
      <c r="J6438" s="78">
        <v>1001</v>
      </c>
    </row>
    <row r="6439" spans="6:10" x14ac:dyDescent="0.25">
      <c r="F6439" s="76" t="s">
        <v>150</v>
      </c>
      <c r="G6439" s="77" t="s">
        <v>295</v>
      </c>
      <c r="H6439" s="77" t="s">
        <v>267</v>
      </c>
      <c r="I6439" s="86">
        <v>41843</v>
      </c>
      <c r="J6439" s="78">
        <v>611</v>
      </c>
    </row>
    <row r="6440" spans="6:10" x14ac:dyDescent="0.25">
      <c r="F6440" s="76" t="s">
        <v>150</v>
      </c>
      <c r="G6440" s="77" t="s">
        <v>295</v>
      </c>
      <c r="H6440" s="77" t="s">
        <v>267</v>
      </c>
      <c r="I6440" s="86">
        <v>41844</v>
      </c>
      <c r="J6440" s="78">
        <v>734</v>
      </c>
    </row>
    <row r="6441" spans="6:10" x14ac:dyDescent="0.25">
      <c r="F6441" s="76" t="s">
        <v>150</v>
      </c>
      <c r="G6441" s="77" t="s">
        <v>295</v>
      </c>
      <c r="H6441" s="77" t="s">
        <v>267</v>
      </c>
      <c r="I6441" s="86">
        <v>41845</v>
      </c>
      <c r="J6441" s="78">
        <v>676</v>
      </c>
    </row>
    <row r="6442" spans="6:10" x14ac:dyDescent="0.25">
      <c r="F6442" s="76" t="s">
        <v>150</v>
      </c>
      <c r="G6442" s="77" t="s">
        <v>295</v>
      </c>
      <c r="H6442" s="77" t="s">
        <v>267</v>
      </c>
      <c r="I6442" s="86">
        <v>41851</v>
      </c>
      <c r="J6442" s="78">
        <v>913</v>
      </c>
    </row>
    <row r="6443" spans="6:10" x14ac:dyDescent="0.25">
      <c r="F6443" s="76" t="s">
        <v>150</v>
      </c>
      <c r="G6443" s="77" t="s">
        <v>295</v>
      </c>
      <c r="H6443" s="77" t="s">
        <v>267</v>
      </c>
      <c r="I6443" s="86">
        <v>41852</v>
      </c>
      <c r="J6443" s="78">
        <v>1222</v>
      </c>
    </row>
    <row r="6444" spans="6:10" x14ac:dyDescent="0.25">
      <c r="F6444" s="76" t="s">
        <v>150</v>
      </c>
      <c r="G6444" s="77" t="s">
        <v>295</v>
      </c>
      <c r="H6444" s="77" t="s">
        <v>267</v>
      </c>
      <c r="I6444" s="86">
        <v>41856</v>
      </c>
      <c r="J6444" s="78">
        <v>816</v>
      </c>
    </row>
    <row r="6445" spans="6:10" x14ac:dyDescent="0.25">
      <c r="F6445" s="76" t="s">
        <v>150</v>
      </c>
      <c r="G6445" s="77" t="s">
        <v>295</v>
      </c>
      <c r="H6445" s="77" t="s">
        <v>267</v>
      </c>
      <c r="I6445" s="86">
        <v>41858</v>
      </c>
      <c r="J6445" s="78">
        <v>751</v>
      </c>
    </row>
    <row r="6446" spans="6:10" x14ac:dyDescent="0.25">
      <c r="F6446" s="76" t="s">
        <v>150</v>
      </c>
      <c r="G6446" s="77" t="s">
        <v>295</v>
      </c>
      <c r="H6446" s="77" t="s">
        <v>267</v>
      </c>
      <c r="I6446" s="86">
        <v>41862</v>
      </c>
      <c r="J6446" s="78">
        <v>738</v>
      </c>
    </row>
    <row r="6447" spans="6:10" x14ac:dyDescent="0.25">
      <c r="F6447" s="76" t="s">
        <v>150</v>
      </c>
      <c r="G6447" s="77" t="s">
        <v>295</v>
      </c>
      <c r="H6447" s="77" t="s">
        <v>267</v>
      </c>
      <c r="I6447" s="86">
        <v>41865</v>
      </c>
      <c r="J6447" s="78">
        <v>1257</v>
      </c>
    </row>
    <row r="6448" spans="6:10" x14ac:dyDescent="0.25">
      <c r="F6448" s="76" t="s">
        <v>150</v>
      </c>
      <c r="G6448" s="77" t="s">
        <v>295</v>
      </c>
      <c r="H6448" s="77" t="s">
        <v>267</v>
      </c>
      <c r="I6448" s="86">
        <v>41867</v>
      </c>
      <c r="J6448" s="78">
        <v>803</v>
      </c>
    </row>
    <row r="6449" spans="6:10" x14ac:dyDescent="0.25">
      <c r="F6449" s="76" t="s">
        <v>150</v>
      </c>
      <c r="G6449" s="77" t="s">
        <v>295</v>
      </c>
      <c r="H6449" s="77" t="s">
        <v>267</v>
      </c>
      <c r="I6449" s="86">
        <v>41868</v>
      </c>
      <c r="J6449" s="78">
        <v>946</v>
      </c>
    </row>
    <row r="6450" spans="6:10" x14ac:dyDescent="0.25">
      <c r="F6450" s="76" t="s">
        <v>150</v>
      </c>
      <c r="G6450" s="77" t="s">
        <v>295</v>
      </c>
      <c r="H6450" s="77" t="s">
        <v>267</v>
      </c>
      <c r="I6450" s="86">
        <v>41885</v>
      </c>
      <c r="J6450" s="78">
        <v>126</v>
      </c>
    </row>
    <row r="6451" spans="6:10" x14ac:dyDescent="0.25">
      <c r="F6451" s="76" t="s">
        <v>150</v>
      </c>
      <c r="G6451" s="77" t="s">
        <v>295</v>
      </c>
      <c r="H6451" s="77" t="s">
        <v>267</v>
      </c>
      <c r="I6451" s="86">
        <v>41886</v>
      </c>
      <c r="J6451" s="78">
        <v>1080</v>
      </c>
    </row>
    <row r="6452" spans="6:10" x14ac:dyDescent="0.25">
      <c r="F6452" s="76" t="s">
        <v>150</v>
      </c>
      <c r="G6452" s="77" t="s">
        <v>295</v>
      </c>
      <c r="H6452" s="77" t="s">
        <v>267</v>
      </c>
      <c r="I6452" s="86">
        <v>41890</v>
      </c>
      <c r="J6452" s="78">
        <v>1356</v>
      </c>
    </row>
    <row r="6453" spans="6:10" x14ac:dyDescent="0.25">
      <c r="F6453" s="76" t="s">
        <v>150</v>
      </c>
      <c r="G6453" s="77" t="s">
        <v>295</v>
      </c>
      <c r="H6453" s="77" t="s">
        <v>267</v>
      </c>
      <c r="I6453" s="86">
        <v>41891</v>
      </c>
      <c r="J6453" s="78">
        <v>635</v>
      </c>
    </row>
    <row r="6454" spans="6:10" x14ac:dyDescent="0.25">
      <c r="F6454" s="76" t="s">
        <v>150</v>
      </c>
      <c r="G6454" s="77" t="s">
        <v>295</v>
      </c>
      <c r="H6454" s="77" t="s">
        <v>267</v>
      </c>
      <c r="I6454" s="86">
        <v>41894</v>
      </c>
      <c r="J6454" s="78">
        <v>985</v>
      </c>
    </row>
    <row r="6455" spans="6:10" x14ac:dyDescent="0.25">
      <c r="F6455" s="76" t="s">
        <v>150</v>
      </c>
      <c r="G6455" s="77" t="s">
        <v>295</v>
      </c>
      <c r="H6455" s="77" t="s">
        <v>267</v>
      </c>
      <c r="I6455" s="86">
        <v>41897</v>
      </c>
      <c r="J6455" s="78">
        <v>1231</v>
      </c>
    </row>
    <row r="6456" spans="6:10" x14ac:dyDescent="0.25">
      <c r="F6456" s="76" t="s">
        <v>150</v>
      </c>
      <c r="G6456" s="77" t="s">
        <v>295</v>
      </c>
      <c r="H6456" s="77" t="s">
        <v>267</v>
      </c>
      <c r="I6456" s="86">
        <v>41899</v>
      </c>
      <c r="J6456" s="78">
        <v>1238</v>
      </c>
    </row>
    <row r="6457" spans="6:10" x14ac:dyDescent="0.25">
      <c r="F6457" s="76" t="s">
        <v>150</v>
      </c>
      <c r="G6457" s="77" t="s">
        <v>295</v>
      </c>
      <c r="H6457" s="77" t="s">
        <v>267</v>
      </c>
      <c r="I6457" s="86">
        <v>41900</v>
      </c>
      <c r="J6457" s="78">
        <v>610</v>
      </c>
    </row>
    <row r="6458" spans="6:10" x14ac:dyDescent="0.25">
      <c r="F6458" s="76" t="s">
        <v>150</v>
      </c>
      <c r="G6458" s="77" t="s">
        <v>295</v>
      </c>
      <c r="H6458" s="77" t="s">
        <v>267</v>
      </c>
      <c r="I6458" s="86">
        <v>41901</v>
      </c>
      <c r="J6458" s="78">
        <v>589</v>
      </c>
    </row>
    <row r="6459" spans="6:10" x14ac:dyDescent="0.25">
      <c r="F6459" s="76" t="s">
        <v>150</v>
      </c>
      <c r="G6459" s="77" t="s">
        <v>295</v>
      </c>
      <c r="H6459" s="77" t="s">
        <v>267</v>
      </c>
      <c r="I6459" s="86">
        <v>41901</v>
      </c>
      <c r="J6459" s="78">
        <v>683</v>
      </c>
    </row>
    <row r="6460" spans="6:10" x14ac:dyDescent="0.25">
      <c r="F6460" s="76" t="s">
        <v>150</v>
      </c>
      <c r="G6460" s="77" t="s">
        <v>295</v>
      </c>
      <c r="H6460" s="77" t="s">
        <v>267</v>
      </c>
      <c r="I6460" s="86">
        <v>41902</v>
      </c>
      <c r="J6460" s="78">
        <v>779</v>
      </c>
    </row>
    <row r="6461" spans="6:10" x14ac:dyDescent="0.25">
      <c r="F6461" s="76" t="s">
        <v>150</v>
      </c>
      <c r="G6461" s="77" t="s">
        <v>295</v>
      </c>
      <c r="H6461" s="77" t="s">
        <v>267</v>
      </c>
      <c r="I6461" s="86">
        <v>41902</v>
      </c>
      <c r="J6461" s="78">
        <v>655</v>
      </c>
    </row>
    <row r="6462" spans="6:10" x14ac:dyDescent="0.25">
      <c r="F6462" s="76" t="s">
        <v>150</v>
      </c>
      <c r="G6462" s="77" t="s">
        <v>295</v>
      </c>
      <c r="H6462" s="77" t="s">
        <v>267</v>
      </c>
      <c r="I6462" s="86">
        <v>41903</v>
      </c>
      <c r="J6462" s="78">
        <v>902</v>
      </c>
    </row>
    <row r="6463" spans="6:10" x14ac:dyDescent="0.25">
      <c r="F6463" s="76" t="s">
        <v>150</v>
      </c>
      <c r="G6463" s="77" t="s">
        <v>295</v>
      </c>
      <c r="H6463" s="77" t="s">
        <v>267</v>
      </c>
      <c r="I6463" s="86">
        <v>41904</v>
      </c>
      <c r="J6463" s="78">
        <v>1397</v>
      </c>
    </row>
    <row r="6464" spans="6:10" x14ac:dyDescent="0.25">
      <c r="F6464" s="76" t="s">
        <v>150</v>
      </c>
      <c r="G6464" s="77" t="s">
        <v>295</v>
      </c>
      <c r="H6464" s="77" t="s">
        <v>267</v>
      </c>
      <c r="I6464" s="86">
        <v>41905</v>
      </c>
      <c r="J6464" s="78">
        <v>1154</v>
      </c>
    </row>
    <row r="6465" spans="6:10" x14ac:dyDescent="0.25">
      <c r="F6465" s="76" t="s">
        <v>150</v>
      </c>
      <c r="G6465" s="77" t="s">
        <v>295</v>
      </c>
      <c r="H6465" s="77" t="s">
        <v>267</v>
      </c>
      <c r="I6465" s="86">
        <v>41907</v>
      </c>
      <c r="J6465" s="78">
        <v>707</v>
      </c>
    </row>
    <row r="6466" spans="6:10" x14ac:dyDescent="0.25">
      <c r="F6466" s="76" t="s">
        <v>150</v>
      </c>
      <c r="G6466" s="77" t="s">
        <v>295</v>
      </c>
      <c r="H6466" s="77" t="s">
        <v>267</v>
      </c>
      <c r="I6466" s="86">
        <v>41907</v>
      </c>
      <c r="J6466" s="78">
        <v>897</v>
      </c>
    </row>
    <row r="6467" spans="6:10" x14ac:dyDescent="0.25">
      <c r="F6467" s="76" t="s">
        <v>150</v>
      </c>
      <c r="G6467" s="77" t="s">
        <v>295</v>
      </c>
      <c r="H6467" s="77" t="s">
        <v>267</v>
      </c>
      <c r="I6467" s="86">
        <v>41994</v>
      </c>
      <c r="J6467" s="78">
        <v>1285</v>
      </c>
    </row>
    <row r="6468" spans="6:10" x14ac:dyDescent="0.25">
      <c r="F6468" s="76" t="s">
        <v>150</v>
      </c>
      <c r="G6468" s="77" t="s">
        <v>296</v>
      </c>
      <c r="H6468" s="77" t="s">
        <v>267</v>
      </c>
      <c r="I6468" s="86">
        <v>41635</v>
      </c>
      <c r="J6468" s="78">
        <v>571</v>
      </c>
    </row>
    <row r="6469" spans="6:10" x14ac:dyDescent="0.25">
      <c r="F6469" s="76" t="s">
        <v>150</v>
      </c>
      <c r="G6469" s="77" t="s">
        <v>296</v>
      </c>
      <c r="H6469" s="77" t="s">
        <v>267</v>
      </c>
      <c r="I6469" s="86">
        <v>41639</v>
      </c>
      <c r="J6469" s="78">
        <v>1010</v>
      </c>
    </row>
    <row r="6470" spans="6:10" x14ac:dyDescent="0.25">
      <c r="F6470" s="76" t="s">
        <v>150</v>
      </c>
      <c r="G6470" s="77" t="s">
        <v>296</v>
      </c>
      <c r="H6470" s="77" t="s">
        <v>267</v>
      </c>
      <c r="I6470" s="86">
        <v>41641</v>
      </c>
      <c r="J6470" s="78">
        <v>1170</v>
      </c>
    </row>
    <row r="6471" spans="6:10" x14ac:dyDescent="0.25">
      <c r="F6471" s="76" t="s">
        <v>150</v>
      </c>
      <c r="G6471" s="77" t="s">
        <v>296</v>
      </c>
      <c r="H6471" s="77" t="s">
        <v>267</v>
      </c>
      <c r="I6471" s="86">
        <v>41645</v>
      </c>
      <c r="J6471" s="78">
        <v>916</v>
      </c>
    </row>
    <row r="6472" spans="6:10" x14ac:dyDescent="0.25">
      <c r="F6472" s="76" t="s">
        <v>150</v>
      </c>
      <c r="G6472" s="77" t="s">
        <v>296</v>
      </c>
      <c r="H6472" s="77" t="s">
        <v>267</v>
      </c>
      <c r="I6472" s="86">
        <v>41649</v>
      </c>
      <c r="J6472" s="78">
        <v>620</v>
      </c>
    </row>
    <row r="6473" spans="6:10" x14ac:dyDescent="0.25">
      <c r="F6473" s="76" t="s">
        <v>150</v>
      </c>
      <c r="G6473" s="77" t="s">
        <v>296</v>
      </c>
      <c r="H6473" s="77" t="s">
        <v>267</v>
      </c>
      <c r="I6473" s="86">
        <v>41652</v>
      </c>
      <c r="J6473" s="78">
        <v>601</v>
      </c>
    </row>
    <row r="6474" spans="6:10" x14ac:dyDescent="0.25">
      <c r="F6474" s="76" t="s">
        <v>150</v>
      </c>
      <c r="G6474" s="77" t="s">
        <v>296</v>
      </c>
      <c r="H6474" s="77" t="s">
        <v>267</v>
      </c>
      <c r="I6474" s="86">
        <v>41653</v>
      </c>
      <c r="J6474" s="78">
        <v>888</v>
      </c>
    </row>
    <row r="6475" spans="6:10" x14ac:dyDescent="0.25">
      <c r="F6475" s="76" t="s">
        <v>150</v>
      </c>
      <c r="G6475" s="77" t="s">
        <v>296</v>
      </c>
      <c r="H6475" s="77" t="s">
        <v>267</v>
      </c>
      <c r="I6475" s="86">
        <v>41659</v>
      </c>
      <c r="J6475" s="78">
        <v>710</v>
      </c>
    </row>
    <row r="6476" spans="6:10" x14ac:dyDescent="0.25">
      <c r="F6476" s="76" t="s">
        <v>150</v>
      </c>
      <c r="G6476" s="77" t="s">
        <v>296</v>
      </c>
      <c r="H6476" s="77" t="s">
        <v>267</v>
      </c>
      <c r="I6476" s="86">
        <v>41659</v>
      </c>
      <c r="J6476" s="78">
        <v>624</v>
      </c>
    </row>
    <row r="6477" spans="6:10" x14ac:dyDescent="0.25">
      <c r="F6477" s="76" t="s">
        <v>150</v>
      </c>
      <c r="G6477" s="77" t="s">
        <v>296</v>
      </c>
      <c r="H6477" s="77" t="s">
        <v>267</v>
      </c>
      <c r="I6477" s="86">
        <v>41661</v>
      </c>
      <c r="J6477" s="78">
        <v>988</v>
      </c>
    </row>
    <row r="6478" spans="6:10" x14ac:dyDescent="0.25">
      <c r="F6478" s="76" t="s">
        <v>150</v>
      </c>
      <c r="G6478" s="77" t="s">
        <v>296</v>
      </c>
      <c r="H6478" s="77" t="s">
        <v>267</v>
      </c>
      <c r="I6478" s="86">
        <v>41661</v>
      </c>
      <c r="J6478" s="78">
        <v>1078</v>
      </c>
    </row>
    <row r="6479" spans="6:10" x14ac:dyDescent="0.25">
      <c r="F6479" s="76" t="s">
        <v>150</v>
      </c>
      <c r="G6479" s="77" t="s">
        <v>296</v>
      </c>
      <c r="H6479" s="77" t="s">
        <v>267</v>
      </c>
      <c r="I6479" s="86">
        <v>41692</v>
      </c>
      <c r="J6479" s="78">
        <v>444</v>
      </c>
    </row>
    <row r="6480" spans="6:10" x14ac:dyDescent="0.25">
      <c r="F6480" s="76" t="s">
        <v>150</v>
      </c>
      <c r="G6480" s="77" t="s">
        <v>296</v>
      </c>
      <c r="H6480" s="77" t="s">
        <v>267</v>
      </c>
      <c r="I6480" s="86">
        <v>41694</v>
      </c>
      <c r="J6480" s="78">
        <v>760</v>
      </c>
    </row>
    <row r="6481" spans="6:10" x14ac:dyDescent="0.25">
      <c r="F6481" s="76" t="s">
        <v>150</v>
      </c>
      <c r="G6481" s="77" t="s">
        <v>296</v>
      </c>
      <c r="H6481" s="77" t="s">
        <v>267</v>
      </c>
      <c r="I6481" s="86">
        <v>41695</v>
      </c>
      <c r="J6481" s="78">
        <v>810</v>
      </c>
    </row>
    <row r="6482" spans="6:10" x14ac:dyDescent="0.25">
      <c r="F6482" s="76" t="s">
        <v>150</v>
      </c>
      <c r="G6482" s="77" t="s">
        <v>296</v>
      </c>
      <c r="H6482" s="77" t="s">
        <v>267</v>
      </c>
      <c r="I6482" s="86">
        <v>41697</v>
      </c>
      <c r="J6482" s="78">
        <v>803</v>
      </c>
    </row>
    <row r="6483" spans="6:10" x14ac:dyDescent="0.25">
      <c r="F6483" s="76" t="s">
        <v>150</v>
      </c>
      <c r="G6483" s="77" t="s">
        <v>296</v>
      </c>
      <c r="H6483" s="77" t="s">
        <v>267</v>
      </c>
      <c r="I6483" s="86">
        <v>41699</v>
      </c>
      <c r="J6483" s="78">
        <v>1183</v>
      </c>
    </row>
    <row r="6484" spans="6:10" x14ac:dyDescent="0.25">
      <c r="F6484" s="76" t="s">
        <v>150</v>
      </c>
      <c r="G6484" s="77" t="s">
        <v>296</v>
      </c>
      <c r="H6484" s="77" t="s">
        <v>267</v>
      </c>
      <c r="I6484" s="86">
        <v>41700</v>
      </c>
      <c r="J6484" s="78">
        <v>678</v>
      </c>
    </row>
    <row r="6485" spans="6:10" x14ac:dyDescent="0.25">
      <c r="F6485" s="76" t="s">
        <v>150</v>
      </c>
      <c r="G6485" s="77" t="s">
        <v>296</v>
      </c>
      <c r="H6485" s="77" t="s">
        <v>267</v>
      </c>
      <c r="I6485" s="86">
        <v>41702</v>
      </c>
      <c r="J6485" s="78">
        <v>1270</v>
      </c>
    </row>
    <row r="6486" spans="6:10" x14ac:dyDescent="0.25">
      <c r="F6486" s="76" t="s">
        <v>150</v>
      </c>
      <c r="G6486" s="77" t="s">
        <v>296</v>
      </c>
      <c r="H6486" s="77" t="s">
        <v>267</v>
      </c>
      <c r="I6486" s="86">
        <v>41705</v>
      </c>
      <c r="J6486" s="78">
        <v>857</v>
      </c>
    </row>
    <row r="6487" spans="6:10" x14ac:dyDescent="0.25">
      <c r="F6487" s="76" t="s">
        <v>150</v>
      </c>
      <c r="G6487" s="77" t="s">
        <v>296</v>
      </c>
      <c r="H6487" s="77" t="s">
        <v>267</v>
      </c>
      <c r="I6487" s="86">
        <v>41708</v>
      </c>
      <c r="J6487" s="78">
        <v>538</v>
      </c>
    </row>
    <row r="6488" spans="6:10" x14ac:dyDescent="0.25">
      <c r="F6488" s="76" t="s">
        <v>150</v>
      </c>
      <c r="G6488" s="77" t="s">
        <v>296</v>
      </c>
      <c r="H6488" s="77" t="s">
        <v>267</v>
      </c>
      <c r="I6488" s="86">
        <v>41709</v>
      </c>
      <c r="J6488" s="78">
        <v>938</v>
      </c>
    </row>
    <row r="6489" spans="6:10" x14ac:dyDescent="0.25">
      <c r="F6489" s="76" t="s">
        <v>150</v>
      </c>
      <c r="G6489" s="77" t="s">
        <v>296</v>
      </c>
      <c r="H6489" s="77" t="s">
        <v>267</v>
      </c>
      <c r="I6489" s="86">
        <v>41710</v>
      </c>
      <c r="J6489" s="78">
        <v>426</v>
      </c>
    </row>
    <row r="6490" spans="6:10" x14ac:dyDescent="0.25">
      <c r="F6490" s="76" t="s">
        <v>150</v>
      </c>
      <c r="G6490" s="77" t="s">
        <v>296</v>
      </c>
      <c r="H6490" s="77" t="s">
        <v>267</v>
      </c>
      <c r="I6490" s="86">
        <v>41711</v>
      </c>
      <c r="J6490" s="78">
        <v>512</v>
      </c>
    </row>
    <row r="6491" spans="6:10" x14ac:dyDescent="0.25">
      <c r="F6491" s="76" t="s">
        <v>150</v>
      </c>
      <c r="G6491" s="77" t="s">
        <v>296</v>
      </c>
      <c r="H6491" s="77" t="s">
        <v>267</v>
      </c>
      <c r="I6491" s="86">
        <v>41761</v>
      </c>
      <c r="J6491" s="78">
        <v>525</v>
      </c>
    </row>
    <row r="6492" spans="6:10" x14ac:dyDescent="0.25">
      <c r="F6492" s="76" t="s">
        <v>150</v>
      </c>
      <c r="G6492" s="77" t="s">
        <v>296</v>
      </c>
      <c r="H6492" s="77" t="s">
        <v>267</v>
      </c>
      <c r="I6492" s="86">
        <v>41799</v>
      </c>
      <c r="J6492" s="78">
        <v>1708</v>
      </c>
    </row>
    <row r="6493" spans="6:10" x14ac:dyDescent="0.25">
      <c r="F6493" s="76" t="s">
        <v>150</v>
      </c>
      <c r="G6493" s="77" t="s">
        <v>296</v>
      </c>
      <c r="H6493" s="77" t="s">
        <v>267</v>
      </c>
      <c r="I6493" s="86">
        <v>41813</v>
      </c>
      <c r="J6493" s="78">
        <v>1171</v>
      </c>
    </row>
    <row r="6494" spans="6:10" x14ac:dyDescent="0.25">
      <c r="F6494" s="76" t="s">
        <v>150</v>
      </c>
      <c r="G6494" s="77" t="s">
        <v>296</v>
      </c>
      <c r="H6494" s="77" t="s">
        <v>267</v>
      </c>
      <c r="I6494" s="86">
        <v>41817</v>
      </c>
      <c r="J6494" s="78">
        <v>878</v>
      </c>
    </row>
    <row r="6495" spans="6:10" x14ac:dyDescent="0.25">
      <c r="F6495" s="76" t="s">
        <v>150</v>
      </c>
      <c r="G6495" s="77" t="s">
        <v>296</v>
      </c>
      <c r="H6495" s="77" t="s">
        <v>267</v>
      </c>
      <c r="I6495" s="86">
        <v>41818</v>
      </c>
      <c r="J6495" s="78">
        <v>1143</v>
      </c>
    </row>
    <row r="6496" spans="6:10" x14ac:dyDescent="0.25">
      <c r="F6496" s="76" t="s">
        <v>150</v>
      </c>
      <c r="G6496" s="77" t="s">
        <v>296</v>
      </c>
      <c r="H6496" s="77" t="s">
        <v>267</v>
      </c>
      <c r="I6496" s="86">
        <v>41819</v>
      </c>
      <c r="J6496" s="78">
        <v>713</v>
      </c>
    </row>
    <row r="6497" spans="6:10" x14ac:dyDescent="0.25">
      <c r="F6497" s="76" t="s">
        <v>150</v>
      </c>
      <c r="G6497" s="77" t="s">
        <v>296</v>
      </c>
      <c r="H6497" s="77" t="s">
        <v>267</v>
      </c>
      <c r="I6497" s="86">
        <v>41819</v>
      </c>
      <c r="J6497" s="78">
        <v>748</v>
      </c>
    </row>
    <row r="6498" spans="6:10" x14ac:dyDescent="0.25">
      <c r="F6498" s="76" t="s">
        <v>150</v>
      </c>
      <c r="G6498" s="77" t="s">
        <v>296</v>
      </c>
      <c r="H6498" s="77" t="s">
        <v>267</v>
      </c>
      <c r="I6498" s="86">
        <v>41820</v>
      </c>
      <c r="J6498" s="78">
        <v>814</v>
      </c>
    </row>
    <row r="6499" spans="6:10" x14ac:dyDescent="0.25">
      <c r="F6499" s="76" t="s">
        <v>150</v>
      </c>
      <c r="G6499" s="77" t="s">
        <v>296</v>
      </c>
      <c r="H6499" s="77" t="s">
        <v>267</v>
      </c>
      <c r="I6499" s="86">
        <v>41821</v>
      </c>
      <c r="J6499" s="78">
        <v>1036</v>
      </c>
    </row>
    <row r="6500" spans="6:10" x14ac:dyDescent="0.25">
      <c r="F6500" s="76" t="s">
        <v>150</v>
      </c>
      <c r="G6500" s="77" t="s">
        <v>296</v>
      </c>
      <c r="H6500" s="77" t="s">
        <v>267</v>
      </c>
      <c r="I6500" s="86">
        <v>41829</v>
      </c>
      <c r="J6500" s="78">
        <v>1404</v>
      </c>
    </row>
    <row r="6501" spans="6:10" x14ac:dyDescent="0.25">
      <c r="F6501" s="76" t="s">
        <v>150</v>
      </c>
      <c r="G6501" s="77" t="s">
        <v>296</v>
      </c>
      <c r="H6501" s="77" t="s">
        <v>267</v>
      </c>
      <c r="I6501" s="86">
        <v>41830</v>
      </c>
      <c r="J6501" s="78">
        <v>669</v>
      </c>
    </row>
    <row r="6502" spans="6:10" x14ac:dyDescent="0.25">
      <c r="F6502" s="76" t="s">
        <v>150</v>
      </c>
      <c r="G6502" s="77" t="s">
        <v>296</v>
      </c>
      <c r="H6502" s="77" t="s">
        <v>267</v>
      </c>
      <c r="I6502" s="86">
        <v>41832</v>
      </c>
      <c r="J6502" s="78">
        <v>1310</v>
      </c>
    </row>
    <row r="6503" spans="6:10" x14ac:dyDescent="0.25">
      <c r="F6503" s="76" t="s">
        <v>150</v>
      </c>
      <c r="G6503" s="77" t="s">
        <v>296</v>
      </c>
      <c r="H6503" s="77" t="s">
        <v>267</v>
      </c>
      <c r="I6503" s="86">
        <v>41833</v>
      </c>
      <c r="J6503" s="78">
        <v>928</v>
      </c>
    </row>
    <row r="6504" spans="6:10" x14ac:dyDescent="0.25">
      <c r="F6504" s="76" t="s">
        <v>150</v>
      </c>
      <c r="G6504" s="77" t="s">
        <v>296</v>
      </c>
      <c r="H6504" s="77" t="s">
        <v>267</v>
      </c>
      <c r="I6504" s="86">
        <v>41833</v>
      </c>
      <c r="J6504" s="78">
        <v>607</v>
      </c>
    </row>
    <row r="6505" spans="6:10" x14ac:dyDescent="0.25">
      <c r="F6505" s="76" t="s">
        <v>150</v>
      </c>
      <c r="G6505" s="77" t="s">
        <v>296</v>
      </c>
      <c r="H6505" s="77" t="s">
        <v>267</v>
      </c>
      <c r="I6505" s="86">
        <v>41835</v>
      </c>
      <c r="J6505" s="78">
        <v>1335</v>
      </c>
    </row>
    <row r="6506" spans="6:10" x14ac:dyDescent="0.25">
      <c r="F6506" s="76" t="s">
        <v>150</v>
      </c>
      <c r="G6506" s="77" t="s">
        <v>296</v>
      </c>
      <c r="H6506" s="77" t="s">
        <v>267</v>
      </c>
      <c r="I6506" s="86">
        <v>41837</v>
      </c>
      <c r="J6506" s="78">
        <v>741</v>
      </c>
    </row>
    <row r="6507" spans="6:10" x14ac:dyDescent="0.25">
      <c r="F6507" s="76" t="s">
        <v>150</v>
      </c>
      <c r="G6507" s="77" t="s">
        <v>296</v>
      </c>
      <c r="H6507" s="77" t="s">
        <v>267</v>
      </c>
      <c r="I6507" s="86">
        <v>41839</v>
      </c>
      <c r="J6507" s="78">
        <v>1045</v>
      </c>
    </row>
    <row r="6508" spans="6:10" x14ac:dyDescent="0.25">
      <c r="F6508" s="76" t="s">
        <v>150</v>
      </c>
      <c r="G6508" s="77" t="s">
        <v>296</v>
      </c>
      <c r="H6508" s="77" t="s">
        <v>267</v>
      </c>
      <c r="I6508" s="86">
        <v>41841</v>
      </c>
      <c r="J6508" s="78">
        <v>1261</v>
      </c>
    </row>
    <row r="6509" spans="6:10" x14ac:dyDescent="0.25">
      <c r="F6509" s="76" t="s">
        <v>150</v>
      </c>
      <c r="G6509" s="77" t="s">
        <v>296</v>
      </c>
      <c r="H6509" s="77" t="s">
        <v>267</v>
      </c>
      <c r="I6509" s="86">
        <v>41843</v>
      </c>
      <c r="J6509" s="78">
        <v>1028</v>
      </c>
    </row>
    <row r="6510" spans="6:10" x14ac:dyDescent="0.25">
      <c r="F6510" s="76" t="s">
        <v>150</v>
      </c>
      <c r="G6510" s="77" t="s">
        <v>296</v>
      </c>
      <c r="H6510" s="77" t="s">
        <v>267</v>
      </c>
      <c r="I6510" s="86">
        <v>41864</v>
      </c>
      <c r="J6510" s="78">
        <v>727</v>
      </c>
    </row>
    <row r="6511" spans="6:10" x14ac:dyDescent="0.25">
      <c r="F6511" s="76" t="s">
        <v>150</v>
      </c>
      <c r="G6511" s="77" t="s">
        <v>296</v>
      </c>
      <c r="H6511" s="77" t="s">
        <v>267</v>
      </c>
      <c r="I6511" s="86">
        <v>41872</v>
      </c>
      <c r="J6511" s="78">
        <v>1337</v>
      </c>
    </row>
    <row r="6512" spans="6:10" x14ac:dyDescent="0.25">
      <c r="F6512" s="76" t="s">
        <v>150</v>
      </c>
      <c r="G6512" s="77" t="s">
        <v>296</v>
      </c>
      <c r="H6512" s="77" t="s">
        <v>267</v>
      </c>
      <c r="I6512" s="86">
        <v>41872</v>
      </c>
      <c r="J6512" s="78">
        <v>1422</v>
      </c>
    </row>
    <row r="6513" spans="6:10" x14ac:dyDescent="0.25">
      <c r="F6513" s="76" t="s">
        <v>150</v>
      </c>
      <c r="G6513" s="77" t="s">
        <v>296</v>
      </c>
      <c r="H6513" s="77" t="s">
        <v>267</v>
      </c>
      <c r="I6513" s="86">
        <v>41873</v>
      </c>
      <c r="J6513" s="78">
        <v>1348</v>
      </c>
    </row>
    <row r="6514" spans="6:10" x14ac:dyDescent="0.25">
      <c r="F6514" s="76" t="s">
        <v>150</v>
      </c>
      <c r="G6514" s="77" t="s">
        <v>296</v>
      </c>
      <c r="H6514" s="77" t="s">
        <v>267</v>
      </c>
      <c r="I6514" s="86">
        <v>41877</v>
      </c>
      <c r="J6514" s="78">
        <v>1093</v>
      </c>
    </row>
    <row r="6515" spans="6:10" x14ac:dyDescent="0.25">
      <c r="F6515" s="76" t="s">
        <v>150</v>
      </c>
      <c r="G6515" s="77" t="s">
        <v>296</v>
      </c>
      <c r="H6515" s="77" t="s">
        <v>267</v>
      </c>
      <c r="I6515" s="86">
        <v>41878</v>
      </c>
      <c r="J6515" s="78">
        <v>537</v>
      </c>
    </row>
    <row r="6516" spans="6:10" x14ac:dyDescent="0.25">
      <c r="F6516" s="76" t="s">
        <v>150</v>
      </c>
      <c r="G6516" s="77" t="s">
        <v>296</v>
      </c>
      <c r="H6516" s="77" t="s">
        <v>267</v>
      </c>
      <c r="I6516" s="86">
        <v>41881</v>
      </c>
      <c r="J6516" s="78">
        <v>956</v>
      </c>
    </row>
    <row r="6517" spans="6:10" x14ac:dyDescent="0.25">
      <c r="F6517" s="76" t="s">
        <v>150</v>
      </c>
      <c r="G6517" s="77" t="s">
        <v>296</v>
      </c>
      <c r="H6517" s="77" t="s">
        <v>267</v>
      </c>
      <c r="I6517" s="86">
        <v>41883</v>
      </c>
      <c r="J6517" s="78">
        <v>430</v>
      </c>
    </row>
    <row r="6518" spans="6:10" x14ac:dyDescent="0.25">
      <c r="F6518" s="76" t="s">
        <v>150</v>
      </c>
      <c r="G6518" s="77" t="s">
        <v>296</v>
      </c>
      <c r="H6518" s="77" t="s">
        <v>267</v>
      </c>
      <c r="I6518" s="86">
        <v>41884</v>
      </c>
      <c r="J6518" s="78">
        <v>125</v>
      </c>
    </row>
    <row r="6519" spans="6:10" x14ac:dyDescent="0.25">
      <c r="F6519" s="76" t="s">
        <v>150</v>
      </c>
      <c r="G6519" s="77" t="s">
        <v>296</v>
      </c>
      <c r="H6519" s="77" t="s">
        <v>267</v>
      </c>
      <c r="I6519" s="86">
        <v>41885</v>
      </c>
      <c r="J6519" s="78">
        <v>455</v>
      </c>
    </row>
    <row r="6520" spans="6:10" x14ac:dyDescent="0.25">
      <c r="F6520" s="76" t="s">
        <v>150</v>
      </c>
      <c r="G6520" s="77" t="s">
        <v>296</v>
      </c>
      <c r="H6520" s="77" t="s">
        <v>267</v>
      </c>
      <c r="I6520" s="86">
        <v>41887</v>
      </c>
      <c r="J6520" s="78">
        <v>1055</v>
      </c>
    </row>
    <row r="6521" spans="6:10" x14ac:dyDescent="0.25">
      <c r="F6521" s="76" t="s">
        <v>150</v>
      </c>
      <c r="G6521" s="77" t="s">
        <v>296</v>
      </c>
      <c r="H6521" s="77" t="s">
        <v>267</v>
      </c>
      <c r="I6521" s="86">
        <v>41888</v>
      </c>
      <c r="J6521" s="78">
        <v>1041</v>
      </c>
    </row>
    <row r="6522" spans="6:10" x14ac:dyDescent="0.25">
      <c r="F6522" s="76" t="s">
        <v>150</v>
      </c>
      <c r="G6522" s="77" t="s">
        <v>296</v>
      </c>
      <c r="H6522" s="77" t="s">
        <v>267</v>
      </c>
      <c r="I6522" s="86">
        <v>41888</v>
      </c>
      <c r="J6522" s="78">
        <v>715</v>
      </c>
    </row>
    <row r="6523" spans="6:10" x14ac:dyDescent="0.25">
      <c r="F6523" s="76" t="s">
        <v>150</v>
      </c>
      <c r="G6523" s="77" t="s">
        <v>296</v>
      </c>
      <c r="H6523" s="77" t="s">
        <v>267</v>
      </c>
      <c r="I6523" s="86">
        <v>41889</v>
      </c>
      <c r="J6523" s="78">
        <v>1298</v>
      </c>
    </row>
    <row r="6524" spans="6:10" x14ac:dyDescent="0.25">
      <c r="F6524" s="76" t="s">
        <v>150</v>
      </c>
      <c r="G6524" s="77" t="s">
        <v>296</v>
      </c>
      <c r="H6524" s="77" t="s">
        <v>267</v>
      </c>
      <c r="I6524" s="86">
        <v>41890</v>
      </c>
      <c r="J6524" s="78">
        <v>1083</v>
      </c>
    </row>
    <row r="6525" spans="6:10" x14ac:dyDescent="0.25">
      <c r="F6525" s="76" t="s">
        <v>150</v>
      </c>
      <c r="G6525" s="77" t="s">
        <v>296</v>
      </c>
      <c r="H6525" s="77" t="s">
        <v>267</v>
      </c>
      <c r="I6525" s="86">
        <v>41891</v>
      </c>
      <c r="J6525" s="78">
        <v>1028</v>
      </c>
    </row>
    <row r="6526" spans="6:10" x14ac:dyDescent="0.25">
      <c r="F6526" s="76" t="s">
        <v>150</v>
      </c>
      <c r="G6526" s="77" t="s">
        <v>296</v>
      </c>
      <c r="H6526" s="77" t="s">
        <v>267</v>
      </c>
      <c r="I6526" s="86">
        <v>41892</v>
      </c>
      <c r="J6526" s="78">
        <v>707</v>
      </c>
    </row>
    <row r="6527" spans="6:10" x14ac:dyDescent="0.25">
      <c r="F6527" s="76" t="s">
        <v>150</v>
      </c>
      <c r="G6527" s="77" t="s">
        <v>296</v>
      </c>
      <c r="H6527" s="77" t="s">
        <v>267</v>
      </c>
      <c r="I6527" s="86">
        <v>41892</v>
      </c>
      <c r="J6527" s="78">
        <v>800</v>
      </c>
    </row>
    <row r="6528" spans="6:10" x14ac:dyDescent="0.25">
      <c r="F6528" s="76" t="s">
        <v>150</v>
      </c>
      <c r="G6528" s="77" t="s">
        <v>296</v>
      </c>
      <c r="H6528" s="77" t="s">
        <v>267</v>
      </c>
      <c r="I6528" s="86">
        <v>41894</v>
      </c>
      <c r="J6528" s="78">
        <v>614</v>
      </c>
    </row>
    <row r="6529" spans="6:10" x14ac:dyDescent="0.25">
      <c r="F6529" s="76" t="s">
        <v>150</v>
      </c>
      <c r="G6529" s="77" t="s">
        <v>296</v>
      </c>
      <c r="H6529" s="77" t="s">
        <v>267</v>
      </c>
      <c r="I6529" s="86">
        <v>41895</v>
      </c>
      <c r="J6529" s="78">
        <v>764</v>
      </c>
    </row>
    <row r="6530" spans="6:10" x14ac:dyDescent="0.25">
      <c r="F6530" s="76" t="s">
        <v>150</v>
      </c>
      <c r="G6530" s="77" t="s">
        <v>296</v>
      </c>
      <c r="H6530" s="77" t="s">
        <v>267</v>
      </c>
      <c r="I6530" s="86">
        <v>41895</v>
      </c>
      <c r="J6530" s="78">
        <v>868</v>
      </c>
    </row>
    <row r="6531" spans="6:10" x14ac:dyDescent="0.25">
      <c r="F6531" s="76" t="s">
        <v>150</v>
      </c>
      <c r="G6531" s="77" t="s">
        <v>296</v>
      </c>
      <c r="H6531" s="77" t="s">
        <v>267</v>
      </c>
      <c r="I6531" s="86">
        <v>41896</v>
      </c>
      <c r="J6531" s="78">
        <v>354</v>
      </c>
    </row>
    <row r="6532" spans="6:10" x14ac:dyDescent="0.25">
      <c r="F6532" s="76" t="s">
        <v>150</v>
      </c>
      <c r="G6532" s="77" t="s">
        <v>296</v>
      </c>
      <c r="H6532" s="77" t="s">
        <v>267</v>
      </c>
      <c r="I6532" s="86">
        <v>41896</v>
      </c>
      <c r="J6532" s="78">
        <v>777</v>
      </c>
    </row>
    <row r="6533" spans="6:10" x14ac:dyDescent="0.25">
      <c r="F6533" s="76" t="s">
        <v>150</v>
      </c>
      <c r="G6533" s="77" t="s">
        <v>296</v>
      </c>
      <c r="H6533" s="77" t="s">
        <v>267</v>
      </c>
      <c r="I6533" s="86">
        <v>41898</v>
      </c>
      <c r="J6533" s="78">
        <v>1276</v>
      </c>
    </row>
    <row r="6534" spans="6:10" x14ac:dyDescent="0.25">
      <c r="F6534" s="76" t="s">
        <v>150</v>
      </c>
      <c r="G6534" s="77" t="s">
        <v>296</v>
      </c>
      <c r="H6534" s="77" t="s">
        <v>267</v>
      </c>
      <c r="I6534" s="86">
        <v>41898</v>
      </c>
      <c r="J6534" s="78">
        <v>757</v>
      </c>
    </row>
    <row r="6535" spans="6:10" x14ac:dyDescent="0.25">
      <c r="F6535" s="76" t="s">
        <v>150</v>
      </c>
      <c r="G6535" s="77" t="s">
        <v>296</v>
      </c>
      <c r="H6535" s="77" t="s">
        <v>267</v>
      </c>
      <c r="I6535" s="86">
        <v>41910</v>
      </c>
      <c r="J6535" s="78">
        <v>1358</v>
      </c>
    </row>
    <row r="6536" spans="6:10" x14ac:dyDescent="0.25">
      <c r="F6536" s="76" t="s">
        <v>150</v>
      </c>
      <c r="G6536" s="77" t="s">
        <v>296</v>
      </c>
      <c r="H6536" s="77" t="s">
        <v>267</v>
      </c>
      <c r="I6536" s="86">
        <v>41916</v>
      </c>
      <c r="J6536" s="78">
        <v>1566</v>
      </c>
    </row>
    <row r="6537" spans="6:10" x14ac:dyDescent="0.25">
      <c r="F6537" s="76" t="s">
        <v>150</v>
      </c>
      <c r="G6537" s="77" t="s">
        <v>296</v>
      </c>
      <c r="H6537" s="77" t="s">
        <v>267</v>
      </c>
      <c r="I6537" s="86">
        <v>41917</v>
      </c>
      <c r="J6537" s="78">
        <v>1188</v>
      </c>
    </row>
    <row r="6538" spans="6:10" x14ac:dyDescent="0.25">
      <c r="F6538" s="76" t="s">
        <v>150</v>
      </c>
      <c r="G6538" s="77" t="s">
        <v>296</v>
      </c>
      <c r="H6538" s="77" t="s">
        <v>267</v>
      </c>
      <c r="I6538" s="86">
        <v>41917</v>
      </c>
      <c r="J6538" s="78">
        <v>788</v>
      </c>
    </row>
    <row r="6539" spans="6:10" x14ac:dyDescent="0.25">
      <c r="F6539" s="76" t="s">
        <v>150</v>
      </c>
      <c r="G6539" s="77" t="s">
        <v>296</v>
      </c>
      <c r="H6539" s="77" t="s">
        <v>267</v>
      </c>
      <c r="I6539" s="86">
        <v>41918</v>
      </c>
      <c r="J6539" s="78">
        <v>1002</v>
      </c>
    </row>
    <row r="6540" spans="6:10" x14ac:dyDescent="0.25">
      <c r="F6540" s="76" t="s">
        <v>150</v>
      </c>
      <c r="G6540" s="77" t="s">
        <v>296</v>
      </c>
      <c r="H6540" s="77" t="s">
        <v>267</v>
      </c>
      <c r="I6540" s="86">
        <v>41919</v>
      </c>
      <c r="J6540" s="78">
        <v>614</v>
      </c>
    </row>
    <row r="6541" spans="6:10" x14ac:dyDescent="0.25">
      <c r="F6541" s="76" t="s">
        <v>150</v>
      </c>
      <c r="G6541" s="77" t="s">
        <v>296</v>
      </c>
      <c r="H6541" s="77" t="s">
        <v>267</v>
      </c>
      <c r="I6541" s="86">
        <v>41921</v>
      </c>
      <c r="J6541" s="78">
        <v>1083</v>
      </c>
    </row>
    <row r="6542" spans="6:10" x14ac:dyDescent="0.25">
      <c r="F6542" s="76" t="s">
        <v>150</v>
      </c>
      <c r="G6542" s="77" t="s">
        <v>296</v>
      </c>
      <c r="H6542" s="77" t="s">
        <v>267</v>
      </c>
      <c r="I6542" s="86">
        <v>41922</v>
      </c>
      <c r="J6542" s="78">
        <v>825</v>
      </c>
    </row>
    <row r="6543" spans="6:10" x14ac:dyDescent="0.25">
      <c r="F6543" s="76" t="s">
        <v>150</v>
      </c>
      <c r="G6543" s="77" t="s">
        <v>296</v>
      </c>
      <c r="H6543" s="77" t="s">
        <v>267</v>
      </c>
      <c r="I6543" s="86">
        <v>41923</v>
      </c>
      <c r="J6543" s="78">
        <v>822</v>
      </c>
    </row>
    <row r="6544" spans="6:10" x14ac:dyDescent="0.25">
      <c r="F6544" s="76" t="s">
        <v>150</v>
      </c>
      <c r="G6544" s="77" t="s">
        <v>296</v>
      </c>
      <c r="H6544" s="77" t="s">
        <v>267</v>
      </c>
      <c r="I6544" s="86">
        <v>41924</v>
      </c>
      <c r="J6544" s="78">
        <v>302</v>
      </c>
    </row>
    <row r="6545" spans="6:10" x14ac:dyDescent="0.25">
      <c r="F6545" s="76" t="s">
        <v>150</v>
      </c>
      <c r="G6545" s="77" t="s">
        <v>296</v>
      </c>
      <c r="H6545" s="77" t="s">
        <v>267</v>
      </c>
      <c r="I6545" s="86">
        <v>41924</v>
      </c>
      <c r="J6545" s="78">
        <v>529</v>
      </c>
    </row>
    <row r="6546" spans="6:10" x14ac:dyDescent="0.25">
      <c r="F6546" s="76" t="s">
        <v>150</v>
      </c>
      <c r="G6546" s="77" t="s">
        <v>296</v>
      </c>
      <c r="H6546" s="77" t="s">
        <v>267</v>
      </c>
      <c r="I6546" s="86">
        <v>41926</v>
      </c>
      <c r="J6546" s="78">
        <v>907</v>
      </c>
    </row>
    <row r="6547" spans="6:10" x14ac:dyDescent="0.25">
      <c r="F6547" s="76" t="s">
        <v>150</v>
      </c>
      <c r="G6547" s="77" t="s">
        <v>296</v>
      </c>
      <c r="H6547" s="77" t="s">
        <v>267</v>
      </c>
      <c r="I6547" s="86">
        <v>41928</v>
      </c>
      <c r="J6547" s="78">
        <v>1008</v>
      </c>
    </row>
    <row r="6548" spans="6:10" x14ac:dyDescent="0.25">
      <c r="F6548" s="76" t="s">
        <v>150</v>
      </c>
      <c r="G6548" s="77" t="s">
        <v>296</v>
      </c>
      <c r="H6548" s="77" t="s">
        <v>267</v>
      </c>
      <c r="I6548" s="86">
        <v>41929</v>
      </c>
      <c r="J6548" s="78">
        <v>558</v>
      </c>
    </row>
    <row r="6549" spans="6:10" x14ac:dyDescent="0.25">
      <c r="F6549" s="76" t="s">
        <v>150</v>
      </c>
      <c r="G6549" s="77" t="s">
        <v>296</v>
      </c>
      <c r="H6549" s="77" t="s">
        <v>267</v>
      </c>
      <c r="I6549" s="86">
        <v>41933</v>
      </c>
      <c r="J6549" s="78">
        <v>1034</v>
      </c>
    </row>
    <row r="6550" spans="6:10" x14ac:dyDescent="0.25">
      <c r="F6550" s="76" t="s">
        <v>150</v>
      </c>
      <c r="G6550" s="77" t="s">
        <v>296</v>
      </c>
      <c r="H6550" s="77" t="s">
        <v>267</v>
      </c>
      <c r="I6550" s="86">
        <v>41935</v>
      </c>
      <c r="J6550" s="78">
        <v>934</v>
      </c>
    </row>
    <row r="6551" spans="6:10" x14ac:dyDescent="0.25">
      <c r="F6551" s="76" t="s">
        <v>150</v>
      </c>
      <c r="G6551" s="77" t="s">
        <v>296</v>
      </c>
      <c r="H6551" s="77" t="s">
        <v>267</v>
      </c>
      <c r="I6551" s="86">
        <v>41936</v>
      </c>
      <c r="J6551" s="78">
        <v>763</v>
      </c>
    </row>
    <row r="6552" spans="6:10" x14ac:dyDescent="0.25">
      <c r="F6552" s="76" t="s">
        <v>150</v>
      </c>
      <c r="G6552" s="77" t="s">
        <v>296</v>
      </c>
      <c r="H6552" s="77" t="s">
        <v>267</v>
      </c>
      <c r="I6552" s="86">
        <v>41938</v>
      </c>
      <c r="J6552" s="78">
        <v>794</v>
      </c>
    </row>
    <row r="6553" spans="6:10" x14ac:dyDescent="0.25">
      <c r="F6553" s="76" t="s">
        <v>150</v>
      </c>
      <c r="G6553" s="77" t="s">
        <v>297</v>
      </c>
      <c r="H6553" s="77" t="s">
        <v>267</v>
      </c>
      <c r="I6553" s="86">
        <v>41663</v>
      </c>
      <c r="J6553" s="78">
        <v>770</v>
      </c>
    </row>
    <row r="6554" spans="6:10" x14ac:dyDescent="0.25">
      <c r="F6554" s="76" t="s">
        <v>150</v>
      </c>
      <c r="G6554" s="77" t="s">
        <v>297</v>
      </c>
      <c r="H6554" s="77" t="s">
        <v>267</v>
      </c>
      <c r="I6554" s="86">
        <v>41664</v>
      </c>
      <c r="J6554" s="78">
        <v>827</v>
      </c>
    </row>
    <row r="6555" spans="6:10" x14ac:dyDescent="0.25">
      <c r="F6555" s="76" t="s">
        <v>150</v>
      </c>
      <c r="G6555" s="77" t="s">
        <v>297</v>
      </c>
      <c r="H6555" s="77" t="s">
        <v>267</v>
      </c>
      <c r="I6555" s="86">
        <v>41664</v>
      </c>
      <c r="J6555" s="78">
        <v>1239</v>
      </c>
    </row>
    <row r="6556" spans="6:10" x14ac:dyDescent="0.25">
      <c r="F6556" s="76" t="s">
        <v>150</v>
      </c>
      <c r="G6556" s="77" t="s">
        <v>297</v>
      </c>
      <c r="H6556" s="77" t="s">
        <v>267</v>
      </c>
      <c r="I6556" s="86">
        <v>41665</v>
      </c>
      <c r="J6556" s="78">
        <v>1153</v>
      </c>
    </row>
    <row r="6557" spans="6:10" x14ac:dyDescent="0.25">
      <c r="F6557" s="76" t="s">
        <v>150</v>
      </c>
      <c r="G6557" s="77" t="s">
        <v>297</v>
      </c>
      <c r="H6557" s="77" t="s">
        <v>267</v>
      </c>
      <c r="I6557" s="86">
        <v>41666</v>
      </c>
      <c r="J6557" s="78">
        <v>888</v>
      </c>
    </row>
    <row r="6558" spans="6:10" x14ac:dyDescent="0.25">
      <c r="F6558" s="76" t="s">
        <v>150</v>
      </c>
      <c r="G6558" s="77" t="s">
        <v>297</v>
      </c>
      <c r="H6558" s="77" t="s">
        <v>267</v>
      </c>
      <c r="I6558" s="86">
        <v>41669</v>
      </c>
      <c r="J6558" s="78">
        <v>1167</v>
      </c>
    </row>
    <row r="6559" spans="6:10" x14ac:dyDescent="0.25">
      <c r="F6559" s="76" t="s">
        <v>150</v>
      </c>
      <c r="G6559" s="77" t="s">
        <v>297</v>
      </c>
      <c r="H6559" s="77" t="s">
        <v>267</v>
      </c>
      <c r="I6559" s="86">
        <v>41670</v>
      </c>
      <c r="J6559" s="78">
        <v>749</v>
      </c>
    </row>
    <row r="6560" spans="6:10" x14ac:dyDescent="0.25">
      <c r="F6560" s="76" t="s">
        <v>150</v>
      </c>
      <c r="G6560" s="77" t="s">
        <v>297</v>
      </c>
      <c r="H6560" s="77" t="s">
        <v>267</v>
      </c>
      <c r="I6560" s="86">
        <v>41671</v>
      </c>
      <c r="J6560" s="78">
        <v>1187</v>
      </c>
    </row>
    <row r="6561" spans="6:10" x14ac:dyDescent="0.25">
      <c r="F6561" s="76" t="s">
        <v>150</v>
      </c>
      <c r="G6561" s="77" t="s">
        <v>297</v>
      </c>
      <c r="H6561" s="77" t="s">
        <v>267</v>
      </c>
      <c r="I6561" s="86">
        <v>41674</v>
      </c>
      <c r="J6561" s="78">
        <v>1147</v>
      </c>
    </row>
    <row r="6562" spans="6:10" x14ac:dyDescent="0.25">
      <c r="F6562" s="76" t="s">
        <v>150</v>
      </c>
      <c r="G6562" s="77" t="s">
        <v>297</v>
      </c>
      <c r="H6562" s="77" t="s">
        <v>267</v>
      </c>
      <c r="I6562" s="86">
        <v>41674</v>
      </c>
      <c r="J6562" s="78">
        <v>1360</v>
      </c>
    </row>
    <row r="6563" spans="6:10" x14ac:dyDescent="0.25">
      <c r="F6563" s="76" t="s">
        <v>150</v>
      </c>
      <c r="G6563" s="77" t="s">
        <v>297</v>
      </c>
      <c r="H6563" s="77" t="s">
        <v>267</v>
      </c>
      <c r="I6563" s="86">
        <v>41675</v>
      </c>
      <c r="J6563" s="78">
        <v>1223</v>
      </c>
    </row>
    <row r="6564" spans="6:10" x14ac:dyDescent="0.25">
      <c r="F6564" s="76" t="s">
        <v>150</v>
      </c>
      <c r="G6564" s="77" t="s">
        <v>297</v>
      </c>
      <c r="H6564" s="77" t="s">
        <v>267</v>
      </c>
      <c r="I6564" s="86">
        <v>41677</v>
      </c>
      <c r="J6564" s="78">
        <v>1207</v>
      </c>
    </row>
    <row r="6565" spans="6:10" x14ac:dyDescent="0.25">
      <c r="F6565" s="76" t="s">
        <v>150</v>
      </c>
      <c r="G6565" s="77" t="s">
        <v>297</v>
      </c>
      <c r="H6565" s="77" t="s">
        <v>267</v>
      </c>
      <c r="I6565" s="86">
        <v>41677</v>
      </c>
      <c r="J6565" s="78">
        <v>1287</v>
      </c>
    </row>
    <row r="6566" spans="6:10" x14ac:dyDescent="0.25">
      <c r="F6566" s="76" t="s">
        <v>150</v>
      </c>
      <c r="G6566" s="77" t="s">
        <v>297</v>
      </c>
      <c r="H6566" s="77" t="s">
        <v>267</v>
      </c>
      <c r="I6566" s="86">
        <v>41678</v>
      </c>
      <c r="J6566" s="78">
        <v>1017</v>
      </c>
    </row>
    <row r="6567" spans="6:10" x14ac:dyDescent="0.25">
      <c r="F6567" s="76" t="s">
        <v>150</v>
      </c>
      <c r="G6567" s="77" t="s">
        <v>297</v>
      </c>
      <c r="H6567" s="77" t="s">
        <v>267</v>
      </c>
      <c r="I6567" s="86">
        <v>41679</v>
      </c>
      <c r="J6567" s="78">
        <v>1101</v>
      </c>
    </row>
    <row r="6568" spans="6:10" x14ac:dyDescent="0.25">
      <c r="F6568" s="76" t="s">
        <v>150</v>
      </c>
      <c r="G6568" s="77" t="s">
        <v>297</v>
      </c>
      <c r="H6568" s="77" t="s">
        <v>267</v>
      </c>
      <c r="I6568" s="86">
        <v>41730</v>
      </c>
      <c r="J6568" s="78">
        <v>1046</v>
      </c>
    </row>
    <row r="6569" spans="6:10" x14ac:dyDescent="0.25">
      <c r="F6569" s="76" t="s">
        <v>150</v>
      </c>
      <c r="G6569" s="77" t="s">
        <v>297</v>
      </c>
      <c r="H6569" s="77" t="s">
        <v>267</v>
      </c>
      <c r="I6569" s="86">
        <v>41731</v>
      </c>
      <c r="J6569" s="78">
        <v>1124</v>
      </c>
    </row>
    <row r="6570" spans="6:10" x14ac:dyDescent="0.25">
      <c r="F6570" s="76" t="s">
        <v>150</v>
      </c>
      <c r="G6570" s="77" t="s">
        <v>297</v>
      </c>
      <c r="H6570" s="77" t="s">
        <v>267</v>
      </c>
      <c r="I6570" s="86">
        <v>41732</v>
      </c>
      <c r="J6570" s="78">
        <v>657</v>
      </c>
    </row>
    <row r="6571" spans="6:10" x14ac:dyDescent="0.25">
      <c r="F6571" s="76" t="s">
        <v>150</v>
      </c>
      <c r="G6571" s="77" t="s">
        <v>297</v>
      </c>
      <c r="H6571" s="77" t="s">
        <v>267</v>
      </c>
      <c r="I6571" s="86">
        <v>41732</v>
      </c>
      <c r="J6571" s="78">
        <v>746</v>
      </c>
    </row>
    <row r="6572" spans="6:10" x14ac:dyDescent="0.25">
      <c r="F6572" s="76" t="s">
        <v>150</v>
      </c>
      <c r="G6572" s="77" t="s">
        <v>297</v>
      </c>
      <c r="H6572" s="77" t="s">
        <v>267</v>
      </c>
      <c r="I6572" s="86">
        <v>41733</v>
      </c>
      <c r="J6572" s="78">
        <v>1015</v>
      </c>
    </row>
    <row r="6573" spans="6:10" x14ac:dyDescent="0.25">
      <c r="F6573" s="76" t="s">
        <v>150</v>
      </c>
      <c r="G6573" s="77" t="s">
        <v>297</v>
      </c>
      <c r="H6573" s="77" t="s">
        <v>267</v>
      </c>
      <c r="I6573" s="86">
        <v>41736</v>
      </c>
      <c r="J6573" s="78">
        <v>538</v>
      </c>
    </row>
    <row r="6574" spans="6:10" x14ac:dyDescent="0.25">
      <c r="F6574" s="76" t="s">
        <v>150</v>
      </c>
      <c r="G6574" s="77" t="s">
        <v>297</v>
      </c>
      <c r="H6574" s="77" t="s">
        <v>267</v>
      </c>
      <c r="I6574" s="86">
        <v>41741</v>
      </c>
      <c r="J6574" s="78">
        <v>832</v>
      </c>
    </row>
    <row r="6575" spans="6:10" x14ac:dyDescent="0.25">
      <c r="F6575" s="76" t="s">
        <v>150</v>
      </c>
      <c r="G6575" s="77" t="s">
        <v>297</v>
      </c>
      <c r="H6575" s="77" t="s">
        <v>267</v>
      </c>
      <c r="I6575" s="86">
        <v>41744</v>
      </c>
      <c r="J6575" s="78">
        <v>1400</v>
      </c>
    </row>
    <row r="6576" spans="6:10" x14ac:dyDescent="0.25">
      <c r="F6576" s="76" t="s">
        <v>150</v>
      </c>
      <c r="G6576" s="77" t="s">
        <v>297</v>
      </c>
      <c r="H6576" s="77" t="s">
        <v>267</v>
      </c>
      <c r="I6576" s="86">
        <v>41745</v>
      </c>
      <c r="J6576" s="78">
        <v>1159</v>
      </c>
    </row>
    <row r="6577" spans="6:10" x14ac:dyDescent="0.25">
      <c r="F6577" s="76" t="s">
        <v>150</v>
      </c>
      <c r="G6577" s="77" t="s">
        <v>297</v>
      </c>
      <c r="H6577" s="77" t="s">
        <v>267</v>
      </c>
      <c r="I6577" s="86">
        <v>41747</v>
      </c>
      <c r="J6577" s="78">
        <v>1054</v>
      </c>
    </row>
    <row r="6578" spans="6:10" x14ac:dyDescent="0.25">
      <c r="F6578" s="76" t="s">
        <v>150</v>
      </c>
      <c r="G6578" s="77" t="s">
        <v>297</v>
      </c>
      <c r="H6578" s="77" t="s">
        <v>267</v>
      </c>
      <c r="I6578" s="86">
        <v>41750</v>
      </c>
      <c r="J6578" s="78">
        <v>986</v>
      </c>
    </row>
    <row r="6579" spans="6:10" x14ac:dyDescent="0.25">
      <c r="F6579" s="76" t="s">
        <v>150</v>
      </c>
      <c r="G6579" s="77" t="s">
        <v>297</v>
      </c>
      <c r="H6579" s="77" t="s">
        <v>267</v>
      </c>
      <c r="I6579" s="86">
        <v>41751</v>
      </c>
      <c r="J6579" s="78">
        <v>582</v>
      </c>
    </row>
    <row r="6580" spans="6:10" x14ac:dyDescent="0.25">
      <c r="F6580" s="76" t="s">
        <v>150</v>
      </c>
      <c r="G6580" s="77" t="s">
        <v>297</v>
      </c>
      <c r="H6580" s="77" t="s">
        <v>267</v>
      </c>
      <c r="I6580" s="86">
        <v>41752</v>
      </c>
      <c r="J6580" s="78">
        <v>1032</v>
      </c>
    </row>
    <row r="6581" spans="6:10" x14ac:dyDescent="0.25">
      <c r="F6581" s="76" t="s">
        <v>150</v>
      </c>
      <c r="G6581" s="77" t="s">
        <v>297</v>
      </c>
      <c r="H6581" s="77" t="s">
        <v>267</v>
      </c>
      <c r="I6581" s="86">
        <v>41762</v>
      </c>
      <c r="J6581" s="78">
        <v>928</v>
      </c>
    </row>
    <row r="6582" spans="6:10" x14ac:dyDescent="0.25">
      <c r="F6582" s="76" t="s">
        <v>150</v>
      </c>
      <c r="G6582" s="77" t="s">
        <v>297</v>
      </c>
      <c r="H6582" s="77" t="s">
        <v>267</v>
      </c>
      <c r="I6582" s="86">
        <v>41763</v>
      </c>
      <c r="J6582" s="78">
        <v>1082</v>
      </c>
    </row>
    <row r="6583" spans="6:10" x14ac:dyDescent="0.25">
      <c r="F6583" s="76" t="s">
        <v>150</v>
      </c>
      <c r="G6583" s="77" t="s">
        <v>297</v>
      </c>
      <c r="H6583" s="77" t="s">
        <v>267</v>
      </c>
      <c r="I6583" s="86">
        <v>41764</v>
      </c>
      <c r="J6583" s="78">
        <v>1362</v>
      </c>
    </row>
    <row r="6584" spans="6:10" x14ac:dyDescent="0.25">
      <c r="F6584" s="76" t="s">
        <v>150</v>
      </c>
      <c r="G6584" s="77" t="s">
        <v>297</v>
      </c>
      <c r="H6584" s="77" t="s">
        <v>267</v>
      </c>
      <c r="I6584" s="86">
        <v>41765</v>
      </c>
      <c r="J6584" s="78">
        <v>504</v>
      </c>
    </row>
    <row r="6585" spans="6:10" x14ac:dyDescent="0.25">
      <c r="F6585" s="76" t="s">
        <v>150</v>
      </c>
      <c r="G6585" s="77" t="s">
        <v>297</v>
      </c>
      <c r="H6585" s="77" t="s">
        <v>267</v>
      </c>
      <c r="I6585" s="86">
        <v>41766</v>
      </c>
      <c r="J6585" s="78">
        <v>707</v>
      </c>
    </row>
    <row r="6586" spans="6:10" x14ac:dyDescent="0.25">
      <c r="F6586" s="76" t="s">
        <v>150</v>
      </c>
      <c r="G6586" s="77" t="s">
        <v>297</v>
      </c>
      <c r="H6586" s="77" t="s">
        <v>267</v>
      </c>
      <c r="I6586" s="86">
        <v>41767</v>
      </c>
      <c r="J6586" s="78">
        <v>983</v>
      </c>
    </row>
    <row r="6587" spans="6:10" x14ac:dyDescent="0.25">
      <c r="F6587" s="76" t="s">
        <v>150</v>
      </c>
      <c r="G6587" s="77" t="s">
        <v>297</v>
      </c>
      <c r="H6587" s="77" t="s">
        <v>267</v>
      </c>
      <c r="I6587" s="86">
        <v>41768</v>
      </c>
      <c r="J6587" s="78">
        <v>558</v>
      </c>
    </row>
    <row r="6588" spans="6:10" x14ac:dyDescent="0.25">
      <c r="F6588" s="76" t="s">
        <v>150</v>
      </c>
      <c r="G6588" s="77" t="s">
        <v>297</v>
      </c>
      <c r="H6588" s="77" t="s">
        <v>267</v>
      </c>
      <c r="I6588" s="86">
        <v>41769</v>
      </c>
      <c r="J6588" s="78">
        <v>1355</v>
      </c>
    </row>
    <row r="6589" spans="6:10" x14ac:dyDescent="0.25">
      <c r="F6589" s="76" t="s">
        <v>150</v>
      </c>
      <c r="G6589" s="77" t="s">
        <v>297</v>
      </c>
      <c r="H6589" s="77" t="s">
        <v>267</v>
      </c>
      <c r="I6589" s="86">
        <v>41769</v>
      </c>
      <c r="J6589" s="78">
        <v>903</v>
      </c>
    </row>
    <row r="6590" spans="6:10" x14ac:dyDescent="0.25">
      <c r="F6590" s="76" t="s">
        <v>150</v>
      </c>
      <c r="G6590" s="77" t="s">
        <v>297</v>
      </c>
      <c r="H6590" s="77" t="s">
        <v>267</v>
      </c>
      <c r="I6590" s="86">
        <v>41770</v>
      </c>
      <c r="J6590" s="78">
        <v>1487</v>
      </c>
    </row>
    <row r="6591" spans="6:10" x14ac:dyDescent="0.25">
      <c r="F6591" s="76" t="s">
        <v>150</v>
      </c>
      <c r="G6591" s="77" t="s">
        <v>297</v>
      </c>
      <c r="H6591" s="77" t="s">
        <v>267</v>
      </c>
      <c r="I6591" s="86">
        <v>41772</v>
      </c>
      <c r="J6591" s="78">
        <v>936</v>
      </c>
    </row>
    <row r="6592" spans="6:10" x14ac:dyDescent="0.25">
      <c r="F6592" s="76" t="s">
        <v>150</v>
      </c>
      <c r="G6592" s="77" t="s">
        <v>297</v>
      </c>
      <c r="H6592" s="77" t="s">
        <v>267</v>
      </c>
      <c r="I6592" s="86">
        <v>41774</v>
      </c>
      <c r="J6592" s="78">
        <v>833</v>
      </c>
    </row>
    <row r="6593" spans="6:10" x14ac:dyDescent="0.25">
      <c r="F6593" s="76" t="s">
        <v>150</v>
      </c>
      <c r="G6593" s="77" t="s">
        <v>297</v>
      </c>
      <c r="H6593" s="77" t="s">
        <v>267</v>
      </c>
      <c r="I6593" s="86">
        <v>41775</v>
      </c>
      <c r="J6593" s="78">
        <v>523</v>
      </c>
    </row>
    <row r="6594" spans="6:10" x14ac:dyDescent="0.25">
      <c r="F6594" s="76" t="s">
        <v>150</v>
      </c>
      <c r="G6594" s="77" t="s">
        <v>297</v>
      </c>
      <c r="H6594" s="77" t="s">
        <v>267</v>
      </c>
      <c r="I6594" s="86">
        <v>41778</v>
      </c>
      <c r="J6594" s="78">
        <v>679</v>
      </c>
    </row>
    <row r="6595" spans="6:10" x14ac:dyDescent="0.25">
      <c r="F6595" s="76" t="s">
        <v>150</v>
      </c>
      <c r="G6595" s="77" t="s">
        <v>297</v>
      </c>
      <c r="H6595" s="77" t="s">
        <v>267</v>
      </c>
      <c r="I6595" s="86">
        <v>41781</v>
      </c>
      <c r="J6595" s="78">
        <v>757</v>
      </c>
    </row>
    <row r="6596" spans="6:10" x14ac:dyDescent="0.25">
      <c r="F6596" s="76" t="s">
        <v>150</v>
      </c>
      <c r="G6596" s="77" t="s">
        <v>297</v>
      </c>
      <c r="H6596" s="77" t="s">
        <v>267</v>
      </c>
      <c r="I6596" s="86">
        <v>41782</v>
      </c>
      <c r="J6596" s="78">
        <v>378</v>
      </c>
    </row>
    <row r="6597" spans="6:10" x14ac:dyDescent="0.25">
      <c r="F6597" s="76" t="s">
        <v>150</v>
      </c>
      <c r="G6597" s="77" t="s">
        <v>297</v>
      </c>
      <c r="H6597" s="77" t="s">
        <v>267</v>
      </c>
      <c r="I6597" s="86">
        <v>41786</v>
      </c>
      <c r="J6597" s="78">
        <v>777</v>
      </c>
    </row>
    <row r="6598" spans="6:10" x14ac:dyDescent="0.25">
      <c r="F6598" s="76" t="s">
        <v>150</v>
      </c>
      <c r="G6598" s="77" t="s">
        <v>297</v>
      </c>
      <c r="H6598" s="77" t="s">
        <v>267</v>
      </c>
      <c r="I6598" s="86">
        <v>41792</v>
      </c>
      <c r="J6598" s="78">
        <v>951</v>
      </c>
    </row>
    <row r="6599" spans="6:10" x14ac:dyDescent="0.25">
      <c r="F6599" s="76" t="s">
        <v>150</v>
      </c>
      <c r="G6599" s="77" t="s">
        <v>297</v>
      </c>
      <c r="H6599" s="77" t="s">
        <v>267</v>
      </c>
      <c r="I6599" s="86">
        <v>41832</v>
      </c>
      <c r="J6599" s="78">
        <v>871</v>
      </c>
    </row>
    <row r="6600" spans="6:10" x14ac:dyDescent="0.25">
      <c r="F6600" s="76" t="s">
        <v>150</v>
      </c>
      <c r="G6600" s="77" t="s">
        <v>297</v>
      </c>
      <c r="H6600" s="77" t="s">
        <v>267</v>
      </c>
      <c r="I6600" s="86">
        <v>41833</v>
      </c>
      <c r="J6600" s="78">
        <v>1119</v>
      </c>
    </row>
    <row r="6601" spans="6:10" x14ac:dyDescent="0.25">
      <c r="F6601" s="76" t="s">
        <v>150</v>
      </c>
      <c r="G6601" s="77" t="s">
        <v>297</v>
      </c>
      <c r="H6601" s="77" t="s">
        <v>267</v>
      </c>
      <c r="I6601" s="86">
        <v>41833</v>
      </c>
      <c r="J6601" s="78">
        <v>1295</v>
      </c>
    </row>
    <row r="6602" spans="6:10" x14ac:dyDescent="0.25">
      <c r="F6602" s="76" t="s">
        <v>150</v>
      </c>
      <c r="G6602" s="77" t="s">
        <v>297</v>
      </c>
      <c r="H6602" s="77" t="s">
        <v>267</v>
      </c>
      <c r="I6602" s="86">
        <v>41835</v>
      </c>
      <c r="J6602" s="78">
        <v>1300</v>
      </c>
    </row>
    <row r="6603" spans="6:10" x14ac:dyDescent="0.25">
      <c r="F6603" s="76" t="s">
        <v>150</v>
      </c>
      <c r="G6603" s="77" t="s">
        <v>297</v>
      </c>
      <c r="H6603" s="77" t="s">
        <v>267</v>
      </c>
      <c r="I6603" s="86">
        <v>41836</v>
      </c>
      <c r="J6603" s="78">
        <v>466</v>
      </c>
    </row>
    <row r="6604" spans="6:10" x14ac:dyDescent="0.25">
      <c r="F6604" s="76" t="s">
        <v>150</v>
      </c>
      <c r="G6604" s="77" t="s">
        <v>297</v>
      </c>
      <c r="H6604" s="77" t="s">
        <v>267</v>
      </c>
      <c r="I6604" s="86">
        <v>41837</v>
      </c>
      <c r="J6604" s="78">
        <v>1030</v>
      </c>
    </row>
    <row r="6605" spans="6:10" x14ac:dyDescent="0.25">
      <c r="F6605" s="76" t="s">
        <v>150</v>
      </c>
      <c r="G6605" s="77" t="s">
        <v>297</v>
      </c>
      <c r="H6605" s="77" t="s">
        <v>267</v>
      </c>
      <c r="I6605" s="86">
        <v>41838</v>
      </c>
      <c r="J6605" s="78">
        <v>617</v>
      </c>
    </row>
    <row r="6606" spans="6:10" x14ac:dyDescent="0.25">
      <c r="F6606" s="76" t="s">
        <v>150</v>
      </c>
      <c r="G6606" s="77" t="s">
        <v>297</v>
      </c>
      <c r="H6606" s="77" t="s">
        <v>267</v>
      </c>
      <c r="I6606" s="86">
        <v>41845</v>
      </c>
      <c r="J6606" s="78">
        <v>1317</v>
      </c>
    </row>
    <row r="6607" spans="6:10" x14ac:dyDescent="0.25">
      <c r="F6607" s="76" t="s">
        <v>150</v>
      </c>
      <c r="G6607" s="77" t="s">
        <v>297</v>
      </c>
      <c r="H6607" s="77" t="s">
        <v>267</v>
      </c>
      <c r="I6607" s="86">
        <v>41848</v>
      </c>
      <c r="J6607" s="78">
        <v>825</v>
      </c>
    </row>
    <row r="6608" spans="6:10" x14ac:dyDescent="0.25">
      <c r="F6608" s="76" t="s">
        <v>150</v>
      </c>
      <c r="G6608" s="77" t="s">
        <v>297</v>
      </c>
      <c r="H6608" s="77" t="s">
        <v>267</v>
      </c>
      <c r="I6608" s="86">
        <v>41850</v>
      </c>
      <c r="J6608" s="78">
        <v>1120</v>
      </c>
    </row>
    <row r="6609" spans="6:10" x14ac:dyDescent="0.25">
      <c r="F6609" s="76" t="s">
        <v>150</v>
      </c>
      <c r="G6609" s="77" t="s">
        <v>297</v>
      </c>
      <c r="H6609" s="77" t="s">
        <v>267</v>
      </c>
      <c r="I6609" s="86">
        <v>41851</v>
      </c>
      <c r="J6609" s="78">
        <v>710</v>
      </c>
    </row>
    <row r="6610" spans="6:10" x14ac:dyDescent="0.25">
      <c r="F6610" s="76" t="s">
        <v>150</v>
      </c>
      <c r="G6610" s="77" t="s">
        <v>297</v>
      </c>
      <c r="H6610" s="77" t="s">
        <v>267</v>
      </c>
      <c r="I6610" s="86">
        <v>41852</v>
      </c>
      <c r="J6610" s="78">
        <v>733</v>
      </c>
    </row>
    <row r="6611" spans="6:10" x14ac:dyDescent="0.25">
      <c r="F6611" s="76" t="s">
        <v>150</v>
      </c>
      <c r="G6611" s="77" t="s">
        <v>297</v>
      </c>
      <c r="H6611" s="77" t="s">
        <v>267</v>
      </c>
      <c r="I6611" s="86">
        <v>41852</v>
      </c>
      <c r="J6611" s="78">
        <v>837</v>
      </c>
    </row>
    <row r="6612" spans="6:10" x14ac:dyDescent="0.25">
      <c r="F6612" s="76" t="s">
        <v>150</v>
      </c>
      <c r="G6612" s="77" t="s">
        <v>297</v>
      </c>
      <c r="H6612" s="77" t="s">
        <v>267</v>
      </c>
      <c r="I6612" s="86">
        <v>41853</v>
      </c>
      <c r="J6612" s="78">
        <v>1005</v>
      </c>
    </row>
    <row r="6613" spans="6:10" x14ac:dyDescent="0.25">
      <c r="F6613" s="76" t="s">
        <v>150</v>
      </c>
      <c r="G6613" s="77" t="s">
        <v>297</v>
      </c>
      <c r="H6613" s="77" t="s">
        <v>267</v>
      </c>
      <c r="I6613" s="86">
        <v>41854</v>
      </c>
      <c r="J6613" s="78">
        <v>1152</v>
      </c>
    </row>
    <row r="6614" spans="6:10" x14ac:dyDescent="0.25">
      <c r="F6614" s="76" t="s">
        <v>150</v>
      </c>
      <c r="G6614" s="77" t="s">
        <v>297</v>
      </c>
      <c r="H6614" s="77" t="s">
        <v>267</v>
      </c>
      <c r="I6614" s="86">
        <v>41855</v>
      </c>
      <c r="J6614" s="78">
        <v>1344</v>
      </c>
    </row>
    <row r="6615" spans="6:10" x14ac:dyDescent="0.25">
      <c r="F6615" s="76" t="s">
        <v>150</v>
      </c>
      <c r="G6615" s="77" t="s">
        <v>297</v>
      </c>
      <c r="H6615" s="77" t="s">
        <v>267</v>
      </c>
      <c r="I6615" s="86">
        <v>41856</v>
      </c>
      <c r="J6615" s="78">
        <v>650</v>
      </c>
    </row>
    <row r="6616" spans="6:10" x14ac:dyDescent="0.25">
      <c r="F6616" s="76" t="s">
        <v>150</v>
      </c>
      <c r="G6616" s="77" t="s">
        <v>297</v>
      </c>
      <c r="H6616" s="77" t="s">
        <v>267</v>
      </c>
      <c r="I6616" s="86">
        <v>41857</v>
      </c>
      <c r="J6616" s="78">
        <v>616</v>
      </c>
    </row>
    <row r="6617" spans="6:10" x14ac:dyDescent="0.25">
      <c r="F6617" s="76" t="s">
        <v>150</v>
      </c>
      <c r="G6617" s="77" t="s">
        <v>297</v>
      </c>
      <c r="H6617" s="77" t="s">
        <v>267</v>
      </c>
      <c r="I6617" s="86">
        <v>41858</v>
      </c>
      <c r="J6617" s="78">
        <v>953</v>
      </c>
    </row>
    <row r="6618" spans="6:10" x14ac:dyDescent="0.25">
      <c r="F6618" s="76" t="s">
        <v>150</v>
      </c>
      <c r="G6618" s="77" t="s">
        <v>297</v>
      </c>
      <c r="H6618" s="77" t="s">
        <v>267</v>
      </c>
      <c r="I6618" s="86">
        <v>41859</v>
      </c>
      <c r="J6618" s="78">
        <v>1372</v>
      </c>
    </row>
    <row r="6619" spans="6:10" x14ac:dyDescent="0.25">
      <c r="F6619" s="76" t="s">
        <v>150</v>
      </c>
      <c r="G6619" s="77" t="s">
        <v>297</v>
      </c>
      <c r="H6619" s="77" t="s">
        <v>267</v>
      </c>
      <c r="I6619" s="86">
        <v>41859</v>
      </c>
      <c r="J6619" s="78">
        <v>834</v>
      </c>
    </row>
    <row r="6620" spans="6:10" x14ac:dyDescent="0.25">
      <c r="F6620" s="76" t="s">
        <v>150</v>
      </c>
      <c r="G6620" s="77" t="s">
        <v>297</v>
      </c>
      <c r="H6620" s="77" t="s">
        <v>267</v>
      </c>
      <c r="I6620" s="86">
        <v>41861</v>
      </c>
      <c r="J6620" s="78">
        <v>896</v>
      </c>
    </row>
    <row r="6621" spans="6:10" x14ac:dyDescent="0.25">
      <c r="F6621" s="76" t="s">
        <v>150</v>
      </c>
      <c r="G6621" s="77" t="s">
        <v>297</v>
      </c>
      <c r="H6621" s="77" t="s">
        <v>267</v>
      </c>
      <c r="I6621" s="86">
        <v>41861</v>
      </c>
      <c r="J6621" s="78">
        <v>530</v>
      </c>
    </row>
    <row r="6622" spans="6:10" x14ac:dyDescent="0.25">
      <c r="F6622" s="76" t="s">
        <v>150</v>
      </c>
      <c r="G6622" s="77" t="s">
        <v>297</v>
      </c>
      <c r="H6622" s="77" t="s">
        <v>267</v>
      </c>
      <c r="I6622" s="86">
        <v>41861</v>
      </c>
      <c r="J6622" s="78">
        <v>1064</v>
      </c>
    </row>
    <row r="6623" spans="6:10" x14ac:dyDescent="0.25">
      <c r="F6623" s="76" t="s">
        <v>150</v>
      </c>
      <c r="G6623" s="77" t="s">
        <v>297</v>
      </c>
      <c r="H6623" s="77" t="s">
        <v>267</v>
      </c>
      <c r="I6623" s="86">
        <v>41865</v>
      </c>
      <c r="J6623" s="78">
        <v>823</v>
      </c>
    </row>
    <row r="6624" spans="6:10" x14ac:dyDescent="0.25">
      <c r="F6624" s="76" t="s">
        <v>150</v>
      </c>
      <c r="G6624" s="77" t="s">
        <v>297</v>
      </c>
      <c r="H6624" s="77" t="s">
        <v>267</v>
      </c>
      <c r="I6624" s="86">
        <v>41866</v>
      </c>
      <c r="J6624" s="78">
        <v>744</v>
      </c>
    </row>
    <row r="6625" spans="6:10" x14ac:dyDescent="0.25">
      <c r="F6625" s="76" t="s">
        <v>150</v>
      </c>
      <c r="G6625" s="77" t="s">
        <v>297</v>
      </c>
      <c r="H6625" s="77" t="s">
        <v>267</v>
      </c>
      <c r="I6625" s="86">
        <v>41866</v>
      </c>
      <c r="J6625" s="78">
        <v>766</v>
      </c>
    </row>
    <row r="6626" spans="6:10" x14ac:dyDescent="0.25">
      <c r="F6626" s="76" t="s">
        <v>150</v>
      </c>
      <c r="G6626" s="77" t="s">
        <v>297</v>
      </c>
      <c r="H6626" s="77" t="s">
        <v>267</v>
      </c>
      <c r="I6626" s="86">
        <v>41867</v>
      </c>
      <c r="J6626" s="78">
        <v>906</v>
      </c>
    </row>
    <row r="6627" spans="6:10" x14ac:dyDescent="0.25">
      <c r="F6627" s="76" t="s">
        <v>150</v>
      </c>
      <c r="G6627" s="77" t="s">
        <v>297</v>
      </c>
      <c r="H6627" s="77" t="s">
        <v>267</v>
      </c>
      <c r="I6627" s="86">
        <v>41868</v>
      </c>
      <c r="J6627" s="78">
        <v>1217</v>
      </c>
    </row>
    <row r="6628" spans="6:10" x14ac:dyDescent="0.25">
      <c r="F6628" s="76" t="s">
        <v>150</v>
      </c>
      <c r="G6628" s="77" t="s">
        <v>297</v>
      </c>
      <c r="H6628" s="77" t="s">
        <v>267</v>
      </c>
      <c r="I6628" s="86">
        <v>41869</v>
      </c>
      <c r="J6628" s="78">
        <v>1440</v>
      </c>
    </row>
    <row r="6629" spans="6:10" x14ac:dyDescent="0.25">
      <c r="F6629" s="76" t="s">
        <v>150</v>
      </c>
      <c r="G6629" s="77" t="s">
        <v>297</v>
      </c>
      <c r="H6629" s="77" t="s">
        <v>267</v>
      </c>
      <c r="I6629" s="86">
        <v>41872</v>
      </c>
      <c r="J6629" s="78">
        <v>783</v>
      </c>
    </row>
    <row r="6630" spans="6:10" x14ac:dyDescent="0.25">
      <c r="F6630" s="76" t="s">
        <v>150</v>
      </c>
      <c r="G6630" s="77" t="s">
        <v>297</v>
      </c>
      <c r="H6630" s="77" t="s">
        <v>267</v>
      </c>
      <c r="I6630" s="86">
        <v>41873</v>
      </c>
      <c r="J6630" s="78">
        <v>545</v>
      </c>
    </row>
    <row r="6631" spans="6:10" x14ac:dyDescent="0.25">
      <c r="F6631" s="76" t="s">
        <v>150</v>
      </c>
      <c r="G6631" s="77" t="s">
        <v>297</v>
      </c>
      <c r="H6631" s="77" t="s">
        <v>267</v>
      </c>
      <c r="I6631" s="86">
        <v>41874</v>
      </c>
      <c r="J6631" s="78">
        <v>521</v>
      </c>
    </row>
    <row r="6632" spans="6:10" x14ac:dyDescent="0.25">
      <c r="F6632" s="76" t="s">
        <v>150</v>
      </c>
      <c r="G6632" s="77" t="s">
        <v>297</v>
      </c>
      <c r="H6632" s="77" t="s">
        <v>267</v>
      </c>
      <c r="I6632" s="86">
        <v>41876</v>
      </c>
      <c r="J6632" s="78">
        <v>614</v>
      </c>
    </row>
    <row r="6633" spans="6:10" x14ac:dyDescent="0.25">
      <c r="F6633" s="76" t="s">
        <v>150</v>
      </c>
      <c r="G6633" s="77" t="s">
        <v>297</v>
      </c>
      <c r="H6633" s="77" t="s">
        <v>267</v>
      </c>
      <c r="I6633" s="86">
        <v>41876</v>
      </c>
      <c r="J6633" s="78">
        <v>852</v>
      </c>
    </row>
    <row r="6634" spans="6:10" x14ac:dyDescent="0.25">
      <c r="F6634" s="76" t="s">
        <v>150</v>
      </c>
      <c r="G6634" s="77" t="s">
        <v>297</v>
      </c>
      <c r="H6634" s="77" t="s">
        <v>267</v>
      </c>
      <c r="I6634" s="86">
        <v>41878</v>
      </c>
      <c r="J6634" s="78">
        <v>853</v>
      </c>
    </row>
    <row r="6635" spans="6:10" x14ac:dyDescent="0.25">
      <c r="F6635" s="76" t="s">
        <v>150</v>
      </c>
      <c r="G6635" s="77" t="s">
        <v>297</v>
      </c>
      <c r="H6635" s="77" t="s">
        <v>267</v>
      </c>
      <c r="I6635" s="86">
        <v>41879</v>
      </c>
      <c r="J6635" s="78">
        <v>778</v>
      </c>
    </row>
    <row r="6636" spans="6:10" x14ac:dyDescent="0.25">
      <c r="F6636" s="76" t="s">
        <v>150</v>
      </c>
      <c r="G6636" s="77" t="s">
        <v>297</v>
      </c>
      <c r="H6636" s="77" t="s">
        <v>267</v>
      </c>
      <c r="I6636" s="86">
        <v>41881</v>
      </c>
      <c r="J6636" s="78">
        <v>1101</v>
      </c>
    </row>
    <row r="6637" spans="6:10" x14ac:dyDescent="0.25">
      <c r="F6637" s="76" t="s">
        <v>150</v>
      </c>
      <c r="G6637" s="77" t="s">
        <v>297</v>
      </c>
      <c r="H6637" s="77" t="s">
        <v>267</v>
      </c>
      <c r="I6637" s="86">
        <v>41883</v>
      </c>
      <c r="J6637" s="78">
        <v>771</v>
      </c>
    </row>
    <row r="6638" spans="6:10" x14ac:dyDescent="0.25">
      <c r="F6638" s="76" t="s">
        <v>150</v>
      </c>
      <c r="G6638" s="77" t="s">
        <v>297</v>
      </c>
      <c r="H6638" s="77" t="s">
        <v>267</v>
      </c>
      <c r="I6638" s="86">
        <v>41884</v>
      </c>
      <c r="J6638" s="78">
        <v>793</v>
      </c>
    </row>
    <row r="6639" spans="6:10" x14ac:dyDescent="0.25">
      <c r="F6639" s="76" t="s">
        <v>150</v>
      </c>
      <c r="G6639" s="77" t="s">
        <v>297</v>
      </c>
      <c r="H6639" s="77" t="s">
        <v>267</v>
      </c>
      <c r="I6639" s="86">
        <v>41885</v>
      </c>
      <c r="J6639" s="78">
        <v>737</v>
      </c>
    </row>
    <row r="6640" spans="6:10" x14ac:dyDescent="0.25">
      <c r="F6640" s="76" t="s">
        <v>150</v>
      </c>
      <c r="G6640" s="77" t="s">
        <v>297</v>
      </c>
      <c r="H6640" s="77" t="s">
        <v>267</v>
      </c>
      <c r="I6640" s="86">
        <v>41886</v>
      </c>
      <c r="J6640" s="78">
        <v>997</v>
      </c>
    </row>
    <row r="6641" spans="6:10" x14ac:dyDescent="0.25">
      <c r="F6641" s="76" t="s">
        <v>150</v>
      </c>
      <c r="G6641" s="77" t="s">
        <v>297</v>
      </c>
      <c r="H6641" s="77" t="s">
        <v>267</v>
      </c>
      <c r="I6641" s="86">
        <v>41887</v>
      </c>
      <c r="J6641" s="78">
        <v>511</v>
      </c>
    </row>
    <row r="6642" spans="6:10" x14ac:dyDescent="0.25">
      <c r="F6642" s="76" t="s">
        <v>150</v>
      </c>
      <c r="G6642" s="77" t="s">
        <v>297</v>
      </c>
      <c r="H6642" s="77" t="s">
        <v>267</v>
      </c>
      <c r="I6642" s="86">
        <v>41889</v>
      </c>
      <c r="J6642" s="78">
        <v>1185</v>
      </c>
    </row>
    <row r="6643" spans="6:10" x14ac:dyDescent="0.25">
      <c r="F6643" s="76" t="s">
        <v>150</v>
      </c>
      <c r="G6643" s="77" t="s">
        <v>297</v>
      </c>
      <c r="H6643" s="77" t="s">
        <v>267</v>
      </c>
      <c r="I6643" s="86">
        <v>41891</v>
      </c>
      <c r="J6643" s="78">
        <v>1349</v>
      </c>
    </row>
    <row r="6644" spans="6:10" x14ac:dyDescent="0.25">
      <c r="F6644" s="76" t="s">
        <v>150</v>
      </c>
      <c r="G6644" s="77" t="s">
        <v>297</v>
      </c>
      <c r="H6644" s="77" t="s">
        <v>267</v>
      </c>
      <c r="I6644" s="86">
        <v>41894</v>
      </c>
      <c r="J6644" s="78">
        <v>616</v>
      </c>
    </row>
    <row r="6645" spans="6:10" x14ac:dyDescent="0.25">
      <c r="F6645" s="76" t="s">
        <v>150</v>
      </c>
      <c r="G6645" s="77" t="s">
        <v>297</v>
      </c>
      <c r="H6645" s="77" t="s">
        <v>267</v>
      </c>
      <c r="I6645" s="86">
        <v>41895</v>
      </c>
      <c r="J6645" s="78">
        <v>709</v>
      </c>
    </row>
    <row r="6646" spans="6:10" x14ac:dyDescent="0.25">
      <c r="F6646" s="76" t="s">
        <v>150</v>
      </c>
      <c r="G6646" s="77" t="s">
        <v>297</v>
      </c>
      <c r="H6646" s="77" t="s">
        <v>267</v>
      </c>
      <c r="I6646" s="86">
        <v>41895</v>
      </c>
      <c r="J6646" s="78">
        <v>913</v>
      </c>
    </row>
    <row r="6647" spans="6:10" x14ac:dyDescent="0.25">
      <c r="F6647" s="76" t="s">
        <v>150</v>
      </c>
      <c r="G6647" s="77" t="s">
        <v>297</v>
      </c>
      <c r="H6647" s="77" t="s">
        <v>267</v>
      </c>
      <c r="I6647" s="86">
        <v>41896</v>
      </c>
      <c r="J6647" s="78">
        <v>1164</v>
      </c>
    </row>
    <row r="6648" spans="6:10" x14ac:dyDescent="0.25">
      <c r="F6648" s="76" t="s">
        <v>150</v>
      </c>
      <c r="G6648" s="77" t="s">
        <v>297</v>
      </c>
      <c r="H6648" s="77" t="s">
        <v>267</v>
      </c>
      <c r="I6648" s="86">
        <v>41897</v>
      </c>
      <c r="J6648" s="78">
        <v>908</v>
      </c>
    </row>
    <row r="6649" spans="6:10" x14ac:dyDescent="0.25">
      <c r="F6649" s="76" t="s">
        <v>150</v>
      </c>
      <c r="G6649" s="77" t="s">
        <v>297</v>
      </c>
      <c r="H6649" s="77" t="s">
        <v>267</v>
      </c>
      <c r="I6649" s="86">
        <v>41898</v>
      </c>
      <c r="J6649" s="78">
        <v>973</v>
      </c>
    </row>
    <row r="6650" spans="6:10" x14ac:dyDescent="0.25">
      <c r="F6650" s="76" t="s">
        <v>150</v>
      </c>
      <c r="G6650" s="77" t="s">
        <v>297</v>
      </c>
      <c r="H6650" s="77" t="s">
        <v>267</v>
      </c>
      <c r="I6650" s="86">
        <v>41912</v>
      </c>
      <c r="J6650" s="78">
        <v>1428</v>
      </c>
    </row>
    <row r="6651" spans="6:10" x14ac:dyDescent="0.25">
      <c r="F6651" s="76" t="s">
        <v>150</v>
      </c>
      <c r="G6651" s="77" t="s">
        <v>297</v>
      </c>
      <c r="H6651" s="77" t="s">
        <v>267</v>
      </c>
      <c r="I6651" s="86">
        <v>41926</v>
      </c>
      <c r="J6651" s="78">
        <v>642</v>
      </c>
    </row>
    <row r="6652" spans="6:10" x14ac:dyDescent="0.25">
      <c r="F6652" s="76" t="s">
        <v>150</v>
      </c>
      <c r="G6652" s="77" t="s">
        <v>297</v>
      </c>
      <c r="H6652" s="77" t="s">
        <v>267</v>
      </c>
      <c r="I6652" s="86">
        <v>41928</v>
      </c>
      <c r="J6652" s="78">
        <v>908</v>
      </c>
    </row>
    <row r="6653" spans="6:10" x14ac:dyDescent="0.25">
      <c r="F6653" s="76" t="s">
        <v>150</v>
      </c>
      <c r="G6653" s="77" t="s">
        <v>297</v>
      </c>
      <c r="H6653" s="77" t="s">
        <v>267</v>
      </c>
      <c r="I6653" s="86">
        <v>41928</v>
      </c>
      <c r="J6653" s="78">
        <v>672</v>
      </c>
    </row>
    <row r="6654" spans="6:10" x14ac:dyDescent="0.25">
      <c r="F6654" s="76" t="s">
        <v>150</v>
      </c>
      <c r="G6654" s="77" t="s">
        <v>297</v>
      </c>
      <c r="H6654" s="77" t="s">
        <v>267</v>
      </c>
      <c r="I6654" s="86">
        <v>41935</v>
      </c>
      <c r="J6654" s="78">
        <v>835</v>
      </c>
    </row>
    <row r="6655" spans="6:10" x14ac:dyDescent="0.25">
      <c r="F6655" s="76" t="s">
        <v>150</v>
      </c>
      <c r="G6655" s="77" t="s">
        <v>297</v>
      </c>
      <c r="H6655" s="77" t="s">
        <v>267</v>
      </c>
      <c r="I6655" s="86">
        <v>41936</v>
      </c>
      <c r="J6655" s="78">
        <v>1114</v>
      </c>
    </row>
    <row r="6656" spans="6:10" x14ac:dyDescent="0.25">
      <c r="F6656" s="76" t="s">
        <v>150</v>
      </c>
      <c r="G6656" s="77" t="s">
        <v>297</v>
      </c>
      <c r="H6656" s="77" t="s">
        <v>267</v>
      </c>
      <c r="I6656" s="86">
        <v>41940</v>
      </c>
      <c r="J6656" s="78">
        <v>999</v>
      </c>
    </row>
    <row r="6657" spans="6:10" x14ac:dyDescent="0.25">
      <c r="F6657" s="76" t="s">
        <v>150</v>
      </c>
      <c r="G6657" s="77" t="s">
        <v>297</v>
      </c>
      <c r="H6657" s="77" t="s">
        <v>267</v>
      </c>
      <c r="I6657" s="86">
        <v>41946</v>
      </c>
      <c r="J6657" s="78">
        <v>539</v>
      </c>
    </row>
    <row r="6658" spans="6:10" x14ac:dyDescent="0.25">
      <c r="F6658" s="76" t="s">
        <v>150</v>
      </c>
      <c r="G6658" s="77" t="s">
        <v>297</v>
      </c>
      <c r="H6658" s="77" t="s">
        <v>267</v>
      </c>
      <c r="I6658" s="86">
        <v>41947</v>
      </c>
      <c r="J6658" s="78">
        <v>308</v>
      </c>
    </row>
    <row r="6659" spans="6:10" x14ac:dyDescent="0.25">
      <c r="F6659" s="76" t="s">
        <v>150</v>
      </c>
      <c r="G6659" s="77" t="s">
        <v>297</v>
      </c>
      <c r="H6659" s="77" t="s">
        <v>267</v>
      </c>
      <c r="I6659" s="86">
        <v>41950</v>
      </c>
      <c r="J6659" s="78">
        <v>868</v>
      </c>
    </row>
    <row r="6660" spans="6:10" x14ac:dyDescent="0.25">
      <c r="F6660" s="76" t="s">
        <v>150</v>
      </c>
      <c r="G6660" s="77" t="s">
        <v>297</v>
      </c>
      <c r="H6660" s="77" t="s">
        <v>267</v>
      </c>
      <c r="I6660" s="86">
        <v>41955</v>
      </c>
      <c r="J6660" s="78">
        <v>1105</v>
      </c>
    </row>
    <row r="6661" spans="6:10" x14ac:dyDescent="0.25">
      <c r="F6661" s="76" t="s">
        <v>150</v>
      </c>
      <c r="G6661" s="77" t="s">
        <v>297</v>
      </c>
      <c r="H6661" s="77" t="s">
        <v>267</v>
      </c>
      <c r="I6661" s="86">
        <v>41957</v>
      </c>
      <c r="J6661" s="78">
        <v>773</v>
      </c>
    </row>
    <row r="6662" spans="6:10" x14ac:dyDescent="0.25">
      <c r="F6662" s="76" t="s">
        <v>150</v>
      </c>
      <c r="G6662" s="77" t="s">
        <v>297</v>
      </c>
      <c r="H6662" s="77" t="s">
        <v>267</v>
      </c>
      <c r="I6662" s="86">
        <v>41961</v>
      </c>
      <c r="J6662" s="78">
        <v>715</v>
      </c>
    </row>
    <row r="6663" spans="6:10" x14ac:dyDescent="0.25">
      <c r="F6663" s="76" t="s">
        <v>150</v>
      </c>
      <c r="G6663" s="77" t="s">
        <v>297</v>
      </c>
      <c r="H6663" s="77" t="s">
        <v>267</v>
      </c>
      <c r="I6663" s="86">
        <v>41963</v>
      </c>
      <c r="J6663" s="78">
        <v>821</v>
      </c>
    </row>
    <row r="6664" spans="6:10" x14ac:dyDescent="0.25">
      <c r="F6664" s="76" t="s">
        <v>150</v>
      </c>
      <c r="G6664" s="77" t="s">
        <v>297</v>
      </c>
      <c r="H6664" s="77" t="s">
        <v>267</v>
      </c>
      <c r="I6664" s="86">
        <v>41967</v>
      </c>
      <c r="J6664" s="78">
        <v>749</v>
      </c>
    </row>
    <row r="6665" spans="6:10" x14ac:dyDescent="0.25">
      <c r="F6665" s="76" t="s">
        <v>150</v>
      </c>
      <c r="G6665" s="77" t="s">
        <v>297</v>
      </c>
      <c r="H6665" s="77" t="s">
        <v>267</v>
      </c>
      <c r="I6665" s="86">
        <v>41969</v>
      </c>
      <c r="J6665" s="78">
        <v>728</v>
      </c>
    </row>
    <row r="6666" spans="6:10" x14ac:dyDescent="0.25">
      <c r="F6666" s="76" t="s">
        <v>150</v>
      </c>
      <c r="G6666" s="77" t="s">
        <v>297</v>
      </c>
      <c r="H6666" s="77" t="s">
        <v>267</v>
      </c>
      <c r="I6666" s="86">
        <v>41972</v>
      </c>
      <c r="J6666" s="78">
        <v>883</v>
      </c>
    </row>
    <row r="6667" spans="6:10" x14ac:dyDescent="0.25">
      <c r="F6667" s="76" t="s">
        <v>150</v>
      </c>
      <c r="G6667" s="77" t="s">
        <v>297</v>
      </c>
      <c r="H6667" s="77" t="s">
        <v>267</v>
      </c>
      <c r="I6667" s="86">
        <v>41975</v>
      </c>
      <c r="J6667" s="78">
        <v>758</v>
      </c>
    </row>
    <row r="6668" spans="6:10" x14ac:dyDescent="0.25">
      <c r="F6668" s="76" t="s">
        <v>150</v>
      </c>
      <c r="G6668" s="77" t="s">
        <v>297</v>
      </c>
      <c r="H6668" s="77" t="s">
        <v>267</v>
      </c>
      <c r="I6668" s="86">
        <v>41977</v>
      </c>
      <c r="J6668" s="78">
        <v>765</v>
      </c>
    </row>
    <row r="6669" spans="6:10" x14ac:dyDescent="0.25">
      <c r="F6669" s="76" t="s">
        <v>150</v>
      </c>
      <c r="G6669" s="77" t="s">
        <v>297</v>
      </c>
      <c r="H6669" s="77" t="s">
        <v>267</v>
      </c>
      <c r="I6669" s="86">
        <v>41980</v>
      </c>
      <c r="J6669" s="78">
        <v>670</v>
      </c>
    </row>
    <row r="6670" spans="6:10" x14ac:dyDescent="0.25">
      <c r="F6670" s="76" t="s">
        <v>150</v>
      </c>
      <c r="G6670" s="77" t="s">
        <v>297</v>
      </c>
      <c r="H6670" s="77" t="s">
        <v>267</v>
      </c>
      <c r="I6670" s="86">
        <v>41982</v>
      </c>
      <c r="J6670" s="78">
        <v>710</v>
      </c>
    </row>
    <row r="6671" spans="6:10" x14ac:dyDescent="0.25">
      <c r="F6671" s="76" t="s">
        <v>150</v>
      </c>
      <c r="G6671" s="77" t="s">
        <v>298</v>
      </c>
      <c r="H6671" s="77" t="s">
        <v>267</v>
      </c>
      <c r="I6671" s="86">
        <v>41653</v>
      </c>
      <c r="J6671" s="78">
        <v>717</v>
      </c>
    </row>
    <row r="6672" spans="6:10" x14ac:dyDescent="0.25">
      <c r="F6672" s="76" t="s">
        <v>150</v>
      </c>
      <c r="G6672" s="77" t="s">
        <v>298</v>
      </c>
      <c r="H6672" s="77" t="s">
        <v>267</v>
      </c>
      <c r="I6672" s="86">
        <v>41664</v>
      </c>
      <c r="J6672" s="78">
        <v>1046</v>
      </c>
    </row>
    <row r="6673" spans="6:10" x14ac:dyDescent="0.25">
      <c r="F6673" s="76" t="s">
        <v>150</v>
      </c>
      <c r="G6673" s="77" t="s">
        <v>298</v>
      </c>
      <c r="H6673" s="77" t="s">
        <v>267</v>
      </c>
      <c r="I6673" s="86">
        <v>41674</v>
      </c>
      <c r="J6673" s="78">
        <v>1039</v>
      </c>
    </row>
    <row r="6674" spans="6:10" x14ac:dyDescent="0.25">
      <c r="F6674" s="76" t="s">
        <v>150</v>
      </c>
      <c r="G6674" s="77" t="s">
        <v>298</v>
      </c>
      <c r="H6674" s="77" t="s">
        <v>267</v>
      </c>
      <c r="I6674" s="86">
        <v>41680</v>
      </c>
      <c r="J6674" s="78">
        <v>1145</v>
      </c>
    </row>
    <row r="6675" spans="6:10" x14ac:dyDescent="0.25">
      <c r="F6675" s="76" t="s">
        <v>150</v>
      </c>
      <c r="G6675" s="77" t="s">
        <v>298</v>
      </c>
      <c r="H6675" s="77" t="s">
        <v>267</v>
      </c>
      <c r="I6675" s="86">
        <v>41690</v>
      </c>
      <c r="J6675" s="78">
        <v>1234</v>
      </c>
    </row>
    <row r="6676" spans="6:10" x14ac:dyDescent="0.25">
      <c r="F6676" s="76" t="s">
        <v>150</v>
      </c>
      <c r="G6676" s="77" t="s">
        <v>298</v>
      </c>
      <c r="H6676" s="77" t="s">
        <v>267</v>
      </c>
      <c r="I6676" s="86">
        <v>41691</v>
      </c>
      <c r="J6676" s="78">
        <v>1197</v>
      </c>
    </row>
    <row r="6677" spans="6:10" x14ac:dyDescent="0.25">
      <c r="F6677" s="76" t="s">
        <v>150</v>
      </c>
      <c r="G6677" s="77" t="s">
        <v>298</v>
      </c>
      <c r="H6677" s="77" t="s">
        <v>267</v>
      </c>
      <c r="I6677" s="86">
        <v>41692</v>
      </c>
      <c r="J6677" s="78">
        <v>979</v>
      </c>
    </row>
    <row r="6678" spans="6:10" x14ac:dyDescent="0.25">
      <c r="F6678" s="76" t="s">
        <v>150</v>
      </c>
      <c r="G6678" s="77" t="s">
        <v>298</v>
      </c>
      <c r="H6678" s="77" t="s">
        <v>267</v>
      </c>
      <c r="I6678" s="86">
        <v>41693</v>
      </c>
      <c r="J6678" s="78">
        <v>1363</v>
      </c>
    </row>
    <row r="6679" spans="6:10" x14ac:dyDescent="0.25">
      <c r="F6679" s="76" t="s">
        <v>150</v>
      </c>
      <c r="G6679" s="77" t="s">
        <v>298</v>
      </c>
      <c r="H6679" s="77" t="s">
        <v>267</v>
      </c>
      <c r="I6679" s="86">
        <v>41695</v>
      </c>
      <c r="J6679" s="78">
        <v>1176</v>
      </c>
    </row>
    <row r="6680" spans="6:10" x14ac:dyDescent="0.25">
      <c r="F6680" s="76" t="s">
        <v>150</v>
      </c>
      <c r="G6680" s="77" t="s">
        <v>298</v>
      </c>
      <c r="H6680" s="77" t="s">
        <v>267</v>
      </c>
      <c r="I6680" s="86">
        <v>41784</v>
      </c>
      <c r="J6680" s="78">
        <v>861</v>
      </c>
    </row>
    <row r="6681" spans="6:10" x14ac:dyDescent="0.25">
      <c r="F6681" s="76" t="s">
        <v>150</v>
      </c>
      <c r="G6681" s="77" t="s">
        <v>298</v>
      </c>
      <c r="H6681" s="77" t="s">
        <v>267</v>
      </c>
      <c r="I6681" s="86">
        <v>41810</v>
      </c>
      <c r="J6681" s="78">
        <v>333</v>
      </c>
    </row>
    <row r="6682" spans="6:10" x14ac:dyDescent="0.25">
      <c r="F6682" s="76" t="s">
        <v>150</v>
      </c>
      <c r="G6682" s="77" t="s">
        <v>298</v>
      </c>
      <c r="H6682" s="77" t="s">
        <v>267</v>
      </c>
      <c r="I6682" s="86">
        <v>41812</v>
      </c>
      <c r="J6682" s="78">
        <v>724</v>
      </c>
    </row>
    <row r="6683" spans="6:10" x14ac:dyDescent="0.25">
      <c r="F6683" s="76" t="s">
        <v>150</v>
      </c>
      <c r="G6683" s="77" t="s">
        <v>298</v>
      </c>
      <c r="H6683" s="77" t="s">
        <v>267</v>
      </c>
      <c r="I6683" s="86">
        <v>41813</v>
      </c>
      <c r="J6683" s="78">
        <v>534</v>
      </c>
    </row>
    <row r="6684" spans="6:10" x14ac:dyDescent="0.25">
      <c r="F6684" s="76" t="s">
        <v>150</v>
      </c>
      <c r="G6684" s="77" t="s">
        <v>298</v>
      </c>
      <c r="H6684" s="77" t="s">
        <v>267</v>
      </c>
      <c r="I6684" s="86">
        <v>41827</v>
      </c>
      <c r="J6684" s="78">
        <v>1101</v>
      </c>
    </row>
    <row r="6685" spans="6:10" x14ac:dyDescent="0.25">
      <c r="F6685" s="76" t="s">
        <v>150</v>
      </c>
      <c r="G6685" s="77" t="s">
        <v>298</v>
      </c>
      <c r="H6685" s="77" t="s">
        <v>267</v>
      </c>
      <c r="I6685" s="86">
        <v>41827</v>
      </c>
      <c r="J6685" s="78">
        <v>1355</v>
      </c>
    </row>
    <row r="6686" spans="6:10" x14ac:dyDescent="0.25">
      <c r="F6686" s="76" t="s">
        <v>150</v>
      </c>
      <c r="G6686" s="77" t="s">
        <v>298</v>
      </c>
      <c r="H6686" s="77" t="s">
        <v>267</v>
      </c>
      <c r="I6686" s="86">
        <v>41829</v>
      </c>
      <c r="J6686" s="78">
        <v>1440</v>
      </c>
    </row>
    <row r="6687" spans="6:10" x14ac:dyDescent="0.25">
      <c r="F6687" s="76" t="s">
        <v>150</v>
      </c>
      <c r="G6687" s="77" t="s">
        <v>298</v>
      </c>
      <c r="H6687" s="77" t="s">
        <v>267</v>
      </c>
      <c r="I6687" s="86">
        <v>41830</v>
      </c>
      <c r="J6687" s="78">
        <v>1314</v>
      </c>
    </row>
    <row r="6688" spans="6:10" x14ac:dyDescent="0.25">
      <c r="F6688" s="76" t="s">
        <v>150</v>
      </c>
      <c r="G6688" s="77" t="s">
        <v>298</v>
      </c>
      <c r="H6688" s="77" t="s">
        <v>267</v>
      </c>
      <c r="I6688" s="86">
        <v>41830</v>
      </c>
      <c r="J6688" s="78">
        <v>860</v>
      </c>
    </row>
    <row r="6689" spans="6:10" x14ac:dyDescent="0.25">
      <c r="F6689" s="76" t="s">
        <v>150</v>
      </c>
      <c r="G6689" s="77" t="s">
        <v>298</v>
      </c>
      <c r="H6689" s="77" t="s">
        <v>267</v>
      </c>
      <c r="I6689" s="86">
        <v>41831</v>
      </c>
      <c r="J6689" s="78">
        <v>1134</v>
      </c>
    </row>
    <row r="6690" spans="6:10" x14ac:dyDescent="0.25">
      <c r="F6690" s="76" t="s">
        <v>150</v>
      </c>
      <c r="G6690" s="77" t="s">
        <v>298</v>
      </c>
      <c r="H6690" s="77" t="s">
        <v>267</v>
      </c>
      <c r="I6690" s="86">
        <v>41835</v>
      </c>
      <c r="J6690" s="78">
        <v>1186</v>
      </c>
    </row>
    <row r="6691" spans="6:10" x14ac:dyDescent="0.25">
      <c r="F6691" s="76" t="s">
        <v>150</v>
      </c>
      <c r="G6691" s="77" t="s">
        <v>298</v>
      </c>
      <c r="H6691" s="77" t="s">
        <v>267</v>
      </c>
      <c r="I6691" s="86">
        <v>41836</v>
      </c>
      <c r="J6691" s="78">
        <v>1411</v>
      </c>
    </row>
    <row r="6692" spans="6:10" x14ac:dyDescent="0.25">
      <c r="F6692" s="76" t="s">
        <v>150</v>
      </c>
      <c r="G6692" s="77" t="s">
        <v>298</v>
      </c>
      <c r="H6692" s="77" t="s">
        <v>267</v>
      </c>
      <c r="I6692" s="86">
        <v>41838</v>
      </c>
      <c r="J6692" s="78">
        <v>1190</v>
      </c>
    </row>
    <row r="6693" spans="6:10" x14ac:dyDescent="0.25">
      <c r="F6693" s="76" t="s">
        <v>150</v>
      </c>
      <c r="G6693" s="77" t="s">
        <v>298</v>
      </c>
      <c r="H6693" s="77" t="s">
        <v>267</v>
      </c>
      <c r="I6693" s="86">
        <v>41838</v>
      </c>
      <c r="J6693" s="78">
        <v>378</v>
      </c>
    </row>
    <row r="6694" spans="6:10" x14ac:dyDescent="0.25">
      <c r="F6694" s="76" t="s">
        <v>150</v>
      </c>
      <c r="G6694" s="77" t="s">
        <v>298</v>
      </c>
      <c r="H6694" s="77" t="s">
        <v>267</v>
      </c>
      <c r="I6694" s="86">
        <v>41839</v>
      </c>
      <c r="J6694" s="78">
        <v>903</v>
      </c>
    </row>
    <row r="6695" spans="6:10" x14ac:dyDescent="0.25">
      <c r="F6695" s="76" t="s">
        <v>150</v>
      </c>
      <c r="G6695" s="77" t="s">
        <v>298</v>
      </c>
      <c r="H6695" s="77" t="s">
        <v>267</v>
      </c>
      <c r="I6695" s="86">
        <v>41840</v>
      </c>
      <c r="J6695" s="78">
        <v>640</v>
      </c>
    </row>
    <row r="6696" spans="6:10" x14ac:dyDescent="0.25">
      <c r="F6696" s="76" t="s">
        <v>150</v>
      </c>
      <c r="G6696" s="77" t="s">
        <v>298</v>
      </c>
      <c r="H6696" s="77" t="s">
        <v>267</v>
      </c>
      <c r="I6696" s="86">
        <v>41841</v>
      </c>
      <c r="J6696" s="78">
        <v>667</v>
      </c>
    </row>
    <row r="6697" spans="6:10" x14ac:dyDescent="0.25">
      <c r="F6697" s="76" t="s">
        <v>150</v>
      </c>
      <c r="G6697" s="77" t="s">
        <v>298</v>
      </c>
      <c r="H6697" s="77" t="s">
        <v>267</v>
      </c>
      <c r="I6697" s="86">
        <v>41842</v>
      </c>
      <c r="J6697" s="78">
        <v>697</v>
      </c>
    </row>
    <row r="6698" spans="6:10" x14ac:dyDescent="0.25">
      <c r="F6698" s="76" t="s">
        <v>150</v>
      </c>
      <c r="G6698" s="77" t="s">
        <v>298</v>
      </c>
      <c r="H6698" s="77" t="s">
        <v>267</v>
      </c>
      <c r="I6698" s="86">
        <v>41843</v>
      </c>
      <c r="J6698" s="78">
        <v>982</v>
      </c>
    </row>
    <row r="6699" spans="6:10" x14ac:dyDescent="0.25">
      <c r="F6699" s="76" t="s">
        <v>150</v>
      </c>
      <c r="G6699" s="77" t="s">
        <v>298</v>
      </c>
      <c r="H6699" s="77" t="s">
        <v>267</v>
      </c>
      <c r="I6699" s="86">
        <v>41845</v>
      </c>
      <c r="J6699" s="78">
        <v>835</v>
      </c>
    </row>
    <row r="6700" spans="6:10" x14ac:dyDescent="0.25">
      <c r="F6700" s="76" t="s">
        <v>150</v>
      </c>
      <c r="G6700" s="77" t="s">
        <v>298</v>
      </c>
      <c r="H6700" s="77" t="s">
        <v>267</v>
      </c>
      <c r="I6700" s="86">
        <v>41848</v>
      </c>
      <c r="J6700" s="78">
        <v>780</v>
      </c>
    </row>
    <row r="6701" spans="6:10" x14ac:dyDescent="0.25">
      <c r="F6701" s="76" t="s">
        <v>150</v>
      </c>
      <c r="G6701" s="77" t="s">
        <v>298</v>
      </c>
      <c r="H6701" s="77" t="s">
        <v>267</v>
      </c>
      <c r="I6701" s="86">
        <v>41850</v>
      </c>
      <c r="J6701" s="78">
        <v>966</v>
      </c>
    </row>
    <row r="6702" spans="6:10" x14ac:dyDescent="0.25">
      <c r="F6702" s="76" t="s">
        <v>150</v>
      </c>
      <c r="G6702" s="77" t="s">
        <v>298</v>
      </c>
      <c r="H6702" s="77" t="s">
        <v>267</v>
      </c>
      <c r="I6702" s="86">
        <v>41852</v>
      </c>
      <c r="J6702" s="78">
        <v>940</v>
      </c>
    </row>
    <row r="6703" spans="6:10" x14ac:dyDescent="0.25">
      <c r="F6703" s="76" t="s">
        <v>150</v>
      </c>
      <c r="G6703" s="77" t="s">
        <v>298</v>
      </c>
      <c r="H6703" s="77" t="s">
        <v>267</v>
      </c>
      <c r="I6703" s="86">
        <v>41853</v>
      </c>
      <c r="J6703" s="78">
        <v>442</v>
      </c>
    </row>
    <row r="6704" spans="6:10" x14ac:dyDescent="0.25">
      <c r="F6704" s="76" t="s">
        <v>150</v>
      </c>
      <c r="G6704" s="77" t="s">
        <v>298</v>
      </c>
      <c r="H6704" s="77" t="s">
        <v>267</v>
      </c>
      <c r="I6704" s="86">
        <v>41854</v>
      </c>
      <c r="J6704" s="78">
        <v>670</v>
      </c>
    </row>
    <row r="6705" spans="6:10" x14ac:dyDescent="0.25">
      <c r="F6705" s="76" t="s">
        <v>150</v>
      </c>
      <c r="G6705" s="77" t="s">
        <v>298</v>
      </c>
      <c r="H6705" s="77" t="s">
        <v>267</v>
      </c>
      <c r="I6705" s="86">
        <v>41856</v>
      </c>
      <c r="J6705" s="78">
        <v>674</v>
      </c>
    </row>
    <row r="6706" spans="6:10" x14ac:dyDescent="0.25">
      <c r="F6706" s="76" t="s">
        <v>150</v>
      </c>
      <c r="G6706" s="77" t="s">
        <v>298</v>
      </c>
      <c r="H6706" s="77" t="s">
        <v>267</v>
      </c>
      <c r="I6706" s="86">
        <v>41858</v>
      </c>
      <c r="J6706" s="78">
        <v>996</v>
      </c>
    </row>
    <row r="6707" spans="6:10" x14ac:dyDescent="0.25">
      <c r="F6707" s="76" t="s">
        <v>150</v>
      </c>
      <c r="G6707" s="77" t="s">
        <v>298</v>
      </c>
      <c r="H6707" s="77" t="s">
        <v>267</v>
      </c>
      <c r="I6707" s="86">
        <v>41870</v>
      </c>
      <c r="J6707" s="78">
        <v>1090</v>
      </c>
    </row>
    <row r="6708" spans="6:10" x14ac:dyDescent="0.25">
      <c r="F6708" s="76" t="s">
        <v>150</v>
      </c>
      <c r="G6708" s="77" t="s">
        <v>298</v>
      </c>
      <c r="H6708" s="77" t="s">
        <v>267</v>
      </c>
      <c r="I6708" s="86">
        <v>41871</v>
      </c>
      <c r="J6708" s="78">
        <v>554</v>
      </c>
    </row>
    <row r="6709" spans="6:10" x14ac:dyDescent="0.25">
      <c r="F6709" s="76" t="s">
        <v>150</v>
      </c>
      <c r="G6709" s="77" t="s">
        <v>298</v>
      </c>
      <c r="H6709" s="77" t="s">
        <v>267</v>
      </c>
      <c r="I6709" s="86">
        <v>41872</v>
      </c>
      <c r="J6709" s="78">
        <v>662</v>
      </c>
    </row>
    <row r="6710" spans="6:10" x14ac:dyDescent="0.25">
      <c r="F6710" s="76" t="s">
        <v>150</v>
      </c>
      <c r="G6710" s="77" t="s">
        <v>298</v>
      </c>
      <c r="H6710" s="77" t="s">
        <v>267</v>
      </c>
      <c r="I6710" s="86">
        <v>41873</v>
      </c>
      <c r="J6710" s="78">
        <v>694</v>
      </c>
    </row>
    <row r="6711" spans="6:10" x14ac:dyDescent="0.25">
      <c r="F6711" s="76" t="s">
        <v>150</v>
      </c>
      <c r="G6711" s="77" t="s">
        <v>298</v>
      </c>
      <c r="H6711" s="77" t="s">
        <v>267</v>
      </c>
      <c r="I6711" s="86">
        <v>41875</v>
      </c>
      <c r="J6711" s="78">
        <v>659</v>
      </c>
    </row>
    <row r="6712" spans="6:10" x14ac:dyDescent="0.25">
      <c r="F6712" s="76" t="s">
        <v>150</v>
      </c>
      <c r="G6712" s="77" t="s">
        <v>298</v>
      </c>
      <c r="H6712" s="77" t="s">
        <v>267</v>
      </c>
      <c r="I6712" s="86">
        <v>41876</v>
      </c>
      <c r="J6712" s="78">
        <v>693</v>
      </c>
    </row>
    <row r="6713" spans="6:10" x14ac:dyDescent="0.25">
      <c r="F6713" s="76" t="s">
        <v>150</v>
      </c>
      <c r="G6713" s="77" t="s">
        <v>298</v>
      </c>
      <c r="H6713" s="77" t="s">
        <v>267</v>
      </c>
      <c r="I6713" s="86">
        <v>41877</v>
      </c>
      <c r="J6713" s="78">
        <v>906</v>
      </c>
    </row>
    <row r="6714" spans="6:10" x14ac:dyDescent="0.25">
      <c r="F6714" s="76" t="s">
        <v>150</v>
      </c>
      <c r="G6714" s="77" t="s">
        <v>298</v>
      </c>
      <c r="H6714" s="77" t="s">
        <v>267</v>
      </c>
      <c r="I6714" s="86">
        <v>41878</v>
      </c>
      <c r="J6714" s="78">
        <v>898</v>
      </c>
    </row>
    <row r="6715" spans="6:10" x14ac:dyDescent="0.25">
      <c r="F6715" s="76" t="s">
        <v>150</v>
      </c>
      <c r="G6715" s="77" t="s">
        <v>298</v>
      </c>
      <c r="H6715" s="77" t="s">
        <v>267</v>
      </c>
      <c r="I6715" s="86">
        <v>41879</v>
      </c>
      <c r="J6715" s="78">
        <v>810</v>
      </c>
    </row>
    <row r="6716" spans="6:10" x14ac:dyDescent="0.25">
      <c r="F6716" s="76" t="s">
        <v>150</v>
      </c>
      <c r="G6716" s="77" t="s">
        <v>298</v>
      </c>
      <c r="H6716" s="77" t="s">
        <v>267</v>
      </c>
      <c r="I6716" s="86">
        <v>41880</v>
      </c>
      <c r="J6716" s="78">
        <v>787</v>
      </c>
    </row>
    <row r="6717" spans="6:10" x14ac:dyDescent="0.25">
      <c r="F6717" s="76" t="s">
        <v>150</v>
      </c>
      <c r="G6717" s="77" t="s">
        <v>298</v>
      </c>
      <c r="H6717" s="77" t="s">
        <v>267</v>
      </c>
      <c r="I6717" s="86">
        <v>41882</v>
      </c>
      <c r="J6717" s="78">
        <v>545</v>
      </c>
    </row>
    <row r="6718" spans="6:10" x14ac:dyDescent="0.25">
      <c r="F6718" s="76" t="s">
        <v>150</v>
      </c>
      <c r="G6718" s="77" t="s">
        <v>298</v>
      </c>
      <c r="H6718" s="77" t="s">
        <v>267</v>
      </c>
      <c r="I6718" s="86">
        <v>41883</v>
      </c>
      <c r="J6718" s="78">
        <v>1166</v>
      </c>
    </row>
    <row r="6719" spans="6:10" x14ac:dyDescent="0.25">
      <c r="F6719" s="76" t="s">
        <v>150</v>
      </c>
      <c r="G6719" s="77" t="s">
        <v>298</v>
      </c>
      <c r="H6719" s="77" t="s">
        <v>267</v>
      </c>
      <c r="I6719" s="86">
        <v>41883</v>
      </c>
      <c r="J6719" s="78">
        <v>686</v>
      </c>
    </row>
    <row r="6720" spans="6:10" x14ac:dyDescent="0.25">
      <c r="F6720" s="76" t="s">
        <v>150</v>
      </c>
      <c r="G6720" s="77" t="s">
        <v>298</v>
      </c>
      <c r="H6720" s="77" t="s">
        <v>267</v>
      </c>
      <c r="I6720" s="86">
        <v>41884</v>
      </c>
      <c r="J6720" s="78">
        <v>741</v>
      </c>
    </row>
    <row r="6721" spans="6:10" x14ac:dyDescent="0.25">
      <c r="F6721" s="76" t="s">
        <v>150</v>
      </c>
      <c r="G6721" s="77" t="s">
        <v>298</v>
      </c>
      <c r="H6721" s="77" t="s">
        <v>267</v>
      </c>
      <c r="I6721" s="86">
        <v>41884</v>
      </c>
      <c r="J6721" s="78">
        <v>647</v>
      </c>
    </row>
    <row r="6722" spans="6:10" x14ac:dyDescent="0.25">
      <c r="F6722" s="76" t="s">
        <v>150</v>
      </c>
      <c r="G6722" s="77" t="s">
        <v>298</v>
      </c>
      <c r="H6722" s="77" t="s">
        <v>267</v>
      </c>
      <c r="I6722" s="86">
        <v>41889</v>
      </c>
      <c r="J6722" s="78">
        <v>786</v>
      </c>
    </row>
    <row r="6723" spans="6:10" x14ac:dyDescent="0.25">
      <c r="F6723" s="76" t="s">
        <v>150</v>
      </c>
      <c r="G6723" s="77" t="s">
        <v>298</v>
      </c>
      <c r="H6723" s="77" t="s">
        <v>267</v>
      </c>
      <c r="I6723" s="86">
        <v>41893</v>
      </c>
      <c r="J6723" s="78">
        <v>913</v>
      </c>
    </row>
    <row r="6724" spans="6:10" x14ac:dyDescent="0.25">
      <c r="F6724" s="76" t="s">
        <v>150</v>
      </c>
      <c r="G6724" s="77" t="s">
        <v>298</v>
      </c>
      <c r="H6724" s="77" t="s">
        <v>267</v>
      </c>
      <c r="I6724" s="86">
        <v>41894</v>
      </c>
      <c r="J6724" s="78">
        <v>589</v>
      </c>
    </row>
    <row r="6725" spans="6:10" x14ac:dyDescent="0.25">
      <c r="F6725" s="76" t="s">
        <v>150</v>
      </c>
      <c r="G6725" s="77" t="s">
        <v>298</v>
      </c>
      <c r="H6725" s="77" t="s">
        <v>267</v>
      </c>
      <c r="I6725" s="86">
        <v>41894</v>
      </c>
      <c r="J6725" s="78">
        <v>1202</v>
      </c>
    </row>
    <row r="6726" spans="6:10" x14ac:dyDescent="0.25">
      <c r="F6726" s="76" t="s">
        <v>150</v>
      </c>
      <c r="G6726" s="77" t="s">
        <v>298</v>
      </c>
      <c r="H6726" s="77" t="s">
        <v>267</v>
      </c>
      <c r="I6726" s="86">
        <v>41895</v>
      </c>
      <c r="J6726" s="78">
        <v>568</v>
      </c>
    </row>
    <row r="6727" spans="6:10" x14ac:dyDescent="0.25">
      <c r="F6727" s="76" t="s">
        <v>150</v>
      </c>
      <c r="G6727" s="77" t="s">
        <v>298</v>
      </c>
      <c r="H6727" s="77" t="s">
        <v>267</v>
      </c>
      <c r="I6727" s="86">
        <v>41895</v>
      </c>
      <c r="J6727" s="78">
        <v>893</v>
      </c>
    </row>
    <row r="6728" spans="6:10" x14ac:dyDescent="0.25">
      <c r="F6728" s="76" t="s">
        <v>150</v>
      </c>
      <c r="G6728" s="77" t="s">
        <v>298</v>
      </c>
      <c r="H6728" s="77" t="s">
        <v>267</v>
      </c>
      <c r="I6728" s="86">
        <v>41896</v>
      </c>
      <c r="J6728" s="78">
        <v>1060</v>
      </c>
    </row>
    <row r="6729" spans="6:10" x14ac:dyDescent="0.25">
      <c r="F6729" s="76" t="s">
        <v>150</v>
      </c>
      <c r="G6729" s="77" t="s">
        <v>298</v>
      </c>
      <c r="H6729" s="77" t="s">
        <v>267</v>
      </c>
      <c r="I6729" s="86">
        <v>41898</v>
      </c>
      <c r="J6729" s="78">
        <v>1131</v>
      </c>
    </row>
    <row r="6730" spans="6:10" x14ac:dyDescent="0.25">
      <c r="F6730" s="76" t="s">
        <v>150</v>
      </c>
      <c r="G6730" s="77" t="s">
        <v>298</v>
      </c>
      <c r="H6730" s="77" t="s">
        <v>267</v>
      </c>
      <c r="I6730" s="86">
        <v>41899</v>
      </c>
      <c r="J6730" s="78">
        <v>681</v>
      </c>
    </row>
    <row r="6731" spans="6:10" x14ac:dyDescent="0.25">
      <c r="F6731" s="76" t="s">
        <v>150</v>
      </c>
      <c r="G6731" s="77" t="s">
        <v>298</v>
      </c>
      <c r="H6731" s="77" t="s">
        <v>267</v>
      </c>
      <c r="I6731" s="86">
        <v>41899</v>
      </c>
      <c r="J6731" s="78">
        <v>607</v>
      </c>
    </row>
    <row r="6732" spans="6:10" x14ac:dyDescent="0.25">
      <c r="F6732" s="76" t="s">
        <v>150</v>
      </c>
      <c r="G6732" s="77" t="s">
        <v>298</v>
      </c>
      <c r="H6732" s="77" t="s">
        <v>267</v>
      </c>
      <c r="I6732" s="86">
        <v>41900</v>
      </c>
      <c r="J6732" s="78">
        <v>963</v>
      </c>
    </row>
    <row r="6733" spans="6:10" x14ac:dyDescent="0.25">
      <c r="F6733" s="76" t="s">
        <v>150</v>
      </c>
      <c r="G6733" s="77" t="s">
        <v>298</v>
      </c>
      <c r="H6733" s="77" t="s">
        <v>267</v>
      </c>
      <c r="I6733" s="86">
        <v>41901</v>
      </c>
      <c r="J6733" s="78">
        <v>448</v>
      </c>
    </row>
    <row r="6734" spans="6:10" x14ac:dyDescent="0.25">
      <c r="F6734" s="76" t="s">
        <v>150</v>
      </c>
      <c r="G6734" s="77" t="s">
        <v>298</v>
      </c>
      <c r="H6734" s="77" t="s">
        <v>267</v>
      </c>
      <c r="I6734" s="86">
        <v>41903</v>
      </c>
      <c r="J6734" s="78">
        <v>820</v>
      </c>
    </row>
    <row r="6735" spans="6:10" x14ac:dyDescent="0.25">
      <c r="F6735" s="76" t="s">
        <v>150</v>
      </c>
      <c r="G6735" s="77" t="s">
        <v>298</v>
      </c>
      <c r="H6735" s="77" t="s">
        <v>267</v>
      </c>
      <c r="I6735" s="86">
        <v>41904</v>
      </c>
      <c r="J6735" s="78">
        <v>757</v>
      </c>
    </row>
    <row r="6736" spans="6:10" x14ac:dyDescent="0.25">
      <c r="F6736" s="76" t="s">
        <v>150</v>
      </c>
      <c r="G6736" s="77" t="s">
        <v>298</v>
      </c>
      <c r="H6736" s="77" t="s">
        <v>267</v>
      </c>
      <c r="I6736" s="86">
        <v>41905</v>
      </c>
      <c r="J6736" s="78">
        <v>646</v>
      </c>
    </row>
    <row r="6737" spans="6:10" x14ac:dyDescent="0.25">
      <c r="F6737" s="76" t="s">
        <v>150</v>
      </c>
      <c r="G6737" s="77" t="s">
        <v>298</v>
      </c>
      <c r="H6737" s="77" t="s">
        <v>267</v>
      </c>
      <c r="I6737" s="86">
        <v>41906</v>
      </c>
      <c r="J6737" s="78">
        <v>890</v>
      </c>
    </row>
    <row r="6738" spans="6:10" x14ac:dyDescent="0.25">
      <c r="F6738" s="76" t="s">
        <v>150</v>
      </c>
      <c r="G6738" s="77" t="s">
        <v>298</v>
      </c>
      <c r="H6738" s="77" t="s">
        <v>267</v>
      </c>
      <c r="I6738" s="86">
        <v>41908</v>
      </c>
      <c r="J6738" s="78">
        <v>735</v>
      </c>
    </row>
    <row r="6739" spans="6:10" x14ac:dyDescent="0.25">
      <c r="F6739" s="76" t="s">
        <v>150</v>
      </c>
      <c r="G6739" s="77" t="s">
        <v>298</v>
      </c>
      <c r="H6739" s="77" t="s">
        <v>267</v>
      </c>
      <c r="I6739" s="86">
        <v>41926</v>
      </c>
      <c r="J6739" s="78">
        <v>758</v>
      </c>
    </row>
    <row r="6740" spans="6:10" x14ac:dyDescent="0.25">
      <c r="F6740" s="76" t="s">
        <v>150</v>
      </c>
      <c r="G6740" s="77" t="s">
        <v>298</v>
      </c>
      <c r="H6740" s="77" t="s">
        <v>267</v>
      </c>
      <c r="I6740" s="86">
        <v>41927</v>
      </c>
      <c r="J6740" s="78">
        <v>587</v>
      </c>
    </row>
    <row r="6741" spans="6:10" x14ac:dyDescent="0.25">
      <c r="F6741" s="76" t="s">
        <v>150</v>
      </c>
      <c r="G6741" s="77" t="s">
        <v>298</v>
      </c>
      <c r="H6741" s="77" t="s">
        <v>267</v>
      </c>
      <c r="I6741" s="86">
        <v>41929</v>
      </c>
      <c r="J6741" s="78">
        <v>823</v>
      </c>
    </row>
    <row r="6742" spans="6:10" x14ac:dyDescent="0.25">
      <c r="F6742" s="76" t="s">
        <v>150</v>
      </c>
      <c r="G6742" s="77" t="s">
        <v>298</v>
      </c>
      <c r="H6742" s="77" t="s">
        <v>267</v>
      </c>
      <c r="I6742" s="86">
        <v>41929</v>
      </c>
      <c r="J6742" s="78">
        <v>1130</v>
      </c>
    </row>
    <row r="6743" spans="6:10" x14ac:dyDescent="0.25">
      <c r="F6743" s="76" t="s">
        <v>150</v>
      </c>
      <c r="G6743" s="77" t="s">
        <v>298</v>
      </c>
      <c r="H6743" s="77" t="s">
        <v>267</v>
      </c>
      <c r="I6743" s="86">
        <v>41930</v>
      </c>
      <c r="J6743" s="78">
        <v>1145</v>
      </c>
    </row>
    <row r="6744" spans="6:10" x14ac:dyDescent="0.25">
      <c r="F6744" s="76" t="s">
        <v>150</v>
      </c>
      <c r="G6744" s="77" t="s">
        <v>298</v>
      </c>
      <c r="H6744" s="77" t="s">
        <v>267</v>
      </c>
      <c r="I6744" s="86">
        <v>41931</v>
      </c>
      <c r="J6744" s="78">
        <v>1297</v>
      </c>
    </row>
    <row r="6745" spans="6:10" x14ac:dyDescent="0.25">
      <c r="F6745" s="76" t="s">
        <v>150</v>
      </c>
      <c r="G6745" s="77" t="s">
        <v>298</v>
      </c>
      <c r="H6745" s="77" t="s">
        <v>267</v>
      </c>
      <c r="I6745" s="86">
        <v>41932</v>
      </c>
      <c r="J6745" s="78">
        <v>1327</v>
      </c>
    </row>
    <row r="6746" spans="6:10" x14ac:dyDescent="0.25">
      <c r="F6746" s="76" t="s">
        <v>150</v>
      </c>
      <c r="G6746" s="77" t="s">
        <v>298</v>
      </c>
      <c r="H6746" s="77" t="s">
        <v>267</v>
      </c>
      <c r="I6746" s="86">
        <v>41933</v>
      </c>
      <c r="J6746" s="78">
        <v>1282</v>
      </c>
    </row>
    <row r="6747" spans="6:10" x14ac:dyDescent="0.25">
      <c r="F6747" s="76" t="s">
        <v>150</v>
      </c>
      <c r="G6747" s="77" t="s">
        <v>298</v>
      </c>
      <c r="H6747" s="77" t="s">
        <v>267</v>
      </c>
      <c r="I6747" s="86">
        <v>41950</v>
      </c>
      <c r="J6747" s="78">
        <v>936</v>
      </c>
    </row>
    <row r="6748" spans="6:10" x14ac:dyDescent="0.25">
      <c r="F6748" s="76" t="s">
        <v>150</v>
      </c>
      <c r="G6748" s="77" t="s">
        <v>298</v>
      </c>
      <c r="H6748" s="77" t="s">
        <v>267</v>
      </c>
      <c r="I6748" s="86">
        <v>41951</v>
      </c>
      <c r="J6748" s="78">
        <v>448</v>
      </c>
    </row>
    <row r="6749" spans="6:10" x14ac:dyDescent="0.25">
      <c r="F6749" s="76" t="s">
        <v>150</v>
      </c>
      <c r="G6749" s="77" t="s">
        <v>298</v>
      </c>
      <c r="H6749" s="77" t="s">
        <v>267</v>
      </c>
      <c r="I6749" s="86">
        <v>41952</v>
      </c>
      <c r="J6749" s="78">
        <v>826</v>
      </c>
    </row>
    <row r="6750" spans="6:10" x14ac:dyDescent="0.25">
      <c r="F6750" s="76" t="s">
        <v>150</v>
      </c>
      <c r="G6750" s="77" t="s">
        <v>298</v>
      </c>
      <c r="H6750" s="77" t="s">
        <v>267</v>
      </c>
      <c r="I6750" s="86">
        <v>41954</v>
      </c>
      <c r="J6750" s="78">
        <v>771</v>
      </c>
    </row>
    <row r="6751" spans="6:10" x14ac:dyDescent="0.25">
      <c r="F6751" s="76" t="s">
        <v>150</v>
      </c>
      <c r="G6751" s="77" t="s">
        <v>298</v>
      </c>
      <c r="H6751" s="77" t="s">
        <v>267</v>
      </c>
      <c r="I6751" s="86">
        <v>41956</v>
      </c>
      <c r="J6751" s="78">
        <v>568</v>
      </c>
    </row>
    <row r="6752" spans="6:10" x14ac:dyDescent="0.25">
      <c r="F6752" s="76" t="s">
        <v>150</v>
      </c>
      <c r="G6752" s="77" t="s">
        <v>298</v>
      </c>
      <c r="H6752" s="77" t="s">
        <v>267</v>
      </c>
      <c r="I6752" s="86">
        <v>41957</v>
      </c>
      <c r="J6752" s="78">
        <v>635</v>
      </c>
    </row>
    <row r="6753" spans="6:10" x14ac:dyDescent="0.25">
      <c r="F6753" s="76" t="s">
        <v>150</v>
      </c>
      <c r="G6753" s="77" t="s">
        <v>298</v>
      </c>
      <c r="H6753" s="77" t="s">
        <v>267</v>
      </c>
      <c r="I6753" s="86">
        <v>41961</v>
      </c>
      <c r="J6753" s="78">
        <v>960</v>
      </c>
    </row>
    <row r="6754" spans="6:10" x14ac:dyDescent="0.25">
      <c r="F6754" s="76" t="s">
        <v>150</v>
      </c>
      <c r="G6754" s="77" t="s">
        <v>298</v>
      </c>
      <c r="H6754" s="77" t="s">
        <v>267</v>
      </c>
      <c r="I6754" s="86">
        <v>41962</v>
      </c>
      <c r="J6754" s="78">
        <v>581</v>
      </c>
    </row>
    <row r="6755" spans="6:10" x14ac:dyDescent="0.25">
      <c r="F6755" s="76" t="s">
        <v>150</v>
      </c>
      <c r="G6755" s="77" t="s">
        <v>298</v>
      </c>
      <c r="H6755" s="77" t="s">
        <v>267</v>
      </c>
      <c r="I6755" s="86">
        <v>41964</v>
      </c>
      <c r="J6755" s="78">
        <v>1029</v>
      </c>
    </row>
    <row r="6756" spans="6:10" x14ac:dyDescent="0.25">
      <c r="F6756" s="76" t="s">
        <v>150</v>
      </c>
      <c r="G6756" s="77" t="s">
        <v>298</v>
      </c>
      <c r="H6756" s="77" t="s">
        <v>267</v>
      </c>
      <c r="I6756" s="86">
        <v>41968</v>
      </c>
      <c r="J6756" s="78">
        <v>1108</v>
      </c>
    </row>
    <row r="6757" spans="6:10" x14ac:dyDescent="0.25">
      <c r="F6757" s="76" t="s">
        <v>150</v>
      </c>
      <c r="G6757" s="77" t="s">
        <v>298</v>
      </c>
      <c r="H6757" s="77" t="s">
        <v>267</v>
      </c>
      <c r="I6757" s="86">
        <v>41969</v>
      </c>
      <c r="J6757" s="78">
        <v>548</v>
      </c>
    </row>
    <row r="6758" spans="6:10" x14ac:dyDescent="0.25">
      <c r="F6758" s="76" t="s">
        <v>150</v>
      </c>
      <c r="G6758" s="77" t="s">
        <v>298</v>
      </c>
      <c r="H6758" s="77" t="s">
        <v>267</v>
      </c>
      <c r="I6758" s="86">
        <v>41970</v>
      </c>
      <c r="J6758" s="78">
        <v>969</v>
      </c>
    </row>
    <row r="6759" spans="6:10" x14ac:dyDescent="0.25">
      <c r="F6759" s="76" t="s">
        <v>150</v>
      </c>
      <c r="G6759" s="77" t="s">
        <v>298</v>
      </c>
      <c r="H6759" s="77" t="s">
        <v>267</v>
      </c>
      <c r="I6759" s="86">
        <v>41970</v>
      </c>
      <c r="J6759" s="78">
        <v>735</v>
      </c>
    </row>
    <row r="6760" spans="6:10" x14ac:dyDescent="0.25">
      <c r="F6760" s="76" t="s">
        <v>150</v>
      </c>
      <c r="G6760" s="77" t="s">
        <v>298</v>
      </c>
      <c r="H6760" s="77" t="s">
        <v>267</v>
      </c>
      <c r="I6760" s="86">
        <v>41971</v>
      </c>
      <c r="J6760" s="78">
        <v>1182</v>
      </c>
    </row>
    <row r="6761" spans="6:10" x14ac:dyDescent="0.25">
      <c r="F6761" s="76" t="s">
        <v>150</v>
      </c>
      <c r="G6761" s="77" t="s">
        <v>298</v>
      </c>
      <c r="H6761" s="77" t="s">
        <v>267</v>
      </c>
      <c r="I6761" s="86">
        <v>41973</v>
      </c>
      <c r="J6761" s="78">
        <v>845</v>
      </c>
    </row>
    <row r="6762" spans="6:10" x14ac:dyDescent="0.25">
      <c r="F6762" s="76" t="s">
        <v>150</v>
      </c>
      <c r="G6762" s="77" t="s">
        <v>298</v>
      </c>
      <c r="H6762" s="77" t="s">
        <v>267</v>
      </c>
      <c r="I6762" s="86">
        <v>41974</v>
      </c>
      <c r="J6762" s="78">
        <v>1188</v>
      </c>
    </row>
    <row r="6763" spans="6:10" x14ac:dyDescent="0.25">
      <c r="F6763" s="76" t="s">
        <v>150</v>
      </c>
      <c r="G6763" s="77" t="s">
        <v>298</v>
      </c>
      <c r="H6763" s="77" t="s">
        <v>267</v>
      </c>
      <c r="I6763" s="86">
        <v>41975</v>
      </c>
      <c r="J6763" s="78">
        <v>934</v>
      </c>
    </row>
    <row r="6764" spans="6:10" x14ac:dyDescent="0.25">
      <c r="F6764" s="76" t="s">
        <v>150</v>
      </c>
      <c r="G6764" s="77" t="s">
        <v>298</v>
      </c>
      <c r="H6764" s="77" t="s">
        <v>267</v>
      </c>
      <c r="I6764" s="86">
        <v>41975</v>
      </c>
      <c r="J6764" s="78">
        <v>255</v>
      </c>
    </row>
    <row r="6765" spans="6:10" x14ac:dyDescent="0.25">
      <c r="F6765" s="76" t="s">
        <v>150</v>
      </c>
      <c r="G6765" s="77" t="s">
        <v>299</v>
      </c>
      <c r="H6765" s="77" t="s">
        <v>267</v>
      </c>
      <c r="I6765" s="86">
        <v>41681</v>
      </c>
      <c r="J6765" s="78">
        <v>954</v>
      </c>
    </row>
    <row r="6766" spans="6:10" x14ac:dyDescent="0.25">
      <c r="F6766" s="76" t="s">
        <v>150</v>
      </c>
      <c r="G6766" s="77" t="s">
        <v>299</v>
      </c>
      <c r="H6766" s="77" t="s">
        <v>267</v>
      </c>
      <c r="I6766" s="86">
        <v>41683</v>
      </c>
      <c r="J6766" s="78">
        <v>1197</v>
      </c>
    </row>
    <row r="6767" spans="6:10" x14ac:dyDescent="0.25">
      <c r="F6767" s="76" t="s">
        <v>150</v>
      </c>
      <c r="G6767" s="77" t="s">
        <v>299</v>
      </c>
      <c r="H6767" s="77" t="s">
        <v>267</v>
      </c>
      <c r="I6767" s="86">
        <v>41690</v>
      </c>
      <c r="J6767" s="78">
        <v>1221</v>
      </c>
    </row>
    <row r="6768" spans="6:10" x14ac:dyDescent="0.25">
      <c r="F6768" s="76" t="s">
        <v>150</v>
      </c>
      <c r="G6768" s="77" t="s">
        <v>299</v>
      </c>
      <c r="H6768" s="77" t="s">
        <v>267</v>
      </c>
      <c r="I6768" s="86">
        <v>41738</v>
      </c>
      <c r="J6768" s="78">
        <v>649</v>
      </c>
    </row>
    <row r="6769" spans="6:10" x14ac:dyDescent="0.25">
      <c r="F6769" s="76" t="s">
        <v>150</v>
      </c>
      <c r="G6769" s="77" t="s">
        <v>299</v>
      </c>
      <c r="H6769" s="77" t="s">
        <v>267</v>
      </c>
      <c r="I6769" s="86">
        <v>41740</v>
      </c>
      <c r="J6769" s="78">
        <v>828</v>
      </c>
    </row>
    <row r="6770" spans="6:10" x14ac:dyDescent="0.25">
      <c r="F6770" s="76" t="s">
        <v>150</v>
      </c>
      <c r="G6770" s="77" t="s">
        <v>299</v>
      </c>
      <c r="H6770" s="77" t="s">
        <v>267</v>
      </c>
      <c r="I6770" s="86">
        <v>41744</v>
      </c>
      <c r="J6770" s="78">
        <v>1185</v>
      </c>
    </row>
    <row r="6771" spans="6:10" x14ac:dyDescent="0.25">
      <c r="F6771" s="76" t="s">
        <v>150</v>
      </c>
      <c r="G6771" s="77" t="s">
        <v>299</v>
      </c>
      <c r="H6771" s="77" t="s">
        <v>267</v>
      </c>
      <c r="I6771" s="86">
        <v>41748</v>
      </c>
      <c r="J6771" s="78">
        <v>820</v>
      </c>
    </row>
    <row r="6772" spans="6:10" x14ac:dyDescent="0.25">
      <c r="F6772" s="76" t="s">
        <v>150</v>
      </c>
      <c r="G6772" s="77" t="s">
        <v>299</v>
      </c>
      <c r="H6772" s="77" t="s">
        <v>267</v>
      </c>
      <c r="I6772" s="86">
        <v>41748</v>
      </c>
      <c r="J6772" s="78">
        <v>704</v>
      </c>
    </row>
    <row r="6773" spans="6:10" x14ac:dyDescent="0.25">
      <c r="F6773" s="76" t="s">
        <v>150</v>
      </c>
      <c r="G6773" s="77" t="s">
        <v>299</v>
      </c>
      <c r="H6773" s="77" t="s">
        <v>267</v>
      </c>
      <c r="I6773" s="86">
        <v>41749</v>
      </c>
      <c r="J6773" s="78">
        <v>915</v>
      </c>
    </row>
    <row r="6774" spans="6:10" x14ac:dyDescent="0.25">
      <c r="F6774" s="76" t="s">
        <v>150</v>
      </c>
      <c r="G6774" s="77" t="s">
        <v>299</v>
      </c>
      <c r="H6774" s="77" t="s">
        <v>267</v>
      </c>
      <c r="I6774" s="86">
        <v>41751</v>
      </c>
      <c r="J6774" s="78">
        <v>1334</v>
      </c>
    </row>
    <row r="6775" spans="6:10" x14ac:dyDescent="0.25">
      <c r="F6775" s="76" t="s">
        <v>150</v>
      </c>
      <c r="G6775" s="77" t="s">
        <v>299</v>
      </c>
      <c r="H6775" s="77" t="s">
        <v>267</v>
      </c>
      <c r="I6775" s="86">
        <v>41760</v>
      </c>
      <c r="J6775" s="78">
        <v>939</v>
      </c>
    </row>
    <row r="6776" spans="6:10" x14ac:dyDescent="0.25">
      <c r="F6776" s="76" t="s">
        <v>150</v>
      </c>
      <c r="G6776" s="77" t="s">
        <v>299</v>
      </c>
      <c r="H6776" s="77" t="s">
        <v>267</v>
      </c>
      <c r="I6776" s="86">
        <v>41761</v>
      </c>
      <c r="J6776" s="78">
        <v>659</v>
      </c>
    </row>
    <row r="6777" spans="6:10" x14ac:dyDescent="0.25">
      <c r="F6777" s="76" t="s">
        <v>150</v>
      </c>
      <c r="G6777" s="77" t="s">
        <v>299</v>
      </c>
      <c r="H6777" s="77" t="s">
        <v>267</v>
      </c>
      <c r="I6777" s="86">
        <v>41762</v>
      </c>
      <c r="J6777" s="78">
        <v>845</v>
      </c>
    </row>
    <row r="6778" spans="6:10" x14ac:dyDescent="0.25">
      <c r="F6778" s="76" t="s">
        <v>150</v>
      </c>
      <c r="G6778" s="77" t="s">
        <v>299</v>
      </c>
      <c r="H6778" s="77" t="s">
        <v>267</v>
      </c>
      <c r="I6778" s="86">
        <v>41762</v>
      </c>
      <c r="J6778" s="78">
        <v>600</v>
      </c>
    </row>
    <row r="6779" spans="6:10" x14ac:dyDescent="0.25">
      <c r="F6779" s="76" t="s">
        <v>150</v>
      </c>
      <c r="G6779" s="77" t="s">
        <v>299</v>
      </c>
      <c r="H6779" s="77" t="s">
        <v>267</v>
      </c>
      <c r="I6779" s="86">
        <v>41763</v>
      </c>
      <c r="J6779" s="78">
        <v>1063</v>
      </c>
    </row>
    <row r="6780" spans="6:10" x14ac:dyDescent="0.25">
      <c r="F6780" s="76" t="s">
        <v>150</v>
      </c>
      <c r="G6780" s="77" t="s">
        <v>299</v>
      </c>
      <c r="H6780" s="77" t="s">
        <v>267</v>
      </c>
      <c r="I6780" s="86">
        <v>41776</v>
      </c>
      <c r="J6780" s="78">
        <v>1007</v>
      </c>
    </row>
    <row r="6781" spans="6:10" x14ac:dyDescent="0.25">
      <c r="F6781" s="76" t="s">
        <v>150</v>
      </c>
      <c r="G6781" s="77" t="s">
        <v>299</v>
      </c>
      <c r="H6781" s="77" t="s">
        <v>267</v>
      </c>
      <c r="I6781" s="86">
        <v>41777</v>
      </c>
      <c r="J6781" s="78">
        <v>1058</v>
      </c>
    </row>
    <row r="6782" spans="6:10" x14ac:dyDescent="0.25">
      <c r="F6782" s="76" t="s">
        <v>150</v>
      </c>
      <c r="G6782" s="77" t="s">
        <v>299</v>
      </c>
      <c r="H6782" s="77" t="s">
        <v>267</v>
      </c>
      <c r="I6782" s="86">
        <v>41779</v>
      </c>
      <c r="J6782" s="78">
        <v>1312</v>
      </c>
    </row>
    <row r="6783" spans="6:10" x14ac:dyDescent="0.25">
      <c r="F6783" s="76" t="s">
        <v>150</v>
      </c>
      <c r="G6783" s="77" t="s">
        <v>299</v>
      </c>
      <c r="H6783" s="77" t="s">
        <v>267</v>
      </c>
      <c r="I6783" s="86">
        <v>41801</v>
      </c>
      <c r="J6783" s="78">
        <v>854</v>
      </c>
    </row>
    <row r="6784" spans="6:10" x14ac:dyDescent="0.25">
      <c r="F6784" s="76" t="s">
        <v>150</v>
      </c>
      <c r="G6784" s="77" t="s">
        <v>299</v>
      </c>
      <c r="H6784" s="77" t="s">
        <v>267</v>
      </c>
      <c r="I6784" s="86">
        <v>41802</v>
      </c>
      <c r="J6784" s="78">
        <v>834</v>
      </c>
    </row>
    <row r="6785" spans="6:10" x14ac:dyDescent="0.25">
      <c r="F6785" s="76" t="s">
        <v>150</v>
      </c>
      <c r="G6785" s="77" t="s">
        <v>299</v>
      </c>
      <c r="H6785" s="77" t="s">
        <v>267</v>
      </c>
      <c r="I6785" s="86">
        <v>41803</v>
      </c>
      <c r="J6785" s="78">
        <v>1462</v>
      </c>
    </row>
    <row r="6786" spans="6:10" x14ac:dyDescent="0.25">
      <c r="F6786" s="76" t="s">
        <v>150</v>
      </c>
      <c r="G6786" s="77" t="s">
        <v>299</v>
      </c>
      <c r="H6786" s="77" t="s">
        <v>267</v>
      </c>
      <c r="I6786" s="86">
        <v>41813</v>
      </c>
      <c r="J6786" s="78">
        <v>942</v>
      </c>
    </row>
    <row r="6787" spans="6:10" x14ac:dyDescent="0.25">
      <c r="F6787" s="76" t="s">
        <v>150</v>
      </c>
      <c r="G6787" s="77" t="s">
        <v>299</v>
      </c>
      <c r="H6787" s="77" t="s">
        <v>267</v>
      </c>
      <c r="I6787" s="86">
        <v>41814</v>
      </c>
      <c r="J6787" s="78">
        <v>580</v>
      </c>
    </row>
    <row r="6788" spans="6:10" x14ac:dyDescent="0.25">
      <c r="F6788" s="76" t="s">
        <v>150</v>
      </c>
      <c r="G6788" s="77" t="s">
        <v>299</v>
      </c>
      <c r="H6788" s="77" t="s">
        <v>267</v>
      </c>
      <c r="I6788" s="86">
        <v>41815</v>
      </c>
      <c r="J6788" s="78">
        <v>759</v>
      </c>
    </row>
    <row r="6789" spans="6:10" x14ac:dyDescent="0.25">
      <c r="F6789" s="76" t="s">
        <v>150</v>
      </c>
      <c r="G6789" s="77" t="s">
        <v>299</v>
      </c>
      <c r="H6789" s="77" t="s">
        <v>267</v>
      </c>
      <c r="I6789" s="86">
        <v>41816</v>
      </c>
      <c r="J6789" s="78">
        <v>590</v>
      </c>
    </row>
    <row r="6790" spans="6:10" x14ac:dyDescent="0.25">
      <c r="F6790" s="76" t="s">
        <v>150</v>
      </c>
      <c r="G6790" s="77" t="s">
        <v>299</v>
      </c>
      <c r="H6790" s="77" t="s">
        <v>267</v>
      </c>
      <c r="I6790" s="86">
        <v>41820</v>
      </c>
      <c r="J6790" s="78">
        <v>756</v>
      </c>
    </row>
    <row r="6791" spans="6:10" x14ac:dyDescent="0.25">
      <c r="F6791" s="76" t="s">
        <v>150</v>
      </c>
      <c r="G6791" s="77" t="s">
        <v>299</v>
      </c>
      <c r="H6791" s="77" t="s">
        <v>267</v>
      </c>
      <c r="I6791" s="86">
        <v>41822</v>
      </c>
      <c r="J6791" s="78">
        <v>1018</v>
      </c>
    </row>
    <row r="6792" spans="6:10" x14ac:dyDescent="0.25">
      <c r="F6792" s="76" t="s">
        <v>150</v>
      </c>
      <c r="G6792" s="77" t="s">
        <v>299</v>
      </c>
      <c r="H6792" s="77" t="s">
        <v>267</v>
      </c>
      <c r="I6792" s="86">
        <v>41871</v>
      </c>
      <c r="J6792" s="78">
        <v>1121</v>
      </c>
    </row>
    <row r="6793" spans="6:10" x14ac:dyDescent="0.25">
      <c r="F6793" s="76" t="s">
        <v>150</v>
      </c>
      <c r="G6793" s="77" t="s">
        <v>299</v>
      </c>
      <c r="H6793" s="77" t="s">
        <v>267</v>
      </c>
      <c r="I6793" s="86">
        <v>41880</v>
      </c>
      <c r="J6793" s="78">
        <v>785</v>
      </c>
    </row>
    <row r="6794" spans="6:10" x14ac:dyDescent="0.25">
      <c r="F6794" s="76" t="s">
        <v>150</v>
      </c>
      <c r="G6794" s="77" t="s">
        <v>299</v>
      </c>
      <c r="H6794" s="77" t="s">
        <v>267</v>
      </c>
      <c r="I6794" s="86">
        <v>41882</v>
      </c>
      <c r="J6794" s="78">
        <v>1274</v>
      </c>
    </row>
    <row r="6795" spans="6:10" x14ac:dyDescent="0.25">
      <c r="F6795" s="76" t="s">
        <v>150</v>
      </c>
      <c r="G6795" s="77" t="s">
        <v>299</v>
      </c>
      <c r="H6795" s="77" t="s">
        <v>267</v>
      </c>
      <c r="I6795" s="86">
        <v>41883</v>
      </c>
      <c r="J6795" s="78">
        <v>1152</v>
      </c>
    </row>
    <row r="6796" spans="6:10" x14ac:dyDescent="0.25">
      <c r="F6796" s="76" t="s">
        <v>150</v>
      </c>
      <c r="G6796" s="77" t="s">
        <v>299</v>
      </c>
      <c r="H6796" s="77" t="s">
        <v>267</v>
      </c>
      <c r="I6796" s="86">
        <v>41884</v>
      </c>
      <c r="J6796" s="78">
        <v>1012</v>
      </c>
    </row>
    <row r="6797" spans="6:10" x14ac:dyDescent="0.25">
      <c r="F6797" s="76" t="s">
        <v>150</v>
      </c>
      <c r="G6797" s="77" t="s">
        <v>299</v>
      </c>
      <c r="H6797" s="77" t="s">
        <v>267</v>
      </c>
      <c r="I6797" s="86">
        <v>41885</v>
      </c>
      <c r="J6797" s="78">
        <v>1028</v>
      </c>
    </row>
    <row r="6798" spans="6:10" x14ac:dyDescent="0.25">
      <c r="F6798" s="76" t="s">
        <v>150</v>
      </c>
      <c r="G6798" s="77" t="s">
        <v>299</v>
      </c>
      <c r="H6798" s="77" t="s">
        <v>267</v>
      </c>
      <c r="I6798" s="86">
        <v>41886</v>
      </c>
      <c r="J6798" s="78">
        <v>692</v>
      </c>
    </row>
    <row r="6799" spans="6:10" x14ac:dyDescent="0.25">
      <c r="F6799" s="76" t="s">
        <v>150</v>
      </c>
      <c r="G6799" s="77" t="s">
        <v>299</v>
      </c>
      <c r="H6799" s="77" t="s">
        <v>267</v>
      </c>
      <c r="I6799" s="86">
        <v>41886</v>
      </c>
      <c r="J6799" s="78">
        <v>727</v>
      </c>
    </row>
    <row r="6800" spans="6:10" x14ac:dyDescent="0.25">
      <c r="F6800" s="76" t="s">
        <v>150</v>
      </c>
      <c r="G6800" s="77" t="s">
        <v>299</v>
      </c>
      <c r="H6800" s="77" t="s">
        <v>267</v>
      </c>
      <c r="I6800" s="86">
        <v>41887</v>
      </c>
      <c r="J6800" s="78">
        <v>1028</v>
      </c>
    </row>
    <row r="6801" spans="6:10" x14ac:dyDescent="0.25">
      <c r="F6801" s="76" t="s">
        <v>150</v>
      </c>
      <c r="G6801" s="77" t="s">
        <v>299</v>
      </c>
      <c r="H6801" s="77" t="s">
        <v>267</v>
      </c>
      <c r="I6801" s="86">
        <v>41889</v>
      </c>
      <c r="J6801" s="78">
        <v>508</v>
      </c>
    </row>
    <row r="6802" spans="6:10" x14ac:dyDescent="0.25">
      <c r="F6802" s="76" t="s">
        <v>150</v>
      </c>
      <c r="G6802" s="77" t="s">
        <v>299</v>
      </c>
      <c r="H6802" s="77" t="s">
        <v>267</v>
      </c>
      <c r="I6802" s="86">
        <v>41889</v>
      </c>
      <c r="J6802" s="78">
        <v>633</v>
      </c>
    </row>
    <row r="6803" spans="6:10" x14ac:dyDescent="0.25">
      <c r="F6803" s="76" t="s">
        <v>150</v>
      </c>
      <c r="G6803" s="77" t="s">
        <v>299</v>
      </c>
      <c r="H6803" s="77" t="s">
        <v>267</v>
      </c>
      <c r="I6803" s="86">
        <v>41892</v>
      </c>
      <c r="J6803" s="78">
        <v>898</v>
      </c>
    </row>
    <row r="6804" spans="6:10" x14ac:dyDescent="0.25">
      <c r="F6804" s="76" t="s">
        <v>150</v>
      </c>
      <c r="G6804" s="77" t="s">
        <v>299</v>
      </c>
      <c r="H6804" s="77" t="s">
        <v>267</v>
      </c>
      <c r="I6804" s="86">
        <v>41893</v>
      </c>
      <c r="J6804" s="78">
        <v>967</v>
      </c>
    </row>
    <row r="6805" spans="6:10" x14ac:dyDescent="0.25">
      <c r="F6805" s="76" t="s">
        <v>150</v>
      </c>
      <c r="G6805" s="77" t="s">
        <v>299</v>
      </c>
      <c r="H6805" s="77" t="s">
        <v>267</v>
      </c>
      <c r="I6805" s="86">
        <v>41899</v>
      </c>
      <c r="J6805" s="78">
        <v>1030</v>
      </c>
    </row>
    <row r="6806" spans="6:10" x14ac:dyDescent="0.25">
      <c r="F6806" s="76" t="s">
        <v>150</v>
      </c>
      <c r="G6806" s="77" t="s">
        <v>299</v>
      </c>
      <c r="H6806" s="77" t="s">
        <v>267</v>
      </c>
      <c r="I6806" s="86">
        <v>41900</v>
      </c>
      <c r="J6806" s="78">
        <v>436</v>
      </c>
    </row>
    <row r="6807" spans="6:10" x14ac:dyDescent="0.25">
      <c r="F6807" s="76" t="s">
        <v>150</v>
      </c>
      <c r="G6807" s="77" t="s">
        <v>299</v>
      </c>
      <c r="H6807" s="77" t="s">
        <v>267</v>
      </c>
      <c r="I6807" s="86">
        <v>41902</v>
      </c>
      <c r="J6807" s="78">
        <v>853</v>
      </c>
    </row>
    <row r="6808" spans="6:10" x14ac:dyDescent="0.25">
      <c r="F6808" s="76" t="s">
        <v>150</v>
      </c>
      <c r="G6808" s="77" t="s">
        <v>299</v>
      </c>
      <c r="H6808" s="77" t="s">
        <v>267</v>
      </c>
      <c r="I6808" s="86">
        <v>41903</v>
      </c>
      <c r="J6808" s="78">
        <v>493</v>
      </c>
    </row>
    <row r="6809" spans="6:10" x14ac:dyDescent="0.25">
      <c r="F6809" s="76" t="s">
        <v>150</v>
      </c>
      <c r="G6809" s="77" t="s">
        <v>299</v>
      </c>
      <c r="H6809" s="77" t="s">
        <v>267</v>
      </c>
      <c r="I6809" s="86">
        <v>41904</v>
      </c>
      <c r="J6809" s="78">
        <v>927</v>
      </c>
    </row>
    <row r="6810" spans="6:10" x14ac:dyDescent="0.25">
      <c r="F6810" s="76" t="s">
        <v>150</v>
      </c>
      <c r="G6810" s="77" t="s">
        <v>299</v>
      </c>
      <c r="H6810" s="77" t="s">
        <v>267</v>
      </c>
      <c r="I6810" s="86">
        <v>41909</v>
      </c>
      <c r="J6810" s="78">
        <v>947</v>
      </c>
    </row>
    <row r="6811" spans="6:10" x14ac:dyDescent="0.25">
      <c r="F6811" s="76" t="s">
        <v>150</v>
      </c>
      <c r="G6811" s="77" t="s">
        <v>299</v>
      </c>
      <c r="H6811" s="77" t="s">
        <v>267</v>
      </c>
      <c r="I6811" s="86">
        <v>41909</v>
      </c>
      <c r="J6811" s="78">
        <v>876</v>
      </c>
    </row>
    <row r="6812" spans="6:10" x14ac:dyDescent="0.25">
      <c r="F6812" s="76" t="s">
        <v>150</v>
      </c>
      <c r="G6812" s="77" t="s">
        <v>299</v>
      </c>
      <c r="H6812" s="77" t="s">
        <v>267</v>
      </c>
      <c r="I6812" s="86">
        <v>41936</v>
      </c>
      <c r="J6812" s="78">
        <v>530</v>
      </c>
    </row>
    <row r="6813" spans="6:10" x14ac:dyDescent="0.25">
      <c r="F6813" s="76" t="s">
        <v>150</v>
      </c>
      <c r="G6813" s="77" t="s">
        <v>299</v>
      </c>
      <c r="H6813" s="77" t="s">
        <v>267</v>
      </c>
      <c r="I6813" s="86">
        <v>41942</v>
      </c>
      <c r="J6813" s="78">
        <v>839</v>
      </c>
    </row>
    <row r="6814" spans="6:10" x14ac:dyDescent="0.25">
      <c r="F6814" s="76" t="s">
        <v>150</v>
      </c>
      <c r="G6814" s="77" t="s">
        <v>299</v>
      </c>
      <c r="H6814" s="77" t="s">
        <v>267</v>
      </c>
      <c r="I6814" s="86">
        <v>41943</v>
      </c>
      <c r="J6814" s="78">
        <v>911</v>
      </c>
    </row>
    <row r="6815" spans="6:10" x14ac:dyDescent="0.25">
      <c r="F6815" s="76" t="s">
        <v>150</v>
      </c>
      <c r="G6815" s="77" t="s">
        <v>299</v>
      </c>
      <c r="H6815" s="77" t="s">
        <v>267</v>
      </c>
      <c r="I6815" s="86">
        <v>41948</v>
      </c>
      <c r="J6815" s="78">
        <v>894</v>
      </c>
    </row>
    <row r="6816" spans="6:10" x14ac:dyDescent="0.25">
      <c r="F6816" s="76" t="s">
        <v>150</v>
      </c>
      <c r="G6816" s="77" t="s">
        <v>299</v>
      </c>
      <c r="H6816" s="77" t="s">
        <v>267</v>
      </c>
      <c r="I6816" s="86">
        <v>41949</v>
      </c>
      <c r="J6816" s="78">
        <v>1136</v>
      </c>
    </row>
    <row r="6817" spans="6:10" x14ac:dyDescent="0.25">
      <c r="F6817" s="76" t="s">
        <v>150</v>
      </c>
      <c r="G6817" s="77" t="s">
        <v>299</v>
      </c>
      <c r="H6817" s="77" t="s">
        <v>267</v>
      </c>
      <c r="I6817" s="86">
        <v>41950</v>
      </c>
      <c r="J6817" s="78">
        <v>990</v>
      </c>
    </row>
    <row r="6818" spans="6:10" x14ac:dyDescent="0.25">
      <c r="F6818" s="76" t="s">
        <v>150</v>
      </c>
      <c r="G6818" s="77" t="s">
        <v>299</v>
      </c>
      <c r="H6818" s="77" t="s">
        <v>267</v>
      </c>
      <c r="I6818" s="86">
        <v>41950</v>
      </c>
      <c r="J6818" s="78">
        <v>762</v>
      </c>
    </row>
    <row r="6819" spans="6:10" x14ac:dyDescent="0.25">
      <c r="F6819" s="76" t="s">
        <v>150</v>
      </c>
      <c r="G6819" s="77" t="s">
        <v>299</v>
      </c>
      <c r="H6819" s="77" t="s">
        <v>267</v>
      </c>
      <c r="I6819" s="86">
        <v>41968</v>
      </c>
      <c r="J6819" s="78">
        <v>813</v>
      </c>
    </row>
    <row r="6820" spans="6:10" x14ac:dyDescent="0.25">
      <c r="F6820" s="76" t="s">
        <v>150</v>
      </c>
      <c r="G6820" s="77" t="s">
        <v>299</v>
      </c>
      <c r="H6820" s="77" t="s">
        <v>267</v>
      </c>
      <c r="I6820" s="86">
        <v>41969</v>
      </c>
      <c r="J6820" s="78">
        <v>528</v>
      </c>
    </row>
    <row r="6821" spans="6:10" x14ac:dyDescent="0.25">
      <c r="F6821" s="76" t="s">
        <v>150</v>
      </c>
      <c r="G6821" s="77" t="s">
        <v>299</v>
      </c>
      <c r="H6821" s="77" t="s">
        <v>267</v>
      </c>
      <c r="I6821" s="86">
        <v>41970</v>
      </c>
      <c r="J6821" s="78">
        <v>774</v>
      </c>
    </row>
    <row r="6822" spans="6:10" x14ac:dyDescent="0.25">
      <c r="F6822" s="76" t="s">
        <v>150</v>
      </c>
      <c r="G6822" s="77" t="s">
        <v>299</v>
      </c>
      <c r="H6822" s="77" t="s">
        <v>267</v>
      </c>
      <c r="I6822" s="86">
        <v>41972</v>
      </c>
      <c r="J6822" s="78">
        <v>863</v>
      </c>
    </row>
    <row r="6823" spans="6:10" x14ac:dyDescent="0.25">
      <c r="F6823" s="76" t="s">
        <v>150</v>
      </c>
      <c r="G6823" s="77" t="s">
        <v>299</v>
      </c>
      <c r="H6823" s="77" t="s">
        <v>267</v>
      </c>
      <c r="I6823" s="86">
        <v>41973</v>
      </c>
      <c r="J6823" s="78">
        <v>720</v>
      </c>
    </row>
    <row r="6824" spans="6:10" x14ac:dyDescent="0.25">
      <c r="F6824" s="76" t="s">
        <v>150</v>
      </c>
      <c r="G6824" s="77" t="s">
        <v>299</v>
      </c>
      <c r="H6824" s="77" t="s">
        <v>267</v>
      </c>
      <c r="I6824" s="86">
        <v>41979</v>
      </c>
      <c r="J6824" s="78">
        <v>747</v>
      </c>
    </row>
    <row r="6825" spans="6:10" x14ac:dyDescent="0.25">
      <c r="F6825" s="76" t="s">
        <v>150</v>
      </c>
      <c r="G6825" s="77" t="s">
        <v>299</v>
      </c>
      <c r="H6825" s="77" t="s">
        <v>267</v>
      </c>
      <c r="I6825" s="86">
        <v>41980</v>
      </c>
      <c r="J6825" s="78">
        <v>678</v>
      </c>
    </row>
    <row r="6826" spans="6:10" x14ac:dyDescent="0.25">
      <c r="F6826" s="76" t="s">
        <v>150</v>
      </c>
      <c r="G6826" s="77" t="s">
        <v>299</v>
      </c>
      <c r="H6826" s="77" t="s">
        <v>267</v>
      </c>
      <c r="I6826" s="86">
        <v>41982</v>
      </c>
      <c r="J6826" s="78">
        <v>526</v>
      </c>
    </row>
    <row r="6827" spans="6:10" x14ac:dyDescent="0.25">
      <c r="F6827" s="76" t="s">
        <v>150</v>
      </c>
      <c r="G6827" s="77" t="s">
        <v>299</v>
      </c>
      <c r="H6827" s="77" t="s">
        <v>267</v>
      </c>
      <c r="I6827" s="86">
        <v>41984</v>
      </c>
      <c r="J6827" s="78">
        <v>868</v>
      </c>
    </row>
    <row r="6828" spans="6:10" x14ac:dyDescent="0.25">
      <c r="F6828" s="76" t="s">
        <v>150</v>
      </c>
      <c r="G6828" s="77" t="s">
        <v>299</v>
      </c>
      <c r="H6828" s="77" t="s">
        <v>267</v>
      </c>
      <c r="I6828" s="86">
        <v>41985</v>
      </c>
      <c r="J6828" s="78">
        <v>434</v>
      </c>
    </row>
    <row r="6829" spans="6:10" x14ac:dyDescent="0.25">
      <c r="F6829" s="76" t="s">
        <v>150</v>
      </c>
      <c r="G6829" s="77" t="s">
        <v>299</v>
      </c>
      <c r="H6829" s="77" t="s">
        <v>267</v>
      </c>
      <c r="I6829" s="86">
        <v>41987</v>
      </c>
      <c r="J6829" s="78">
        <v>914</v>
      </c>
    </row>
    <row r="6830" spans="6:10" x14ac:dyDescent="0.25">
      <c r="F6830" s="76" t="s">
        <v>150</v>
      </c>
      <c r="G6830" s="77" t="s">
        <v>299</v>
      </c>
      <c r="H6830" s="77" t="s">
        <v>267</v>
      </c>
      <c r="I6830" s="86">
        <v>41989</v>
      </c>
      <c r="J6830" s="78">
        <v>810</v>
      </c>
    </row>
    <row r="6831" spans="6:10" x14ac:dyDescent="0.25">
      <c r="F6831" s="76" t="s">
        <v>150</v>
      </c>
      <c r="G6831" s="77" t="s">
        <v>299</v>
      </c>
      <c r="H6831" s="77" t="s">
        <v>267</v>
      </c>
      <c r="I6831" s="86">
        <v>41990</v>
      </c>
      <c r="J6831" s="78">
        <v>924</v>
      </c>
    </row>
    <row r="6832" spans="6:10" x14ac:dyDescent="0.25">
      <c r="F6832" s="76" t="s">
        <v>150</v>
      </c>
      <c r="G6832" s="77" t="s">
        <v>299</v>
      </c>
      <c r="H6832" s="77" t="s">
        <v>267</v>
      </c>
      <c r="I6832" s="86">
        <v>41992</v>
      </c>
      <c r="J6832" s="78">
        <v>854</v>
      </c>
    </row>
    <row r="6833" spans="6:10" x14ac:dyDescent="0.25">
      <c r="F6833" s="76" t="s">
        <v>150</v>
      </c>
      <c r="G6833" s="77" t="s">
        <v>299</v>
      </c>
      <c r="H6833" s="77" t="s">
        <v>267</v>
      </c>
      <c r="I6833" s="86">
        <v>41993</v>
      </c>
      <c r="J6833" s="78">
        <v>722</v>
      </c>
    </row>
    <row r="6834" spans="6:10" x14ac:dyDescent="0.25">
      <c r="F6834" s="76" t="s">
        <v>150</v>
      </c>
      <c r="G6834" s="77" t="s">
        <v>299</v>
      </c>
      <c r="H6834" s="77" t="s">
        <v>267</v>
      </c>
      <c r="I6834" s="86">
        <v>41995</v>
      </c>
      <c r="J6834" s="78">
        <v>1240</v>
      </c>
    </row>
    <row r="6835" spans="6:10" x14ac:dyDescent="0.25">
      <c r="F6835" s="76" t="s">
        <v>150</v>
      </c>
      <c r="G6835" s="77" t="s">
        <v>299</v>
      </c>
      <c r="H6835" s="77" t="s">
        <v>267</v>
      </c>
      <c r="I6835" s="86">
        <v>41998</v>
      </c>
      <c r="J6835" s="78">
        <v>563</v>
      </c>
    </row>
    <row r="6836" spans="6:10" x14ac:dyDescent="0.25">
      <c r="F6836" s="76" t="s">
        <v>150</v>
      </c>
      <c r="G6836" s="77" t="s">
        <v>299</v>
      </c>
      <c r="H6836" s="77" t="s">
        <v>267</v>
      </c>
      <c r="I6836" s="86">
        <v>42000</v>
      </c>
      <c r="J6836" s="78">
        <v>763</v>
      </c>
    </row>
    <row r="6837" spans="6:10" x14ac:dyDescent="0.25">
      <c r="F6837" s="76" t="s">
        <v>150</v>
      </c>
      <c r="G6837" s="77" t="s">
        <v>299</v>
      </c>
      <c r="H6837" s="77" t="s">
        <v>267</v>
      </c>
      <c r="I6837" s="86">
        <v>42000</v>
      </c>
      <c r="J6837" s="78">
        <v>1030</v>
      </c>
    </row>
    <row r="6838" spans="6:10" x14ac:dyDescent="0.25">
      <c r="F6838" s="76" t="s">
        <v>150</v>
      </c>
      <c r="G6838" s="77" t="s">
        <v>299</v>
      </c>
      <c r="H6838" s="77" t="s">
        <v>267</v>
      </c>
      <c r="I6838" s="86">
        <v>42001</v>
      </c>
      <c r="J6838" s="78">
        <v>1020</v>
      </c>
    </row>
    <row r="6839" spans="6:10" x14ac:dyDescent="0.25">
      <c r="F6839" s="76" t="s">
        <v>150</v>
      </c>
      <c r="G6839" s="77" t="s">
        <v>300</v>
      </c>
      <c r="H6839" s="77" t="s">
        <v>267</v>
      </c>
      <c r="I6839" s="86">
        <v>41702</v>
      </c>
      <c r="J6839" s="78">
        <v>1435</v>
      </c>
    </row>
    <row r="6840" spans="6:10" x14ac:dyDescent="0.25">
      <c r="F6840" s="76" t="s">
        <v>150</v>
      </c>
      <c r="G6840" s="77" t="s">
        <v>300</v>
      </c>
      <c r="H6840" s="77" t="s">
        <v>267</v>
      </c>
      <c r="I6840" s="86">
        <v>41703</v>
      </c>
      <c r="J6840" s="78">
        <v>482</v>
      </c>
    </row>
    <row r="6841" spans="6:10" x14ac:dyDescent="0.25">
      <c r="F6841" s="76" t="s">
        <v>150</v>
      </c>
      <c r="G6841" s="77" t="s">
        <v>300</v>
      </c>
      <c r="H6841" s="77" t="s">
        <v>267</v>
      </c>
      <c r="I6841" s="86">
        <v>41704</v>
      </c>
      <c r="J6841" s="78">
        <v>549</v>
      </c>
    </row>
    <row r="6842" spans="6:10" x14ac:dyDescent="0.25">
      <c r="F6842" s="76" t="s">
        <v>150</v>
      </c>
      <c r="G6842" s="77" t="s">
        <v>300</v>
      </c>
      <c r="H6842" s="77" t="s">
        <v>267</v>
      </c>
      <c r="I6842" s="86">
        <v>41781</v>
      </c>
      <c r="J6842" s="78">
        <v>1478</v>
      </c>
    </row>
    <row r="6843" spans="6:10" x14ac:dyDescent="0.25">
      <c r="F6843" s="76" t="s">
        <v>150</v>
      </c>
      <c r="G6843" s="77" t="s">
        <v>300</v>
      </c>
      <c r="H6843" s="77" t="s">
        <v>267</v>
      </c>
      <c r="I6843" s="86">
        <v>41782</v>
      </c>
      <c r="J6843" s="78">
        <v>561</v>
      </c>
    </row>
    <row r="6844" spans="6:10" x14ac:dyDescent="0.25">
      <c r="F6844" s="76" t="s">
        <v>150</v>
      </c>
      <c r="G6844" s="77" t="s">
        <v>300</v>
      </c>
      <c r="H6844" s="77" t="s">
        <v>267</v>
      </c>
      <c r="I6844" s="86">
        <v>41783</v>
      </c>
      <c r="J6844" s="78">
        <v>495</v>
      </c>
    </row>
    <row r="6845" spans="6:10" x14ac:dyDescent="0.25">
      <c r="F6845" s="76" t="s">
        <v>150</v>
      </c>
      <c r="G6845" s="77" t="s">
        <v>300</v>
      </c>
      <c r="H6845" s="77" t="s">
        <v>267</v>
      </c>
      <c r="I6845" s="86">
        <v>41784</v>
      </c>
      <c r="J6845" s="78">
        <v>800</v>
      </c>
    </row>
    <row r="6846" spans="6:10" x14ac:dyDescent="0.25">
      <c r="F6846" s="76" t="s">
        <v>150</v>
      </c>
      <c r="G6846" s="77" t="s">
        <v>300</v>
      </c>
      <c r="H6846" s="77" t="s">
        <v>267</v>
      </c>
      <c r="I6846" s="86">
        <v>41785</v>
      </c>
      <c r="J6846" s="78">
        <v>797</v>
      </c>
    </row>
    <row r="6847" spans="6:10" x14ac:dyDescent="0.25">
      <c r="F6847" s="76" t="s">
        <v>150</v>
      </c>
      <c r="G6847" s="77" t="s">
        <v>300</v>
      </c>
      <c r="H6847" s="77" t="s">
        <v>267</v>
      </c>
      <c r="I6847" s="86">
        <v>41786</v>
      </c>
      <c r="J6847" s="78">
        <v>1136</v>
      </c>
    </row>
    <row r="6848" spans="6:10" x14ac:dyDescent="0.25">
      <c r="F6848" s="76" t="s">
        <v>150</v>
      </c>
      <c r="G6848" s="77" t="s">
        <v>300</v>
      </c>
      <c r="H6848" s="77" t="s">
        <v>267</v>
      </c>
      <c r="I6848" s="86">
        <v>41787</v>
      </c>
      <c r="J6848" s="78">
        <v>624</v>
      </c>
    </row>
    <row r="6849" spans="6:10" x14ac:dyDescent="0.25">
      <c r="F6849" s="76" t="s">
        <v>150</v>
      </c>
      <c r="G6849" s="77" t="s">
        <v>300</v>
      </c>
      <c r="H6849" s="77" t="s">
        <v>267</v>
      </c>
      <c r="I6849" s="86">
        <v>41788</v>
      </c>
      <c r="J6849" s="78">
        <v>519</v>
      </c>
    </row>
    <row r="6850" spans="6:10" x14ac:dyDescent="0.25">
      <c r="F6850" s="76" t="s">
        <v>150</v>
      </c>
      <c r="G6850" s="77" t="s">
        <v>300</v>
      </c>
      <c r="H6850" s="77" t="s">
        <v>267</v>
      </c>
      <c r="I6850" s="86">
        <v>41789</v>
      </c>
      <c r="J6850" s="78">
        <v>647</v>
      </c>
    </row>
    <row r="6851" spans="6:10" x14ac:dyDescent="0.25">
      <c r="F6851" s="76" t="s">
        <v>150</v>
      </c>
      <c r="G6851" s="77" t="s">
        <v>300</v>
      </c>
      <c r="H6851" s="77" t="s">
        <v>267</v>
      </c>
      <c r="I6851" s="86">
        <v>41791</v>
      </c>
      <c r="J6851" s="78">
        <v>760</v>
      </c>
    </row>
    <row r="6852" spans="6:10" x14ac:dyDescent="0.25">
      <c r="F6852" s="76" t="s">
        <v>150</v>
      </c>
      <c r="G6852" s="77" t="s">
        <v>300</v>
      </c>
      <c r="H6852" s="77" t="s">
        <v>267</v>
      </c>
      <c r="I6852" s="86">
        <v>41793</v>
      </c>
      <c r="J6852" s="78">
        <v>531</v>
      </c>
    </row>
    <row r="6853" spans="6:10" x14ac:dyDescent="0.25">
      <c r="F6853" s="76" t="s">
        <v>150</v>
      </c>
      <c r="G6853" s="77" t="s">
        <v>300</v>
      </c>
      <c r="H6853" s="77" t="s">
        <v>267</v>
      </c>
      <c r="I6853" s="86">
        <v>41793</v>
      </c>
      <c r="J6853" s="78">
        <v>959</v>
      </c>
    </row>
    <row r="6854" spans="6:10" x14ac:dyDescent="0.25">
      <c r="F6854" s="76" t="s">
        <v>150</v>
      </c>
      <c r="G6854" s="77" t="s">
        <v>300</v>
      </c>
      <c r="H6854" s="77" t="s">
        <v>267</v>
      </c>
      <c r="I6854" s="86">
        <v>41795</v>
      </c>
      <c r="J6854" s="78">
        <v>839</v>
      </c>
    </row>
    <row r="6855" spans="6:10" x14ac:dyDescent="0.25">
      <c r="F6855" s="76" t="s">
        <v>150</v>
      </c>
      <c r="G6855" s="77" t="s">
        <v>300</v>
      </c>
      <c r="H6855" s="77" t="s">
        <v>267</v>
      </c>
      <c r="I6855" s="86">
        <v>41796</v>
      </c>
      <c r="J6855" s="78">
        <v>640</v>
      </c>
    </row>
    <row r="6856" spans="6:10" x14ac:dyDescent="0.25">
      <c r="F6856" s="76" t="s">
        <v>150</v>
      </c>
      <c r="G6856" s="77" t="s">
        <v>300</v>
      </c>
      <c r="H6856" s="77" t="s">
        <v>267</v>
      </c>
      <c r="I6856" s="86">
        <v>41804</v>
      </c>
      <c r="J6856" s="78">
        <v>886</v>
      </c>
    </row>
    <row r="6857" spans="6:10" x14ac:dyDescent="0.25">
      <c r="F6857" s="76" t="s">
        <v>150</v>
      </c>
      <c r="G6857" s="77" t="s">
        <v>300</v>
      </c>
      <c r="H6857" s="77" t="s">
        <v>267</v>
      </c>
      <c r="I6857" s="86">
        <v>41804</v>
      </c>
      <c r="J6857" s="78">
        <v>831</v>
      </c>
    </row>
    <row r="6858" spans="6:10" x14ac:dyDescent="0.25">
      <c r="F6858" s="76" t="s">
        <v>150</v>
      </c>
      <c r="G6858" s="77" t="s">
        <v>300</v>
      </c>
      <c r="H6858" s="77" t="s">
        <v>267</v>
      </c>
      <c r="I6858" s="86">
        <v>41805</v>
      </c>
      <c r="J6858" s="78">
        <v>1122</v>
      </c>
    </row>
    <row r="6859" spans="6:10" x14ac:dyDescent="0.25">
      <c r="F6859" s="76" t="s">
        <v>150</v>
      </c>
      <c r="G6859" s="77" t="s">
        <v>300</v>
      </c>
      <c r="H6859" s="77" t="s">
        <v>267</v>
      </c>
      <c r="I6859" s="86">
        <v>41807</v>
      </c>
      <c r="J6859" s="78">
        <v>1074</v>
      </c>
    </row>
    <row r="6860" spans="6:10" x14ac:dyDescent="0.25">
      <c r="F6860" s="76" t="s">
        <v>150</v>
      </c>
      <c r="G6860" s="77" t="s">
        <v>300</v>
      </c>
      <c r="H6860" s="77" t="s">
        <v>267</v>
      </c>
      <c r="I6860" s="86">
        <v>41808</v>
      </c>
      <c r="J6860" s="78">
        <v>1342</v>
      </c>
    </row>
    <row r="6861" spans="6:10" x14ac:dyDescent="0.25">
      <c r="F6861" s="76" t="s">
        <v>150</v>
      </c>
      <c r="G6861" s="77" t="s">
        <v>300</v>
      </c>
      <c r="H6861" s="77" t="s">
        <v>267</v>
      </c>
      <c r="I6861" s="86">
        <v>41943</v>
      </c>
      <c r="J6861" s="78">
        <v>1165</v>
      </c>
    </row>
    <row r="6862" spans="6:10" x14ac:dyDescent="0.25">
      <c r="F6862" s="76" t="s">
        <v>150</v>
      </c>
      <c r="G6862" s="77" t="s">
        <v>300</v>
      </c>
      <c r="H6862" s="77" t="s">
        <v>267</v>
      </c>
      <c r="I6862" s="86">
        <v>41944</v>
      </c>
      <c r="J6862" s="78">
        <v>1164</v>
      </c>
    </row>
    <row r="6863" spans="6:10" x14ac:dyDescent="0.25">
      <c r="F6863" s="76" t="s">
        <v>150</v>
      </c>
      <c r="G6863" s="77" t="s">
        <v>300</v>
      </c>
      <c r="H6863" s="77" t="s">
        <v>267</v>
      </c>
      <c r="I6863" s="86">
        <v>41945</v>
      </c>
      <c r="J6863" s="78">
        <v>1370</v>
      </c>
    </row>
    <row r="6864" spans="6:10" x14ac:dyDescent="0.25">
      <c r="F6864" s="76" t="s">
        <v>150</v>
      </c>
      <c r="G6864" s="77" t="s">
        <v>300</v>
      </c>
      <c r="H6864" s="77" t="s">
        <v>267</v>
      </c>
      <c r="I6864" s="86">
        <v>41946</v>
      </c>
      <c r="J6864" s="78">
        <v>608</v>
      </c>
    </row>
    <row r="6865" spans="6:10" x14ac:dyDescent="0.25">
      <c r="F6865" s="76" t="s">
        <v>150</v>
      </c>
      <c r="G6865" s="77" t="s">
        <v>300</v>
      </c>
      <c r="H6865" s="77" t="s">
        <v>267</v>
      </c>
      <c r="I6865" s="86">
        <v>41952</v>
      </c>
      <c r="J6865" s="78">
        <v>433</v>
      </c>
    </row>
    <row r="6866" spans="6:10" x14ac:dyDescent="0.25">
      <c r="F6866" s="76" t="s">
        <v>150</v>
      </c>
      <c r="G6866" s="77" t="s">
        <v>300</v>
      </c>
      <c r="H6866" s="77" t="s">
        <v>267</v>
      </c>
      <c r="I6866" s="86">
        <v>41954</v>
      </c>
      <c r="J6866" s="78">
        <v>883</v>
      </c>
    </row>
    <row r="6867" spans="6:10" x14ac:dyDescent="0.25">
      <c r="F6867" s="76" t="s">
        <v>150</v>
      </c>
      <c r="G6867" s="77" t="s">
        <v>300</v>
      </c>
      <c r="H6867" s="77" t="s">
        <v>267</v>
      </c>
      <c r="I6867" s="86">
        <v>41955</v>
      </c>
      <c r="J6867" s="78">
        <v>313</v>
      </c>
    </row>
    <row r="6868" spans="6:10" x14ac:dyDescent="0.25">
      <c r="F6868" s="76" t="s">
        <v>150</v>
      </c>
      <c r="G6868" s="77" t="s">
        <v>300</v>
      </c>
      <c r="H6868" s="77" t="s">
        <v>267</v>
      </c>
      <c r="I6868" s="86">
        <v>41957</v>
      </c>
      <c r="J6868" s="78">
        <v>366</v>
      </c>
    </row>
    <row r="6869" spans="6:10" x14ac:dyDescent="0.25">
      <c r="F6869" s="76" t="s">
        <v>150</v>
      </c>
      <c r="G6869" s="77" t="s">
        <v>300</v>
      </c>
      <c r="H6869" s="77" t="s">
        <v>267</v>
      </c>
      <c r="I6869" s="86">
        <v>41958</v>
      </c>
      <c r="J6869" s="78">
        <v>696</v>
      </c>
    </row>
    <row r="6870" spans="6:10" x14ac:dyDescent="0.25">
      <c r="F6870" s="76" t="s">
        <v>150</v>
      </c>
      <c r="G6870" s="77" t="s">
        <v>300</v>
      </c>
      <c r="H6870" s="77" t="s">
        <v>267</v>
      </c>
      <c r="I6870" s="86">
        <v>41959</v>
      </c>
      <c r="J6870" s="78">
        <v>919</v>
      </c>
    </row>
    <row r="6871" spans="6:10" x14ac:dyDescent="0.25">
      <c r="F6871" s="76" t="s">
        <v>150</v>
      </c>
      <c r="G6871" s="77" t="s">
        <v>300</v>
      </c>
      <c r="H6871" s="77" t="s">
        <v>267</v>
      </c>
      <c r="I6871" s="86">
        <v>41961</v>
      </c>
      <c r="J6871" s="78">
        <v>817</v>
      </c>
    </row>
    <row r="6872" spans="6:10" x14ac:dyDescent="0.25">
      <c r="F6872" s="76" t="s">
        <v>150</v>
      </c>
      <c r="G6872" s="77" t="s">
        <v>300</v>
      </c>
      <c r="H6872" s="77" t="s">
        <v>267</v>
      </c>
      <c r="I6872" s="86">
        <v>41962</v>
      </c>
      <c r="J6872" s="78">
        <v>698</v>
      </c>
    </row>
    <row r="6873" spans="6:10" x14ac:dyDescent="0.25">
      <c r="F6873" s="76" t="s">
        <v>150</v>
      </c>
      <c r="G6873" s="77" t="s">
        <v>300</v>
      </c>
      <c r="H6873" s="77" t="s">
        <v>267</v>
      </c>
      <c r="I6873" s="86">
        <v>41963</v>
      </c>
      <c r="J6873" s="78">
        <v>814</v>
      </c>
    </row>
    <row r="6874" spans="6:10" x14ac:dyDescent="0.25">
      <c r="F6874" s="76" t="s">
        <v>150</v>
      </c>
      <c r="G6874" s="77" t="s">
        <v>300</v>
      </c>
      <c r="H6874" s="77" t="s">
        <v>267</v>
      </c>
      <c r="I6874" s="86">
        <v>41967</v>
      </c>
      <c r="J6874" s="78">
        <v>840</v>
      </c>
    </row>
    <row r="6875" spans="6:10" x14ac:dyDescent="0.25">
      <c r="F6875" s="76" t="s">
        <v>150</v>
      </c>
      <c r="G6875" s="77" t="s">
        <v>301</v>
      </c>
      <c r="H6875" s="77" t="s">
        <v>267</v>
      </c>
      <c r="I6875" s="86">
        <v>41638</v>
      </c>
      <c r="J6875" s="78">
        <v>693</v>
      </c>
    </row>
    <row r="6876" spans="6:10" x14ac:dyDescent="0.25">
      <c r="F6876" s="76" t="s">
        <v>150</v>
      </c>
      <c r="G6876" s="77" t="s">
        <v>301</v>
      </c>
      <c r="H6876" s="77" t="s">
        <v>267</v>
      </c>
      <c r="I6876" s="86">
        <v>41639</v>
      </c>
      <c r="J6876" s="78">
        <v>669</v>
      </c>
    </row>
    <row r="6877" spans="6:10" x14ac:dyDescent="0.25">
      <c r="F6877" s="76" t="s">
        <v>150</v>
      </c>
      <c r="G6877" s="77" t="s">
        <v>301</v>
      </c>
      <c r="H6877" s="77" t="s">
        <v>267</v>
      </c>
      <c r="I6877" s="86">
        <v>41647</v>
      </c>
      <c r="J6877" s="78">
        <v>1283</v>
      </c>
    </row>
    <row r="6878" spans="6:10" x14ac:dyDescent="0.25">
      <c r="F6878" s="76" t="s">
        <v>150</v>
      </c>
      <c r="G6878" s="77" t="s">
        <v>301</v>
      </c>
      <c r="H6878" s="77" t="s">
        <v>267</v>
      </c>
      <c r="I6878" s="86">
        <v>41649</v>
      </c>
      <c r="J6878" s="78">
        <v>1109</v>
      </c>
    </row>
    <row r="6879" spans="6:10" x14ac:dyDescent="0.25">
      <c r="F6879" s="76" t="s">
        <v>150</v>
      </c>
      <c r="G6879" s="77" t="s">
        <v>301</v>
      </c>
      <c r="H6879" s="77" t="s">
        <v>267</v>
      </c>
      <c r="I6879" s="86">
        <v>41650</v>
      </c>
      <c r="J6879" s="78">
        <v>443</v>
      </c>
    </row>
    <row r="6880" spans="6:10" x14ac:dyDescent="0.25">
      <c r="F6880" s="76" t="s">
        <v>150</v>
      </c>
      <c r="G6880" s="77" t="s">
        <v>301</v>
      </c>
      <c r="H6880" s="77" t="s">
        <v>267</v>
      </c>
      <c r="I6880" s="86">
        <v>41650</v>
      </c>
      <c r="J6880" s="78">
        <v>1245</v>
      </c>
    </row>
    <row r="6881" spans="6:10" x14ac:dyDescent="0.25">
      <c r="F6881" s="76" t="s">
        <v>150</v>
      </c>
      <c r="G6881" s="77" t="s">
        <v>301</v>
      </c>
      <c r="H6881" s="77" t="s">
        <v>267</v>
      </c>
      <c r="I6881" s="86">
        <v>41652</v>
      </c>
      <c r="J6881" s="78">
        <v>1038</v>
      </c>
    </row>
    <row r="6882" spans="6:10" x14ac:dyDescent="0.25">
      <c r="F6882" s="76" t="s">
        <v>150</v>
      </c>
      <c r="G6882" s="77" t="s">
        <v>301</v>
      </c>
      <c r="H6882" s="77" t="s">
        <v>267</v>
      </c>
      <c r="I6882" s="86">
        <v>41653</v>
      </c>
      <c r="J6882" s="78">
        <v>698</v>
      </c>
    </row>
    <row r="6883" spans="6:10" x14ac:dyDescent="0.25">
      <c r="F6883" s="76" t="s">
        <v>150</v>
      </c>
      <c r="G6883" s="77" t="s">
        <v>301</v>
      </c>
      <c r="H6883" s="77" t="s">
        <v>267</v>
      </c>
      <c r="I6883" s="86">
        <v>41653</v>
      </c>
      <c r="J6883" s="78">
        <v>584</v>
      </c>
    </row>
    <row r="6884" spans="6:10" x14ac:dyDescent="0.25">
      <c r="F6884" s="76" t="s">
        <v>150</v>
      </c>
      <c r="G6884" s="77" t="s">
        <v>301</v>
      </c>
      <c r="H6884" s="77" t="s">
        <v>267</v>
      </c>
      <c r="I6884" s="86">
        <v>41654</v>
      </c>
      <c r="J6884" s="78">
        <v>578</v>
      </c>
    </row>
    <row r="6885" spans="6:10" x14ac:dyDescent="0.25">
      <c r="F6885" s="76" t="s">
        <v>150</v>
      </c>
      <c r="G6885" s="77" t="s">
        <v>301</v>
      </c>
      <c r="H6885" s="77" t="s">
        <v>267</v>
      </c>
      <c r="I6885" s="86">
        <v>41654</v>
      </c>
      <c r="J6885" s="78">
        <v>717</v>
      </c>
    </row>
    <row r="6886" spans="6:10" x14ac:dyDescent="0.25">
      <c r="F6886" s="76" t="s">
        <v>150</v>
      </c>
      <c r="G6886" s="77" t="s">
        <v>301</v>
      </c>
      <c r="H6886" s="77" t="s">
        <v>267</v>
      </c>
      <c r="I6886" s="86">
        <v>41655</v>
      </c>
      <c r="J6886" s="78">
        <v>815</v>
      </c>
    </row>
    <row r="6887" spans="6:10" x14ac:dyDescent="0.25">
      <c r="F6887" s="76" t="s">
        <v>150</v>
      </c>
      <c r="G6887" s="77" t="s">
        <v>301</v>
      </c>
      <c r="H6887" s="77" t="s">
        <v>267</v>
      </c>
      <c r="I6887" s="86">
        <v>41673</v>
      </c>
      <c r="J6887" s="78">
        <v>980</v>
      </c>
    </row>
    <row r="6888" spans="6:10" x14ac:dyDescent="0.25">
      <c r="F6888" s="76" t="s">
        <v>150</v>
      </c>
      <c r="G6888" s="77" t="s">
        <v>301</v>
      </c>
      <c r="H6888" s="77" t="s">
        <v>267</v>
      </c>
      <c r="I6888" s="86">
        <v>41674</v>
      </c>
      <c r="J6888" s="78">
        <v>1124</v>
      </c>
    </row>
    <row r="6889" spans="6:10" x14ac:dyDescent="0.25">
      <c r="F6889" s="76" t="s">
        <v>150</v>
      </c>
      <c r="G6889" s="77" t="s">
        <v>301</v>
      </c>
      <c r="H6889" s="77" t="s">
        <v>267</v>
      </c>
      <c r="I6889" s="86">
        <v>41675</v>
      </c>
      <c r="J6889" s="78">
        <v>939</v>
      </c>
    </row>
    <row r="6890" spans="6:10" x14ac:dyDescent="0.25">
      <c r="F6890" s="76" t="s">
        <v>150</v>
      </c>
      <c r="G6890" s="77" t="s">
        <v>301</v>
      </c>
      <c r="H6890" s="77" t="s">
        <v>267</v>
      </c>
      <c r="I6890" s="86">
        <v>41676</v>
      </c>
      <c r="J6890" s="78">
        <v>1065</v>
      </c>
    </row>
    <row r="6891" spans="6:10" x14ac:dyDescent="0.25">
      <c r="F6891" s="76" t="s">
        <v>150</v>
      </c>
      <c r="G6891" s="77" t="s">
        <v>301</v>
      </c>
      <c r="H6891" s="77" t="s">
        <v>267</v>
      </c>
      <c r="I6891" s="86">
        <v>41677</v>
      </c>
      <c r="J6891" s="78">
        <v>1064</v>
      </c>
    </row>
    <row r="6892" spans="6:10" x14ac:dyDescent="0.25">
      <c r="F6892" s="76" t="s">
        <v>150</v>
      </c>
      <c r="G6892" s="77" t="s">
        <v>301</v>
      </c>
      <c r="H6892" s="77" t="s">
        <v>267</v>
      </c>
      <c r="I6892" s="86">
        <v>41680</v>
      </c>
      <c r="J6892" s="78">
        <v>730</v>
      </c>
    </row>
    <row r="6893" spans="6:10" x14ac:dyDescent="0.25">
      <c r="F6893" s="76" t="s">
        <v>150</v>
      </c>
      <c r="G6893" s="77" t="s">
        <v>301</v>
      </c>
      <c r="H6893" s="77" t="s">
        <v>267</v>
      </c>
      <c r="I6893" s="86">
        <v>41681</v>
      </c>
      <c r="J6893" s="78">
        <v>545</v>
      </c>
    </row>
    <row r="6894" spans="6:10" x14ac:dyDescent="0.25">
      <c r="F6894" s="76" t="s">
        <v>150</v>
      </c>
      <c r="G6894" s="77" t="s">
        <v>301</v>
      </c>
      <c r="H6894" s="77" t="s">
        <v>267</v>
      </c>
      <c r="I6894" s="86">
        <v>41681</v>
      </c>
      <c r="J6894" s="78">
        <v>664</v>
      </c>
    </row>
    <row r="6895" spans="6:10" x14ac:dyDescent="0.25">
      <c r="F6895" s="76" t="s">
        <v>150</v>
      </c>
      <c r="G6895" s="77" t="s">
        <v>301</v>
      </c>
      <c r="H6895" s="77" t="s">
        <v>267</v>
      </c>
      <c r="I6895" s="86">
        <v>41682</v>
      </c>
      <c r="J6895" s="78">
        <v>612</v>
      </c>
    </row>
    <row r="6896" spans="6:10" x14ac:dyDescent="0.25">
      <c r="F6896" s="76" t="s">
        <v>150</v>
      </c>
      <c r="G6896" s="77" t="s">
        <v>301</v>
      </c>
      <c r="H6896" s="77" t="s">
        <v>267</v>
      </c>
      <c r="I6896" s="86">
        <v>41688</v>
      </c>
      <c r="J6896" s="78">
        <v>654</v>
      </c>
    </row>
    <row r="6897" spans="6:10" x14ac:dyDescent="0.25">
      <c r="F6897" s="76" t="s">
        <v>150</v>
      </c>
      <c r="G6897" s="77" t="s">
        <v>301</v>
      </c>
      <c r="H6897" s="77" t="s">
        <v>267</v>
      </c>
      <c r="I6897" s="86">
        <v>41689</v>
      </c>
      <c r="J6897" s="78">
        <v>514</v>
      </c>
    </row>
    <row r="6898" spans="6:10" x14ac:dyDescent="0.25">
      <c r="F6898" s="76" t="s">
        <v>150</v>
      </c>
      <c r="G6898" s="77" t="s">
        <v>301</v>
      </c>
      <c r="H6898" s="77" t="s">
        <v>267</v>
      </c>
      <c r="I6898" s="86">
        <v>41691</v>
      </c>
      <c r="J6898" s="78">
        <v>1214</v>
      </c>
    </row>
    <row r="6899" spans="6:10" x14ac:dyDescent="0.25">
      <c r="F6899" s="76" t="s">
        <v>150</v>
      </c>
      <c r="G6899" s="77" t="s">
        <v>301</v>
      </c>
      <c r="H6899" s="77" t="s">
        <v>267</v>
      </c>
      <c r="I6899" s="86">
        <v>41695</v>
      </c>
      <c r="J6899" s="78">
        <v>785</v>
      </c>
    </row>
    <row r="6900" spans="6:10" x14ac:dyDescent="0.25">
      <c r="F6900" s="76" t="s">
        <v>150</v>
      </c>
      <c r="G6900" s="77" t="s">
        <v>301</v>
      </c>
      <c r="H6900" s="77" t="s">
        <v>267</v>
      </c>
      <c r="I6900" s="86">
        <v>41695</v>
      </c>
      <c r="J6900" s="78">
        <v>1090</v>
      </c>
    </row>
    <row r="6901" spans="6:10" x14ac:dyDescent="0.25">
      <c r="F6901" s="76" t="s">
        <v>150</v>
      </c>
      <c r="G6901" s="77" t="s">
        <v>301</v>
      </c>
      <c r="H6901" s="77" t="s">
        <v>267</v>
      </c>
      <c r="I6901" s="86">
        <v>41696</v>
      </c>
      <c r="J6901" s="78">
        <v>1027</v>
      </c>
    </row>
    <row r="6902" spans="6:10" x14ac:dyDescent="0.25">
      <c r="F6902" s="76" t="s">
        <v>150</v>
      </c>
      <c r="G6902" s="77" t="s">
        <v>301</v>
      </c>
      <c r="H6902" s="77" t="s">
        <v>267</v>
      </c>
      <c r="I6902" s="86">
        <v>41698</v>
      </c>
      <c r="J6902" s="78">
        <v>859</v>
      </c>
    </row>
    <row r="6903" spans="6:10" x14ac:dyDescent="0.25">
      <c r="F6903" s="76" t="s">
        <v>150</v>
      </c>
      <c r="G6903" s="77" t="s">
        <v>301</v>
      </c>
      <c r="H6903" s="77" t="s">
        <v>267</v>
      </c>
      <c r="I6903" s="86">
        <v>41698</v>
      </c>
      <c r="J6903" s="78">
        <v>1130</v>
      </c>
    </row>
    <row r="6904" spans="6:10" x14ac:dyDescent="0.25">
      <c r="F6904" s="76" t="s">
        <v>150</v>
      </c>
      <c r="G6904" s="77" t="s">
        <v>301</v>
      </c>
      <c r="H6904" s="77" t="s">
        <v>267</v>
      </c>
      <c r="I6904" s="86">
        <v>41699</v>
      </c>
      <c r="J6904" s="78">
        <v>1048</v>
      </c>
    </row>
    <row r="6905" spans="6:10" x14ac:dyDescent="0.25">
      <c r="F6905" s="76" t="s">
        <v>150</v>
      </c>
      <c r="G6905" s="77" t="s">
        <v>301</v>
      </c>
      <c r="H6905" s="77" t="s">
        <v>267</v>
      </c>
      <c r="I6905" s="86">
        <v>41700</v>
      </c>
      <c r="J6905" s="78">
        <v>676</v>
      </c>
    </row>
    <row r="6906" spans="6:10" x14ac:dyDescent="0.25">
      <c r="F6906" s="76" t="s">
        <v>150</v>
      </c>
      <c r="G6906" s="77" t="s">
        <v>301</v>
      </c>
      <c r="H6906" s="77" t="s">
        <v>267</v>
      </c>
      <c r="I6906" s="86">
        <v>41701</v>
      </c>
      <c r="J6906" s="78">
        <v>683</v>
      </c>
    </row>
    <row r="6907" spans="6:10" x14ac:dyDescent="0.25">
      <c r="F6907" s="76" t="s">
        <v>150</v>
      </c>
      <c r="G6907" s="77" t="s">
        <v>301</v>
      </c>
      <c r="H6907" s="77" t="s">
        <v>267</v>
      </c>
      <c r="I6907" s="86">
        <v>41769</v>
      </c>
      <c r="J6907" s="78">
        <v>636</v>
      </c>
    </row>
    <row r="6908" spans="6:10" x14ac:dyDescent="0.25">
      <c r="F6908" s="76" t="s">
        <v>150</v>
      </c>
      <c r="G6908" s="77" t="s">
        <v>301</v>
      </c>
      <c r="H6908" s="77" t="s">
        <v>267</v>
      </c>
      <c r="I6908" s="86">
        <v>41770</v>
      </c>
      <c r="J6908" s="78">
        <v>668</v>
      </c>
    </row>
    <row r="6909" spans="6:10" x14ac:dyDescent="0.25">
      <c r="F6909" s="76" t="s">
        <v>150</v>
      </c>
      <c r="G6909" s="77" t="s">
        <v>301</v>
      </c>
      <c r="H6909" s="77" t="s">
        <v>267</v>
      </c>
      <c r="I6909" s="86">
        <v>41865</v>
      </c>
      <c r="J6909" s="78">
        <v>549</v>
      </c>
    </row>
    <row r="6910" spans="6:10" x14ac:dyDescent="0.25">
      <c r="F6910" s="76" t="s">
        <v>150</v>
      </c>
      <c r="G6910" s="77" t="s">
        <v>301</v>
      </c>
      <c r="H6910" s="77" t="s">
        <v>267</v>
      </c>
      <c r="I6910" s="86">
        <v>41964</v>
      </c>
      <c r="J6910" s="78">
        <v>479</v>
      </c>
    </row>
    <row r="6911" spans="6:10" x14ac:dyDescent="0.25">
      <c r="F6911" s="76" t="s">
        <v>150</v>
      </c>
      <c r="G6911" s="77" t="s">
        <v>301</v>
      </c>
      <c r="H6911" s="77" t="s">
        <v>267</v>
      </c>
      <c r="I6911" s="86">
        <v>41966</v>
      </c>
      <c r="J6911" s="78">
        <v>532</v>
      </c>
    </row>
    <row r="6912" spans="6:10" x14ac:dyDescent="0.25">
      <c r="F6912" s="76" t="s">
        <v>150</v>
      </c>
      <c r="G6912" s="77" t="s">
        <v>301</v>
      </c>
      <c r="H6912" s="77" t="s">
        <v>267</v>
      </c>
      <c r="I6912" s="86">
        <v>41967</v>
      </c>
      <c r="J6912" s="78">
        <v>742</v>
      </c>
    </row>
    <row r="6913" spans="6:10" x14ac:dyDescent="0.25">
      <c r="F6913" s="76" t="s">
        <v>150</v>
      </c>
      <c r="G6913" s="77" t="s">
        <v>301</v>
      </c>
      <c r="H6913" s="77" t="s">
        <v>267</v>
      </c>
      <c r="I6913" s="86">
        <v>41969</v>
      </c>
      <c r="J6913" s="78">
        <v>896</v>
      </c>
    </row>
    <row r="6914" spans="6:10" x14ac:dyDescent="0.25">
      <c r="F6914" s="76" t="s">
        <v>150</v>
      </c>
      <c r="G6914" s="77" t="s">
        <v>301</v>
      </c>
      <c r="H6914" s="77" t="s">
        <v>267</v>
      </c>
      <c r="I6914" s="86">
        <v>41986</v>
      </c>
      <c r="J6914" s="78">
        <v>507</v>
      </c>
    </row>
    <row r="6915" spans="6:10" x14ac:dyDescent="0.25">
      <c r="F6915" s="76" t="s">
        <v>150</v>
      </c>
      <c r="G6915" s="77" t="s">
        <v>301</v>
      </c>
      <c r="H6915" s="77" t="s">
        <v>267</v>
      </c>
      <c r="I6915" s="86">
        <v>41987</v>
      </c>
      <c r="J6915" s="78">
        <v>1072</v>
      </c>
    </row>
    <row r="6916" spans="6:10" x14ac:dyDescent="0.25">
      <c r="F6916" s="76" t="s">
        <v>150</v>
      </c>
      <c r="G6916" s="77" t="s">
        <v>302</v>
      </c>
      <c r="H6916" s="77" t="s">
        <v>267</v>
      </c>
      <c r="I6916" s="86">
        <v>41635</v>
      </c>
      <c r="J6916" s="78">
        <v>1103</v>
      </c>
    </row>
    <row r="6917" spans="6:10" x14ac:dyDescent="0.25">
      <c r="F6917" s="76" t="s">
        <v>150</v>
      </c>
      <c r="G6917" s="77" t="s">
        <v>302</v>
      </c>
      <c r="H6917" s="77" t="s">
        <v>267</v>
      </c>
      <c r="I6917" s="86">
        <v>41639</v>
      </c>
      <c r="J6917" s="78">
        <v>594</v>
      </c>
    </row>
    <row r="6918" spans="6:10" x14ac:dyDescent="0.25">
      <c r="F6918" s="76" t="s">
        <v>150</v>
      </c>
      <c r="G6918" s="77" t="s">
        <v>302</v>
      </c>
      <c r="H6918" s="77" t="s">
        <v>267</v>
      </c>
      <c r="I6918" s="86">
        <v>41641</v>
      </c>
      <c r="J6918" s="78">
        <v>524</v>
      </c>
    </row>
    <row r="6919" spans="6:10" x14ac:dyDescent="0.25">
      <c r="F6919" s="76" t="s">
        <v>150</v>
      </c>
      <c r="G6919" s="77" t="s">
        <v>302</v>
      </c>
      <c r="H6919" s="77" t="s">
        <v>267</v>
      </c>
      <c r="I6919" s="86">
        <v>41642</v>
      </c>
      <c r="J6919" s="78">
        <v>616</v>
      </c>
    </row>
    <row r="6920" spans="6:10" x14ac:dyDescent="0.25">
      <c r="F6920" s="76" t="s">
        <v>150</v>
      </c>
      <c r="G6920" s="77" t="s">
        <v>302</v>
      </c>
      <c r="H6920" s="77" t="s">
        <v>267</v>
      </c>
      <c r="I6920" s="86">
        <v>41646</v>
      </c>
      <c r="J6920" s="78">
        <v>1175</v>
      </c>
    </row>
    <row r="6921" spans="6:10" x14ac:dyDescent="0.25">
      <c r="F6921" s="76" t="s">
        <v>150</v>
      </c>
      <c r="G6921" s="77" t="s">
        <v>302</v>
      </c>
      <c r="H6921" s="77" t="s">
        <v>267</v>
      </c>
      <c r="I6921" s="86">
        <v>41647</v>
      </c>
      <c r="J6921" s="78">
        <v>801</v>
      </c>
    </row>
    <row r="6922" spans="6:10" x14ac:dyDescent="0.25">
      <c r="F6922" s="76" t="s">
        <v>150</v>
      </c>
      <c r="G6922" s="77" t="s">
        <v>302</v>
      </c>
      <c r="H6922" s="77" t="s">
        <v>267</v>
      </c>
      <c r="I6922" s="86">
        <v>41647</v>
      </c>
      <c r="J6922" s="78">
        <v>706</v>
      </c>
    </row>
    <row r="6923" spans="6:10" x14ac:dyDescent="0.25">
      <c r="F6923" s="76" t="s">
        <v>150</v>
      </c>
      <c r="G6923" s="77" t="s">
        <v>302</v>
      </c>
      <c r="H6923" s="77" t="s">
        <v>267</v>
      </c>
      <c r="I6923" s="86">
        <v>41648</v>
      </c>
      <c r="J6923" s="78">
        <v>999</v>
      </c>
    </row>
    <row r="6924" spans="6:10" x14ac:dyDescent="0.25">
      <c r="F6924" s="76" t="s">
        <v>150</v>
      </c>
      <c r="G6924" s="77" t="s">
        <v>302</v>
      </c>
      <c r="H6924" s="77" t="s">
        <v>267</v>
      </c>
      <c r="I6924" s="86">
        <v>41649</v>
      </c>
      <c r="J6924" s="78">
        <v>638</v>
      </c>
    </row>
    <row r="6925" spans="6:10" x14ac:dyDescent="0.25">
      <c r="F6925" s="76" t="s">
        <v>150</v>
      </c>
      <c r="G6925" s="77" t="s">
        <v>302</v>
      </c>
      <c r="H6925" s="77" t="s">
        <v>267</v>
      </c>
      <c r="I6925" s="86">
        <v>41649</v>
      </c>
      <c r="J6925" s="78">
        <v>703</v>
      </c>
    </row>
    <row r="6926" spans="6:10" x14ac:dyDescent="0.25">
      <c r="F6926" s="76" t="s">
        <v>150</v>
      </c>
      <c r="G6926" s="77" t="s">
        <v>302</v>
      </c>
      <c r="H6926" s="77" t="s">
        <v>267</v>
      </c>
      <c r="I6926" s="86">
        <v>41650</v>
      </c>
      <c r="J6926" s="78">
        <v>786</v>
      </c>
    </row>
    <row r="6927" spans="6:10" x14ac:dyDescent="0.25">
      <c r="F6927" s="76" t="s">
        <v>150</v>
      </c>
      <c r="G6927" s="77" t="s">
        <v>302</v>
      </c>
      <c r="H6927" s="77" t="s">
        <v>267</v>
      </c>
      <c r="I6927" s="86">
        <v>41686</v>
      </c>
      <c r="J6927" s="78">
        <v>194</v>
      </c>
    </row>
    <row r="6928" spans="6:10" x14ac:dyDescent="0.25">
      <c r="F6928" s="76" t="s">
        <v>150</v>
      </c>
      <c r="G6928" s="77" t="s">
        <v>302</v>
      </c>
      <c r="H6928" s="77" t="s">
        <v>267</v>
      </c>
      <c r="I6928" s="86">
        <v>41689</v>
      </c>
      <c r="J6928" s="78">
        <v>1019</v>
      </c>
    </row>
    <row r="6929" spans="6:10" x14ac:dyDescent="0.25">
      <c r="F6929" s="76" t="s">
        <v>150</v>
      </c>
      <c r="G6929" s="77" t="s">
        <v>302</v>
      </c>
      <c r="H6929" s="77" t="s">
        <v>267</v>
      </c>
      <c r="I6929" s="86">
        <v>41690</v>
      </c>
      <c r="J6929" s="78">
        <v>1162</v>
      </c>
    </row>
    <row r="6930" spans="6:10" x14ac:dyDescent="0.25">
      <c r="F6930" s="76" t="s">
        <v>150</v>
      </c>
      <c r="G6930" s="77" t="s">
        <v>302</v>
      </c>
      <c r="H6930" s="77" t="s">
        <v>267</v>
      </c>
      <c r="I6930" s="86">
        <v>41715</v>
      </c>
      <c r="J6930" s="78">
        <v>430</v>
      </c>
    </row>
    <row r="6931" spans="6:10" x14ac:dyDescent="0.25">
      <c r="F6931" s="76" t="s">
        <v>150</v>
      </c>
      <c r="G6931" s="77" t="s">
        <v>302</v>
      </c>
      <c r="H6931" s="77" t="s">
        <v>267</v>
      </c>
      <c r="I6931" s="86">
        <v>41717</v>
      </c>
      <c r="J6931" s="78">
        <v>603</v>
      </c>
    </row>
    <row r="6932" spans="6:10" x14ac:dyDescent="0.25">
      <c r="F6932" s="76" t="s">
        <v>150</v>
      </c>
      <c r="G6932" s="77" t="s">
        <v>302</v>
      </c>
      <c r="H6932" s="77" t="s">
        <v>267</v>
      </c>
      <c r="I6932" s="86">
        <v>41723</v>
      </c>
      <c r="J6932" s="78">
        <v>875</v>
      </c>
    </row>
    <row r="6933" spans="6:10" x14ac:dyDescent="0.25">
      <c r="F6933" s="76" t="s">
        <v>150</v>
      </c>
      <c r="G6933" s="77" t="s">
        <v>302</v>
      </c>
      <c r="H6933" s="77" t="s">
        <v>267</v>
      </c>
      <c r="I6933" s="86">
        <v>41724</v>
      </c>
      <c r="J6933" s="78">
        <v>754</v>
      </c>
    </row>
    <row r="6934" spans="6:10" x14ac:dyDescent="0.25">
      <c r="F6934" s="76" t="s">
        <v>150</v>
      </c>
      <c r="G6934" s="77" t="s">
        <v>302</v>
      </c>
      <c r="H6934" s="77" t="s">
        <v>267</v>
      </c>
      <c r="I6934" s="86">
        <v>41725</v>
      </c>
      <c r="J6934" s="78">
        <v>719</v>
      </c>
    </row>
    <row r="6935" spans="6:10" x14ac:dyDescent="0.25">
      <c r="F6935" s="76" t="s">
        <v>150</v>
      </c>
      <c r="G6935" s="77" t="s">
        <v>302</v>
      </c>
      <c r="H6935" s="77" t="s">
        <v>267</v>
      </c>
      <c r="I6935" s="86">
        <v>41727</v>
      </c>
      <c r="J6935" s="78">
        <v>1212</v>
      </c>
    </row>
    <row r="6936" spans="6:10" x14ac:dyDescent="0.25">
      <c r="F6936" s="76" t="s">
        <v>150</v>
      </c>
      <c r="G6936" s="77" t="s">
        <v>302</v>
      </c>
      <c r="H6936" s="77" t="s">
        <v>267</v>
      </c>
      <c r="I6936" s="86">
        <v>41727</v>
      </c>
      <c r="J6936" s="78">
        <v>1023</v>
      </c>
    </row>
    <row r="6937" spans="6:10" x14ac:dyDescent="0.25">
      <c r="F6937" s="76" t="s">
        <v>150</v>
      </c>
      <c r="G6937" s="77" t="s">
        <v>302</v>
      </c>
      <c r="H6937" s="77" t="s">
        <v>267</v>
      </c>
      <c r="I6937" s="86">
        <v>41728</v>
      </c>
      <c r="J6937" s="78">
        <v>1313</v>
      </c>
    </row>
    <row r="6938" spans="6:10" x14ac:dyDescent="0.25">
      <c r="F6938" s="76" t="s">
        <v>150</v>
      </c>
      <c r="G6938" s="77" t="s">
        <v>302</v>
      </c>
      <c r="H6938" s="77" t="s">
        <v>267</v>
      </c>
      <c r="I6938" s="86">
        <v>41730</v>
      </c>
      <c r="J6938" s="78">
        <v>1325</v>
      </c>
    </row>
    <row r="6939" spans="6:10" x14ac:dyDescent="0.25">
      <c r="F6939" s="76" t="s">
        <v>150</v>
      </c>
      <c r="G6939" s="77" t="s">
        <v>302</v>
      </c>
      <c r="H6939" s="77" t="s">
        <v>267</v>
      </c>
      <c r="I6939" s="86">
        <v>41732</v>
      </c>
      <c r="J6939" s="78">
        <v>882</v>
      </c>
    </row>
    <row r="6940" spans="6:10" x14ac:dyDescent="0.25">
      <c r="F6940" s="76" t="s">
        <v>150</v>
      </c>
      <c r="G6940" s="77" t="s">
        <v>302</v>
      </c>
      <c r="H6940" s="77" t="s">
        <v>267</v>
      </c>
      <c r="I6940" s="86">
        <v>41739</v>
      </c>
      <c r="J6940" s="78">
        <v>546</v>
      </c>
    </row>
    <row r="6941" spans="6:10" x14ac:dyDescent="0.25">
      <c r="F6941" s="76" t="s">
        <v>150</v>
      </c>
      <c r="G6941" s="77" t="s">
        <v>302</v>
      </c>
      <c r="H6941" s="77" t="s">
        <v>267</v>
      </c>
      <c r="I6941" s="86">
        <v>41740</v>
      </c>
      <c r="J6941" s="78">
        <v>561</v>
      </c>
    </row>
    <row r="6942" spans="6:10" x14ac:dyDescent="0.25">
      <c r="F6942" s="76" t="s">
        <v>150</v>
      </c>
      <c r="G6942" s="77" t="s">
        <v>302</v>
      </c>
      <c r="H6942" s="77" t="s">
        <v>267</v>
      </c>
      <c r="I6942" s="86">
        <v>41741</v>
      </c>
      <c r="J6942" s="78">
        <v>719</v>
      </c>
    </row>
    <row r="6943" spans="6:10" x14ac:dyDescent="0.25">
      <c r="F6943" s="76" t="s">
        <v>150</v>
      </c>
      <c r="G6943" s="77" t="s">
        <v>302</v>
      </c>
      <c r="H6943" s="77" t="s">
        <v>267</v>
      </c>
      <c r="I6943" s="86">
        <v>41741</v>
      </c>
      <c r="J6943" s="78">
        <v>468</v>
      </c>
    </row>
    <row r="6944" spans="6:10" x14ac:dyDescent="0.25">
      <c r="F6944" s="76" t="s">
        <v>150</v>
      </c>
      <c r="G6944" s="77" t="s">
        <v>302</v>
      </c>
      <c r="H6944" s="77" t="s">
        <v>267</v>
      </c>
      <c r="I6944" s="86">
        <v>41743</v>
      </c>
      <c r="J6944" s="78">
        <v>867</v>
      </c>
    </row>
    <row r="6945" spans="6:10" x14ac:dyDescent="0.25">
      <c r="F6945" s="76" t="s">
        <v>150</v>
      </c>
      <c r="G6945" s="77" t="s">
        <v>302</v>
      </c>
      <c r="H6945" s="77" t="s">
        <v>267</v>
      </c>
      <c r="I6945" s="86">
        <v>41743</v>
      </c>
      <c r="J6945" s="78">
        <v>741</v>
      </c>
    </row>
    <row r="6946" spans="6:10" x14ac:dyDescent="0.25">
      <c r="F6946" s="76" t="s">
        <v>150</v>
      </c>
      <c r="G6946" s="77" t="s">
        <v>302</v>
      </c>
      <c r="H6946" s="77" t="s">
        <v>267</v>
      </c>
      <c r="I6946" s="86">
        <v>41744</v>
      </c>
      <c r="J6946" s="78">
        <v>958</v>
      </c>
    </row>
    <row r="6947" spans="6:10" x14ac:dyDescent="0.25">
      <c r="F6947" s="76" t="s">
        <v>150</v>
      </c>
      <c r="G6947" s="77" t="s">
        <v>302</v>
      </c>
      <c r="H6947" s="77" t="s">
        <v>267</v>
      </c>
      <c r="I6947" s="86">
        <v>41745</v>
      </c>
      <c r="J6947" s="78">
        <v>641</v>
      </c>
    </row>
    <row r="6948" spans="6:10" x14ac:dyDescent="0.25">
      <c r="F6948" s="76" t="s">
        <v>150</v>
      </c>
      <c r="G6948" s="77" t="s">
        <v>302</v>
      </c>
      <c r="H6948" s="77" t="s">
        <v>267</v>
      </c>
      <c r="I6948" s="86">
        <v>41745</v>
      </c>
      <c r="J6948" s="78">
        <v>707</v>
      </c>
    </row>
    <row r="6949" spans="6:10" x14ac:dyDescent="0.25">
      <c r="F6949" s="76" t="s">
        <v>150</v>
      </c>
      <c r="G6949" s="77" t="s">
        <v>302</v>
      </c>
      <c r="H6949" s="77" t="s">
        <v>267</v>
      </c>
      <c r="I6949" s="86">
        <v>41746</v>
      </c>
      <c r="J6949" s="78">
        <v>967</v>
      </c>
    </row>
    <row r="6950" spans="6:10" x14ac:dyDescent="0.25">
      <c r="F6950" s="76" t="s">
        <v>150</v>
      </c>
      <c r="G6950" s="77" t="s">
        <v>302</v>
      </c>
      <c r="H6950" s="77" t="s">
        <v>267</v>
      </c>
      <c r="I6950" s="86">
        <v>41747</v>
      </c>
      <c r="J6950" s="78">
        <v>637</v>
      </c>
    </row>
    <row r="6951" spans="6:10" x14ac:dyDescent="0.25">
      <c r="F6951" s="76" t="s">
        <v>150</v>
      </c>
      <c r="G6951" s="77" t="s">
        <v>302</v>
      </c>
      <c r="H6951" s="77" t="s">
        <v>267</v>
      </c>
      <c r="I6951" s="86">
        <v>41749</v>
      </c>
      <c r="J6951" s="78">
        <v>654</v>
      </c>
    </row>
    <row r="6952" spans="6:10" x14ac:dyDescent="0.25">
      <c r="F6952" s="76" t="s">
        <v>150</v>
      </c>
      <c r="G6952" s="77" t="s">
        <v>302</v>
      </c>
      <c r="H6952" s="77" t="s">
        <v>267</v>
      </c>
      <c r="I6952" s="86">
        <v>41750</v>
      </c>
      <c r="J6952" s="78">
        <v>619</v>
      </c>
    </row>
    <row r="6953" spans="6:10" x14ac:dyDescent="0.25">
      <c r="F6953" s="76" t="s">
        <v>150</v>
      </c>
      <c r="G6953" s="77" t="s">
        <v>302</v>
      </c>
      <c r="H6953" s="77" t="s">
        <v>267</v>
      </c>
      <c r="I6953" s="86">
        <v>41752</v>
      </c>
      <c r="J6953" s="78">
        <v>1233</v>
      </c>
    </row>
    <row r="6954" spans="6:10" x14ac:dyDescent="0.25">
      <c r="F6954" s="76" t="s">
        <v>150</v>
      </c>
      <c r="G6954" s="77" t="s">
        <v>302</v>
      </c>
      <c r="H6954" s="77" t="s">
        <v>267</v>
      </c>
      <c r="I6954" s="86">
        <v>41754</v>
      </c>
      <c r="J6954" s="78">
        <v>701</v>
      </c>
    </row>
    <row r="6955" spans="6:10" x14ac:dyDescent="0.25">
      <c r="F6955" s="76" t="s">
        <v>150</v>
      </c>
      <c r="G6955" s="77" t="s">
        <v>302</v>
      </c>
      <c r="H6955" s="77" t="s">
        <v>267</v>
      </c>
      <c r="I6955" s="86">
        <v>41758</v>
      </c>
      <c r="J6955" s="78">
        <v>889</v>
      </c>
    </row>
    <row r="6956" spans="6:10" x14ac:dyDescent="0.25">
      <c r="F6956" s="76" t="s">
        <v>150</v>
      </c>
      <c r="G6956" s="77" t="s">
        <v>302</v>
      </c>
      <c r="H6956" s="77" t="s">
        <v>267</v>
      </c>
      <c r="I6956" s="86">
        <v>41760</v>
      </c>
      <c r="J6956" s="78">
        <v>721</v>
      </c>
    </row>
    <row r="6957" spans="6:10" x14ac:dyDescent="0.25">
      <c r="F6957" s="76" t="s">
        <v>150</v>
      </c>
      <c r="G6957" s="77" t="s">
        <v>302</v>
      </c>
      <c r="H6957" s="77" t="s">
        <v>267</v>
      </c>
      <c r="I6957" s="86">
        <v>41761</v>
      </c>
      <c r="J6957" s="78">
        <v>612</v>
      </c>
    </row>
    <row r="6958" spans="6:10" x14ac:dyDescent="0.25">
      <c r="F6958" s="76" t="s">
        <v>150</v>
      </c>
      <c r="G6958" s="77" t="s">
        <v>302</v>
      </c>
      <c r="H6958" s="77" t="s">
        <v>267</v>
      </c>
      <c r="I6958" s="86">
        <v>41767</v>
      </c>
      <c r="J6958" s="78">
        <v>900</v>
      </c>
    </row>
    <row r="6959" spans="6:10" x14ac:dyDescent="0.25">
      <c r="F6959" s="76" t="s">
        <v>150</v>
      </c>
      <c r="G6959" s="77" t="s">
        <v>302</v>
      </c>
      <c r="H6959" s="77" t="s">
        <v>267</v>
      </c>
      <c r="I6959" s="86">
        <v>41768</v>
      </c>
      <c r="J6959" s="78">
        <v>501</v>
      </c>
    </row>
    <row r="6960" spans="6:10" x14ac:dyDescent="0.25">
      <c r="F6960" s="76" t="s">
        <v>150</v>
      </c>
      <c r="G6960" s="77" t="s">
        <v>302</v>
      </c>
      <c r="H6960" s="77" t="s">
        <v>267</v>
      </c>
      <c r="I6960" s="86">
        <v>41768</v>
      </c>
      <c r="J6960" s="78">
        <v>883</v>
      </c>
    </row>
    <row r="6961" spans="6:10" x14ac:dyDescent="0.25">
      <c r="F6961" s="76" t="s">
        <v>150</v>
      </c>
      <c r="G6961" s="77" t="s">
        <v>302</v>
      </c>
      <c r="H6961" s="77" t="s">
        <v>267</v>
      </c>
      <c r="I6961" s="86">
        <v>41769</v>
      </c>
      <c r="J6961" s="78">
        <v>1162</v>
      </c>
    </row>
    <row r="6962" spans="6:10" x14ac:dyDescent="0.25">
      <c r="F6962" s="76" t="s">
        <v>150</v>
      </c>
      <c r="G6962" s="77" t="s">
        <v>302</v>
      </c>
      <c r="H6962" s="77" t="s">
        <v>267</v>
      </c>
      <c r="I6962" s="86">
        <v>41770</v>
      </c>
      <c r="J6962" s="78">
        <v>1149</v>
      </c>
    </row>
    <row r="6963" spans="6:10" x14ac:dyDescent="0.25">
      <c r="F6963" s="76" t="s">
        <v>150</v>
      </c>
      <c r="G6963" s="77" t="s">
        <v>302</v>
      </c>
      <c r="H6963" s="77" t="s">
        <v>267</v>
      </c>
      <c r="I6963" s="86">
        <v>41771</v>
      </c>
      <c r="J6963" s="78">
        <v>958</v>
      </c>
    </row>
    <row r="6964" spans="6:10" x14ac:dyDescent="0.25">
      <c r="F6964" s="76" t="s">
        <v>150</v>
      </c>
      <c r="G6964" s="77" t="s">
        <v>302</v>
      </c>
      <c r="H6964" s="77" t="s">
        <v>267</v>
      </c>
      <c r="I6964" s="86">
        <v>41772</v>
      </c>
      <c r="J6964" s="78">
        <v>1032</v>
      </c>
    </row>
    <row r="6965" spans="6:10" x14ac:dyDescent="0.25">
      <c r="F6965" s="76" t="s">
        <v>150</v>
      </c>
      <c r="G6965" s="77" t="s">
        <v>302</v>
      </c>
      <c r="H6965" s="77" t="s">
        <v>267</v>
      </c>
      <c r="I6965" s="86">
        <v>41773</v>
      </c>
      <c r="J6965" s="78">
        <v>624</v>
      </c>
    </row>
    <row r="6966" spans="6:10" x14ac:dyDescent="0.25">
      <c r="F6966" s="76" t="s">
        <v>150</v>
      </c>
      <c r="G6966" s="77" t="s">
        <v>302</v>
      </c>
      <c r="H6966" s="77" t="s">
        <v>267</v>
      </c>
      <c r="I6966" s="86">
        <v>41932</v>
      </c>
      <c r="J6966" s="78">
        <v>489</v>
      </c>
    </row>
    <row r="6967" spans="6:10" x14ac:dyDescent="0.25">
      <c r="F6967" s="76" t="s">
        <v>150</v>
      </c>
      <c r="G6967" s="77" t="s">
        <v>302</v>
      </c>
      <c r="H6967" s="77" t="s">
        <v>267</v>
      </c>
      <c r="I6967" s="86">
        <v>41933</v>
      </c>
      <c r="J6967" s="78">
        <v>312</v>
      </c>
    </row>
    <row r="6968" spans="6:10" x14ac:dyDescent="0.25">
      <c r="F6968" s="76" t="s">
        <v>150</v>
      </c>
      <c r="G6968" s="77" t="s">
        <v>302</v>
      </c>
      <c r="H6968" s="77" t="s">
        <v>267</v>
      </c>
      <c r="I6968" s="86">
        <v>41934</v>
      </c>
      <c r="J6968" s="78">
        <v>626</v>
      </c>
    </row>
    <row r="6969" spans="6:10" x14ac:dyDescent="0.25">
      <c r="F6969" s="76" t="s">
        <v>150</v>
      </c>
      <c r="G6969" s="77" t="s">
        <v>302</v>
      </c>
      <c r="H6969" s="77" t="s">
        <v>267</v>
      </c>
      <c r="I6969" s="86">
        <v>41936</v>
      </c>
      <c r="J6969" s="78">
        <v>880</v>
      </c>
    </row>
    <row r="6970" spans="6:10" x14ac:dyDescent="0.25">
      <c r="F6970" s="76" t="s">
        <v>150</v>
      </c>
      <c r="G6970" s="77" t="s">
        <v>302</v>
      </c>
      <c r="H6970" s="77" t="s">
        <v>267</v>
      </c>
      <c r="I6970" s="86">
        <v>41937</v>
      </c>
      <c r="J6970" s="78">
        <v>664</v>
      </c>
    </row>
    <row r="6971" spans="6:10" x14ac:dyDescent="0.25">
      <c r="F6971" s="76" t="s">
        <v>150</v>
      </c>
      <c r="G6971" s="77" t="s">
        <v>302</v>
      </c>
      <c r="H6971" s="77" t="s">
        <v>267</v>
      </c>
      <c r="I6971" s="86">
        <v>41938</v>
      </c>
      <c r="J6971" s="78">
        <v>641</v>
      </c>
    </row>
    <row r="6972" spans="6:10" x14ac:dyDescent="0.25">
      <c r="F6972" s="76" t="s">
        <v>150</v>
      </c>
      <c r="G6972" s="77" t="s">
        <v>302</v>
      </c>
      <c r="H6972" s="77" t="s">
        <v>267</v>
      </c>
      <c r="I6972" s="86">
        <v>41939</v>
      </c>
      <c r="J6972" s="78">
        <v>556</v>
      </c>
    </row>
    <row r="6973" spans="6:10" x14ac:dyDescent="0.25">
      <c r="F6973" s="76" t="s">
        <v>150</v>
      </c>
      <c r="G6973" s="77" t="s">
        <v>302</v>
      </c>
      <c r="H6973" s="77" t="s">
        <v>267</v>
      </c>
      <c r="I6973" s="86">
        <v>41941</v>
      </c>
      <c r="J6973" s="78">
        <v>1166</v>
      </c>
    </row>
    <row r="6974" spans="6:10" x14ac:dyDescent="0.25">
      <c r="F6974" s="76" t="s">
        <v>150</v>
      </c>
      <c r="G6974" s="77" t="s">
        <v>302</v>
      </c>
      <c r="H6974" s="77" t="s">
        <v>267</v>
      </c>
      <c r="I6974" s="86">
        <v>41942</v>
      </c>
      <c r="J6974" s="78">
        <v>456</v>
      </c>
    </row>
    <row r="6975" spans="6:10" x14ac:dyDescent="0.25">
      <c r="F6975" s="76" t="s">
        <v>150</v>
      </c>
      <c r="G6975" s="77" t="s">
        <v>302</v>
      </c>
      <c r="H6975" s="77" t="s">
        <v>267</v>
      </c>
      <c r="I6975" s="86">
        <v>41942</v>
      </c>
      <c r="J6975" s="78">
        <v>498</v>
      </c>
    </row>
    <row r="6976" spans="6:10" x14ac:dyDescent="0.25">
      <c r="F6976" s="76" t="s">
        <v>150</v>
      </c>
      <c r="G6976" s="77" t="s">
        <v>302</v>
      </c>
      <c r="H6976" s="77" t="s">
        <v>267</v>
      </c>
      <c r="I6976" s="86">
        <v>41946</v>
      </c>
      <c r="J6976" s="78">
        <v>725</v>
      </c>
    </row>
    <row r="6977" spans="6:10" x14ac:dyDescent="0.25">
      <c r="F6977" s="76" t="s">
        <v>150</v>
      </c>
      <c r="G6977" s="77" t="s">
        <v>302</v>
      </c>
      <c r="H6977" s="77" t="s">
        <v>267</v>
      </c>
      <c r="I6977" s="86">
        <v>41947</v>
      </c>
      <c r="J6977" s="78">
        <v>739</v>
      </c>
    </row>
    <row r="6978" spans="6:10" x14ac:dyDescent="0.25">
      <c r="F6978" s="76" t="s">
        <v>150</v>
      </c>
      <c r="G6978" s="77" t="s">
        <v>302</v>
      </c>
      <c r="H6978" s="77" t="s">
        <v>267</v>
      </c>
      <c r="I6978" s="86">
        <v>41949</v>
      </c>
      <c r="J6978" s="78">
        <v>812</v>
      </c>
    </row>
    <row r="6979" spans="6:10" x14ac:dyDescent="0.25">
      <c r="F6979" s="76" t="s">
        <v>150</v>
      </c>
      <c r="G6979" s="77" t="s">
        <v>302</v>
      </c>
      <c r="H6979" s="77" t="s">
        <v>267</v>
      </c>
      <c r="I6979" s="86">
        <v>41952</v>
      </c>
      <c r="J6979" s="78">
        <v>712</v>
      </c>
    </row>
    <row r="6980" spans="6:10" x14ac:dyDescent="0.25">
      <c r="F6980" s="76" t="s">
        <v>150</v>
      </c>
      <c r="G6980" s="77" t="s">
        <v>302</v>
      </c>
      <c r="H6980" s="77" t="s">
        <v>267</v>
      </c>
      <c r="I6980" s="86">
        <v>41952</v>
      </c>
      <c r="J6980" s="78">
        <v>1053</v>
      </c>
    </row>
    <row r="6981" spans="6:10" x14ac:dyDescent="0.25">
      <c r="F6981" s="76" t="s">
        <v>150</v>
      </c>
      <c r="G6981" s="77" t="s">
        <v>302</v>
      </c>
      <c r="H6981" s="77" t="s">
        <v>267</v>
      </c>
      <c r="I6981" s="86">
        <v>41953</v>
      </c>
      <c r="J6981" s="78">
        <v>1184</v>
      </c>
    </row>
    <row r="6982" spans="6:10" x14ac:dyDescent="0.25">
      <c r="F6982" s="76" t="s">
        <v>150</v>
      </c>
      <c r="G6982" s="77" t="s">
        <v>302</v>
      </c>
      <c r="H6982" s="77" t="s">
        <v>267</v>
      </c>
      <c r="I6982" s="86">
        <v>41954</v>
      </c>
      <c r="J6982" s="78">
        <v>771</v>
      </c>
    </row>
    <row r="6983" spans="6:10" x14ac:dyDescent="0.25">
      <c r="F6983" s="76" t="s">
        <v>150</v>
      </c>
      <c r="G6983" s="77" t="s">
        <v>302</v>
      </c>
      <c r="H6983" s="77" t="s">
        <v>267</v>
      </c>
      <c r="I6983" s="86">
        <v>41954</v>
      </c>
      <c r="J6983" s="78">
        <v>610</v>
      </c>
    </row>
    <row r="6984" spans="6:10" x14ac:dyDescent="0.25">
      <c r="F6984" s="76" t="s">
        <v>150</v>
      </c>
      <c r="G6984" s="77" t="s">
        <v>302</v>
      </c>
      <c r="H6984" s="77" t="s">
        <v>267</v>
      </c>
      <c r="I6984" s="86">
        <v>41955</v>
      </c>
      <c r="J6984" s="78">
        <v>1036</v>
      </c>
    </row>
    <row r="6985" spans="6:10" x14ac:dyDescent="0.25">
      <c r="F6985" s="76" t="s">
        <v>150</v>
      </c>
      <c r="G6985" s="77" t="s">
        <v>302</v>
      </c>
      <c r="H6985" s="77" t="s">
        <v>267</v>
      </c>
      <c r="I6985" s="86">
        <v>41956</v>
      </c>
      <c r="J6985" s="78">
        <v>514</v>
      </c>
    </row>
    <row r="6986" spans="6:10" x14ac:dyDescent="0.25">
      <c r="F6986" s="76" t="s">
        <v>150</v>
      </c>
      <c r="G6986" s="77" t="s">
        <v>302</v>
      </c>
      <c r="H6986" s="77" t="s">
        <v>267</v>
      </c>
      <c r="I6986" s="86">
        <v>41957</v>
      </c>
      <c r="J6986" s="78">
        <v>476</v>
      </c>
    </row>
    <row r="6987" spans="6:10" x14ac:dyDescent="0.25">
      <c r="F6987" s="76" t="s">
        <v>150</v>
      </c>
      <c r="G6987" s="77" t="s">
        <v>302</v>
      </c>
      <c r="H6987" s="77" t="s">
        <v>267</v>
      </c>
      <c r="I6987" s="86">
        <v>41957</v>
      </c>
      <c r="J6987" s="78">
        <v>475</v>
      </c>
    </row>
    <row r="6988" spans="6:10" x14ac:dyDescent="0.25">
      <c r="F6988" s="76" t="s">
        <v>150</v>
      </c>
      <c r="G6988" s="77" t="s">
        <v>302</v>
      </c>
      <c r="H6988" s="77" t="s">
        <v>267</v>
      </c>
      <c r="I6988" s="86">
        <v>41958</v>
      </c>
      <c r="J6988" s="78">
        <v>851</v>
      </c>
    </row>
    <row r="6989" spans="6:10" x14ac:dyDescent="0.25">
      <c r="F6989" s="76" t="s">
        <v>150</v>
      </c>
      <c r="G6989" s="77" t="s">
        <v>302</v>
      </c>
      <c r="H6989" s="77" t="s">
        <v>267</v>
      </c>
      <c r="I6989" s="86">
        <v>41959</v>
      </c>
      <c r="J6989" s="78">
        <v>622</v>
      </c>
    </row>
    <row r="6990" spans="6:10" x14ac:dyDescent="0.25">
      <c r="F6990" s="76" t="s">
        <v>150</v>
      </c>
      <c r="G6990" s="77" t="s">
        <v>302</v>
      </c>
      <c r="H6990" s="77" t="s">
        <v>267</v>
      </c>
      <c r="I6990" s="86">
        <v>41960</v>
      </c>
      <c r="J6990" s="78">
        <v>601</v>
      </c>
    </row>
    <row r="6991" spans="6:10" x14ac:dyDescent="0.25">
      <c r="F6991" s="76" t="s">
        <v>150</v>
      </c>
      <c r="G6991" s="77" t="s">
        <v>302</v>
      </c>
      <c r="H6991" s="77" t="s">
        <v>267</v>
      </c>
      <c r="I6991" s="86">
        <v>41961</v>
      </c>
      <c r="J6991" s="78">
        <v>669</v>
      </c>
    </row>
    <row r="6992" spans="6:10" x14ac:dyDescent="0.25">
      <c r="F6992" s="76" t="s">
        <v>150</v>
      </c>
      <c r="G6992" s="77" t="s">
        <v>302</v>
      </c>
      <c r="H6992" s="77" t="s">
        <v>267</v>
      </c>
      <c r="I6992" s="86">
        <v>41962</v>
      </c>
      <c r="J6992" s="78">
        <v>393</v>
      </c>
    </row>
    <row r="6993" spans="6:10" x14ac:dyDescent="0.25">
      <c r="F6993" s="76" t="s">
        <v>150</v>
      </c>
      <c r="G6993" s="77" t="s">
        <v>302</v>
      </c>
      <c r="H6993" s="77" t="s">
        <v>267</v>
      </c>
      <c r="I6993" s="86">
        <v>41997</v>
      </c>
      <c r="J6993" s="78">
        <v>435</v>
      </c>
    </row>
    <row r="6994" spans="6:10" x14ac:dyDescent="0.25">
      <c r="F6994" s="76" t="s">
        <v>150</v>
      </c>
      <c r="G6994" s="77" t="s">
        <v>302</v>
      </c>
      <c r="H6994" s="77" t="s">
        <v>267</v>
      </c>
      <c r="I6994" s="86">
        <v>41999</v>
      </c>
      <c r="J6994" s="78">
        <v>814</v>
      </c>
    </row>
    <row r="6995" spans="6:10" x14ac:dyDescent="0.25">
      <c r="F6995" s="76" t="s">
        <v>150</v>
      </c>
      <c r="G6995" s="77" t="s">
        <v>302</v>
      </c>
      <c r="H6995" s="77" t="s">
        <v>267</v>
      </c>
      <c r="I6995" s="86">
        <v>42000</v>
      </c>
      <c r="J6995" s="78">
        <v>737</v>
      </c>
    </row>
    <row r="6996" spans="6:10" x14ac:dyDescent="0.25">
      <c r="F6996" s="76" t="s">
        <v>150</v>
      </c>
      <c r="G6996" s="77" t="s">
        <v>302</v>
      </c>
      <c r="H6996" s="77" t="s">
        <v>267</v>
      </c>
      <c r="I6996" s="86">
        <v>42001</v>
      </c>
      <c r="J6996" s="78">
        <v>759</v>
      </c>
    </row>
    <row r="6997" spans="6:10" x14ac:dyDescent="0.25">
      <c r="F6997" s="76" t="s">
        <v>150</v>
      </c>
      <c r="G6997" s="77" t="s">
        <v>302</v>
      </c>
      <c r="H6997" s="77" t="s">
        <v>267</v>
      </c>
      <c r="I6997" s="86">
        <v>42002</v>
      </c>
      <c r="J6997" s="78">
        <v>1089</v>
      </c>
    </row>
    <row r="6998" spans="6:10" x14ac:dyDescent="0.25">
      <c r="F6998" s="76" t="s">
        <v>150</v>
      </c>
      <c r="G6998" s="77" t="s">
        <v>303</v>
      </c>
      <c r="H6998" s="77" t="s">
        <v>267</v>
      </c>
      <c r="I6998" s="86">
        <v>41642</v>
      </c>
      <c r="J6998" s="78">
        <v>1123</v>
      </c>
    </row>
    <row r="6999" spans="6:10" x14ac:dyDescent="0.25">
      <c r="F6999" s="76" t="s">
        <v>150</v>
      </c>
      <c r="G6999" s="77" t="s">
        <v>303</v>
      </c>
      <c r="H6999" s="77" t="s">
        <v>267</v>
      </c>
      <c r="I6999" s="86">
        <v>41642</v>
      </c>
      <c r="J6999" s="78">
        <v>1062</v>
      </c>
    </row>
    <row r="7000" spans="6:10" x14ac:dyDescent="0.25">
      <c r="F7000" s="76" t="s">
        <v>150</v>
      </c>
      <c r="G7000" s="77" t="s">
        <v>303</v>
      </c>
      <c r="H7000" s="77" t="s">
        <v>267</v>
      </c>
      <c r="I7000" s="86">
        <v>41643</v>
      </c>
      <c r="J7000" s="78">
        <v>1166</v>
      </c>
    </row>
    <row r="7001" spans="6:10" x14ac:dyDescent="0.25">
      <c r="F7001" s="76" t="s">
        <v>150</v>
      </c>
      <c r="G7001" s="77" t="s">
        <v>303</v>
      </c>
      <c r="H7001" s="77" t="s">
        <v>267</v>
      </c>
      <c r="I7001" s="86">
        <v>41644</v>
      </c>
      <c r="J7001" s="78">
        <v>500</v>
      </c>
    </row>
    <row r="7002" spans="6:10" x14ac:dyDescent="0.25">
      <c r="F7002" s="76" t="s">
        <v>150</v>
      </c>
      <c r="G7002" s="77" t="s">
        <v>303</v>
      </c>
      <c r="H7002" s="77" t="s">
        <v>267</v>
      </c>
      <c r="I7002" s="86">
        <v>41644</v>
      </c>
      <c r="J7002" s="78">
        <v>692</v>
      </c>
    </row>
    <row r="7003" spans="6:10" x14ac:dyDescent="0.25">
      <c r="F7003" s="76" t="s">
        <v>150</v>
      </c>
      <c r="G7003" s="77" t="s">
        <v>303</v>
      </c>
      <c r="H7003" s="77" t="s">
        <v>267</v>
      </c>
      <c r="I7003" s="86">
        <v>41646</v>
      </c>
      <c r="J7003" s="78">
        <v>1574</v>
      </c>
    </row>
    <row r="7004" spans="6:10" x14ac:dyDescent="0.25">
      <c r="F7004" s="76" t="s">
        <v>150</v>
      </c>
      <c r="G7004" s="77" t="s">
        <v>303</v>
      </c>
      <c r="H7004" s="77" t="s">
        <v>267</v>
      </c>
      <c r="I7004" s="86">
        <v>41647</v>
      </c>
      <c r="J7004" s="78">
        <v>966</v>
      </c>
    </row>
    <row r="7005" spans="6:10" x14ac:dyDescent="0.25">
      <c r="F7005" s="76" t="s">
        <v>150</v>
      </c>
      <c r="G7005" s="77" t="s">
        <v>303</v>
      </c>
      <c r="H7005" s="77" t="s">
        <v>267</v>
      </c>
      <c r="I7005" s="86">
        <v>41649</v>
      </c>
      <c r="J7005" s="78">
        <v>783</v>
      </c>
    </row>
    <row r="7006" spans="6:10" x14ac:dyDescent="0.25">
      <c r="F7006" s="76" t="s">
        <v>150</v>
      </c>
      <c r="G7006" s="77" t="s">
        <v>303</v>
      </c>
      <c r="H7006" s="77" t="s">
        <v>267</v>
      </c>
      <c r="I7006" s="86">
        <v>41654</v>
      </c>
      <c r="J7006" s="78">
        <v>1105</v>
      </c>
    </row>
    <row r="7007" spans="6:10" x14ac:dyDescent="0.25">
      <c r="F7007" s="76" t="s">
        <v>150</v>
      </c>
      <c r="G7007" s="77" t="s">
        <v>303</v>
      </c>
      <c r="H7007" s="77" t="s">
        <v>267</v>
      </c>
      <c r="I7007" s="86">
        <v>41655</v>
      </c>
      <c r="J7007" s="78">
        <v>581</v>
      </c>
    </row>
    <row r="7008" spans="6:10" x14ac:dyDescent="0.25">
      <c r="F7008" s="76" t="s">
        <v>150</v>
      </c>
      <c r="G7008" s="77" t="s">
        <v>303</v>
      </c>
      <c r="H7008" s="77" t="s">
        <v>267</v>
      </c>
      <c r="I7008" s="86">
        <v>41657</v>
      </c>
      <c r="J7008" s="78">
        <v>1004</v>
      </c>
    </row>
    <row r="7009" spans="6:10" x14ac:dyDescent="0.25">
      <c r="F7009" s="76" t="s">
        <v>150</v>
      </c>
      <c r="G7009" s="77" t="s">
        <v>303</v>
      </c>
      <c r="H7009" s="77" t="s">
        <v>267</v>
      </c>
      <c r="I7009" s="86">
        <v>41657</v>
      </c>
      <c r="J7009" s="78">
        <v>1054</v>
      </c>
    </row>
    <row r="7010" spans="6:10" x14ac:dyDescent="0.25">
      <c r="F7010" s="76" t="s">
        <v>150</v>
      </c>
      <c r="G7010" s="77" t="s">
        <v>303</v>
      </c>
      <c r="H7010" s="77" t="s">
        <v>267</v>
      </c>
      <c r="I7010" s="86">
        <v>41658</v>
      </c>
      <c r="J7010" s="78">
        <v>1177</v>
      </c>
    </row>
    <row r="7011" spans="6:10" x14ac:dyDescent="0.25">
      <c r="F7011" s="76" t="s">
        <v>150</v>
      </c>
      <c r="G7011" s="77" t="s">
        <v>303</v>
      </c>
      <c r="H7011" s="77" t="s">
        <v>267</v>
      </c>
      <c r="I7011" s="86">
        <v>41659</v>
      </c>
      <c r="J7011" s="78">
        <v>1036</v>
      </c>
    </row>
    <row r="7012" spans="6:10" x14ac:dyDescent="0.25">
      <c r="F7012" s="76" t="s">
        <v>150</v>
      </c>
      <c r="G7012" s="77" t="s">
        <v>303</v>
      </c>
      <c r="H7012" s="77" t="s">
        <v>267</v>
      </c>
      <c r="I7012" s="86">
        <v>41660</v>
      </c>
      <c r="J7012" s="78">
        <v>995</v>
      </c>
    </row>
    <row r="7013" spans="6:10" x14ac:dyDescent="0.25">
      <c r="F7013" s="76" t="s">
        <v>150</v>
      </c>
      <c r="G7013" s="77" t="s">
        <v>303</v>
      </c>
      <c r="H7013" s="77" t="s">
        <v>267</v>
      </c>
      <c r="I7013" s="86">
        <v>41661</v>
      </c>
      <c r="J7013" s="78">
        <v>1232</v>
      </c>
    </row>
    <row r="7014" spans="6:10" x14ac:dyDescent="0.25">
      <c r="F7014" s="76" t="s">
        <v>150</v>
      </c>
      <c r="G7014" s="77" t="s">
        <v>303</v>
      </c>
      <c r="H7014" s="77" t="s">
        <v>267</v>
      </c>
      <c r="I7014" s="86">
        <v>41663</v>
      </c>
      <c r="J7014" s="78">
        <v>1267</v>
      </c>
    </row>
    <row r="7015" spans="6:10" x14ac:dyDescent="0.25">
      <c r="F7015" s="76" t="s">
        <v>150</v>
      </c>
      <c r="G7015" s="77" t="s">
        <v>303</v>
      </c>
      <c r="H7015" s="77" t="s">
        <v>267</v>
      </c>
      <c r="I7015" s="86">
        <v>41666</v>
      </c>
      <c r="J7015" s="78">
        <v>820</v>
      </c>
    </row>
    <row r="7016" spans="6:10" x14ac:dyDescent="0.25">
      <c r="F7016" s="76" t="s">
        <v>150</v>
      </c>
      <c r="G7016" s="77" t="s">
        <v>303</v>
      </c>
      <c r="H7016" s="77" t="s">
        <v>267</v>
      </c>
      <c r="I7016" s="86">
        <v>41668</v>
      </c>
      <c r="J7016" s="78">
        <v>1192</v>
      </c>
    </row>
    <row r="7017" spans="6:10" x14ac:dyDescent="0.25">
      <c r="F7017" s="76" t="s">
        <v>150</v>
      </c>
      <c r="G7017" s="77" t="s">
        <v>303</v>
      </c>
      <c r="H7017" s="77" t="s">
        <v>267</v>
      </c>
      <c r="I7017" s="86">
        <v>41669</v>
      </c>
      <c r="J7017" s="78">
        <v>765</v>
      </c>
    </row>
    <row r="7018" spans="6:10" x14ac:dyDescent="0.25">
      <c r="F7018" s="76" t="s">
        <v>150</v>
      </c>
      <c r="G7018" s="77" t="s">
        <v>303</v>
      </c>
      <c r="H7018" s="77" t="s">
        <v>267</v>
      </c>
      <c r="I7018" s="86">
        <v>41669</v>
      </c>
      <c r="J7018" s="78">
        <v>560</v>
      </c>
    </row>
    <row r="7019" spans="6:10" x14ac:dyDescent="0.25">
      <c r="F7019" s="76" t="s">
        <v>150</v>
      </c>
      <c r="G7019" s="77" t="s">
        <v>303</v>
      </c>
      <c r="H7019" s="77" t="s">
        <v>267</v>
      </c>
      <c r="I7019" s="86">
        <v>41683</v>
      </c>
      <c r="J7019" s="78">
        <v>1062</v>
      </c>
    </row>
    <row r="7020" spans="6:10" x14ac:dyDescent="0.25">
      <c r="F7020" s="76" t="s">
        <v>150</v>
      </c>
      <c r="G7020" s="77" t="s">
        <v>303</v>
      </c>
      <c r="H7020" s="77" t="s">
        <v>267</v>
      </c>
      <c r="I7020" s="86">
        <v>41687</v>
      </c>
      <c r="J7020" s="78">
        <v>971</v>
      </c>
    </row>
    <row r="7021" spans="6:10" x14ac:dyDescent="0.25">
      <c r="F7021" s="76" t="s">
        <v>150</v>
      </c>
      <c r="G7021" s="77" t="s">
        <v>303</v>
      </c>
      <c r="H7021" s="77" t="s">
        <v>267</v>
      </c>
      <c r="I7021" s="86">
        <v>41688</v>
      </c>
      <c r="J7021" s="78">
        <v>429</v>
      </c>
    </row>
    <row r="7022" spans="6:10" x14ac:dyDescent="0.25">
      <c r="F7022" s="76" t="s">
        <v>150</v>
      </c>
      <c r="G7022" s="77" t="s">
        <v>303</v>
      </c>
      <c r="H7022" s="77" t="s">
        <v>267</v>
      </c>
      <c r="I7022" s="86">
        <v>41689</v>
      </c>
      <c r="J7022" s="78">
        <v>614</v>
      </c>
    </row>
    <row r="7023" spans="6:10" x14ac:dyDescent="0.25">
      <c r="F7023" s="76" t="s">
        <v>150</v>
      </c>
      <c r="G7023" s="77" t="s">
        <v>303</v>
      </c>
      <c r="H7023" s="77" t="s">
        <v>267</v>
      </c>
      <c r="I7023" s="86">
        <v>41690</v>
      </c>
      <c r="J7023" s="78">
        <v>714</v>
      </c>
    </row>
    <row r="7024" spans="6:10" x14ac:dyDescent="0.25">
      <c r="F7024" s="76" t="s">
        <v>150</v>
      </c>
      <c r="G7024" s="77" t="s">
        <v>303</v>
      </c>
      <c r="H7024" s="77" t="s">
        <v>267</v>
      </c>
      <c r="I7024" s="86">
        <v>41690</v>
      </c>
      <c r="J7024" s="78">
        <v>589</v>
      </c>
    </row>
    <row r="7025" spans="6:10" x14ac:dyDescent="0.25">
      <c r="F7025" s="76" t="s">
        <v>150</v>
      </c>
      <c r="G7025" s="77" t="s">
        <v>303</v>
      </c>
      <c r="H7025" s="77" t="s">
        <v>267</v>
      </c>
      <c r="I7025" s="86">
        <v>41692</v>
      </c>
      <c r="J7025" s="78">
        <v>1142</v>
      </c>
    </row>
    <row r="7026" spans="6:10" x14ac:dyDescent="0.25">
      <c r="F7026" s="76" t="s">
        <v>150</v>
      </c>
      <c r="G7026" s="77" t="s">
        <v>303</v>
      </c>
      <c r="H7026" s="77" t="s">
        <v>267</v>
      </c>
      <c r="I7026" s="86">
        <v>41692</v>
      </c>
      <c r="J7026" s="78">
        <v>863</v>
      </c>
    </row>
    <row r="7027" spans="6:10" x14ac:dyDescent="0.25">
      <c r="F7027" s="76" t="s">
        <v>150</v>
      </c>
      <c r="G7027" s="77" t="s">
        <v>303</v>
      </c>
      <c r="H7027" s="77" t="s">
        <v>267</v>
      </c>
      <c r="I7027" s="86">
        <v>41694</v>
      </c>
      <c r="J7027" s="78">
        <v>958</v>
      </c>
    </row>
    <row r="7028" spans="6:10" x14ac:dyDescent="0.25">
      <c r="F7028" s="76" t="s">
        <v>150</v>
      </c>
      <c r="G7028" s="77" t="s">
        <v>303</v>
      </c>
      <c r="H7028" s="77" t="s">
        <v>267</v>
      </c>
      <c r="I7028" s="86">
        <v>41694</v>
      </c>
      <c r="J7028" s="78">
        <v>390</v>
      </c>
    </row>
    <row r="7029" spans="6:10" x14ac:dyDescent="0.25">
      <c r="F7029" s="76" t="s">
        <v>150</v>
      </c>
      <c r="G7029" s="77" t="s">
        <v>303</v>
      </c>
      <c r="H7029" s="77" t="s">
        <v>267</v>
      </c>
      <c r="I7029" s="86">
        <v>41695</v>
      </c>
      <c r="J7029" s="78">
        <v>1138</v>
      </c>
    </row>
    <row r="7030" spans="6:10" x14ac:dyDescent="0.25">
      <c r="F7030" s="76" t="s">
        <v>150</v>
      </c>
      <c r="G7030" s="77" t="s">
        <v>303</v>
      </c>
      <c r="H7030" s="77" t="s">
        <v>267</v>
      </c>
      <c r="I7030" s="86">
        <v>41696</v>
      </c>
      <c r="J7030" s="78">
        <v>1188</v>
      </c>
    </row>
    <row r="7031" spans="6:10" x14ac:dyDescent="0.25">
      <c r="F7031" s="76" t="s">
        <v>150</v>
      </c>
      <c r="G7031" s="77" t="s">
        <v>303</v>
      </c>
      <c r="H7031" s="77" t="s">
        <v>267</v>
      </c>
      <c r="I7031" s="86">
        <v>41697</v>
      </c>
      <c r="J7031" s="78">
        <v>1210</v>
      </c>
    </row>
    <row r="7032" spans="6:10" x14ac:dyDescent="0.25">
      <c r="F7032" s="76" t="s">
        <v>150</v>
      </c>
      <c r="G7032" s="77" t="s">
        <v>303</v>
      </c>
      <c r="H7032" s="77" t="s">
        <v>267</v>
      </c>
      <c r="I7032" s="86">
        <v>41699</v>
      </c>
      <c r="J7032" s="78">
        <v>1222</v>
      </c>
    </row>
    <row r="7033" spans="6:10" x14ac:dyDescent="0.25">
      <c r="F7033" s="76" t="s">
        <v>150</v>
      </c>
      <c r="G7033" s="77" t="s">
        <v>303</v>
      </c>
      <c r="H7033" s="77" t="s">
        <v>267</v>
      </c>
      <c r="I7033" s="86">
        <v>41700</v>
      </c>
      <c r="J7033" s="78">
        <v>496</v>
      </c>
    </row>
    <row r="7034" spans="6:10" x14ac:dyDescent="0.25">
      <c r="F7034" s="76" t="s">
        <v>150</v>
      </c>
      <c r="G7034" s="77" t="s">
        <v>303</v>
      </c>
      <c r="H7034" s="77" t="s">
        <v>267</v>
      </c>
      <c r="I7034" s="86">
        <v>41701</v>
      </c>
      <c r="J7034" s="78">
        <v>400</v>
      </c>
    </row>
    <row r="7035" spans="6:10" x14ac:dyDescent="0.25">
      <c r="F7035" s="76" t="s">
        <v>150</v>
      </c>
      <c r="G7035" s="77" t="s">
        <v>303</v>
      </c>
      <c r="H7035" s="77" t="s">
        <v>267</v>
      </c>
      <c r="I7035" s="86">
        <v>41702</v>
      </c>
      <c r="J7035" s="78">
        <v>953</v>
      </c>
    </row>
    <row r="7036" spans="6:10" x14ac:dyDescent="0.25">
      <c r="F7036" s="76" t="s">
        <v>150</v>
      </c>
      <c r="G7036" s="77" t="s">
        <v>303</v>
      </c>
      <c r="H7036" s="77" t="s">
        <v>267</v>
      </c>
      <c r="I7036" s="86">
        <v>41703</v>
      </c>
      <c r="J7036" s="78">
        <v>742</v>
      </c>
    </row>
    <row r="7037" spans="6:10" x14ac:dyDescent="0.25">
      <c r="F7037" s="76" t="s">
        <v>150</v>
      </c>
      <c r="G7037" s="77" t="s">
        <v>303</v>
      </c>
      <c r="H7037" s="77" t="s">
        <v>267</v>
      </c>
      <c r="I7037" s="86">
        <v>41703</v>
      </c>
      <c r="J7037" s="78">
        <v>630</v>
      </c>
    </row>
    <row r="7038" spans="6:10" x14ac:dyDescent="0.25">
      <c r="F7038" s="76" t="s">
        <v>150</v>
      </c>
      <c r="G7038" s="77" t="s">
        <v>303</v>
      </c>
      <c r="H7038" s="77" t="s">
        <v>267</v>
      </c>
      <c r="I7038" s="86">
        <v>41704</v>
      </c>
      <c r="J7038" s="78">
        <v>1039</v>
      </c>
    </row>
    <row r="7039" spans="6:10" x14ac:dyDescent="0.25">
      <c r="F7039" s="76" t="s">
        <v>150</v>
      </c>
      <c r="G7039" s="77" t="s">
        <v>303</v>
      </c>
      <c r="H7039" s="77" t="s">
        <v>267</v>
      </c>
      <c r="I7039" s="86">
        <v>41772</v>
      </c>
      <c r="J7039" s="78">
        <v>1379</v>
      </c>
    </row>
    <row r="7040" spans="6:10" x14ac:dyDescent="0.25">
      <c r="F7040" s="76" t="s">
        <v>150</v>
      </c>
      <c r="G7040" s="77" t="s">
        <v>303</v>
      </c>
      <c r="H7040" s="77" t="s">
        <v>267</v>
      </c>
      <c r="I7040" s="86">
        <v>41774</v>
      </c>
      <c r="J7040" s="78">
        <v>748</v>
      </c>
    </row>
    <row r="7041" spans="6:10" x14ac:dyDescent="0.25">
      <c r="F7041" s="76" t="s">
        <v>150</v>
      </c>
      <c r="G7041" s="77" t="s">
        <v>303</v>
      </c>
      <c r="H7041" s="77" t="s">
        <v>267</v>
      </c>
      <c r="I7041" s="86">
        <v>41778</v>
      </c>
      <c r="J7041" s="78">
        <v>712</v>
      </c>
    </row>
    <row r="7042" spans="6:10" x14ac:dyDescent="0.25">
      <c r="F7042" s="76" t="s">
        <v>150</v>
      </c>
      <c r="G7042" s="77" t="s">
        <v>303</v>
      </c>
      <c r="H7042" s="77" t="s">
        <v>267</v>
      </c>
      <c r="I7042" s="86">
        <v>41780</v>
      </c>
      <c r="J7042" s="78">
        <v>985</v>
      </c>
    </row>
    <row r="7043" spans="6:10" x14ac:dyDescent="0.25">
      <c r="F7043" s="76" t="s">
        <v>150</v>
      </c>
      <c r="G7043" s="77" t="s">
        <v>303</v>
      </c>
      <c r="H7043" s="77" t="s">
        <v>267</v>
      </c>
      <c r="I7043" s="86">
        <v>41782</v>
      </c>
      <c r="J7043" s="78">
        <v>719</v>
      </c>
    </row>
    <row r="7044" spans="6:10" x14ac:dyDescent="0.25">
      <c r="F7044" s="76" t="s">
        <v>150</v>
      </c>
      <c r="G7044" s="77" t="s">
        <v>303</v>
      </c>
      <c r="H7044" s="77" t="s">
        <v>267</v>
      </c>
      <c r="I7044" s="86">
        <v>41782</v>
      </c>
      <c r="J7044" s="78">
        <v>646</v>
      </c>
    </row>
    <row r="7045" spans="6:10" x14ac:dyDescent="0.25">
      <c r="F7045" s="76" t="s">
        <v>150</v>
      </c>
      <c r="G7045" s="77" t="s">
        <v>303</v>
      </c>
      <c r="H7045" s="77" t="s">
        <v>267</v>
      </c>
      <c r="I7045" s="86">
        <v>41783</v>
      </c>
      <c r="J7045" s="78">
        <v>710</v>
      </c>
    </row>
    <row r="7046" spans="6:10" x14ac:dyDescent="0.25">
      <c r="F7046" s="76" t="s">
        <v>150</v>
      </c>
      <c r="G7046" s="77" t="s">
        <v>303</v>
      </c>
      <c r="H7046" s="77" t="s">
        <v>267</v>
      </c>
      <c r="I7046" s="86">
        <v>41784</v>
      </c>
      <c r="J7046" s="78">
        <v>493</v>
      </c>
    </row>
    <row r="7047" spans="6:10" x14ac:dyDescent="0.25">
      <c r="F7047" s="76" t="s">
        <v>150</v>
      </c>
      <c r="G7047" s="77" t="s">
        <v>303</v>
      </c>
      <c r="H7047" s="77" t="s">
        <v>267</v>
      </c>
      <c r="I7047" s="86">
        <v>41784</v>
      </c>
      <c r="J7047" s="78">
        <v>1064</v>
      </c>
    </row>
    <row r="7048" spans="6:10" x14ac:dyDescent="0.25">
      <c r="F7048" s="76" t="s">
        <v>150</v>
      </c>
      <c r="G7048" s="77" t="s">
        <v>303</v>
      </c>
      <c r="H7048" s="77" t="s">
        <v>267</v>
      </c>
      <c r="I7048" s="86">
        <v>41785</v>
      </c>
      <c r="J7048" s="78">
        <v>406</v>
      </c>
    </row>
    <row r="7049" spans="6:10" x14ac:dyDescent="0.25">
      <c r="F7049" s="76" t="s">
        <v>150</v>
      </c>
      <c r="G7049" s="77" t="s">
        <v>303</v>
      </c>
      <c r="H7049" s="77" t="s">
        <v>267</v>
      </c>
      <c r="I7049" s="86">
        <v>41785</v>
      </c>
      <c r="J7049" s="78">
        <v>550</v>
      </c>
    </row>
    <row r="7050" spans="6:10" x14ac:dyDescent="0.25">
      <c r="F7050" s="76" t="s">
        <v>150</v>
      </c>
      <c r="G7050" s="77" t="s">
        <v>303</v>
      </c>
      <c r="H7050" s="77" t="s">
        <v>267</v>
      </c>
      <c r="I7050" s="86">
        <v>41786</v>
      </c>
      <c r="J7050" s="78">
        <v>566</v>
      </c>
    </row>
    <row r="7051" spans="6:10" x14ac:dyDescent="0.25">
      <c r="F7051" s="76" t="s">
        <v>150</v>
      </c>
      <c r="G7051" s="77" t="s">
        <v>303</v>
      </c>
      <c r="H7051" s="77" t="s">
        <v>267</v>
      </c>
      <c r="I7051" s="86">
        <v>41786</v>
      </c>
      <c r="J7051" s="78">
        <v>1088</v>
      </c>
    </row>
    <row r="7052" spans="6:10" x14ac:dyDescent="0.25">
      <c r="F7052" s="76" t="s">
        <v>150</v>
      </c>
      <c r="G7052" s="77" t="s">
        <v>303</v>
      </c>
      <c r="H7052" s="77" t="s">
        <v>267</v>
      </c>
      <c r="I7052" s="86">
        <v>41787</v>
      </c>
      <c r="J7052" s="78">
        <v>1072</v>
      </c>
    </row>
    <row r="7053" spans="6:10" x14ac:dyDescent="0.25">
      <c r="F7053" s="76" t="s">
        <v>150</v>
      </c>
      <c r="G7053" s="77" t="s">
        <v>303</v>
      </c>
      <c r="H7053" s="77" t="s">
        <v>267</v>
      </c>
      <c r="I7053" s="86">
        <v>41788</v>
      </c>
      <c r="J7053" s="78">
        <v>1151</v>
      </c>
    </row>
    <row r="7054" spans="6:10" x14ac:dyDescent="0.25">
      <c r="F7054" s="76" t="s">
        <v>150</v>
      </c>
      <c r="G7054" s="77" t="s">
        <v>303</v>
      </c>
      <c r="H7054" s="77" t="s">
        <v>267</v>
      </c>
      <c r="I7054" s="86">
        <v>41789</v>
      </c>
      <c r="J7054" s="78">
        <v>1109</v>
      </c>
    </row>
    <row r="7055" spans="6:10" x14ac:dyDescent="0.25">
      <c r="F7055" s="76" t="s">
        <v>150</v>
      </c>
      <c r="G7055" s="77" t="s">
        <v>303</v>
      </c>
      <c r="H7055" s="77" t="s">
        <v>267</v>
      </c>
      <c r="I7055" s="86">
        <v>41792</v>
      </c>
      <c r="J7055" s="78">
        <v>790</v>
      </c>
    </row>
    <row r="7056" spans="6:10" x14ac:dyDescent="0.25">
      <c r="F7056" s="76" t="s">
        <v>150</v>
      </c>
      <c r="G7056" s="77" t="s">
        <v>303</v>
      </c>
      <c r="H7056" s="77" t="s">
        <v>267</v>
      </c>
      <c r="I7056" s="86">
        <v>41792</v>
      </c>
      <c r="J7056" s="78">
        <v>1147</v>
      </c>
    </row>
    <row r="7057" spans="6:10" x14ac:dyDescent="0.25">
      <c r="F7057" s="76" t="s">
        <v>150</v>
      </c>
      <c r="G7057" s="77" t="s">
        <v>303</v>
      </c>
      <c r="H7057" s="77" t="s">
        <v>267</v>
      </c>
      <c r="I7057" s="86">
        <v>41793</v>
      </c>
      <c r="J7057" s="78">
        <v>1131</v>
      </c>
    </row>
    <row r="7058" spans="6:10" x14ac:dyDescent="0.25">
      <c r="F7058" s="76" t="s">
        <v>150</v>
      </c>
      <c r="G7058" s="77" t="s">
        <v>303</v>
      </c>
      <c r="H7058" s="77" t="s">
        <v>267</v>
      </c>
      <c r="I7058" s="86">
        <v>41794</v>
      </c>
      <c r="J7058" s="78">
        <v>1274</v>
      </c>
    </row>
    <row r="7059" spans="6:10" x14ac:dyDescent="0.25">
      <c r="F7059" s="76" t="s">
        <v>150</v>
      </c>
      <c r="G7059" s="77" t="s">
        <v>303</v>
      </c>
      <c r="H7059" s="77" t="s">
        <v>267</v>
      </c>
      <c r="I7059" s="86">
        <v>41795</v>
      </c>
      <c r="J7059" s="78">
        <v>1141</v>
      </c>
    </row>
    <row r="7060" spans="6:10" x14ac:dyDescent="0.25">
      <c r="F7060" s="76" t="s">
        <v>150</v>
      </c>
      <c r="G7060" s="77" t="s">
        <v>303</v>
      </c>
      <c r="H7060" s="77" t="s">
        <v>267</v>
      </c>
      <c r="I7060" s="86">
        <v>41796</v>
      </c>
      <c r="J7060" s="78">
        <v>1147</v>
      </c>
    </row>
    <row r="7061" spans="6:10" x14ac:dyDescent="0.25">
      <c r="F7061" s="76" t="s">
        <v>150</v>
      </c>
      <c r="G7061" s="77" t="s">
        <v>303</v>
      </c>
      <c r="H7061" s="77" t="s">
        <v>267</v>
      </c>
      <c r="I7061" s="86">
        <v>41798</v>
      </c>
      <c r="J7061" s="78">
        <v>1216</v>
      </c>
    </row>
    <row r="7062" spans="6:10" x14ac:dyDescent="0.25">
      <c r="F7062" s="76" t="s">
        <v>150</v>
      </c>
      <c r="G7062" s="77" t="s">
        <v>303</v>
      </c>
      <c r="H7062" s="77" t="s">
        <v>267</v>
      </c>
      <c r="I7062" s="86">
        <v>41804</v>
      </c>
      <c r="J7062" s="78">
        <v>982</v>
      </c>
    </row>
    <row r="7063" spans="6:10" x14ac:dyDescent="0.25">
      <c r="F7063" s="76" t="s">
        <v>150</v>
      </c>
      <c r="G7063" s="77" t="s">
        <v>303</v>
      </c>
      <c r="H7063" s="77" t="s">
        <v>267</v>
      </c>
      <c r="I7063" s="86">
        <v>41807</v>
      </c>
      <c r="J7063" s="78">
        <v>1284</v>
      </c>
    </row>
    <row r="7064" spans="6:10" x14ac:dyDescent="0.25">
      <c r="F7064" s="76" t="s">
        <v>150</v>
      </c>
      <c r="G7064" s="77" t="s">
        <v>303</v>
      </c>
      <c r="H7064" s="77" t="s">
        <v>267</v>
      </c>
      <c r="I7064" s="86">
        <v>41814</v>
      </c>
      <c r="J7064" s="78">
        <v>854</v>
      </c>
    </row>
    <row r="7065" spans="6:10" x14ac:dyDescent="0.25">
      <c r="F7065" s="76" t="s">
        <v>150</v>
      </c>
      <c r="G7065" s="77" t="s">
        <v>303</v>
      </c>
      <c r="H7065" s="77" t="s">
        <v>267</v>
      </c>
      <c r="I7065" s="86">
        <v>41815</v>
      </c>
      <c r="J7065" s="78">
        <v>592</v>
      </c>
    </row>
    <row r="7066" spans="6:10" x14ac:dyDescent="0.25">
      <c r="F7066" s="76" t="s">
        <v>150</v>
      </c>
      <c r="G7066" s="77" t="s">
        <v>303</v>
      </c>
      <c r="H7066" s="77" t="s">
        <v>267</v>
      </c>
      <c r="I7066" s="86">
        <v>41816</v>
      </c>
      <c r="J7066" s="78">
        <v>820</v>
      </c>
    </row>
    <row r="7067" spans="6:10" x14ac:dyDescent="0.25">
      <c r="F7067" s="76" t="s">
        <v>150</v>
      </c>
      <c r="G7067" s="77" t="s">
        <v>303</v>
      </c>
      <c r="H7067" s="77" t="s">
        <v>267</v>
      </c>
      <c r="I7067" s="86">
        <v>41817</v>
      </c>
      <c r="J7067" s="78">
        <v>688</v>
      </c>
    </row>
    <row r="7068" spans="6:10" x14ac:dyDescent="0.25">
      <c r="F7068" s="76" t="s">
        <v>150</v>
      </c>
      <c r="G7068" s="77" t="s">
        <v>303</v>
      </c>
      <c r="H7068" s="77" t="s">
        <v>267</v>
      </c>
      <c r="I7068" s="86">
        <v>41818</v>
      </c>
      <c r="J7068" s="78">
        <v>871</v>
      </c>
    </row>
    <row r="7069" spans="6:10" x14ac:dyDescent="0.25">
      <c r="F7069" s="76" t="s">
        <v>150</v>
      </c>
      <c r="G7069" s="77" t="s">
        <v>303</v>
      </c>
      <c r="H7069" s="77" t="s">
        <v>267</v>
      </c>
      <c r="I7069" s="86">
        <v>41818</v>
      </c>
      <c r="J7069" s="78">
        <v>723</v>
      </c>
    </row>
    <row r="7070" spans="6:10" x14ac:dyDescent="0.25">
      <c r="F7070" s="76" t="s">
        <v>150</v>
      </c>
      <c r="G7070" s="77" t="s">
        <v>303</v>
      </c>
      <c r="H7070" s="77" t="s">
        <v>267</v>
      </c>
      <c r="I7070" s="86">
        <v>41819</v>
      </c>
      <c r="J7070" s="78">
        <v>1191</v>
      </c>
    </row>
    <row r="7071" spans="6:10" x14ac:dyDescent="0.25">
      <c r="F7071" s="76" t="s">
        <v>150</v>
      </c>
      <c r="G7071" s="77" t="s">
        <v>303</v>
      </c>
      <c r="H7071" s="77" t="s">
        <v>267</v>
      </c>
      <c r="I7071" s="86">
        <v>41821</v>
      </c>
      <c r="J7071" s="78">
        <v>1345</v>
      </c>
    </row>
    <row r="7072" spans="6:10" x14ac:dyDescent="0.25">
      <c r="F7072" s="76" t="s">
        <v>150</v>
      </c>
      <c r="G7072" s="77" t="s">
        <v>303</v>
      </c>
      <c r="H7072" s="77" t="s">
        <v>267</v>
      </c>
      <c r="I7072" s="86">
        <v>41821</v>
      </c>
      <c r="J7072" s="78">
        <v>760</v>
      </c>
    </row>
    <row r="7073" spans="6:10" x14ac:dyDescent="0.25">
      <c r="F7073" s="76" t="s">
        <v>150</v>
      </c>
      <c r="G7073" s="77" t="s">
        <v>303</v>
      </c>
      <c r="H7073" s="77" t="s">
        <v>267</v>
      </c>
      <c r="I7073" s="86">
        <v>41822</v>
      </c>
      <c r="J7073" s="78">
        <v>1000</v>
      </c>
    </row>
    <row r="7074" spans="6:10" x14ac:dyDescent="0.25">
      <c r="F7074" s="76" t="s">
        <v>150</v>
      </c>
      <c r="G7074" s="77" t="s">
        <v>303</v>
      </c>
      <c r="H7074" s="77" t="s">
        <v>267</v>
      </c>
      <c r="I7074" s="86">
        <v>41823</v>
      </c>
      <c r="J7074" s="78">
        <v>708</v>
      </c>
    </row>
    <row r="7075" spans="6:10" x14ac:dyDescent="0.25">
      <c r="F7075" s="76" t="s">
        <v>150</v>
      </c>
      <c r="G7075" s="77" t="s">
        <v>303</v>
      </c>
      <c r="H7075" s="77" t="s">
        <v>267</v>
      </c>
      <c r="I7075" s="86">
        <v>41824</v>
      </c>
      <c r="J7075" s="78">
        <v>801</v>
      </c>
    </row>
    <row r="7076" spans="6:10" x14ac:dyDescent="0.25">
      <c r="F7076" s="76" t="s">
        <v>150</v>
      </c>
      <c r="G7076" s="77" t="s">
        <v>303</v>
      </c>
      <c r="H7076" s="77" t="s">
        <v>267</v>
      </c>
      <c r="I7076" s="86">
        <v>41827</v>
      </c>
      <c r="J7076" s="78">
        <v>755</v>
      </c>
    </row>
    <row r="7077" spans="6:10" x14ac:dyDescent="0.25">
      <c r="F7077" s="76" t="s">
        <v>150</v>
      </c>
      <c r="G7077" s="77" t="s">
        <v>303</v>
      </c>
      <c r="H7077" s="77" t="s">
        <v>267</v>
      </c>
      <c r="I7077" s="86">
        <v>41835</v>
      </c>
      <c r="J7077" s="78">
        <v>1116</v>
      </c>
    </row>
    <row r="7078" spans="6:10" x14ac:dyDescent="0.25">
      <c r="F7078" s="76" t="s">
        <v>150</v>
      </c>
      <c r="G7078" s="77" t="s">
        <v>303</v>
      </c>
      <c r="H7078" s="77" t="s">
        <v>267</v>
      </c>
      <c r="I7078" s="86">
        <v>41837</v>
      </c>
      <c r="J7078" s="78">
        <v>881</v>
      </c>
    </row>
    <row r="7079" spans="6:10" x14ac:dyDescent="0.25">
      <c r="F7079" s="76" t="s">
        <v>150</v>
      </c>
      <c r="G7079" s="77" t="s">
        <v>303</v>
      </c>
      <c r="H7079" s="77" t="s">
        <v>267</v>
      </c>
      <c r="I7079" s="86">
        <v>41838</v>
      </c>
      <c r="J7079" s="78">
        <v>723</v>
      </c>
    </row>
    <row r="7080" spans="6:10" x14ac:dyDescent="0.25">
      <c r="F7080" s="76" t="s">
        <v>150</v>
      </c>
      <c r="G7080" s="77" t="s">
        <v>303</v>
      </c>
      <c r="H7080" s="77" t="s">
        <v>267</v>
      </c>
      <c r="I7080" s="86">
        <v>41842</v>
      </c>
      <c r="J7080" s="78">
        <v>883</v>
      </c>
    </row>
    <row r="7081" spans="6:10" x14ac:dyDescent="0.25">
      <c r="F7081" s="76" t="s">
        <v>150</v>
      </c>
      <c r="G7081" s="77" t="s">
        <v>303</v>
      </c>
      <c r="H7081" s="77" t="s">
        <v>267</v>
      </c>
      <c r="I7081" s="86">
        <v>41844</v>
      </c>
      <c r="J7081" s="78">
        <v>709</v>
      </c>
    </row>
    <row r="7082" spans="6:10" x14ac:dyDescent="0.25">
      <c r="F7082" s="76" t="s">
        <v>150</v>
      </c>
      <c r="G7082" s="77" t="s">
        <v>303</v>
      </c>
      <c r="H7082" s="77" t="s">
        <v>267</v>
      </c>
      <c r="I7082" s="86">
        <v>41845</v>
      </c>
      <c r="J7082" s="78">
        <v>629</v>
      </c>
    </row>
    <row r="7083" spans="6:10" x14ac:dyDescent="0.25">
      <c r="F7083" s="76" t="s">
        <v>150</v>
      </c>
      <c r="G7083" s="77" t="s">
        <v>303</v>
      </c>
      <c r="H7083" s="77" t="s">
        <v>267</v>
      </c>
      <c r="I7083" s="86">
        <v>41849</v>
      </c>
      <c r="J7083" s="78">
        <v>1013</v>
      </c>
    </row>
    <row r="7084" spans="6:10" x14ac:dyDescent="0.25">
      <c r="F7084" s="76" t="s">
        <v>150</v>
      </c>
      <c r="G7084" s="77" t="s">
        <v>303</v>
      </c>
      <c r="H7084" s="77" t="s">
        <v>267</v>
      </c>
      <c r="I7084" s="86">
        <v>41851</v>
      </c>
      <c r="J7084" s="78">
        <v>1021</v>
      </c>
    </row>
    <row r="7085" spans="6:10" x14ac:dyDescent="0.25">
      <c r="F7085" s="76" t="s">
        <v>150</v>
      </c>
      <c r="G7085" s="77" t="s">
        <v>303</v>
      </c>
      <c r="H7085" s="77" t="s">
        <v>267</v>
      </c>
      <c r="I7085" s="86">
        <v>41865</v>
      </c>
      <c r="J7085" s="78">
        <v>738</v>
      </c>
    </row>
    <row r="7086" spans="6:10" x14ac:dyDescent="0.25">
      <c r="F7086" s="76" t="s">
        <v>150</v>
      </c>
      <c r="G7086" s="77" t="s">
        <v>303</v>
      </c>
      <c r="H7086" s="77" t="s">
        <v>267</v>
      </c>
      <c r="I7086" s="86">
        <v>41869</v>
      </c>
      <c r="J7086" s="78">
        <v>1005</v>
      </c>
    </row>
    <row r="7087" spans="6:10" x14ac:dyDescent="0.25">
      <c r="F7087" s="76" t="s">
        <v>150</v>
      </c>
      <c r="G7087" s="77" t="s">
        <v>303</v>
      </c>
      <c r="H7087" s="77" t="s">
        <v>267</v>
      </c>
      <c r="I7087" s="86">
        <v>41870</v>
      </c>
      <c r="J7087" s="78">
        <v>922</v>
      </c>
    </row>
    <row r="7088" spans="6:10" x14ac:dyDescent="0.25">
      <c r="F7088" s="76" t="s">
        <v>150</v>
      </c>
      <c r="G7088" s="77" t="s">
        <v>303</v>
      </c>
      <c r="H7088" s="77" t="s">
        <v>267</v>
      </c>
      <c r="I7088" s="86">
        <v>41872</v>
      </c>
      <c r="J7088" s="78">
        <v>788</v>
      </c>
    </row>
    <row r="7089" spans="6:10" x14ac:dyDescent="0.25">
      <c r="F7089" s="76" t="s">
        <v>150</v>
      </c>
      <c r="G7089" s="77" t="s">
        <v>303</v>
      </c>
      <c r="H7089" s="77" t="s">
        <v>267</v>
      </c>
      <c r="I7089" s="86">
        <v>41874</v>
      </c>
      <c r="J7089" s="78">
        <v>967</v>
      </c>
    </row>
    <row r="7090" spans="6:10" x14ac:dyDescent="0.25">
      <c r="F7090" s="76" t="s">
        <v>150</v>
      </c>
      <c r="G7090" s="77" t="s">
        <v>303</v>
      </c>
      <c r="H7090" s="77" t="s">
        <v>267</v>
      </c>
      <c r="I7090" s="86">
        <v>41876</v>
      </c>
      <c r="J7090" s="78">
        <v>1342</v>
      </c>
    </row>
    <row r="7091" spans="6:10" x14ac:dyDescent="0.25">
      <c r="F7091" s="76" t="s">
        <v>150</v>
      </c>
      <c r="G7091" s="77" t="s">
        <v>303</v>
      </c>
      <c r="H7091" s="77" t="s">
        <v>267</v>
      </c>
      <c r="I7091" s="86">
        <v>41877</v>
      </c>
      <c r="J7091" s="78">
        <v>689</v>
      </c>
    </row>
    <row r="7092" spans="6:10" x14ac:dyDescent="0.25">
      <c r="F7092" s="76" t="s">
        <v>150</v>
      </c>
      <c r="G7092" s="77" t="s">
        <v>303</v>
      </c>
      <c r="H7092" s="77" t="s">
        <v>267</v>
      </c>
      <c r="I7092" s="86">
        <v>41879</v>
      </c>
      <c r="J7092" s="78">
        <v>981</v>
      </c>
    </row>
    <row r="7093" spans="6:10" x14ac:dyDescent="0.25">
      <c r="F7093" s="76" t="s">
        <v>150</v>
      </c>
      <c r="G7093" s="77" t="s">
        <v>303</v>
      </c>
      <c r="H7093" s="77" t="s">
        <v>267</v>
      </c>
      <c r="I7093" s="86">
        <v>41879</v>
      </c>
      <c r="J7093" s="78">
        <v>584</v>
      </c>
    </row>
    <row r="7094" spans="6:10" x14ac:dyDescent="0.25">
      <c r="F7094" s="76" t="s">
        <v>150</v>
      </c>
      <c r="G7094" s="77" t="s">
        <v>303</v>
      </c>
      <c r="H7094" s="77" t="s">
        <v>267</v>
      </c>
      <c r="I7094" s="86">
        <v>41884</v>
      </c>
      <c r="J7094" s="78">
        <v>762</v>
      </c>
    </row>
    <row r="7095" spans="6:10" x14ac:dyDescent="0.25">
      <c r="F7095" s="76" t="s">
        <v>150</v>
      </c>
      <c r="G7095" s="77" t="s">
        <v>303</v>
      </c>
      <c r="H7095" s="77" t="s">
        <v>267</v>
      </c>
      <c r="I7095" s="86">
        <v>41886</v>
      </c>
      <c r="J7095" s="78">
        <v>729</v>
      </c>
    </row>
    <row r="7096" spans="6:10" x14ac:dyDescent="0.25">
      <c r="F7096" s="76" t="s">
        <v>150</v>
      </c>
      <c r="G7096" s="77" t="s">
        <v>303</v>
      </c>
      <c r="H7096" s="77" t="s">
        <v>267</v>
      </c>
      <c r="I7096" s="86">
        <v>41888</v>
      </c>
      <c r="J7096" s="78">
        <v>956</v>
      </c>
    </row>
    <row r="7097" spans="6:10" x14ac:dyDescent="0.25">
      <c r="F7097" s="76" t="s">
        <v>150</v>
      </c>
      <c r="G7097" s="77" t="s">
        <v>303</v>
      </c>
      <c r="H7097" s="77" t="s">
        <v>267</v>
      </c>
      <c r="I7097" s="86">
        <v>41891</v>
      </c>
      <c r="J7097" s="78">
        <v>1149</v>
      </c>
    </row>
    <row r="7098" spans="6:10" x14ac:dyDescent="0.25">
      <c r="F7098" s="76" t="s">
        <v>150</v>
      </c>
      <c r="G7098" s="77" t="s">
        <v>303</v>
      </c>
      <c r="H7098" s="77" t="s">
        <v>267</v>
      </c>
      <c r="I7098" s="86">
        <v>41893</v>
      </c>
      <c r="J7098" s="78">
        <v>745</v>
      </c>
    </row>
    <row r="7099" spans="6:10" x14ac:dyDescent="0.25">
      <c r="F7099" s="76" t="s">
        <v>150</v>
      </c>
      <c r="G7099" s="77" t="s">
        <v>303</v>
      </c>
      <c r="H7099" s="77" t="s">
        <v>267</v>
      </c>
      <c r="I7099" s="86">
        <v>41898</v>
      </c>
      <c r="J7099" s="78">
        <v>664</v>
      </c>
    </row>
    <row r="7100" spans="6:10" x14ac:dyDescent="0.25">
      <c r="F7100" s="76" t="s">
        <v>150</v>
      </c>
      <c r="G7100" s="77" t="s">
        <v>303</v>
      </c>
      <c r="H7100" s="77" t="s">
        <v>267</v>
      </c>
      <c r="I7100" s="86">
        <v>41900</v>
      </c>
      <c r="J7100" s="78">
        <v>928</v>
      </c>
    </row>
    <row r="7101" spans="6:10" x14ac:dyDescent="0.25">
      <c r="F7101" s="76" t="s">
        <v>150</v>
      </c>
      <c r="G7101" s="77" t="s">
        <v>303</v>
      </c>
      <c r="H7101" s="77" t="s">
        <v>267</v>
      </c>
      <c r="I7101" s="86">
        <v>41901</v>
      </c>
      <c r="J7101" s="78">
        <v>561</v>
      </c>
    </row>
    <row r="7102" spans="6:10" x14ac:dyDescent="0.25">
      <c r="F7102" s="76" t="s">
        <v>150</v>
      </c>
      <c r="G7102" s="77" t="s">
        <v>303</v>
      </c>
      <c r="H7102" s="77" t="s">
        <v>267</v>
      </c>
      <c r="I7102" s="86">
        <v>41901</v>
      </c>
      <c r="J7102" s="78">
        <v>401</v>
      </c>
    </row>
    <row r="7103" spans="6:10" x14ac:dyDescent="0.25">
      <c r="F7103" s="76" t="s">
        <v>150</v>
      </c>
      <c r="G7103" s="77" t="s">
        <v>303</v>
      </c>
      <c r="H7103" s="77" t="s">
        <v>267</v>
      </c>
      <c r="I7103" s="86">
        <v>41902</v>
      </c>
      <c r="J7103" s="78">
        <v>1183</v>
      </c>
    </row>
    <row r="7104" spans="6:10" x14ac:dyDescent="0.25">
      <c r="F7104" s="76" t="s">
        <v>150</v>
      </c>
      <c r="G7104" s="77" t="s">
        <v>303</v>
      </c>
      <c r="H7104" s="77" t="s">
        <v>267</v>
      </c>
      <c r="I7104" s="86">
        <v>41912</v>
      </c>
      <c r="J7104" s="78">
        <v>550</v>
      </c>
    </row>
    <row r="7105" spans="6:10" x14ac:dyDescent="0.25">
      <c r="F7105" s="76" t="s">
        <v>150</v>
      </c>
      <c r="G7105" s="77" t="s">
        <v>303</v>
      </c>
      <c r="H7105" s="77" t="s">
        <v>267</v>
      </c>
      <c r="I7105" s="86">
        <v>41913</v>
      </c>
      <c r="J7105" s="78">
        <v>694</v>
      </c>
    </row>
    <row r="7106" spans="6:10" x14ac:dyDescent="0.25">
      <c r="F7106" s="76" t="s">
        <v>150</v>
      </c>
      <c r="G7106" s="77" t="s">
        <v>303</v>
      </c>
      <c r="H7106" s="77" t="s">
        <v>267</v>
      </c>
      <c r="I7106" s="86">
        <v>41913</v>
      </c>
      <c r="J7106" s="78">
        <v>561</v>
      </c>
    </row>
    <row r="7107" spans="6:10" x14ac:dyDescent="0.25">
      <c r="F7107" s="76" t="s">
        <v>150</v>
      </c>
      <c r="G7107" s="77" t="s">
        <v>303</v>
      </c>
      <c r="H7107" s="77" t="s">
        <v>267</v>
      </c>
      <c r="I7107" s="86">
        <v>41914</v>
      </c>
      <c r="J7107" s="78">
        <v>919</v>
      </c>
    </row>
    <row r="7108" spans="6:10" x14ac:dyDescent="0.25">
      <c r="F7108" s="76" t="s">
        <v>150</v>
      </c>
      <c r="G7108" s="77" t="s">
        <v>303</v>
      </c>
      <c r="H7108" s="77" t="s">
        <v>267</v>
      </c>
      <c r="I7108" s="86">
        <v>41915</v>
      </c>
      <c r="J7108" s="78">
        <v>707</v>
      </c>
    </row>
    <row r="7109" spans="6:10" x14ac:dyDescent="0.25">
      <c r="F7109" s="76" t="s">
        <v>150</v>
      </c>
      <c r="G7109" s="77" t="s">
        <v>303</v>
      </c>
      <c r="H7109" s="77" t="s">
        <v>267</v>
      </c>
      <c r="I7109" s="86">
        <v>41915</v>
      </c>
      <c r="J7109" s="78">
        <v>632</v>
      </c>
    </row>
    <row r="7110" spans="6:10" x14ac:dyDescent="0.25">
      <c r="F7110" s="76" t="s">
        <v>150</v>
      </c>
      <c r="G7110" s="77" t="s">
        <v>303</v>
      </c>
      <c r="H7110" s="77" t="s">
        <v>267</v>
      </c>
      <c r="I7110" s="86">
        <v>41916</v>
      </c>
      <c r="J7110" s="78">
        <v>678</v>
      </c>
    </row>
    <row r="7111" spans="6:10" x14ac:dyDescent="0.25">
      <c r="F7111" s="76" t="s">
        <v>150</v>
      </c>
      <c r="G7111" s="77" t="s">
        <v>303</v>
      </c>
      <c r="H7111" s="77" t="s">
        <v>267</v>
      </c>
      <c r="I7111" s="86">
        <v>41916</v>
      </c>
      <c r="J7111" s="78">
        <v>838</v>
      </c>
    </row>
    <row r="7112" spans="6:10" x14ac:dyDescent="0.25">
      <c r="F7112" s="76" t="s">
        <v>150</v>
      </c>
      <c r="G7112" s="77" t="s">
        <v>303</v>
      </c>
      <c r="H7112" s="77" t="s">
        <v>267</v>
      </c>
      <c r="I7112" s="86">
        <v>41920</v>
      </c>
      <c r="J7112" s="78">
        <v>821</v>
      </c>
    </row>
    <row r="7113" spans="6:10" x14ac:dyDescent="0.25">
      <c r="F7113" s="76" t="s">
        <v>150</v>
      </c>
      <c r="G7113" s="77" t="s">
        <v>303</v>
      </c>
      <c r="H7113" s="77" t="s">
        <v>267</v>
      </c>
      <c r="I7113" s="86">
        <v>41922</v>
      </c>
      <c r="J7113" s="78">
        <v>804</v>
      </c>
    </row>
    <row r="7114" spans="6:10" x14ac:dyDescent="0.25">
      <c r="F7114" s="76" t="s">
        <v>150</v>
      </c>
      <c r="G7114" s="77" t="s">
        <v>303</v>
      </c>
      <c r="H7114" s="77" t="s">
        <v>267</v>
      </c>
      <c r="I7114" s="86">
        <v>41924</v>
      </c>
      <c r="J7114" s="78">
        <v>505</v>
      </c>
    </row>
    <row r="7115" spans="6:10" x14ac:dyDescent="0.25">
      <c r="F7115" s="76" t="s">
        <v>150</v>
      </c>
      <c r="G7115" s="77" t="s">
        <v>303</v>
      </c>
      <c r="H7115" s="77" t="s">
        <v>267</v>
      </c>
      <c r="I7115" s="86">
        <v>41935</v>
      </c>
      <c r="J7115" s="78">
        <v>670</v>
      </c>
    </row>
    <row r="7116" spans="6:10" x14ac:dyDescent="0.25">
      <c r="F7116" s="76" t="s">
        <v>150</v>
      </c>
      <c r="G7116" s="77" t="s">
        <v>303</v>
      </c>
      <c r="H7116" s="77" t="s">
        <v>267</v>
      </c>
      <c r="I7116" s="86">
        <v>41937</v>
      </c>
      <c r="J7116" s="78">
        <v>1119</v>
      </c>
    </row>
    <row r="7117" spans="6:10" x14ac:dyDescent="0.25">
      <c r="F7117" s="76" t="s">
        <v>150</v>
      </c>
      <c r="G7117" s="77" t="s">
        <v>303</v>
      </c>
      <c r="H7117" s="77" t="s">
        <v>267</v>
      </c>
      <c r="I7117" s="86">
        <v>41938</v>
      </c>
      <c r="J7117" s="78">
        <v>899</v>
      </c>
    </row>
    <row r="7118" spans="6:10" x14ac:dyDescent="0.25">
      <c r="F7118" s="76" t="s">
        <v>150</v>
      </c>
      <c r="G7118" s="77" t="s">
        <v>303</v>
      </c>
      <c r="H7118" s="77" t="s">
        <v>267</v>
      </c>
      <c r="I7118" s="86">
        <v>41957</v>
      </c>
      <c r="J7118" s="78">
        <v>528</v>
      </c>
    </row>
    <row r="7119" spans="6:10" x14ac:dyDescent="0.25">
      <c r="F7119" s="76" t="s">
        <v>150</v>
      </c>
      <c r="G7119" s="77" t="s">
        <v>303</v>
      </c>
      <c r="H7119" s="77" t="s">
        <v>267</v>
      </c>
      <c r="I7119" s="86">
        <v>41960</v>
      </c>
      <c r="J7119" s="78">
        <v>720</v>
      </c>
    </row>
    <row r="7120" spans="6:10" x14ac:dyDescent="0.25">
      <c r="F7120" s="76" t="s">
        <v>150</v>
      </c>
      <c r="G7120" s="77" t="s">
        <v>303</v>
      </c>
      <c r="H7120" s="77" t="s">
        <v>267</v>
      </c>
      <c r="I7120" s="86">
        <v>41962</v>
      </c>
      <c r="J7120" s="78">
        <v>1046</v>
      </c>
    </row>
    <row r="7121" spans="6:10" x14ac:dyDescent="0.25">
      <c r="F7121" s="76" t="s">
        <v>150</v>
      </c>
      <c r="G7121" s="77" t="s">
        <v>303</v>
      </c>
      <c r="H7121" s="77" t="s">
        <v>267</v>
      </c>
      <c r="I7121" s="86">
        <v>41964</v>
      </c>
      <c r="J7121" s="78">
        <v>952</v>
      </c>
    </row>
    <row r="7122" spans="6:10" x14ac:dyDescent="0.25">
      <c r="F7122" s="76" t="s">
        <v>150</v>
      </c>
      <c r="G7122" s="77" t="s">
        <v>303</v>
      </c>
      <c r="H7122" s="77" t="s">
        <v>267</v>
      </c>
      <c r="I7122" s="86">
        <v>41967</v>
      </c>
      <c r="J7122" s="78">
        <v>573</v>
      </c>
    </row>
    <row r="7123" spans="6:10" x14ac:dyDescent="0.25">
      <c r="F7123" s="76" t="s">
        <v>150</v>
      </c>
      <c r="G7123" s="77" t="s">
        <v>303</v>
      </c>
      <c r="H7123" s="77" t="s">
        <v>267</v>
      </c>
      <c r="I7123" s="86">
        <v>41968</v>
      </c>
      <c r="J7123" s="78">
        <v>762</v>
      </c>
    </row>
    <row r="7124" spans="6:10" x14ac:dyDescent="0.25">
      <c r="F7124" s="76" t="s">
        <v>150</v>
      </c>
      <c r="G7124" s="77" t="s">
        <v>303</v>
      </c>
      <c r="H7124" s="77" t="s">
        <v>267</v>
      </c>
      <c r="I7124" s="86">
        <v>41968</v>
      </c>
      <c r="J7124" s="78">
        <v>608</v>
      </c>
    </row>
    <row r="7125" spans="6:10" x14ac:dyDescent="0.25">
      <c r="F7125" s="76" t="s">
        <v>150</v>
      </c>
      <c r="G7125" s="77" t="s">
        <v>303</v>
      </c>
      <c r="H7125" s="77" t="s">
        <v>267</v>
      </c>
      <c r="I7125" s="86">
        <v>41969</v>
      </c>
      <c r="J7125" s="78">
        <v>735</v>
      </c>
    </row>
    <row r="7126" spans="6:10" x14ac:dyDescent="0.25">
      <c r="F7126" s="76" t="s">
        <v>150</v>
      </c>
      <c r="G7126" s="77" t="s">
        <v>303</v>
      </c>
      <c r="H7126" s="77" t="s">
        <v>267</v>
      </c>
      <c r="I7126" s="86">
        <v>41970</v>
      </c>
      <c r="J7126" s="78">
        <v>992</v>
      </c>
    </row>
    <row r="7127" spans="6:10" x14ac:dyDescent="0.25">
      <c r="F7127" s="76" t="s">
        <v>150</v>
      </c>
      <c r="G7127" s="77" t="s">
        <v>303</v>
      </c>
      <c r="H7127" s="77" t="s">
        <v>267</v>
      </c>
      <c r="I7127" s="86">
        <v>41971</v>
      </c>
      <c r="J7127" s="78">
        <v>1011</v>
      </c>
    </row>
    <row r="7128" spans="6:10" x14ac:dyDescent="0.25">
      <c r="F7128" s="76" t="s">
        <v>150</v>
      </c>
      <c r="G7128" s="77" t="s">
        <v>303</v>
      </c>
      <c r="H7128" s="77" t="s">
        <v>267</v>
      </c>
      <c r="I7128" s="86">
        <v>41972</v>
      </c>
      <c r="J7128" s="78">
        <v>820</v>
      </c>
    </row>
    <row r="7129" spans="6:10" x14ac:dyDescent="0.25">
      <c r="F7129" s="76" t="s">
        <v>150</v>
      </c>
      <c r="G7129" s="77" t="s">
        <v>303</v>
      </c>
      <c r="H7129" s="77" t="s">
        <v>267</v>
      </c>
      <c r="I7129" s="86">
        <v>41972</v>
      </c>
      <c r="J7129" s="78">
        <v>636</v>
      </c>
    </row>
    <row r="7130" spans="6:10" x14ac:dyDescent="0.25">
      <c r="F7130" s="76" t="s">
        <v>150</v>
      </c>
      <c r="G7130" s="77" t="s">
        <v>303</v>
      </c>
      <c r="H7130" s="77" t="s">
        <v>267</v>
      </c>
      <c r="I7130" s="86">
        <v>41973</v>
      </c>
      <c r="J7130" s="78">
        <v>986</v>
      </c>
    </row>
    <row r="7131" spans="6:10" x14ac:dyDescent="0.25">
      <c r="F7131" s="76" t="s">
        <v>150</v>
      </c>
      <c r="G7131" s="77" t="s">
        <v>303</v>
      </c>
      <c r="H7131" s="77" t="s">
        <v>267</v>
      </c>
      <c r="I7131" s="86">
        <v>41975</v>
      </c>
      <c r="J7131" s="78">
        <v>725</v>
      </c>
    </row>
    <row r="7132" spans="6:10" x14ac:dyDescent="0.25">
      <c r="F7132" s="76" t="s">
        <v>150</v>
      </c>
      <c r="G7132" s="77" t="s">
        <v>303</v>
      </c>
      <c r="H7132" s="77" t="s">
        <v>267</v>
      </c>
      <c r="I7132" s="86">
        <v>41975</v>
      </c>
      <c r="J7132" s="78">
        <v>1171</v>
      </c>
    </row>
    <row r="7133" spans="6:10" x14ac:dyDescent="0.25">
      <c r="F7133" s="76" t="s">
        <v>150</v>
      </c>
      <c r="G7133" s="77" t="s">
        <v>303</v>
      </c>
      <c r="H7133" s="77" t="s">
        <v>267</v>
      </c>
      <c r="I7133" s="86">
        <v>41976</v>
      </c>
      <c r="J7133" s="78">
        <v>899</v>
      </c>
    </row>
    <row r="7134" spans="6:10" x14ac:dyDescent="0.25">
      <c r="F7134" s="76" t="s">
        <v>150</v>
      </c>
      <c r="G7134" s="77" t="s">
        <v>303</v>
      </c>
      <c r="H7134" s="77" t="s">
        <v>267</v>
      </c>
      <c r="I7134" s="86">
        <v>41977</v>
      </c>
      <c r="J7134" s="78">
        <v>677</v>
      </c>
    </row>
    <row r="7135" spans="6:10" x14ac:dyDescent="0.25">
      <c r="F7135" s="76" t="s">
        <v>150</v>
      </c>
      <c r="G7135" s="77" t="s">
        <v>303</v>
      </c>
      <c r="H7135" s="77" t="s">
        <v>267</v>
      </c>
      <c r="I7135" s="86">
        <v>41979</v>
      </c>
      <c r="J7135" s="78">
        <v>1048</v>
      </c>
    </row>
    <row r="7136" spans="6:10" x14ac:dyDescent="0.25">
      <c r="F7136" s="76" t="s">
        <v>150</v>
      </c>
      <c r="G7136" s="77" t="s">
        <v>303</v>
      </c>
      <c r="H7136" s="77" t="s">
        <v>267</v>
      </c>
      <c r="I7136" s="86">
        <v>41979</v>
      </c>
      <c r="J7136" s="78">
        <v>812</v>
      </c>
    </row>
    <row r="7137" spans="6:10" x14ac:dyDescent="0.25">
      <c r="F7137" s="76" t="s">
        <v>150</v>
      </c>
      <c r="G7137" s="77" t="s">
        <v>303</v>
      </c>
      <c r="H7137" s="77" t="s">
        <v>267</v>
      </c>
      <c r="I7137" s="86">
        <v>41980</v>
      </c>
      <c r="J7137" s="78">
        <v>646</v>
      </c>
    </row>
    <row r="7138" spans="6:10" x14ac:dyDescent="0.25">
      <c r="F7138" s="76" t="s">
        <v>150</v>
      </c>
      <c r="G7138" s="77" t="s">
        <v>303</v>
      </c>
      <c r="H7138" s="77" t="s">
        <v>267</v>
      </c>
      <c r="I7138" s="86">
        <v>41981</v>
      </c>
      <c r="J7138" s="78">
        <v>763</v>
      </c>
    </row>
    <row r="7139" spans="6:10" x14ac:dyDescent="0.25">
      <c r="F7139" s="76" t="s">
        <v>150</v>
      </c>
      <c r="G7139" s="77" t="s">
        <v>303</v>
      </c>
      <c r="H7139" s="77" t="s">
        <v>267</v>
      </c>
      <c r="I7139" s="86">
        <v>41983</v>
      </c>
      <c r="J7139" s="78">
        <v>959</v>
      </c>
    </row>
    <row r="7140" spans="6:10" x14ac:dyDescent="0.25">
      <c r="F7140" s="76" t="s">
        <v>150</v>
      </c>
      <c r="G7140" s="77" t="s">
        <v>303</v>
      </c>
      <c r="H7140" s="77" t="s">
        <v>267</v>
      </c>
      <c r="I7140" s="86">
        <v>41987</v>
      </c>
      <c r="J7140" s="78">
        <v>782</v>
      </c>
    </row>
    <row r="7141" spans="6:10" x14ac:dyDescent="0.25">
      <c r="F7141" s="76" t="s">
        <v>150</v>
      </c>
      <c r="G7141" s="77" t="s">
        <v>304</v>
      </c>
      <c r="H7141" s="77" t="s">
        <v>267</v>
      </c>
      <c r="I7141" s="86">
        <v>41635</v>
      </c>
      <c r="J7141" s="78">
        <v>1230</v>
      </c>
    </row>
    <row r="7142" spans="6:10" x14ac:dyDescent="0.25">
      <c r="F7142" s="76" t="s">
        <v>150</v>
      </c>
      <c r="G7142" s="77" t="s">
        <v>304</v>
      </c>
      <c r="H7142" s="77" t="s">
        <v>267</v>
      </c>
      <c r="I7142" s="86">
        <v>41636</v>
      </c>
      <c r="J7142" s="78">
        <v>1268</v>
      </c>
    </row>
    <row r="7143" spans="6:10" x14ac:dyDescent="0.25">
      <c r="F7143" s="76" t="s">
        <v>150</v>
      </c>
      <c r="G7143" s="77" t="s">
        <v>304</v>
      </c>
      <c r="H7143" s="77" t="s">
        <v>267</v>
      </c>
      <c r="I7143" s="86">
        <v>41636</v>
      </c>
      <c r="J7143" s="78">
        <v>665</v>
      </c>
    </row>
    <row r="7144" spans="6:10" x14ac:dyDescent="0.25">
      <c r="F7144" s="76" t="s">
        <v>150</v>
      </c>
      <c r="G7144" s="77" t="s">
        <v>304</v>
      </c>
      <c r="H7144" s="77" t="s">
        <v>267</v>
      </c>
      <c r="I7144" s="86">
        <v>41637</v>
      </c>
      <c r="J7144" s="78">
        <v>1126</v>
      </c>
    </row>
    <row r="7145" spans="6:10" x14ac:dyDescent="0.25">
      <c r="F7145" s="76" t="s">
        <v>150</v>
      </c>
      <c r="G7145" s="77" t="s">
        <v>304</v>
      </c>
      <c r="H7145" s="77" t="s">
        <v>267</v>
      </c>
      <c r="I7145" s="86">
        <v>41640</v>
      </c>
      <c r="J7145" s="78">
        <v>1165</v>
      </c>
    </row>
    <row r="7146" spans="6:10" x14ac:dyDescent="0.25">
      <c r="F7146" s="76" t="s">
        <v>150</v>
      </c>
      <c r="G7146" s="77" t="s">
        <v>304</v>
      </c>
      <c r="H7146" s="77" t="s">
        <v>267</v>
      </c>
      <c r="I7146" s="86">
        <v>41640</v>
      </c>
      <c r="J7146" s="78">
        <v>385</v>
      </c>
    </row>
    <row r="7147" spans="6:10" x14ac:dyDescent="0.25">
      <c r="F7147" s="76" t="s">
        <v>150</v>
      </c>
      <c r="G7147" s="77" t="s">
        <v>304</v>
      </c>
      <c r="H7147" s="77" t="s">
        <v>267</v>
      </c>
      <c r="I7147" s="86">
        <v>41642</v>
      </c>
      <c r="J7147" s="78">
        <v>906</v>
      </c>
    </row>
    <row r="7148" spans="6:10" x14ac:dyDescent="0.25">
      <c r="F7148" s="76" t="s">
        <v>150</v>
      </c>
      <c r="G7148" s="77" t="s">
        <v>304</v>
      </c>
      <c r="H7148" s="77" t="s">
        <v>267</v>
      </c>
      <c r="I7148" s="86">
        <v>41642</v>
      </c>
      <c r="J7148" s="78">
        <v>1602</v>
      </c>
    </row>
    <row r="7149" spans="6:10" x14ac:dyDescent="0.25">
      <c r="F7149" s="76" t="s">
        <v>150</v>
      </c>
      <c r="G7149" s="77" t="s">
        <v>304</v>
      </c>
      <c r="H7149" s="77" t="s">
        <v>267</v>
      </c>
      <c r="I7149" s="86">
        <v>41643</v>
      </c>
      <c r="J7149" s="78">
        <v>1143</v>
      </c>
    </row>
    <row r="7150" spans="6:10" x14ac:dyDescent="0.25">
      <c r="F7150" s="76" t="s">
        <v>150</v>
      </c>
      <c r="G7150" s="77" t="s">
        <v>304</v>
      </c>
      <c r="H7150" s="77" t="s">
        <v>267</v>
      </c>
      <c r="I7150" s="86">
        <v>41645</v>
      </c>
      <c r="J7150" s="78">
        <v>1182</v>
      </c>
    </row>
    <row r="7151" spans="6:10" x14ac:dyDescent="0.25">
      <c r="F7151" s="76" t="s">
        <v>150</v>
      </c>
      <c r="G7151" s="77" t="s">
        <v>304</v>
      </c>
      <c r="H7151" s="77" t="s">
        <v>267</v>
      </c>
      <c r="I7151" s="86">
        <v>41646</v>
      </c>
      <c r="J7151" s="78">
        <v>573</v>
      </c>
    </row>
    <row r="7152" spans="6:10" x14ac:dyDescent="0.25">
      <c r="F7152" s="76" t="s">
        <v>150</v>
      </c>
      <c r="G7152" s="77" t="s">
        <v>304</v>
      </c>
      <c r="H7152" s="77" t="s">
        <v>267</v>
      </c>
      <c r="I7152" s="86">
        <v>41647</v>
      </c>
      <c r="J7152" s="78">
        <v>1473</v>
      </c>
    </row>
    <row r="7153" spans="6:10" x14ac:dyDescent="0.25">
      <c r="F7153" s="76" t="s">
        <v>150</v>
      </c>
      <c r="G7153" s="77" t="s">
        <v>304</v>
      </c>
      <c r="H7153" s="77" t="s">
        <v>267</v>
      </c>
      <c r="I7153" s="86">
        <v>41653</v>
      </c>
      <c r="J7153" s="78">
        <v>1225</v>
      </c>
    </row>
    <row r="7154" spans="6:10" x14ac:dyDescent="0.25">
      <c r="F7154" s="76" t="s">
        <v>150</v>
      </c>
      <c r="G7154" s="77" t="s">
        <v>304</v>
      </c>
      <c r="H7154" s="77" t="s">
        <v>267</v>
      </c>
      <c r="I7154" s="86">
        <v>41655</v>
      </c>
      <c r="J7154" s="78">
        <v>430</v>
      </c>
    </row>
    <row r="7155" spans="6:10" x14ac:dyDescent="0.25">
      <c r="F7155" s="76" t="s">
        <v>150</v>
      </c>
      <c r="G7155" s="77" t="s">
        <v>304</v>
      </c>
      <c r="H7155" s="77" t="s">
        <v>267</v>
      </c>
      <c r="I7155" s="86">
        <v>41655</v>
      </c>
      <c r="J7155" s="78">
        <v>875</v>
      </c>
    </row>
    <row r="7156" spans="6:10" x14ac:dyDescent="0.25">
      <c r="F7156" s="76" t="s">
        <v>150</v>
      </c>
      <c r="G7156" s="77" t="s">
        <v>304</v>
      </c>
      <c r="H7156" s="77" t="s">
        <v>267</v>
      </c>
      <c r="I7156" s="86">
        <v>41657</v>
      </c>
      <c r="J7156" s="78">
        <v>905</v>
      </c>
    </row>
    <row r="7157" spans="6:10" x14ac:dyDescent="0.25">
      <c r="F7157" s="76" t="s">
        <v>150</v>
      </c>
      <c r="G7157" s="77" t="s">
        <v>304</v>
      </c>
      <c r="H7157" s="77" t="s">
        <v>267</v>
      </c>
      <c r="I7157" s="86">
        <v>41657</v>
      </c>
      <c r="J7157" s="78">
        <v>1052</v>
      </c>
    </row>
    <row r="7158" spans="6:10" x14ac:dyDescent="0.25">
      <c r="F7158" s="76" t="s">
        <v>150</v>
      </c>
      <c r="G7158" s="77" t="s">
        <v>304</v>
      </c>
      <c r="H7158" s="77" t="s">
        <v>267</v>
      </c>
      <c r="I7158" s="86">
        <v>41658</v>
      </c>
      <c r="J7158" s="78">
        <v>1175</v>
      </c>
    </row>
    <row r="7159" spans="6:10" x14ac:dyDescent="0.25">
      <c r="F7159" s="76" t="s">
        <v>150</v>
      </c>
      <c r="G7159" s="77" t="s">
        <v>304</v>
      </c>
      <c r="H7159" s="77" t="s">
        <v>267</v>
      </c>
      <c r="I7159" s="86">
        <v>41660</v>
      </c>
      <c r="J7159" s="78">
        <v>1175</v>
      </c>
    </row>
    <row r="7160" spans="6:10" x14ac:dyDescent="0.25">
      <c r="F7160" s="76" t="s">
        <v>150</v>
      </c>
      <c r="G7160" s="77" t="s">
        <v>304</v>
      </c>
      <c r="H7160" s="77" t="s">
        <v>267</v>
      </c>
      <c r="I7160" s="86">
        <v>41663</v>
      </c>
      <c r="J7160" s="78">
        <v>1450</v>
      </c>
    </row>
    <row r="7161" spans="6:10" x14ac:dyDescent="0.25">
      <c r="F7161" s="76" t="s">
        <v>150</v>
      </c>
      <c r="G7161" s="77" t="s">
        <v>304</v>
      </c>
      <c r="H7161" s="77" t="s">
        <v>267</v>
      </c>
      <c r="I7161" s="86">
        <v>41664</v>
      </c>
      <c r="J7161" s="78">
        <v>999</v>
      </c>
    </row>
    <row r="7162" spans="6:10" x14ac:dyDescent="0.25">
      <c r="F7162" s="76" t="s">
        <v>150</v>
      </c>
      <c r="G7162" s="77" t="s">
        <v>304</v>
      </c>
      <c r="H7162" s="77" t="s">
        <v>267</v>
      </c>
      <c r="I7162" s="86">
        <v>41664</v>
      </c>
      <c r="J7162" s="78">
        <v>820</v>
      </c>
    </row>
    <row r="7163" spans="6:10" x14ac:dyDescent="0.25">
      <c r="F7163" s="76" t="s">
        <v>150</v>
      </c>
      <c r="G7163" s="77" t="s">
        <v>304</v>
      </c>
      <c r="H7163" s="77" t="s">
        <v>267</v>
      </c>
      <c r="I7163" s="86">
        <v>41665</v>
      </c>
      <c r="J7163" s="78">
        <v>1355</v>
      </c>
    </row>
    <row r="7164" spans="6:10" x14ac:dyDescent="0.25">
      <c r="F7164" s="76" t="s">
        <v>150</v>
      </c>
      <c r="G7164" s="77" t="s">
        <v>304</v>
      </c>
      <c r="H7164" s="77" t="s">
        <v>267</v>
      </c>
      <c r="I7164" s="86">
        <v>41666</v>
      </c>
      <c r="J7164" s="78">
        <v>1086</v>
      </c>
    </row>
    <row r="7165" spans="6:10" x14ac:dyDescent="0.25">
      <c r="F7165" s="76" t="s">
        <v>150</v>
      </c>
      <c r="G7165" s="77" t="s">
        <v>304</v>
      </c>
      <c r="H7165" s="77" t="s">
        <v>267</v>
      </c>
      <c r="I7165" s="86">
        <v>41667</v>
      </c>
      <c r="J7165" s="78">
        <v>1085</v>
      </c>
    </row>
    <row r="7166" spans="6:10" x14ac:dyDescent="0.25">
      <c r="F7166" s="76" t="s">
        <v>150</v>
      </c>
      <c r="G7166" s="77" t="s">
        <v>304</v>
      </c>
      <c r="H7166" s="77" t="s">
        <v>267</v>
      </c>
      <c r="I7166" s="86">
        <v>41668</v>
      </c>
      <c r="J7166" s="78">
        <v>552</v>
      </c>
    </row>
    <row r="7167" spans="6:10" x14ac:dyDescent="0.25">
      <c r="F7167" s="76" t="s">
        <v>150</v>
      </c>
      <c r="G7167" s="77" t="s">
        <v>304</v>
      </c>
      <c r="H7167" s="77" t="s">
        <v>267</v>
      </c>
      <c r="I7167" s="86">
        <v>41669</v>
      </c>
      <c r="J7167" s="78">
        <v>1366</v>
      </c>
    </row>
    <row r="7168" spans="6:10" x14ac:dyDescent="0.25">
      <c r="F7168" s="76" t="s">
        <v>150</v>
      </c>
      <c r="G7168" s="77" t="s">
        <v>304</v>
      </c>
      <c r="H7168" s="77" t="s">
        <v>267</v>
      </c>
      <c r="I7168" s="86">
        <v>41671</v>
      </c>
      <c r="J7168" s="78">
        <v>1012</v>
      </c>
    </row>
    <row r="7169" spans="6:10" x14ac:dyDescent="0.25">
      <c r="F7169" s="76" t="s">
        <v>150</v>
      </c>
      <c r="G7169" s="77" t="s">
        <v>304</v>
      </c>
      <c r="H7169" s="77" t="s">
        <v>267</v>
      </c>
      <c r="I7169" s="86">
        <v>41673</v>
      </c>
      <c r="J7169" s="78">
        <v>888</v>
      </c>
    </row>
    <row r="7170" spans="6:10" x14ac:dyDescent="0.25">
      <c r="F7170" s="76" t="s">
        <v>150</v>
      </c>
      <c r="G7170" s="77" t="s">
        <v>304</v>
      </c>
      <c r="H7170" s="77" t="s">
        <v>267</v>
      </c>
      <c r="I7170" s="86">
        <v>41688</v>
      </c>
      <c r="J7170" s="78">
        <v>1150</v>
      </c>
    </row>
    <row r="7171" spans="6:10" x14ac:dyDescent="0.25">
      <c r="F7171" s="76" t="s">
        <v>150</v>
      </c>
      <c r="G7171" s="77" t="s">
        <v>304</v>
      </c>
      <c r="H7171" s="77" t="s">
        <v>267</v>
      </c>
      <c r="I7171" s="86">
        <v>41690</v>
      </c>
      <c r="J7171" s="78">
        <v>791</v>
      </c>
    </row>
    <row r="7172" spans="6:10" x14ac:dyDescent="0.25">
      <c r="F7172" s="76" t="s">
        <v>150</v>
      </c>
      <c r="G7172" s="77" t="s">
        <v>304</v>
      </c>
      <c r="H7172" s="77" t="s">
        <v>267</v>
      </c>
      <c r="I7172" s="86">
        <v>41691</v>
      </c>
      <c r="J7172" s="78">
        <v>812</v>
      </c>
    </row>
    <row r="7173" spans="6:10" x14ac:dyDescent="0.25">
      <c r="F7173" s="76" t="s">
        <v>150</v>
      </c>
      <c r="G7173" s="77" t="s">
        <v>304</v>
      </c>
      <c r="H7173" s="77" t="s">
        <v>267</v>
      </c>
      <c r="I7173" s="86">
        <v>41781</v>
      </c>
      <c r="J7173" s="78">
        <v>870</v>
      </c>
    </row>
    <row r="7174" spans="6:10" x14ac:dyDescent="0.25">
      <c r="F7174" s="76" t="s">
        <v>150</v>
      </c>
      <c r="G7174" s="77" t="s">
        <v>304</v>
      </c>
      <c r="H7174" s="77" t="s">
        <v>267</v>
      </c>
      <c r="I7174" s="86">
        <v>41784</v>
      </c>
      <c r="J7174" s="78">
        <v>564</v>
      </c>
    </row>
    <row r="7175" spans="6:10" x14ac:dyDescent="0.25">
      <c r="F7175" s="76" t="s">
        <v>150</v>
      </c>
      <c r="G7175" s="77" t="s">
        <v>304</v>
      </c>
      <c r="H7175" s="77" t="s">
        <v>267</v>
      </c>
      <c r="I7175" s="86">
        <v>41785</v>
      </c>
      <c r="J7175" s="78">
        <v>501</v>
      </c>
    </row>
    <row r="7176" spans="6:10" x14ac:dyDescent="0.25">
      <c r="F7176" s="76" t="s">
        <v>150</v>
      </c>
      <c r="G7176" s="77" t="s">
        <v>304</v>
      </c>
      <c r="H7176" s="77" t="s">
        <v>267</v>
      </c>
      <c r="I7176" s="86">
        <v>41786</v>
      </c>
      <c r="J7176" s="78">
        <v>1245</v>
      </c>
    </row>
    <row r="7177" spans="6:10" x14ac:dyDescent="0.25">
      <c r="F7177" s="76" t="s">
        <v>150</v>
      </c>
      <c r="G7177" s="77" t="s">
        <v>304</v>
      </c>
      <c r="H7177" s="77" t="s">
        <v>267</v>
      </c>
      <c r="I7177" s="86">
        <v>41788</v>
      </c>
      <c r="J7177" s="78">
        <v>890</v>
      </c>
    </row>
    <row r="7178" spans="6:10" x14ac:dyDescent="0.25">
      <c r="F7178" s="76" t="s">
        <v>150</v>
      </c>
      <c r="G7178" s="77" t="s">
        <v>304</v>
      </c>
      <c r="H7178" s="77" t="s">
        <v>267</v>
      </c>
      <c r="I7178" s="86">
        <v>41789</v>
      </c>
      <c r="J7178" s="78">
        <v>751</v>
      </c>
    </row>
    <row r="7179" spans="6:10" x14ac:dyDescent="0.25">
      <c r="F7179" s="76" t="s">
        <v>150</v>
      </c>
      <c r="G7179" s="77" t="s">
        <v>304</v>
      </c>
      <c r="H7179" s="77" t="s">
        <v>267</v>
      </c>
      <c r="I7179" s="86">
        <v>41793</v>
      </c>
      <c r="J7179" s="78">
        <v>1157</v>
      </c>
    </row>
    <row r="7180" spans="6:10" x14ac:dyDescent="0.25">
      <c r="F7180" s="76" t="s">
        <v>150</v>
      </c>
      <c r="G7180" s="77" t="s">
        <v>304</v>
      </c>
      <c r="H7180" s="77" t="s">
        <v>267</v>
      </c>
      <c r="I7180" s="86">
        <v>41799</v>
      </c>
      <c r="J7180" s="78">
        <v>998</v>
      </c>
    </row>
    <row r="7181" spans="6:10" x14ac:dyDescent="0.25">
      <c r="F7181" s="76" t="s">
        <v>150</v>
      </c>
      <c r="G7181" s="77" t="s">
        <v>304</v>
      </c>
      <c r="H7181" s="77" t="s">
        <v>267</v>
      </c>
      <c r="I7181" s="86">
        <v>41800</v>
      </c>
      <c r="J7181" s="78">
        <v>923</v>
      </c>
    </row>
    <row r="7182" spans="6:10" x14ac:dyDescent="0.25">
      <c r="F7182" s="76" t="s">
        <v>150</v>
      </c>
      <c r="G7182" s="77" t="s">
        <v>304</v>
      </c>
      <c r="H7182" s="77" t="s">
        <v>267</v>
      </c>
      <c r="I7182" s="86">
        <v>41801</v>
      </c>
      <c r="J7182" s="78">
        <v>1111</v>
      </c>
    </row>
    <row r="7183" spans="6:10" x14ac:dyDescent="0.25">
      <c r="F7183" s="76" t="s">
        <v>150</v>
      </c>
      <c r="G7183" s="77" t="s">
        <v>304</v>
      </c>
      <c r="H7183" s="77" t="s">
        <v>267</v>
      </c>
      <c r="I7183" s="86">
        <v>41804</v>
      </c>
      <c r="J7183" s="78">
        <v>991</v>
      </c>
    </row>
    <row r="7184" spans="6:10" x14ac:dyDescent="0.25">
      <c r="F7184" s="76" t="s">
        <v>150</v>
      </c>
      <c r="G7184" s="77" t="s">
        <v>304</v>
      </c>
      <c r="H7184" s="77" t="s">
        <v>267</v>
      </c>
      <c r="I7184" s="86">
        <v>41806</v>
      </c>
      <c r="J7184" s="78">
        <v>1384</v>
      </c>
    </row>
    <row r="7185" spans="6:10" x14ac:dyDescent="0.25">
      <c r="F7185" s="76" t="s">
        <v>150</v>
      </c>
      <c r="G7185" s="77" t="s">
        <v>304</v>
      </c>
      <c r="H7185" s="77" t="s">
        <v>267</v>
      </c>
      <c r="I7185" s="86">
        <v>41808</v>
      </c>
      <c r="J7185" s="78">
        <v>954</v>
      </c>
    </row>
    <row r="7186" spans="6:10" x14ac:dyDescent="0.25">
      <c r="F7186" s="76" t="s">
        <v>150</v>
      </c>
      <c r="G7186" s="77" t="s">
        <v>304</v>
      </c>
      <c r="H7186" s="77" t="s">
        <v>267</v>
      </c>
      <c r="I7186" s="86">
        <v>41809</v>
      </c>
      <c r="J7186" s="78">
        <v>739</v>
      </c>
    </row>
    <row r="7187" spans="6:10" x14ac:dyDescent="0.25">
      <c r="F7187" s="76" t="s">
        <v>150</v>
      </c>
      <c r="G7187" s="77" t="s">
        <v>304</v>
      </c>
      <c r="H7187" s="77" t="s">
        <v>267</v>
      </c>
      <c r="I7187" s="86">
        <v>41812</v>
      </c>
      <c r="J7187" s="78">
        <v>1229</v>
      </c>
    </row>
    <row r="7188" spans="6:10" x14ac:dyDescent="0.25">
      <c r="F7188" s="76" t="s">
        <v>150</v>
      </c>
      <c r="G7188" s="77" t="s">
        <v>304</v>
      </c>
      <c r="H7188" s="77" t="s">
        <v>267</v>
      </c>
      <c r="I7188" s="86">
        <v>41813</v>
      </c>
      <c r="J7188" s="78">
        <v>742</v>
      </c>
    </row>
    <row r="7189" spans="6:10" x14ac:dyDescent="0.25">
      <c r="F7189" s="76" t="s">
        <v>150</v>
      </c>
      <c r="G7189" s="77" t="s">
        <v>304</v>
      </c>
      <c r="H7189" s="77" t="s">
        <v>267</v>
      </c>
      <c r="I7189" s="86">
        <v>41814</v>
      </c>
      <c r="J7189" s="78">
        <v>1027</v>
      </c>
    </row>
    <row r="7190" spans="6:10" x14ac:dyDescent="0.25">
      <c r="F7190" s="76" t="s">
        <v>150</v>
      </c>
      <c r="G7190" s="77" t="s">
        <v>304</v>
      </c>
      <c r="H7190" s="77" t="s">
        <v>267</v>
      </c>
      <c r="I7190" s="86">
        <v>41816</v>
      </c>
      <c r="J7190" s="78">
        <v>848</v>
      </c>
    </row>
    <row r="7191" spans="6:10" x14ac:dyDescent="0.25">
      <c r="F7191" s="76" t="s">
        <v>150</v>
      </c>
      <c r="G7191" s="77" t="s">
        <v>304</v>
      </c>
      <c r="H7191" s="77" t="s">
        <v>267</v>
      </c>
      <c r="I7191" s="86">
        <v>41828</v>
      </c>
      <c r="J7191" s="78">
        <v>1322</v>
      </c>
    </row>
    <row r="7192" spans="6:10" x14ac:dyDescent="0.25">
      <c r="F7192" s="76" t="s">
        <v>150</v>
      </c>
      <c r="G7192" s="77" t="s">
        <v>304</v>
      </c>
      <c r="H7192" s="77" t="s">
        <v>267</v>
      </c>
      <c r="I7192" s="86">
        <v>41829</v>
      </c>
      <c r="J7192" s="78">
        <v>942</v>
      </c>
    </row>
    <row r="7193" spans="6:10" x14ac:dyDescent="0.25">
      <c r="F7193" s="76" t="s">
        <v>150</v>
      </c>
      <c r="G7193" s="77" t="s">
        <v>304</v>
      </c>
      <c r="H7193" s="77" t="s">
        <v>267</v>
      </c>
      <c r="I7193" s="86">
        <v>41830</v>
      </c>
      <c r="J7193" s="78">
        <v>709</v>
      </c>
    </row>
    <row r="7194" spans="6:10" x14ac:dyDescent="0.25">
      <c r="F7194" s="76" t="s">
        <v>150</v>
      </c>
      <c r="G7194" s="77" t="s">
        <v>304</v>
      </c>
      <c r="H7194" s="77" t="s">
        <v>267</v>
      </c>
      <c r="I7194" s="86">
        <v>41830</v>
      </c>
      <c r="J7194" s="78">
        <v>855</v>
      </c>
    </row>
    <row r="7195" spans="6:10" x14ac:dyDescent="0.25">
      <c r="F7195" s="76" t="s">
        <v>150</v>
      </c>
      <c r="G7195" s="77" t="s">
        <v>304</v>
      </c>
      <c r="H7195" s="77" t="s">
        <v>267</v>
      </c>
      <c r="I7195" s="86">
        <v>41836</v>
      </c>
      <c r="J7195" s="78">
        <v>970</v>
      </c>
    </row>
    <row r="7196" spans="6:10" x14ac:dyDescent="0.25">
      <c r="F7196" s="76" t="s">
        <v>150</v>
      </c>
      <c r="G7196" s="77" t="s">
        <v>304</v>
      </c>
      <c r="H7196" s="77" t="s">
        <v>267</v>
      </c>
      <c r="I7196" s="86">
        <v>41837</v>
      </c>
      <c r="J7196" s="78">
        <v>650</v>
      </c>
    </row>
    <row r="7197" spans="6:10" x14ac:dyDescent="0.25">
      <c r="F7197" s="76" t="s">
        <v>150</v>
      </c>
      <c r="G7197" s="77" t="s">
        <v>304</v>
      </c>
      <c r="H7197" s="77" t="s">
        <v>267</v>
      </c>
      <c r="I7197" s="86">
        <v>41837</v>
      </c>
      <c r="J7197" s="78">
        <v>824</v>
      </c>
    </row>
    <row r="7198" spans="6:10" x14ac:dyDescent="0.25">
      <c r="F7198" s="76" t="s">
        <v>150</v>
      </c>
      <c r="G7198" s="77" t="s">
        <v>304</v>
      </c>
      <c r="H7198" s="77" t="s">
        <v>267</v>
      </c>
      <c r="I7198" s="86">
        <v>41838</v>
      </c>
      <c r="J7198" s="78">
        <v>1187</v>
      </c>
    </row>
    <row r="7199" spans="6:10" x14ac:dyDescent="0.25">
      <c r="F7199" s="76" t="s">
        <v>150</v>
      </c>
      <c r="G7199" s="77" t="s">
        <v>304</v>
      </c>
      <c r="H7199" s="77" t="s">
        <v>267</v>
      </c>
      <c r="I7199" s="86">
        <v>41838</v>
      </c>
      <c r="J7199" s="78">
        <v>764</v>
      </c>
    </row>
    <row r="7200" spans="6:10" x14ac:dyDescent="0.25">
      <c r="F7200" s="76" t="s">
        <v>150</v>
      </c>
      <c r="G7200" s="77" t="s">
        <v>304</v>
      </c>
      <c r="H7200" s="77" t="s">
        <v>267</v>
      </c>
      <c r="I7200" s="86">
        <v>41839</v>
      </c>
      <c r="J7200" s="78">
        <v>1170</v>
      </c>
    </row>
    <row r="7201" spans="6:10" x14ac:dyDescent="0.25">
      <c r="F7201" s="76" t="s">
        <v>150</v>
      </c>
      <c r="G7201" s="77" t="s">
        <v>304</v>
      </c>
      <c r="H7201" s="77" t="s">
        <v>267</v>
      </c>
      <c r="I7201" s="86">
        <v>41840</v>
      </c>
      <c r="J7201" s="78">
        <v>1140</v>
      </c>
    </row>
    <row r="7202" spans="6:10" x14ac:dyDescent="0.25">
      <c r="F7202" s="76" t="s">
        <v>150</v>
      </c>
      <c r="G7202" s="77" t="s">
        <v>304</v>
      </c>
      <c r="H7202" s="77" t="s">
        <v>267</v>
      </c>
      <c r="I7202" s="86">
        <v>41876</v>
      </c>
      <c r="J7202" s="78">
        <v>868</v>
      </c>
    </row>
    <row r="7203" spans="6:10" x14ac:dyDescent="0.25">
      <c r="F7203" s="76" t="s">
        <v>150</v>
      </c>
      <c r="G7203" s="77" t="s">
        <v>304</v>
      </c>
      <c r="H7203" s="77" t="s">
        <v>267</v>
      </c>
      <c r="I7203" s="86">
        <v>41879</v>
      </c>
      <c r="J7203" s="78">
        <v>888</v>
      </c>
    </row>
    <row r="7204" spans="6:10" x14ac:dyDescent="0.25">
      <c r="F7204" s="76" t="s">
        <v>150</v>
      </c>
      <c r="G7204" s="77" t="s">
        <v>304</v>
      </c>
      <c r="H7204" s="77" t="s">
        <v>267</v>
      </c>
      <c r="I7204" s="86">
        <v>41884</v>
      </c>
      <c r="J7204" s="78">
        <v>798</v>
      </c>
    </row>
    <row r="7205" spans="6:10" x14ac:dyDescent="0.25">
      <c r="F7205" s="76" t="s">
        <v>150</v>
      </c>
      <c r="G7205" s="77" t="s">
        <v>304</v>
      </c>
      <c r="H7205" s="77" t="s">
        <v>267</v>
      </c>
      <c r="I7205" s="86">
        <v>41886</v>
      </c>
      <c r="J7205" s="78">
        <v>794</v>
      </c>
    </row>
    <row r="7206" spans="6:10" x14ac:dyDescent="0.25">
      <c r="F7206" s="76" t="s">
        <v>150</v>
      </c>
      <c r="G7206" s="77" t="s">
        <v>304</v>
      </c>
      <c r="H7206" s="77" t="s">
        <v>267</v>
      </c>
      <c r="I7206" s="86">
        <v>41887</v>
      </c>
      <c r="J7206" s="78">
        <v>818</v>
      </c>
    </row>
    <row r="7207" spans="6:10" x14ac:dyDescent="0.25">
      <c r="F7207" s="76" t="s">
        <v>150</v>
      </c>
      <c r="G7207" s="77" t="s">
        <v>304</v>
      </c>
      <c r="H7207" s="77" t="s">
        <v>267</v>
      </c>
      <c r="I7207" s="86">
        <v>41888</v>
      </c>
      <c r="J7207" s="78">
        <v>895</v>
      </c>
    </row>
    <row r="7208" spans="6:10" x14ac:dyDescent="0.25">
      <c r="F7208" s="76" t="s">
        <v>150</v>
      </c>
      <c r="G7208" s="77" t="s">
        <v>304</v>
      </c>
      <c r="H7208" s="77" t="s">
        <v>267</v>
      </c>
      <c r="I7208" s="86">
        <v>41889</v>
      </c>
      <c r="J7208" s="78">
        <v>872</v>
      </c>
    </row>
    <row r="7209" spans="6:10" x14ac:dyDescent="0.25">
      <c r="F7209" s="76" t="s">
        <v>150</v>
      </c>
      <c r="G7209" s="77" t="s">
        <v>304</v>
      </c>
      <c r="H7209" s="77" t="s">
        <v>267</v>
      </c>
      <c r="I7209" s="86">
        <v>41890</v>
      </c>
      <c r="J7209" s="78">
        <v>658</v>
      </c>
    </row>
    <row r="7210" spans="6:10" x14ac:dyDescent="0.25">
      <c r="F7210" s="76" t="s">
        <v>150</v>
      </c>
      <c r="G7210" s="77" t="s">
        <v>304</v>
      </c>
      <c r="H7210" s="77" t="s">
        <v>267</v>
      </c>
      <c r="I7210" s="86">
        <v>41891</v>
      </c>
      <c r="J7210" s="78">
        <v>681</v>
      </c>
    </row>
    <row r="7211" spans="6:10" x14ac:dyDescent="0.25">
      <c r="F7211" s="76" t="s">
        <v>150</v>
      </c>
      <c r="G7211" s="77" t="s">
        <v>304</v>
      </c>
      <c r="H7211" s="77" t="s">
        <v>267</v>
      </c>
      <c r="I7211" s="86">
        <v>41892</v>
      </c>
      <c r="J7211" s="78">
        <v>713</v>
      </c>
    </row>
    <row r="7212" spans="6:10" x14ac:dyDescent="0.25">
      <c r="F7212" s="76" t="s">
        <v>150</v>
      </c>
      <c r="G7212" s="77" t="s">
        <v>304</v>
      </c>
      <c r="H7212" s="77" t="s">
        <v>267</v>
      </c>
      <c r="I7212" s="86">
        <v>41893</v>
      </c>
      <c r="J7212" s="78">
        <v>685</v>
      </c>
    </row>
    <row r="7213" spans="6:10" x14ac:dyDescent="0.25">
      <c r="F7213" s="76" t="s">
        <v>150</v>
      </c>
      <c r="G7213" s="77" t="s">
        <v>304</v>
      </c>
      <c r="H7213" s="77" t="s">
        <v>267</v>
      </c>
      <c r="I7213" s="86">
        <v>41894</v>
      </c>
      <c r="J7213" s="78">
        <v>695</v>
      </c>
    </row>
    <row r="7214" spans="6:10" x14ac:dyDescent="0.25">
      <c r="F7214" s="76" t="s">
        <v>150</v>
      </c>
      <c r="G7214" s="77" t="s">
        <v>304</v>
      </c>
      <c r="H7214" s="77" t="s">
        <v>267</v>
      </c>
      <c r="I7214" s="86">
        <v>41895</v>
      </c>
      <c r="J7214" s="78">
        <v>980</v>
      </c>
    </row>
    <row r="7215" spans="6:10" x14ac:dyDescent="0.25">
      <c r="F7215" s="76" t="s">
        <v>150</v>
      </c>
      <c r="G7215" s="77" t="s">
        <v>304</v>
      </c>
      <c r="H7215" s="77" t="s">
        <v>267</v>
      </c>
      <c r="I7215" s="86">
        <v>41896</v>
      </c>
      <c r="J7215" s="78">
        <v>806</v>
      </c>
    </row>
    <row r="7216" spans="6:10" x14ac:dyDescent="0.25">
      <c r="F7216" s="76" t="s">
        <v>150</v>
      </c>
      <c r="G7216" s="77" t="s">
        <v>304</v>
      </c>
      <c r="H7216" s="77" t="s">
        <v>267</v>
      </c>
      <c r="I7216" s="86">
        <v>41898</v>
      </c>
      <c r="J7216" s="78">
        <v>839</v>
      </c>
    </row>
    <row r="7217" spans="6:10" x14ac:dyDescent="0.25">
      <c r="F7217" s="76" t="s">
        <v>150</v>
      </c>
      <c r="G7217" s="77" t="s">
        <v>304</v>
      </c>
      <c r="H7217" s="77" t="s">
        <v>267</v>
      </c>
      <c r="I7217" s="86">
        <v>41900</v>
      </c>
      <c r="J7217" s="78">
        <v>751</v>
      </c>
    </row>
    <row r="7218" spans="6:10" x14ac:dyDescent="0.25">
      <c r="F7218" s="76" t="s">
        <v>150</v>
      </c>
      <c r="G7218" s="77" t="s">
        <v>304</v>
      </c>
      <c r="H7218" s="77" t="s">
        <v>267</v>
      </c>
      <c r="I7218" s="86">
        <v>41905</v>
      </c>
      <c r="J7218" s="78">
        <v>1107</v>
      </c>
    </row>
    <row r="7219" spans="6:10" x14ac:dyDescent="0.25">
      <c r="F7219" s="76" t="s">
        <v>150</v>
      </c>
      <c r="G7219" s="77" t="s">
        <v>304</v>
      </c>
      <c r="H7219" s="77" t="s">
        <v>267</v>
      </c>
      <c r="I7219" s="86">
        <v>41907</v>
      </c>
      <c r="J7219" s="78">
        <v>739</v>
      </c>
    </row>
    <row r="7220" spans="6:10" x14ac:dyDescent="0.25">
      <c r="F7220" s="76" t="s">
        <v>150</v>
      </c>
      <c r="G7220" s="77" t="s">
        <v>304</v>
      </c>
      <c r="H7220" s="77" t="s">
        <v>267</v>
      </c>
      <c r="I7220" s="86">
        <v>41911</v>
      </c>
      <c r="J7220" s="78">
        <v>781</v>
      </c>
    </row>
    <row r="7221" spans="6:10" x14ac:dyDescent="0.25">
      <c r="F7221" s="76" t="s">
        <v>150</v>
      </c>
      <c r="G7221" s="77" t="s">
        <v>304</v>
      </c>
      <c r="H7221" s="77" t="s">
        <v>267</v>
      </c>
      <c r="I7221" s="86">
        <v>41913</v>
      </c>
      <c r="J7221" s="78">
        <v>753</v>
      </c>
    </row>
    <row r="7222" spans="6:10" x14ac:dyDescent="0.25">
      <c r="F7222" s="76" t="s">
        <v>150</v>
      </c>
      <c r="G7222" s="77" t="s">
        <v>304</v>
      </c>
      <c r="H7222" s="77" t="s">
        <v>267</v>
      </c>
      <c r="I7222" s="86">
        <v>41915</v>
      </c>
      <c r="J7222" s="78">
        <v>753</v>
      </c>
    </row>
    <row r="7223" spans="6:10" x14ac:dyDescent="0.25">
      <c r="F7223" s="76" t="s">
        <v>150</v>
      </c>
      <c r="G7223" s="77" t="s">
        <v>304</v>
      </c>
      <c r="H7223" s="77" t="s">
        <v>267</v>
      </c>
      <c r="I7223" s="86">
        <v>41919</v>
      </c>
      <c r="J7223" s="78">
        <v>761</v>
      </c>
    </row>
    <row r="7224" spans="6:10" x14ac:dyDescent="0.25">
      <c r="F7224" s="76" t="s">
        <v>150</v>
      </c>
      <c r="G7224" s="77" t="s">
        <v>304</v>
      </c>
      <c r="H7224" s="77" t="s">
        <v>267</v>
      </c>
      <c r="I7224" s="86">
        <v>41921</v>
      </c>
      <c r="J7224" s="78">
        <v>730</v>
      </c>
    </row>
    <row r="7225" spans="6:10" x14ac:dyDescent="0.25">
      <c r="F7225" s="76" t="s">
        <v>150</v>
      </c>
      <c r="G7225" s="77" t="s">
        <v>304</v>
      </c>
      <c r="H7225" s="77" t="s">
        <v>267</v>
      </c>
      <c r="I7225" s="86">
        <v>41925</v>
      </c>
      <c r="J7225" s="78">
        <v>697</v>
      </c>
    </row>
    <row r="7226" spans="6:10" x14ac:dyDescent="0.25">
      <c r="F7226" s="76" t="s">
        <v>150</v>
      </c>
      <c r="G7226" s="77" t="s">
        <v>304</v>
      </c>
      <c r="H7226" s="77" t="s">
        <v>267</v>
      </c>
      <c r="I7226" s="86">
        <v>41927</v>
      </c>
      <c r="J7226" s="78">
        <v>773</v>
      </c>
    </row>
    <row r="7227" spans="6:10" x14ac:dyDescent="0.25">
      <c r="F7227" s="76" t="s">
        <v>150</v>
      </c>
      <c r="G7227" s="77" t="s">
        <v>304</v>
      </c>
      <c r="H7227" s="77" t="s">
        <v>267</v>
      </c>
      <c r="I7227" s="86">
        <v>41929</v>
      </c>
      <c r="J7227" s="78">
        <v>783</v>
      </c>
    </row>
    <row r="7228" spans="6:10" x14ac:dyDescent="0.25">
      <c r="F7228" s="76" t="s">
        <v>150</v>
      </c>
      <c r="G7228" s="77" t="s">
        <v>304</v>
      </c>
      <c r="H7228" s="77" t="s">
        <v>267</v>
      </c>
      <c r="I7228" s="86">
        <v>41933</v>
      </c>
      <c r="J7228" s="78">
        <v>685</v>
      </c>
    </row>
    <row r="7229" spans="6:10" x14ac:dyDescent="0.25">
      <c r="F7229" s="76" t="s">
        <v>150</v>
      </c>
      <c r="G7229" s="77" t="s">
        <v>304</v>
      </c>
      <c r="H7229" s="77" t="s">
        <v>267</v>
      </c>
      <c r="I7229" s="86">
        <v>41934</v>
      </c>
      <c r="J7229" s="78">
        <v>596</v>
      </c>
    </row>
    <row r="7230" spans="6:10" x14ac:dyDescent="0.25">
      <c r="F7230" s="76" t="s">
        <v>150</v>
      </c>
      <c r="G7230" s="77" t="s">
        <v>304</v>
      </c>
      <c r="H7230" s="77" t="s">
        <v>267</v>
      </c>
      <c r="I7230" s="86">
        <v>41935</v>
      </c>
      <c r="J7230" s="78">
        <v>698</v>
      </c>
    </row>
    <row r="7231" spans="6:10" x14ac:dyDescent="0.25">
      <c r="F7231" s="76" t="s">
        <v>150</v>
      </c>
      <c r="G7231" s="77" t="s">
        <v>304</v>
      </c>
      <c r="H7231" s="77" t="s">
        <v>267</v>
      </c>
      <c r="I7231" s="86">
        <v>41936</v>
      </c>
      <c r="J7231" s="78">
        <v>700</v>
      </c>
    </row>
    <row r="7232" spans="6:10" x14ac:dyDescent="0.25">
      <c r="F7232" s="76" t="s">
        <v>150</v>
      </c>
      <c r="G7232" s="77" t="s">
        <v>304</v>
      </c>
      <c r="H7232" s="77" t="s">
        <v>267</v>
      </c>
      <c r="I7232" s="86">
        <v>41937</v>
      </c>
      <c r="J7232" s="78">
        <v>833</v>
      </c>
    </row>
    <row r="7233" spans="6:10" x14ac:dyDescent="0.25">
      <c r="F7233" s="76" t="s">
        <v>150</v>
      </c>
      <c r="G7233" s="77" t="s">
        <v>304</v>
      </c>
      <c r="H7233" s="77" t="s">
        <v>267</v>
      </c>
      <c r="I7233" s="86">
        <v>41938</v>
      </c>
      <c r="J7233" s="78">
        <v>763</v>
      </c>
    </row>
    <row r="7234" spans="6:10" x14ac:dyDescent="0.25">
      <c r="F7234" s="76" t="s">
        <v>150</v>
      </c>
      <c r="G7234" s="77" t="s">
        <v>304</v>
      </c>
      <c r="H7234" s="77" t="s">
        <v>267</v>
      </c>
      <c r="I7234" s="86">
        <v>41939</v>
      </c>
      <c r="J7234" s="78">
        <v>662</v>
      </c>
    </row>
    <row r="7235" spans="6:10" x14ac:dyDescent="0.25">
      <c r="F7235" s="76" t="s">
        <v>150</v>
      </c>
      <c r="G7235" s="77" t="s">
        <v>304</v>
      </c>
      <c r="H7235" s="77" t="s">
        <v>267</v>
      </c>
      <c r="I7235" s="86">
        <v>41941</v>
      </c>
      <c r="J7235" s="78">
        <v>812</v>
      </c>
    </row>
    <row r="7236" spans="6:10" x14ac:dyDescent="0.25">
      <c r="F7236" s="76" t="s">
        <v>150</v>
      </c>
      <c r="G7236" s="77" t="s">
        <v>304</v>
      </c>
      <c r="H7236" s="77" t="s">
        <v>267</v>
      </c>
      <c r="I7236" s="86">
        <v>41943</v>
      </c>
      <c r="J7236" s="78">
        <v>1146</v>
      </c>
    </row>
    <row r="7237" spans="6:10" x14ac:dyDescent="0.25">
      <c r="F7237" s="76" t="s">
        <v>150</v>
      </c>
      <c r="G7237" s="77" t="s">
        <v>304</v>
      </c>
      <c r="H7237" s="77" t="s">
        <v>267</v>
      </c>
      <c r="I7237" s="86">
        <v>41945</v>
      </c>
      <c r="J7237" s="78">
        <v>1025</v>
      </c>
    </row>
    <row r="7238" spans="6:10" x14ac:dyDescent="0.25">
      <c r="F7238" s="76" t="s">
        <v>150</v>
      </c>
      <c r="G7238" s="77" t="s">
        <v>304</v>
      </c>
      <c r="H7238" s="77" t="s">
        <v>267</v>
      </c>
      <c r="I7238" s="86">
        <v>41959</v>
      </c>
      <c r="J7238" s="78">
        <v>1168</v>
      </c>
    </row>
    <row r="7239" spans="6:10" x14ac:dyDescent="0.25">
      <c r="F7239" s="76" t="s">
        <v>150</v>
      </c>
      <c r="G7239" s="77" t="s">
        <v>304</v>
      </c>
      <c r="H7239" s="77" t="s">
        <v>267</v>
      </c>
      <c r="I7239" s="86">
        <v>41983</v>
      </c>
      <c r="J7239" s="78">
        <v>620</v>
      </c>
    </row>
    <row r="7240" spans="6:10" x14ac:dyDescent="0.25">
      <c r="F7240" s="76" t="s">
        <v>150</v>
      </c>
      <c r="G7240" s="77" t="s">
        <v>304</v>
      </c>
      <c r="H7240" s="77" t="s">
        <v>267</v>
      </c>
      <c r="I7240" s="86">
        <v>41985</v>
      </c>
      <c r="J7240" s="78">
        <v>947</v>
      </c>
    </row>
    <row r="7241" spans="6:10" x14ac:dyDescent="0.25">
      <c r="F7241" s="76" t="s">
        <v>150</v>
      </c>
      <c r="G7241" s="77" t="s">
        <v>304</v>
      </c>
      <c r="H7241" s="77" t="s">
        <v>267</v>
      </c>
      <c r="I7241" s="86">
        <v>41987</v>
      </c>
      <c r="J7241" s="78">
        <v>636</v>
      </c>
    </row>
    <row r="7242" spans="6:10" x14ac:dyDescent="0.25">
      <c r="F7242" s="76" t="s">
        <v>150</v>
      </c>
      <c r="G7242" s="77" t="s">
        <v>304</v>
      </c>
      <c r="H7242" s="77" t="s">
        <v>267</v>
      </c>
      <c r="I7242" s="86">
        <v>41988</v>
      </c>
      <c r="J7242" s="78">
        <v>621</v>
      </c>
    </row>
    <row r="7243" spans="6:10" x14ac:dyDescent="0.25">
      <c r="F7243" s="76" t="s">
        <v>150</v>
      </c>
      <c r="G7243" s="77" t="s">
        <v>304</v>
      </c>
      <c r="H7243" s="77" t="s">
        <v>267</v>
      </c>
      <c r="I7243" s="86">
        <v>41989</v>
      </c>
      <c r="J7243" s="78">
        <v>405</v>
      </c>
    </row>
    <row r="7244" spans="6:10" x14ac:dyDescent="0.25">
      <c r="F7244" s="76" t="s">
        <v>150</v>
      </c>
      <c r="G7244" s="77" t="s">
        <v>304</v>
      </c>
      <c r="H7244" s="77" t="s">
        <v>267</v>
      </c>
      <c r="I7244" s="86">
        <v>41990</v>
      </c>
      <c r="J7244" s="78">
        <v>627</v>
      </c>
    </row>
    <row r="7245" spans="6:10" x14ac:dyDescent="0.25">
      <c r="F7245" s="76" t="s">
        <v>150</v>
      </c>
      <c r="G7245" s="77" t="s">
        <v>304</v>
      </c>
      <c r="H7245" s="77" t="s">
        <v>267</v>
      </c>
      <c r="I7245" s="86">
        <v>41991</v>
      </c>
      <c r="J7245" s="78">
        <v>669</v>
      </c>
    </row>
    <row r="7246" spans="6:10" x14ac:dyDescent="0.25">
      <c r="F7246" s="76" t="s">
        <v>150</v>
      </c>
      <c r="G7246" s="77" t="s">
        <v>304</v>
      </c>
      <c r="H7246" s="77" t="s">
        <v>267</v>
      </c>
      <c r="I7246" s="86">
        <v>41992</v>
      </c>
      <c r="J7246" s="78">
        <v>897</v>
      </c>
    </row>
    <row r="7247" spans="6:10" x14ac:dyDescent="0.25">
      <c r="F7247" s="76" t="s">
        <v>150</v>
      </c>
      <c r="G7247" s="77" t="s">
        <v>304</v>
      </c>
      <c r="H7247" s="77" t="s">
        <v>267</v>
      </c>
      <c r="I7247" s="86">
        <v>41993</v>
      </c>
      <c r="J7247" s="78">
        <v>873</v>
      </c>
    </row>
    <row r="7248" spans="6:10" x14ac:dyDescent="0.25">
      <c r="F7248" s="76" t="s">
        <v>150</v>
      </c>
      <c r="G7248" s="77" t="s">
        <v>304</v>
      </c>
      <c r="H7248" s="77" t="s">
        <v>267</v>
      </c>
      <c r="I7248" s="86">
        <v>41995</v>
      </c>
      <c r="J7248" s="78">
        <v>917</v>
      </c>
    </row>
    <row r="7249" spans="6:10" x14ac:dyDescent="0.25">
      <c r="F7249" s="76" t="s">
        <v>150</v>
      </c>
      <c r="G7249" s="77" t="s">
        <v>305</v>
      </c>
      <c r="H7249" s="77" t="s">
        <v>267</v>
      </c>
      <c r="I7249" s="86">
        <v>41635</v>
      </c>
      <c r="J7249" s="78">
        <v>944</v>
      </c>
    </row>
    <row r="7250" spans="6:10" x14ac:dyDescent="0.25">
      <c r="F7250" s="76" t="s">
        <v>150</v>
      </c>
      <c r="G7250" s="77" t="s">
        <v>305</v>
      </c>
      <c r="H7250" s="77" t="s">
        <v>267</v>
      </c>
      <c r="I7250" s="86">
        <v>41637</v>
      </c>
      <c r="J7250" s="78">
        <v>1197</v>
      </c>
    </row>
    <row r="7251" spans="6:10" x14ac:dyDescent="0.25">
      <c r="F7251" s="76" t="s">
        <v>150</v>
      </c>
      <c r="G7251" s="77" t="s">
        <v>305</v>
      </c>
      <c r="H7251" s="77" t="s">
        <v>267</v>
      </c>
      <c r="I7251" s="86">
        <v>41638</v>
      </c>
      <c r="J7251" s="78">
        <v>828</v>
      </c>
    </row>
    <row r="7252" spans="6:10" x14ac:dyDescent="0.25">
      <c r="F7252" s="76" t="s">
        <v>150</v>
      </c>
      <c r="G7252" s="77" t="s">
        <v>305</v>
      </c>
      <c r="H7252" s="77" t="s">
        <v>267</v>
      </c>
      <c r="I7252" s="86">
        <v>41640</v>
      </c>
      <c r="J7252" s="78">
        <v>842</v>
      </c>
    </row>
    <row r="7253" spans="6:10" x14ac:dyDescent="0.25">
      <c r="F7253" s="76" t="s">
        <v>150</v>
      </c>
      <c r="G7253" s="77" t="s">
        <v>305</v>
      </c>
      <c r="H7253" s="77" t="s">
        <v>267</v>
      </c>
      <c r="I7253" s="86">
        <v>41645</v>
      </c>
      <c r="J7253" s="78">
        <v>1238</v>
      </c>
    </row>
    <row r="7254" spans="6:10" x14ac:dyDescent="0.25">
      <c r="F7254" s="76" t="s">
        <v>150</v>
      </c>
      <c r="G7254" s="77" t="s">
        <v>305</v>
      </c>
      <c r="H7254" s="77" t="s">
        <v>267</v>
      </c>
      <c r="I7254" s="86">
        <v>41646</v>
      </c>
      <c r="J7254" s="78">
        <v>857</v>
      </c>
    </row>
    <row r="7255" spans="6:10" x14ac:dyDescent="0.25">
      <c r="F7255" s="76" t="s">
        <v>150</v>
      </c>
      <c r="G7255" s="77" t="s">
        <v>305</v>
      </c>
      <c r="H7255" s="77" t="s">
        <v>267</v>
      </c>
      <c r="I7255" s="86">
        <v>41646</v>
      </c>
      <c r="J7255" s="78">
        <v>678</v>
      </c>
    </row>
    <row r="7256" spans="6:10" x14ac:dyDescent="0.25">
      <c r="F7256" s="76" t="s">
        <v>150</v>
      </c>
      <c r="G7256" s="77" t="s">
        <v>305</v>
      </c>
      <c r="H7256" s="77" t="s">
        <v>267</v>
      </c>
      <c r="I7256" s="86">
        <v>41647</v>
      </c>
      <c r="J7256" s="78">
        <v>1059</v>
      </c>
    </row>
    <row r="7257" spans="6:10" x14ac:dyDescent="0.25">
      <c r="F7257" s="76" t="s">
        <v>150</v>
      </c>
      <c r="G7257" s="77" t="s">
        <v>305</v>
      </c>
      <c r="H7257" s="77" t="s">
        <v>267</v>
      </c>
      <c r="I7257" s="86">
        <v>41648</v>
      </c>
      <c r="J7257" s="78">
        <v>1169</v>
      </c>
    </row>
    <row r="7258" spans="6:10" x14ac:dyDescent="0.25">
      <c r="F7258" s="76" t="s">
        <v>150</v>
      </c>
      <c r="G7258" s="77" t="s">
        <v>305</v>
      </c>
      <c r="H7258" s="77" t="s">
        <v>267</v>
      </c>
      <c r="I7258" s="86">
        <v>41648</v>
      </c>
      <c r="J7258" s="78">
        <v>820</v>
      </c>
    </row>
    <row r="7259" spans="6:10" x14ac:dyDescent="0.25">
      <c r="F7259" s="76" t="s">
        <v>150</v>
      </c>
      <c r="G7259" s="77" t="s">
        <v>305</v>
      </c>
      <c r="H7259" s="77" t="s">
        <v>267</v>
      </c>
      <c r="I7259" s="86">
        <v>41649</v>
      </c>
      <c r="J7259" s="78">
        <v>1230</v>
      </c>
    </row>
    <row r="7260" spans="6:10" x14ac:dyDescent="0.25">
      <c r="F7260" s="76" t="s">
        <v>150</v>
      </c>
      <c r="G7260" s="77" t="s">
        <v>305</v>
      </c>
      <c r="H7260" s="77" t="s">
        <v>267</v>
      </c>
      <c r="I7260" s="86">
        <v>41650</v>
      </c>
      <c r="J7260" s="78">
        <v>1329</v>
      </c>
    </row>
    <row r="7261" spans="6:10" x14ac:dyDescent="0.25">
      <c r="F7261" s="76" t="s">
        <v>150</v>
      </c>
      <c r="G7261" s="77" t="s">
        <v>305</v>
      </c>
      <c r="H7261" s="77" t="s">
        <v>267</v>
      </c>
      <c r="I7261" s="86">
        <v>41651</v>
      </c>
      <c r="J7261" s="78">
        <v>644</v>
      </c>
    </row>
    <row r="7262" spans="6:10" x14ac:dyDescent="0.25">
      <c r="F7262" s="76" t="s">
        <v>150</v>
      </c>
      <c r="G7262" s="77" t="s">
        <v>305</v>
      </c>
      <c r="H7262" s="77" t="s">
        <v>267</v>
      </c>
      <c r="I7262" s="86">
        <v>41651</v>
      </c>
      <c r="J7262" s="78">
        <v>682</v>
      </c>
    </row>
    <row r="7263" spans="6:10" x14ac:dyDescent="0.25">
      <c r="F7263" s="76" t="s">
        <v>150</v>
      </c>
      <c r="G7263" s="77" t="s">
        <v>305</v>
      </c>
      <c r="H7263" s="77" t="s">
        <v>267</v>
      </c>
      <c r="I7263" s="86">
        <v>41652</v>
      </c>
      <c r="J7263" s="78">
        <v>1284</v>
      </c>
    </row>
    <row r="7264" spans="6:10" x14ac:dyDescent="0.25">
      <c r="F7264" s="76" t="s">
        <v>150</v>
      </c>
      <c r="G7264" s="77" t="s">
        <v>305</v>
      </c>
      <c r="H7264" s="77" t="s">
        <v>267</v>
      </c>
      <c r="I7264" s="86">
        <v>41660</v>
      </c>
      <c r="J7264" s="78">
        <v>665</v>
      </c>
    </row>
    <row r="7265" spans="6:10" x14ac:dyDescent="0.25">
      <c r="F7265" s="76" t="s">
        <v>150</v>
      </c>
      <c r="G7265" s="77" t="s">
        <v>305</v>
      </c>
      <c r="H7265" s="77" t="s">
        <v>267</v>
      </c>
      <c r="I7265" s="86">
        <v>41661</v>
      </c>
      <c r="J7265" s="78">
        <v>1297</v>
      </c>
    </row>
    <row r="7266" spans="6:10" x14ac:dyDescent="0.25">
      <c r="F7266" s="76" t="s">
        <v>150</v>
      </c>
      <c r="G7266" s="77" t="s">
        <v>305</v>
      </c>
      <c r="H7266" s="77" t="s">
        <v>267</v>
      </c>
      <c r="I7266" s="86">
        <v>41668</v>
      </c>
      <c r="J7266" s="78">
        <v>840</v>
      </c>
    </row>
    <row r="7267" spans="6:10" x14ac:dyDescent="0.25">
      <c r="F7267" s="76" t="s">
        <v>150</v>
      </c>
      <c r="G7267" s="77" t="s">
        <v>305</v>
      </c>
      <c r="H7267" s="77" t="s">
        <v>267</v>
      </c>
      <c r="I7267" s="86">
        <v>41668</v>
      </c>
      <c r="J7267" s="78">
        <v>900</v>
      </c>
    </row>
    <row r="7268" spans="6:10" x14ac:dyDescent="0.25">
      <c r="F7268" s="76" t="s">
        <v>150</v>
      </c>
      <c r="G7268" s="77" t="s">
        <v>305</v>
      </c>
      <c r="H7268" s="77" t="s">
        <v>267</v>
      </c>
      <c r="I7268" s="86">
        <v>41669</v>
      </c>
      <c r="J7268" s="78">
        <v>1054</v>
      </c>
    </row>
    <row r="7269" spans="6:10" x14ac:dyDescent="0.25">
      <c r="F7269" s="76" t="s">
        <v>150</v>
      </c>
      <c r="G7269" s="77" t="s">
        <v>305</v>
      </c>
      <c r="H7269" s="77" t="s">
        <v>267</v>
      </c>
      <c r="I7269" s="86">
        <v>41670</v>
      </c>
      <c r="J7269" s="78">
        <v>606</v>
      </c>
    </row>
    <row r="7270" spans="6:10" x14ac:dyDescent="0.25">
      <c r="F7270" s="76" t="s">
        <v>150</v>
      </c>
      <c r="G7270" s="77" t="s">
        <v>305</v>
      </c>
      <c r="H7270" s="77" t="s">
        <v>267</v>
      </c>
      <c r="I7270" s="86">
        <v>41673</v>
      </c>
      <c r="J7270" s="78">
        <v>634</v>
      </c>
    </row>
    <row r="7271" spans="6:10" x14ac:dyDescent="0.25">
      <c r="F7271" s="76" t="s">
        <v>150</v>
      </c>
      <c r="G7271" s="77" t="s">
        <v>305</v>
      </c>
      <c r="H7271" s="77" t="s">
        <v>267</v>
      </c>
      <c r="I7271" s="86">
        <v>41675</v>
      </c>
      <c r="J7271" s="78">
        <v>1335</v>
      </c>
    </row>
    <row r="7272" spans="6:10" x14ac:dyDescent="0.25">
      <c r="F7272" s="76" t="s">
        <v>150</v>
      </c>
      <c r="G7272" s="77" t="s">
        <v>305</v>
      </c>
      <c r="H7272" s="77" t="s">
        <v>267</v>
      </c>
      <c r="I7272" s="86">
        <v>41675</v>
      </c>
      <c r="J7272" s="78">
        <v>971</v>
      </c>
    </row>
    <row r="7273" spans="6:10" x14ac:dyDescent="0.25">
      <c r="F7273" s="76" t="s">
        <v>150</v>
      </c>
      <c r="G7273" s="77" t="s">
        <v>305</v>
      </c>
      <c r="H7273" s="77" t="s">
        <v>267</v>
      </c>
      <c r="I7273" s="86">
        <v>41676</v>
      </c>
      <c r="J7273" s="78">
        <v>821</v>
      </c>
    </row>
    <row r="7274" spans="6:10" x14ac:dyDescent="0.25">
      <c r="F7274" s="76" t="s">
        <v>150</v>
      </c>
      <c r="G7274" s="77" t="s">
        <v>305</v>
      </c>
      <c r="H7274" s="77" t="s">
        <v>267</v>
      </c>
      <c r="I7274" s="86">
        <v>41677</v>
      </c>
      <c r="J7274" s="78">
        <v>798</v>
      </c>
    </row>
    <row r="7275" spans="6:10" x14ac:dyDescent="0.25">
      <c r="F7275" s="76" t="s">
        <v>150</v>
      </c>
      <c r="G7275" s="77" t="s">
        <v>305</v>
      </c>
      <c r="H7275" s="77" t="s">
        <v>267</v>
      </c>
      <c r="I7275" s="86">
        <v>41682</v>
      </c>
      <c r="J7275" s="78">
        <v>1452</v>
      </c>
    </row>
    <row r="7276" spans="6:10" x14ac:dyDescent="0.25">
      <c r="F7276" s="76" t="s">
        <v>150</v>
      </c>
      <c r="G7276" s="77" t="s">
        <v>305</v>
      </c>
      <c r="H7276" s="77" t="s">
        <v>267</v>
      </c>
      <c r="I7276" s="86">
        <v>41683</v>
      </c>
      <c r="J7276" s="78">
        <v>937</v>
      </c>
    </row>
    <row r="7277" spans="6:10" x14ac:dyDescent="0.25">
      <c r="F7277" s="76" t="s">
        <v>150</v>
      </c>
      <c r="G7277" s="77" t="s">
        <v>305</v>
      </c>
      <c r="H7277" s="77" t="s">
        <v>267</v>
      </c>
      <c r="I7277" s="86">
        <v>41689</v>
      </c>
      <c r="J7277" s="78">
        <v>1119</v>
      </c>
    </row>
    <row r="7278" spans="6:10" x14ac:dyDescent="0.25">
      <c r="F7278" s="76" t="s">
        <v>150</v>
      </c>
      <c r="G7278" s="77" t="s">
        <v>305</v>
      </c>
      <c r="H7278" s="77" t="s">
        <v>267</v>
      </c>
      <c r="I7278" s="86">
        <v>41691</v>
      </c>
      <c r="J7278" s="78">
        <v>1092</v>
      </c>
    </row>
    <row r="7279" spans="6:10" x14ac:dyDescent="0.25">
      <c r="F7279" s="76" t="s">
        <v>150</v>
      </c>
      <c r="G7279" s="77" t="s">
        <v>305</v>
      </c>
      <c r="H7279" s="77" t="s">
        <v>267</v>
      </c>
      <c r="I7279" s="86">
        <v>41692</v>
      </c>
      <c r="J7279" s="78">
        <v>774</v>
      </c>
    </row>
    <row r="7280" spans="6:10" x14ac:dyDescent="0.25">
      <c r="F7280" s="76" t="s">
        <v>150</v>
      </c>
      <c r="G7280" s="77" t="s">
        <v>305</v>
      </c>
      <c r="H7280" s="77" t="s">
        <v>267</v>
      </c>
      <c r="I7280" s="86">
        <v>41693</v>
      </c>
      <c r="J7280" s="78">
        <v>557</v>
      </c>
    </row>
    <row r="7281" spans="6:10" x14ac:dyDescent="0.25">
      <c r="F7281" s="76" t="s">
        <v>150</v>
      </c>
      <c r="G7281" s="77" t="s">
        <v>305</v>
      </c>
      <c r="H7281" s="77" t="s">
        <v>267</v>
      </c>
      <c r="I7281" s="86">
        <v>41694</v>
      </c>
      <c r="J7281" s="78">
        <v>698</v>
      </c>
    </row>
    <row r="7282" spans="6:10" x14ac:dyDescent="0.25">
      <c r="F7282" s="76" t="s">
        <v>150</v>
      </c>
      <c r="G7282" s="77" t="s">
        <v>305</v>
      </c>
      <c r="H7282" s="77" t="s">
        <v>267</v>
      </c>
      <c r="I7282" s="86">
        <v>41695</v>
      </c>
      <c r="J7282" s="78">
        <v>698</v>
      </c>
    </row>
    <row r="7283" spans="6:10" x14ac:dyDescent="0.25">
      <c r="F7283" s="76" t="s">
        <v>150</v>
      </c>
      <c r="G7283" s="77" t="s">
        <v>305</v>
      </c>
      <c r="H7283" s="77" t="s">
        <v>267</v>
      </c>
      <c r="I7283" s="86">
        <v>41696</v>
      </c>
      <c r="J7283" s="78">
        <v>922</v>
      </c>
    </row>
    <row r="7284" spans="6:10" x14ac:dyDescent="0.25">
      <c r="F7284" s="76" t="s">
        <v>150</v>
      </c>
      <c r="G7284" s="77" t="s">
        <v>305</v>
      </c>
      <c r="H7284" s="77" t="s">
        <v>267</v>
      </c>
      <c r="I7284" s="86">
        <v>41698</v>
      </c>
      <c r="J7284" s="78">
        <v>1248</v>
      </c>
    </row>
    <row r="7285" spans="6:10" x14ac:dyDescent="0.25">
      <c r="F7285" s="76" t="s">
        <v>150</v>
      </c>
      <c r="G7285" s="77" t="s">
        <v>305</v>
      </c>
      <c r="H7285" s="77" t="s">
        <v>267</v>
      </c>
      <c r="I7285" s="86">
        <v>41772</v>
      </c>
      <c r="J7285" s="78">
        <v>1212</v>
      </c>
    </row>
    <row r="7286" spans="6:10" x14ac:dyDescent="0.25">
      <c r="F7286" s="76" t="s">
        <v>150</v>
      </c>
      <c r="G7286" s="77" t="s">
        <v>305</v>
      </c>
      <c r="H7286" s="77" t="s">
        <v>267</v>
      </c>
      <c r="I7286" s="86">
        <v>41808</v>
      </c>
      <c r="J7286" s="78">
        <v>839</v>
      </c>
    </row>
    <row r="7287" spans="6:10" x14ac:dyDescent="0.25">
      <c r="F7287" s="76" t="s">
        <v>150</v>
      </c>
      <c r="G7287" s="77" t="s">
        <v>305</v>
      </c>
      <c r="H7287" s="77" t="s">
        <v>267</v>
      </c>
      <c r="I7287" s="86">
        <v>41810</v>
      </c>
      <c r="J7287" s="78">
        <v>1313</v>
      </c>
    </row>
    <row r="7288" spans="6:10" x14ac:dyDescent="0.25">
      <c r="F7288" s="76" t="s">
        <v>150</v>
      </c>
      <c r="G7288" s="77" t="s">
        <v>305</v>
      </c>
      <c r="H7288" s="77" t="s">
        <v>267</v>
      </c>
      <c r="I7288" s="86">
        <v>41813</v>
      </c>
      <c r="J7288" s="78">
        <v>1426</v>
      </c>
    </row>
    <row r="7289" spans="6:10" x14ac:dyDescent="0.25">
      <c r="F7289" s="76" t="s">
        <v>150</v>
      </c>
      <c r="G7289" s="77" t="s">
        <v>305</v>
      </c>
      <c r="H7289" s="77" t="s">
        <v>267</v>
      </c>
      <c r="I7289" s="86">
        <v>41814</v>
      </c>
      <c r="J7289" s="78">
        <v>604</v>
      </c>
    </row>
    <row r="7290" spans="6:10" x14ac:dyDescent="0.25">
      <c r="F7290" s="76" t="s">
        <v>150</v>
      </c>
      <c r="G7290" s="77" t="s">
        <v>305</v>
      </c>
      <c r="H7290" s="77" t="s">
        <v>267</v>
      </c>
      <c r="I7290" s="86">
        <v>41815</v>
      </c>
      <c r="J7290" s="78">
        <v>995</v>
      </c>
    </row>
    <row r="7291" spans="6:10" x14ac:dyDescent="0.25">
      <c r="F7291" s="76" t="s">
        <v>150</v>
      </c>
      <c r="G7291" s="77" t="s">
        <v>305</v>
      </c>
      <c r="H7291" s="77" t="s">
        <v>267</v>
      </c>
      <c r="I7291" s="86">
        <v>41816</v>
      </c>
      <c r="J7291" s="78">
        <v>701</v>
      </c>
    </row>
    <row r="7292" spans="6:10" x14ac:dyDescent="0.25">
      <c r="F7292" s="76" t="s">
        <v>150</v>
      </c>
      <c r="G7292" s="77" t="s">
        <v>305</v>
      </c>
      <c r="H7292" s="77" t="s">
        <v>267</v>
      </c>
      <c r="I7292" s="86">
        <v>41817</v>
      </c>
      <c r="J7292" s="78">
        <v>687</v>
      </c>
    </row>
    <row r="7293" spans="6:10" x14ac:dyDescent="0.25">
      <c r="F7293" s="76" t="s">
        <v>150</v>
      </c>
      <c r="G7293" s="77" t="s">
        <v>305</v>
      </c>
      <c r="H7293" s="77" t="s">
        <v>267</v>
      </c>
      <c r="I7293" s="86">
        <v>41819</v>
      </c>
      <c r="J7293" s="78">
        <v>1035</v>
      </c>
    </row>
    <row r="7294" spans="6:10" x14ac:dyDescent="0.25">
      <c r="F7294" s="76" t="s">
        <v>150</v>
      </c>
      <c r="G7294" s="77" t="s">
        <v>305</v>
      </c>
      <c r="H7294" s="77" t="s">
        <v>267</v>
      </c>
      <c r="I7294" s="86">
        <v>41820</v>
      </c>
      <c r="J7294" s="78">
        <v>957</v>
      </c>
    </row>
    <row r="7295" spans="6:10" x14ac:dyDescent="0.25">
      <c r="F7295" s="76" t="s">
        <v>150</v>
      </c>
      <c r="G7295" s="77" t="s">
        <v>305</v>
      </c>
      <c r="H7295" s="77" t="s">
        <v>267</v>
      </c>
      <c r="I7295" s="86">
        <v>41833</v>
      </c>
      <c r="J7295" s="78">
        <v>1027</v>
      </c>
    </row>
    <row r="7296" spans="6:10" x14ac:dyDescent="0.25">
      <c r="F7296" s="76" t="s">
        <v>150</v>
      </c>
      <c r="G7296" s="77" t="s">
        <v>305</v>
      </c>
      <c r="H7296" s="77" t="s">
        <v>267</v>
      </c>
      <c r="I7296" s="86">
        <v>41834</v>
      </c>
      <c r="J7296" s="78">
        <v>591</v>
      </c>
    </row>
    <row r="7297" spans="6:10" x14ac:dyDescent="0.25">
      <c r="F7297" s="76" t="s">
        <v>150</v>
      </c>
      <c r="G7297" s="77" t="s">
        <v>305</v>
      </c>
      <c r="H7297" s="77" t="s">
        <v>267</v>
      </c>
      <c r="I7297" s="86">
        <v>41835</v>
      </c>
      <c r="J7297" s="78">
        <v>691</v>
      </c>
    </row>
    <row r="7298" spans="6:10" x14ac:dyDescent="0.25">
      <c r="F7298" s="76" t="s">
        <v>150</v>
      </c>
      <c r="G7298" s="77" t="s">
        <v>305</v>
      </c>
      <c r="H7298" s="77" t="s">
        <v>267</v>
      </c>
      <c r="I7298" s="86">
        <v>41845</v>
      </c>
      <c r="J7298" s="78">
        <v>335</v>
      </c>
    </row>
    <row r="7299" spans="6:10" x14ac:dyDescent="0.25">
      <c r="F7299" s="76" t="s">
        <v>150</v>
      </c>
      <c r="G7299" s="77" t="s">
        <v>305</v>
      </c>
      <c r="H7299" s="77" t="s">
        <v>267</v>
      </c>
      <c r="I7299" s="86">
        <v>41852</v>
      </c>
      <c r="J7299" s="78">
        <v>918</v>
      </c>
    </row>
    <row r="7300" spans="6:10" x14ac:dyDescent="0.25">
      <c r="F7300" s="76" t="s">
        <v>150</v>
      </c>
      <c r="G7300" s="77" t="s">
        <v>305</v>
      </c>
      <c r="H7300" s="77" t="s">
        <v>267</v>
      </c>
      <c r="I7300" s="86">
        <v>41855</v>
      </c>
      <c r="J7300" s="78">
        <v>1226</v>
      </c>
    </row>
    <row r="7301" spans="6:10" x14ac:dyDescent="0.25">
      <c r="F7301" s="76" t="s">
        <v>150</v>
      </c>
      <c r="G7301" s="77" t="s">
        <v>305</v>
      </c>
      <c r="H7301" s="77" t="s">
        <v>267</v>
      </c>
      <c r="I7301" s="86">
        <v>41864</v>
      </c>
      <c r="J7301" s="78">
        <v>994</v>
      </c>
    </row>
    <row r="7302" spans="6:10" x14ac:dyDescent="0.25">
      <c r="F7302" s="76" t="s">
        <v>150</v>
      </c>
      <c r="G7302" s="77" t="s">
        <v>305</v>
      </c>
      <c r="H7302" s="77" t="s">
        <v>267</v>
      </c>
      <c r="I7302" s="86">
        <v>41865</v>
      </c>
      <c r="J7302" s="78">
        <v>789</v>
      </c>
    </row>
    <row r="7303" spans="6:10" x14ac:dyDescent="0.25">
      <c r="F7303" s="76" t="s">
        <v>150</v>
      </c>
      <c r="G7303" s="77" t="s">
        <v>305</v>
      </c>
      <c r="H7303" s="77" t="s">
        <v>267</v>
      </c>
      <c r="I7303" s="86">
        <v>41867</v>
      </c>
      <c r="J7303" s="78">
        <v>1136</v>
      </c>
    </row>
    <row r="7304" spans="6:10" x14ac:dyDescent="0.25">
      <c r="F7304" s="76" t="s">
        <v>150</v>
      </c>
      <c r="G7304" s="77" t="s">
        <v>305</v>
      </c>
      <c r="H7304" s="77" t="s">
        <v>267</v>
      </c>
      <c r="I7304" s="86">
        <v>41869</v>
      </c>
      <c r="J7304" s="78">
        <v>1183</v>
      </c>
    </row>
    <row r="7305" spans="6:10" x14ac:dyDescent="0.25">
      <c r="F7305" s="76" t="s">
        <v>150</v>
      </c>
      <c r="G7305" s="77" t="s">
        <v>305</v>
      </c>
      <c r="H7305" s="77" t="s">
        <v>267</v>
      </c>
      <c r="I7305" s="86">
        <v>41871</v>
      </c>
      <c r="J7305" s="78">
        <v>1239</v>
      </c>
    </row>
    <row r="7306" spans="6:10" x14ac:dyDescent="0.25">
      <c r="F7306" s="76" t="s">
        <v>150</v>
      </c>
      <c r="G7306" s="77" t="s">
        <v>305</v>
      </c>
      <c r="H7306" s="77" t="s">
        <v>267</v>
      </c>
      <c r="I7306" s="86">
        <v>41873</v>
      </c>
      <c r="J7306" s="78">
        <v>1038</v>
      </c>
    </row>
    <row r="7307" spans="6:10" x14ac:dyDescent="0.25">
      <c r="F7307" s="76" t="s">
        <v>150</v>
      </c>
      <c r="G7307" s="77" t="s">
        <v>305</v>
      </c>
      <c r="H7307" s="77" t="s">
        <v>267</v>
      </c>
      <c r="I7307" s="86">
        <v>41876</v>
      </c>
      <c r="J7307" s="78">
        <v>555</v>
      </c>
    </row>
    <row r="7308" spans="6:10" x14ac:dyDescent="0.25">
      <c r="F7308" s="76" t="s">
        <v>150</v>
      </c>
      <c r="G7308" s="77" t="s">
        <v>305</v>
      </c>
      <c r="H7308" s="77" t="s">
        <v>267</v>
      </c>
      <c r="I7308" s="86">
        <v>41877</v>
      </c>
      <c r="J7308" s="78">
        <v>547</v>
      </c>
    </row>
    <row r="7309" spans="6:10" x14ac:dyDescent="0.25">
      <c r="F7309" s="76" t="s">
        <v>150</v>
      </c>
      <c r="G7309" s="77" t="s">
        <v>305</v>
      </c>
      <c r="H7309" s="77" t="s">
        <v>267</v>
      </c>
      <c r="I7309" s="86">
        <v>41878</v>
      </c>
      <c r="J7309" s="78">
        <v>605</v>
      </c>
    </row>
    <row r="7310" spans="6:10" x14ac:dyDescent="0.25">
      <c r="F7310" s="76" t="s">
        <v>150</v>
      </c>
      <c r="G7310" s="77" t="s">
        <v>305</v>
      </c>
      <c r="H7310" s="77" t="s">
        <v>267</v>
      </c>
      <c r="I7310" s="86">
        <v>41879</v>
      </c>
      <c r="J7310" s="78">
        <v>606</v>
      </c>
    </row>
    <row r="7311" spans="6:10" x14ac:dyDescent="0.25">
      <c r="F7311" s="76" t="s">
        <v>150</v>
      </c>
      <c r="G7311" s="77" t="s">
        <v>305</v>
      </c>
      <c r="H7311" s="77" t="s">
        <v>267</v>
      </c>
      <c r="I7311" s="86">
        <v>41880</v>
      </c>
      <c r="J7311" s="78">
        <v>587</v>
      </c>
    </row>
    <row r="7312" spans="6:10" x14ac:dyDescent="0.25">
      <c r="F7312" s="76" t="s">
        <v>150</v>
      </c>
      <c r="G7312" s="77" t="s">
        <v>305</v>
      </c>
      <c r="H7312" s="77" t="s">
        <v>267</v>
      </c>
      <c r="I7312" s="86">
        <v>41885</v>
      </c>
      <c r="J7312" s="78">
        <v>1130</v>
      </c>
    </row>
    <row r="7313" spans="6:10" x14ac:dyDescent="0.25">
      <c r="F7313" s="76" t="s">
        <v>150</v>
      </c>
      <c r="G7313" s="77" t="s">
        <v>305</v>
      </c>
      <c r="H7313" s="77" t="s">
        <v>267</v>
      </c>
      <c r="I7313" s="86">
        <v>41887</v>
      </c>
      <c r="J7313" s="78">
        <v>1141</v>
      </c>
    </row>
    <row r="7314" spans="6:10" x14ac:dyDescent="0.25">
      <c r="F7314" s="76" t="s">
        <v>150</v>
      </c>
      <c r="G7314" s="77" t="s">
        <v>305</v>
      </c>
      <c r="H7314" s="77" t="s">
        <v>267</v>
      </c>
      <c r="I7314" s="86">
        <v>41890</v>
      </c>
      <c r="J7314" s="78">
        <v>629</v>
      </c>
    </row>
    <row r="7315" spans="6:10" x14ac:dyDescent="0.25">
      <c r="F7315" s="76" t="s">
        <v>150</v>
      </c>
      <c r="G7315" s="77" t="s">
        <v>305</v>
      </c>
      <c r="H7315" s="77" t="s">
        <v>267</v>
      </c>
      <c r="I7315" s="86">
        <v>41892</v>
      </c>
      <c r="J7315" s="78">
        <v>1019</v>
      </c>
    </row>
    <row r="7316" spans="6:10" x14ac:dyDescent="0.25">
      <c r="F7316" s="76" t="s">
        <v>150</v>
      </c>
      <c r="G7316" s="77" t="s">
        <v>305</v>
      </c>
      <c r="H7316" s="77" t="s">
        <v>267</v>
      </c>
      <c r="I7316" s="86">
        <v>41893</v>
      </c>
      <c r="J7316" s="78">
        <v>584</v>
      </c>
    </row>
    <row r="7317" spans="6:10" x14ac:dyDescent="0.25">
      <c r="F7317" s="76" t="s">
        <v>150</v>
      </c>
      <c r="G7317" s="77" t="s">
        <v>305</v>
      </c>
      <c r="H7317" s="77" t="s">
        <v>267</v>
      </c>
      <c r="I7317" s="86">
        <v>41916</v>
      </c>
      <c r="J7317" s="78">
        <v>1090</v>
      </c>
    </row>
    <row r="7318" spans="6:10" x14ac:dyDescent="0.25">
      <c r="F7318" s="76" t="s">
        <v>150</v>
      </c>
      <c r="G7318" s="77" t="s">
        <v>305</v>
      </c>
      <c r="H7318" s="77" t="s">
        <v>267</v>
      </c>
      <c r="I7318" s="86">
        <v>41917</v>
      </c>
      <c r="J7318" s="78">
        <v>601</v>
      </c>
    </row>
    <row r="7319" spans="6:10" x14ac:dyDescent="0.25">
      <c r="F7319" s="76" t="s">
        <v>150</v>
      </c>
      <c r="G7319" s="77" t="s">
        <v>305</v>
      </c>
      <c r="H7319" s="77" t="s">
        <v>267</v>
      </c>
      <c r="I7319" s="86">
        <v>41924</v>
      </c>
      <c r="J7319" s="78">
        <v>1451</v>
      </c>
    </row>
    <row r="7320" spans="6:10" x14ac:dyDescent="0.25">
      <c r="F7320" s="76" t="s">
        <v>150</v>
      </c>
      <c r="G7320" s="77" t="s">
        <v>305</v>
      </c>
      <c r="H7320" s="77" t="s">
        <v>267</v>
      </c>
      <c r="I7320" s="86">
        <v>41933</v>
      </c>
      <c r="J7320" s="78">
        <v>767</v>
      </c>
    </row>
    <row r="7321" spans="6:10" x14ac:dyDescent="0.25">
      <c r="F7321" s="76" t="s">
        <v>150</v>
      </c>
      <c r="G7321" s="77" t="s">
        <v>305</v>
      </c>
      <c r="H7321" s="77" t="s">
        <v>267</v>
      </c>
      <c r="I7321" s="86">
        <v>41934</v>
      </c>
      <c r="J7321" s="78">
        <v>434</v>
      </c>
    </row>
    <row r="7322" spans="6:10" x14ac:dyDescent="0.25">
      <c r="F7322" s="76" t="s">
        <v>150</v>
      </c>
      <c r="G7322" s="77" t="s">
        <v>305</v>
      </c>
      <c r="H7322" s="77" t="s">
        <v>267</v>
      </c>
      <c r="I7322" s="86">
        <v>41935</v>
      </c>
      <c r="J7322" s="78">
        <v>517</v>
      </c>
    </row>
    <row r="7323" spans="6:10" x14ac:dyDescent="0.25">
      <c r="F7323" s="76" t="s">
        <v>150</v>
      </c>
      <c r="G7323" s="77" t="s">
        <v>305</v>
      </c>
      <c r="H7323" s="77" t="s">
        <v>267</v>
      </c>
      <c r="I7323" s="86">
        <v>41939</v>
      </c>
      <c r="J7323" s="78">
        <v>655</v>
      </c>
    </row>
    <row r="7324" spans="6:10" x14ac:dyDescent="0.25">
      <c r="F7324" s="76" t="s">
        <v>150</v>
      </c>
      <c r="G7324" s="77" t="s">
        <v>305</v>
      </c>
      <c r="H7324" s="77" t="s">
        <v>267</v>
      </c>
      <c r="I7324" s="86">
        <v>41941</v>
      </c>
      <c r="J7324" s="78">
        <v>906</v>
      </c>
    </row>
    <row r="7325" spans="6:10" x14ac:dyDescent="0.25">
      <c r="F7325" s="76" t="s">
        <v>150</v>
      </c>
      <c r="G7325" s="77" t="s">
        <v>305</v>
      </c>
      <c r="H7325" s="77" t="s">
        <v>267</v>
      </c>
      <c r="I7325" s="86">
        <v>41942</v>
      </c>
      <c r="J7325" s="78">
        <v>744</v>
      </c>
    </row>
    <row r="7326" spans="6:10" x14ac:dyDescent="0.25">
      <c r="F7326" s="76" t="s">
        <v>150</v>
      </c>
      <c r="G7326" s="77" t="s">
        <v>305</v>
      </c>
      <c r="H7326" s="77" t="s">
        <v>267</v>
      </c>
      <c r="I7326" s="86">
        <v>41942</v>
      </c>
      <c r="J7326" s="78">
        <v>594</v>
      </c>
    </row>
    <row r="7327" spans="6:10" x14ac:dyDescent="0.25">
      <c r="F7327" s="76" t="s">
        <v>150</v>
      </c>
      <c r="G7327" s="77" t="s">
        <v>305</v>
      </c>
      <c r="H7327" s="77" t="s">
        <v>267</v>
      </c>
      <c r="I7327" s="86">
        <v>41943</v>
      </c>
      <c r="J7327" s="78">
        <v>949</v>
      </c>
    </row>
    <row r="7328" spans="6:10" x14ac:dyDescent="0.25">
      <c r="F7328" s="76" t="s">
        <v>150</v>
      </c>
      <c r="G7328" s="77" t="s">
        <v>305</v>
      </c>
      <c r="H7328" s="77" t="s">
        <v>267</v>
      </c>
      <c r="I7328" s="86">
        <v>41944</v>
      </c>
      <c r="J7328" s="78">
        <v>691</v>
      </c>
    </row>
    <row r="7329" spans="6:10" x14ac:dyDescent="0.25">
      <c r="F7329" s="76" t="s">
        <v>150</v>
      </c>
      <c r="G7329" s="77" t="s">
        <v>305</v>
      </c>
      <c r="H7329" s="77" t="s">
        <v>267</v>
      </c>
      <c r="I7329" s="86">
        <v>41945</v>
      </c>
      <c r="J7329" s="78">
        <v>966</v>
      </c>
    </row>
    <row r="7330" spans="6:10" x14ac:dyDescent="0.25">
      <c r="F7330" s="76" t="s">
        <v>150</v>
      </c>
      <c r="G7330" s="77" t="s">
        <v>305</v>
      </c>
      <c r="H7330" s="77" t="s">
        <v>267</v>
      </c>
      <c r="I7330" s="86">
        <v>41946</v>
      </c>
      <c r="J7330" s="78">
        <v>731</v>
      </c>
    </row>
    <row r="7331" spans="6:10" x14ac:dyDescent="0.25">
      <c r="F7331" s="76" t="s">
        <v>150</v>
      </c>
      <c r="G7331" s="77" t="s">
        <v>305</v>
      </c>
      <c r="H7331" s="77" t="s">
        <v>267</v>
      </c>
      <c r="I7331" s="86">
        <v>41947</v>
      </c>
      <c r="J7331" s="78">
        <v>670</v>
      </c>
    </row>
    <row r="7332" spans="6:10" x14ac:dyDescent="0.25">
      <c r="F7332" s="76" t="s">
        <v>150</v>
      </c>
      <c r="G7332" s="77" t="s">
        <v>305</v>
      </c>
      <c r="H7332" s="77" t="s">
        <v>267</v>
      </c>
      <c r="I7332" s="86">
        <v>41948</v>
      </c>
      <c r="J7332" s="78">
        <v>930</v>
      </c>
    </row>
    <row r="7333" spans="6:10" x14ac:dyDescent="0.25">
      <c r="F7333" s="76" t="s">
        <v>150</v>
      </c>
      <c r="G7333" s="77" t="s">
        <v>305</v>
      </c>
      <c r="H7333" s="77" t="s">
        <v>267</v>
      </c>
      <c r="I7333" s="86">
        <v>41950</v>
      </c>
      <c r="J7333" s="78">
        <v>975</v>
      </c>
    </row>
    <row r="7334" spans="6:10" x14ac:dyDescent="0.25">
      <c r="F7334" s="76" t="s">
        <v>150</v>
      </c>
      <c r="G7334" s="77" t="s">
        <v>305</v>
      </c>
      <c r="H7334" s="77" t="s">
        <v>267</v>
      </c>
      <c r="I7334" s="86">
        <v>41951</v>
      </c>
      <c r="J7334" s="78">
        <v>656</v>
      </c>
    </row>
    <row r="7335" spans="6:10" x14ac:dyDescent="0.25">
      <c r="F7335" s="76" t="s">
        <v>150</v>
      </c>
      <c r="G7335" s="77" t="s">
        <v>305</v>
      </c>
      <c r="H7335" s="77" t="s">
        <v>267</v>
      </c>
      <c r="I7335" s="86">
        <v>41952</v>
      </c>
      <c r="J7335" s="78">
        <v>669</v>
      </c>
    </row>
    <row r="7336" spans="6:10" x14ac:dyDescent="0.25">
      <c r="F7336" s="76" t="s">
        <v>150</v>
      </c>
      <c r="G7336" s="77" t="s">
        <v>305</v>
      </c>
      <c r="H7336" s="77" t="s">
        <v>267</v>
      </c>
      <c r="I7336" s="86">
        <v>41953</v>
      </c>
      <c r="J7336" s="78">
        <v>766</v>
      </c>
    </row>
    <row r="7337" spans="6:10" x14ac:dyDescent="0.25">
      <c r="F7337" s="76" t="s">
        <v>150</v>
      </c>
      <c r="G7337" s="77" t="s">
        <v>305</v>
      </c>
      <c r="H7337" s="77" t="s">
        <v>267</v>
      </c>
      <c r="I7337" s="86">
        <v>41954</v>
      </c>
      <c r="J7337" s="78">
        <v>382</v>
      </c>
    </row>
    <row r="7338" spans="6:10" x14ac:dyDescent="0.25">
      <c r="F7338" s="76" t="s">
        <v>150</v>
      </c>
      <c r="G7338" s="77" t="s">
        <v>305</v>
      </c>
      <c r="H7338" s="77" t="s">
        <v>267</v>
      </c>
      <c r="I7338" s="86">
        <v>41954</v>
      </c>
      <c r="J7338" s="78">
        <v>489</v>
      </c>
    </row>
    <row r="7339" spans="6:10" x14ac:dyDescent="0.25">
      <c r="F7339" s="76" t="s">
        <v>150</v>
      </c>
      <c r="G7339" s="77" t="s">
        <v>305</v>
      </c>
      <c r="H7339" s="77" t="s">
        <v>267</v>
      </c>
      <c r="I7339" s="86">
        <v>41956</v>
      </c>
      <c r="J7339" s="78">
        <v>886</v>
      </c>
    </row>
    <row r="7340" spans="6:10" x14ac:dyDescent="0.25">
      <c r="F7340" s="76" t="s">
        <v>150</v>
      </c>
      <c r="G7340" s="77" t="s">
        <v>305</v>
      </c>
      <c r="H7340" s="77" t="s">
        <v>267</v>
      </c>
      <c r="I7340" s="86">
        <v>41957</v>
      </c>
      <c r="J7340" s="78">
        <v>1138</v>
      </c>
    </row>
    <row r="7341" spans="6:10" x14ac:dyDescent="0.25">
      <c r="F7341" s="76" t="s">
        <v>150</v>
      </c>
      <c r="G7341" s="77" t="s">
        <v>305</v>
      </c>
      <c r="H7341" s="77" t="s">
        <v>267</v>
      </c>
      <c r="I7341" s="86">
        <v>41957</v>
      </c>
      <c r="J7341" s="78">
        <v>718</v>
      </c>
    </row>
    <row r="7342" spans="6:10" x14ac:dyDescent="0.25">
      <c r="F7342" s="76" t="s">
        <v>150</v>
      </c>
      <c r="G7342" s="77" t="s">
        <v>305</v>
      </c>
      <c r="H7342" s="77" t="s">
        <v>267</v>
      </c>
      <c r="I7342" s="86">
        <v>41958</v>
      </c>
      <c r="J7342" s="78">
        <v>1216</v>
      </c>
    </row>
    <row r="7343" spans="6:10" x14ac:dyDescent="0.25">
      <c r="F7343" s="76" t="s">
        <v>150</v>
      </c>
      <c r="G7343" s="77" t="s">
        <v>305</v>
      </c>
      <c r="H7343" s="77" t="s">
        <v>267</v>
      </c>
      <c r="I7343" s="86">
        <v>41959</v>
      </c>
      <c r="J7343" s="78">
        <v>1198</v>
      </c>
    </row>
    <row r="7344" spans="6:10" x14ac:dyDescent="0.25">
      <c r="F7344" s="76" t="s">
        <v>150</v>
      </c>
      <c r="G7344" s="77" t="s">
        <v>305</v>
      </c>
      <c r="H7344" s="77" t="s">
        <v>267</v>
      </c>
      <c r="I7344" s="86">
        <v>41960</v>
      </c>
      <c r="J7344" s="78">
        <v>947</v>
      </c>
    </row>
    <row r="7345" spans="6:10" x14ac:dyDescent="0.25">
      <c r="F7345" s="76" t="s">
        <v>150</v>
      </c>
      <c r="G7345" s="77" t="s">
        <v>305</v>
      </c>
      <c r="H7345" s="77" t="s">
        <v>267</v>
      </c>
      <c r="I7345" s="86">
        <v>41962</v>
      </c>
      <c r="J7345" s="78">
        <v>1179</v>
      </c>
    </row>
    <row r="7346" spans="6:10" x14ac:dyDescent="0.25">
      <c r="F7346" s="76" t="s">
        <v>150</v>
      </c>
      <c r="G7346" s="77" t="s">
        <v>305</v>
      </c>
      <c r="H7346" s="77" t="s">
        <v>267</v>
      </c>
      <c r="I7346" s="86">
        <v>41962</v>
      </c>
      <c r="J7346" s="78">
        <v>1133</v>
      </c>
    </row>
    <row r="7347" spans="6:10" x14ac:dyDescent="0.25">
      <c r="F7347" s="76" t="s">
        <v>150</v>
      </c>
      <c r="G7347" s="77" t="s">
        <v>305</v>
      </c>
      <c r="H7347" s="77" t="s">
        <v>267</v>
      </c>
      <c r="I7347" s="86">
        <v>41963</v>
      </c>
      <c r="J7347" s="78">
        <v>926</v>
      </c>
    </row>
    <row r="7348" spans="6:10" x14ac:dyDescent="0.25">
      <c r="F7348" s="76" t="s">
        <v>150</v>
      </c>
      <c r="G7348" s="77" t="s">
        <v>305</v>
      </c>
      <c r="H7348" s="77" t="s">
        <v>267</v>
      </c>
      <c r="I7348" s="86">
        <v>41965</v>
      </c>
      <c r="J7348" s="78">
        <v>1113</v>
      </c>
    </row>
    <row r="7349" spans="6:10" x14ac:dyDescent="0.25">
      <c r="F7349" s="76" t="s">
        <v>150</v>
      </c>
      <c r="G7349" s="77" t="s">
        <v>305</v>
      </c>
      <c r="H7349" s="77" t="s">
        <v>267</v>
      </c>
      <c r="I7349" s="86">
        <v>41965</v>
      </c>
      <c r="J7349" s="78">
        <v>1094</v>
      </c>
    </row>
    <row r="7350" spans="6:10" x14ac:dyDescent="0.25">
      <c r="F7350" s="76" t="s">
        <v>150</v>
      </c>
      <c r="G7350" s="77" t="s">
        <v>305</v>
      </c>
      <c r="H7350" s="77" t="s">
        <v>267</v>
      </c>
      <c r="I7350" s="86">
        <v>41966</v>
      </c>
      <c r="J7350" s="78">
        <v>871</v>
      </c>
    </row>
    <row r="7351" spans="6:10" x14ac:dyDescent="0.25">
      <c r="F7351" s="76" t="s">
        <v>150</v>
      </c>
      <c r="G7351" s="77" t="s">
        <v>305</v>
      </c>
      <c r="H7351" s="77" t="s">
        <v>267</v>
      </c>
      <c r="I7351" s="86">
        <v>41967</v>
      </c>
      <c r="J7351" s="78">
        <v>1375</v>
      </c>
    </row>
    <row r="7352" spans="6:10" x14ac:dyDescent="0.25">
      <c r="F7352" s="76" t="s">
        <v>150</v>
      </c>
      <c r="G7352" s="77" t="s">
        <v>305</v>
      </c>
      <c r="H7352" s="77" t="s">
        <v>267</v>
      </c>
      <c r="I7352" s="86">
        <v>41967</v>
      </c>
      <c r="J7352" s="78">
        <v>408</v>
      </c>
    </row>
    <row r="7353" spans="6:10" x14ac:dyDescent="0.25">
      <c r="F7353" s="76" t="s">
        <v>150</v>
      </c>
      <c r="G7353" s="77" t="s">
        <v>305</v>
      </c>
      <c r="H7353" s="77" t="s">
        <v>267</v>
      </c>
      <c r="I7353" s="86">
        <v>41968</v>
      </c>
      <c r="J7353" s="78">
        <v>1277</v>
      </c>
    </row>
    <row r="7354" spans="6:10" x14ac:dyDescent="0.25">
      <c r="F7354" s="76" t="s">
        <v>150</v>
      </c>
      <c r="G7354" s="77" t="s">
        <v>305</v>
      </c>
      <c r="H7354" s="77" t="s">
        <v>267</v>
      </c>
      <c r="I7354" s="86">
        <v>41969</v>
      </c>
      <c r="J7354" s="78">
        <v>1014</v>
      </c>
    </row>
    <row r="7355" spans="6:10" x14ac:dyDescent="0.25">
      <c r="F7355" s="76" t="s">
        <v>150</v>
      </c>
      <c r="G7355" s="77" t="s">
        <v>305</v>
      </c>
      <c r="H7355" s="77" t="s">
        <v>267</v>
      </c>
      <c r="I7355" s="86">
        <v>41972</v>
      </c>
      <c r="J7355" s="78">
        <v>1294</v>
      </c>
    </row>
    <row r="7356" spans="6:10" x14ac:dyDescent="0.25">
      <c r="F7356" s="76" t="s">
        <v>150</v>
      </c>
      <c r="G7356" s="77" t="s">
        <v>305</v>
      </c>
      <c r="H7356" s="77" t="s">
        <v>267</v>
      </c>
      <c r="I7356" s="86">
        <v>41972</v>
      </c>
      <c r="J7356" s="78">
        <v>1161</v>
      </c>
    </row>
    <row r="7357" spans="6:10" x14ac:dyDescent="0.25">
      <c r="F7357" s="76" t="s">
        <v>150</v>
      </c>
      <c r="G7357" s="77" t="s">
        <v>305</v>
      </c>
      <c r="H7357" s="77" t="s">
        <v>267</v>
      </c>
      <c r="I7357" s="86">
        <v>41973</v>
      </c>
      <c r="J7357" s="78">
        <v>1167</v>
      </c>
    </row>
    <row r="7358" spans="6:10" x14ac:dyDescent="0.25">
      <c r="F7358" s="76" t="s">
        <v>150</v>
      </c>
      <c r="G7358" s="77" t="s">
        <v>305</v>
      </c>
      <c r="H7358" s="77" t="s">
        <v>267</v>
      </c>
      <c r="I7358" s="86">
        <v>41974</v>
      </c>
      <c r="J7358" s="78">
        <v>540</v>
      </c>
    </row>
    <row r="7359" spans="6:10" x14ac:dyDescent="0.25">
      <c r="F7359" s="76" t="s">
        <v>150</v>
      </c>
      <c r="G7359" s="77" t="s">
        <v>305</v>
      </c>
      <c r="H7359" s="77" t="s">
        <v>267</v>
      </c>
      <c r="I7359" s="86">
        <v>41975</v>
      </c>
      <c r="J7359" s="78">
        <v>1000</v>
      </c>
    </row>
    <row r="7360" spans="6:10" x14ac:dyDescent="0.25">
      <c r="F7360" s="76" t="s">
        <v>150</v>
      </c>
      <c r="G7360" s="77" t="s">
        <v>305</v>
      </c>
      <c r="H7360" s="77" t="s">
        <v>267</v>
      </c>
      <c r="I7360" s="86">
        <v>41976</v>
      </c>
      <c r="J7360" s="78">
        <v>739</v>
      </c>
    </row>
    <row r="7361" spans="6:10" x14ac:dyDescent="0.25">
      <c r="F7361" s="76" t="s">
        <v>150</v>
      </c>
      <c r="G7361" s="77" t="s">
        <v>305</v>
      </c>
      <c r="H7361" s="77" t="s">
        <v>267</v>
      </c>
      <c r="I7361" s="86">
        <v>41976</v>
      </c>
      <c r="J7361" s="78">
        <v>557</v>
      </c>
    </row>
    <row r="7362" spans="6:10" x14ac:dyDescent="0.25">
      <c r="F7362" s="76" t="s">
        <v>150</v>
      </c>
      <c r="G7362" s="77" t="s">
        <v>305</v>
      </c>
      <c r="H7362" s="77" t="s">
        <v>267</v>
      </c>
      <c r="I7362" s="86">
        <v>41977</v>
      </c>
      <c r="J7362" s="78">
        <v>965</v>
      </c>
    </row>
    <row r="7363" spans="6:10" x14ac:dyDescent="0.25">
      <c r="F7363" s="76" t="s">
        <v>150</v>
      </c>
      <c r="G7363" s="77" t="s">
        <v>305</v>
      </c>
      <c r="H7363" s="77" t="s">
        <v>267</v>
      </c>
      <c r="I7363" s="86">
        <v>41983</v>
      </c>
      <c r="J7363" s="78">
        <v>965</v>
      </c>
    </row>
    <row r="7364" spans="6:10" x14ac:dyDescent="0.25">
      <c r="F7364" s="76" t="s">
        <v>150</v>
      </c>
      <c r="G7364" s="77" t="s">
        <v>305</v>
      </c>
      <c r="H7364" s="77" t="s">
        <v>267</v>
      </c>
      <c r="I7364" s="86">
        <v>41985</v>
      </c>
      <c r="J7364" s="78">
        <v>979</v>
      </c>
    </row>
    <row r="7365" spans="6:10" x14ac:dyDescent="0.25">
      <c r="F7365" s="76" t="s">
        <v>150</v>
      </c>
      <c r="G7365" s="77" t="s">
        <v>305</v>
      </c>
      <c r="H7365" s="77" t="s">
        <v>267</v>
      </c>
      <c r="I7365" s="86">
        <v>41989</v>
      </c>
      <c r="J7365" s="78">
        <v>841</v>
      </c>
    </row>
    <row r="7366" spans="6:10" x14ac:dyDescent="0.25">
      <c r="F7366" s="76" t="s">
        <v>150</v>
      </c>
      <c r="G7366" s="77" t="s">
        <v>306</v>
      </c>
      <c r="H7366" s="77" t="s">
        <v>267</v>
      </c>
      <c r="I7366" s="86">
        <v>41637</v>
      </c>
      <c r="J7366" s="78">
        <v>859</v>
      </c>
    </row>
    <row r="7367" spans="6:10" x14ac:dyDescent="0.25">
      <c r="F7367" s="76" t="s">
        <v>150</v>
      </c>
      <c r="G7367" s="77" t="s">
        <v>306</v>
      </c>
      <c r="H7367" s="77" t="s">
        <v>267</v>
      </c>
      <c r="I7367" s="86">
        <v>41638</v>
      </c>
      <c r="J7367" s="78">
        <v>713</v>
      </c>
    </row>
    <row r="7368" spans="6:10" x14ac:dyDescent="0.25">
      <c r="F7368" s="76" t="s">
        <v>150</v>
      </c>
      <c r="G7368" s="77" t="s">
        <v>306</v>
      </c>
      <c r="H7368" s="77" t="s">
        <v>267</v>
      </c>
      <c r="I7368" s="86">
        <v>41639</v>
      </c>
      <c r="J7368" s="78">
        <v>986</v>
      </c>
    </row>
    <row r="7369" spans="6:10" x14ac:dyDescent="0.25">
      <c r="F7369" s="76" t="s">
        <v>150</v>
      </c>
      <c r="G7369" s="77" t="s">
        <v>306</v>
      </c>
      <c r="H7369" s="77" t="s">
        <v>267</v>
      </c>
      <c r="I7369" s="86">
        <v>41641</v>
      </c>
      <c r="J7369" s="78">
        <v>489</v>
      </c>
    </row>
    <row r="7370" spans="6:10" x14ac:dyDescent="0.25">
      <c r="F7370" s="76" t="s">
        <v>150</v>
      </c>
      <c r="G7370" s="77" t="s">
        <v>306</v>
      </c>
      <c r="H7370" s="77" t="s">
        <v>267</v>
      </c>
      <c r="I7370" s="86">
        <v>41645</v>
      </c>
      <c r="J7370" s="78">
        <v>1459</v>
      </c>
    </row>
    <row r="7371" spans="6:10" x14ac:dyDescent="0.25">
      <c r="F7371" s="76" t="s">
        <v>150</v>
      </c>
      <c r="G7371" s="77" t="s">
        <v>306</v>
      </c>
      <c r="H7371" s="77" t="s">
        <v>267</v>
      </c>
      <c r="I7371" s="86">
        <v>41647</v>
      </c>
      <c r="J7371" s="78">
        <v>1357</v>
      </c>
    </row>
    <row r="7372" spans="6:10" x14ac:dyDescent="0.25">
      <c r="F7372" s="76" t="s">
        <v>150</v>
      </c>
      <c r="G7372" s="77" t="s">
        <v>306</v>
      </c>
      <c r="H7372" s="77" t="s">
        <v>267</v>
      </c>
      <c r="I7372" s="86">
        <v>41650</v>
      </c>
      <c r="J7372" s="78">
        <v>782</v>
      </c>
    </row>
    <row r="7373" spans="6:10" x14ac:dyDescent="0.25">
      <c r="F7373" s="76" t="s">
        <v>150</v>
      </c>
      <c r="G7373" s="77" t="s">
        <v>306</v>
      </c>
      <c r="H7373" s="77" t="s">
        <v>267</v>
      </c>
      <c r="I7373" s="86">
        <v>41650</v>
      </c>
      <c r="J7373" s="78">
        <v>1123</v>
      </c>
    </row>
    <row r="7374" spans="6:10" x14ac:dyDescent="0.25">
      <c r="F7374" s="76" t="s">
        <v>150</v>
      </c>
      <c r="G7374" s="77" t="s">
        <v>306</v>
      </c>
      <c r="H7374" s="77" t="s">
        <v>267</v>
      </c>
      <c r="I7374" s="86">
        <v>41651</v>
      </c>
      <c r="J7374" s="78">
        <v>1045</v>
      </c>
    </row>
    <row r="7375" spans="6:10" x14ac:dyDescent="0.25">
      <c r="F7375" s="76" t="s">
        <v>150</v>
      </c>
      <c r="G7375" s="77" t="s">
        <v>306</v>
      </c>
      <c r="H7375" s="77" t="s">
        <v>267</v>
      </c>
      <c r="I7375" s="86">
        <v>41653</v>
      </c>
      <c r="J7375" s="78">
        <v>1340</v>
      </c>
    </row>
    <row r="7376" spans="6:10" x14ac:dyDescent="0.25">
      <c r="F7376" s="76" t="s">
        <v>150</v>
      </c>
      <c r="G7376" s="77" t="s">
        <v>306</v>
      </c>
      <c r="H7376" s="77" t="s">
        <v>267</v>
      </c>
      <c r="I7376" s="86">
        <v>41656</v>
      </c>
      <c r="J7376" s="78">
        <v>1092</v>
      </c>
    </row>
    <row r="7377" spans="6:10" x14ac:dyDescent="0.25">
      <c r="F7377" s="76" t="s">
        <v>150</v>
      </c>
      <c r="G7377" s="77" t="s">
        <v>306</v>
      </c>
      <c r="H7377" s="77" t="s">
        <v>267</v>
      </c>
      <c r="I7377" s="86">
        <v>41660</v>
      </c>
      <c r="J7377" s="78">
        <v>766</v>
      </c>
    </row>
    <row r="7378" spans="6:10" x14ac:dyDescent="0.25">
      <c r="F7378" s="76" t="s">
        <v>150</v>
      </c>
      <c r="G7378" s="77" t="s">
        <v>306</v>
      </c>
      <c r="H7378" s="77" t="s">
        <v>267</v>
      </c>
      <c r="I7378" s="86">
        <v>41661</v>
      </c>
      <c r="J7378" s="78">
        <v>1259</v>
      </c>
    </row>
    <row r="7379" spans="6:10" x14ac:dyDescent="0.25">
      <c r="F7379" s="76" t="s">
        <v>150</v>
      </c>
      <c r="G7379" s="77" t="s">
        <v>306</v>
      </c>
      <c r="H7379" s="77" t="s">
        <v>267</v>
      </c>
      <c r="I7379" s="86">
        <v>41677</v>
      </c>
      <c r="J7379" s="78">
        <v>821</v>
      </c>
    </row>
    <row r="7380" spans="6:10" x14ac:dyDescent="0.25">
      <c r="F7380" s="76" t="s">
        <v>150</v>
      </c>
      <c r="G7380" s="77" t="s">
        <v>306</v>
      </c>
      <c r="H7380" s="77" t="s">
        <v>267</v>
      </c>
      <c r="I7380" s="86">
        <v>41678</v>
      </c>
      <c r="J7380" s="78">
        <v>931</v>
      </c>
    </row>
    <row r="7381" spans="6:10" x14ac:dyDescent="0.25">
      <c r="F7381" s="76" t="s">
        <v>150</v>
      </c>
      <c r="G7381" s="77" t="s">
        <v>306</v>
      </c>
      <c r="H7381" s="77" t="s">
        <v>267</v>
      </c>
      <c r="I7381" s="86">
        <v>41678</v>
      </c>
      <c r="J7381" s="78">
        <v>512</v>
      </c>
    </row>
    <row r="7382" spans="6:10" x14ac:dyDescent="0.25">
      <c r="F7382" s="76" t="s">
        <v>150</v>
      </c>
      <c r="G7382" s="77" t="s">
        <v>306</v>
      </c>
      <c r="H7382" s="77" t="s">
        <v>267</v>
      </c>
      <c r="I7382" s="86">
        <v>41679</v>
      </c>
      <c r="J7382" s="78">
        <v>1004</v>
      </c>
    </row>
    <row r="7383" spans="6:10" x14ac:dyDescent="0.25">
      <c r="F7383" s="76" t="s">
        <v>150</v>
      </c>
      <c r="G7383" s="77" t="s">
        <v>306</v>
      </c>
      <c r="H7383" s="77" t="s">
        <v>267</v>
      </c>
      <c r="I7383" s="86">
        <v>41680</v>
      </c>
      <c r="J7383" s="78">
        <v>1239</v>
      </c>
    </row>
    <row r="7384" spans="6:10" x14ac:dyDescent="0.25">
      <c r="F7384" s="76" t="s">
        <v>150</v>
      </c>
      <c r="G7384" s="77" t="s">
        <v>306</v>
      </c>
      <c r="H7384" s="77" t="s">
        <v>267</v>
      </c>
      <c r="I7384" s="86">
        <v>41681</v>
      </c>
      <c r="J7384" s="78">
        <v>214</v>
      </c>
    </row>
    <row r="7385" spans="6:10" x14ac:dyDescent="0.25">
      <c r="F7385" s="76" t="s">
        <v>150</v>
      </c>
      <c r="G7385" s="77" t="s">
        <v>306</v>
      </c>
      <c r="H7385" s="77" t="s">
        <v>267</v>
      </c>
      <c r="I7385" s="86">
        <v>41683</v>
      </c>
      <c r="J7385" s="78">
        <v>1153</v>
      </c>
    </row>
    <row r="7386" spans="6:10" x14ac:dyDescent="0.25">
      <c r="F7386" s="76" t="s">
        <v>150</v>
      </c>
      <c r="G7386" s="77" t="s">
        <v>306</v>
      </c>
      <c r="H7386" s="77" t="s">
        <v>267</v>
      </c>
      <c r="I7386" s="86">
        <v>41684</v>
      </c>
      <c r="J7386" s="78">
        <v>554</v>
      </c>
    </row>
    <row r="7387" spans="6:10" x14ac:dyDescent="0.25">
      <c r="F7387" s="76" t="s">
        <v>150</v>
      </c>
      <c r="G7387" s="77" t="s">
        <v>306</v>
      </c>
      <c r="H7387" s="77" t="s">
        <v>267</v>
      </c>
      <c r="I7387" s="86">
        <v>41684</v>
      </c>
      <c r="J7387" s="78">
        <v>553</v>
      </c>
    </row>
    <row r="7388" spans="6:10" x14ac:dyDescent="0.25">
      <c r="F7388" s="76" t="s">
        <v>150</v>
      </c>
      <c r="G7388" s="77" t="s">
        <v>306</v>
      </c>
      <c r="H7388" s="77" t="s">
        <v>267</v>
      </c>
      <c r="I7388" s="86">
        <v>41687</v>
      </c>
      <c r="J7388" s="78">
        <v>398</v>
      </c>
    </row>
    <row r="7389" spans="6:10" x14ac:dyDescent="0.25">
      <c r="F7389" s="76" t="s">
        <v>150</v>
      </c>
      <c r="G7389" s="77" t="s">
        <v>306</v>
      </c>
      <c r="H7389" s="77" t="s">
        <v>267</v>
      </c>
      <c r="I7389" s="86">
        <v>41688</v>
      </c>
      <c r="J7389" s="78">
        <v>673</v>
      </c>
    </row>
    <row r="7390" spans="6:10" x14ac:dyDescent="0.25">
      <c r="F7390" s="76" t="s">
        <v>150</v>
      </c>
      <c r="G7390" s="77" t="s">
        <v>306</v>
      </c>
      <c r="H7390" s="77" t="s">
        <v>267</v>
      </c>
      <c r="I7390" s="86">
        <v>41690</v>
      </c>
      <c r="J7390" s="78">
        <v>885</v>
      </c>
    </row>
    <row r="7391" spans="6:10" x14ac:dyDescent="0.25">
      <c r="F7391" s="76" t="s">
        <v>150</v>
      </c>
      <c r="G7391" s="77" t="s">
        <v>306</v>
      </c>
      <c r="H7391" s="77" t="s">
        <v>267</v>
      </c>
      <c r="I7391" s="86">
        <v>41696</v>
      </c>
      <c r="J7391" s="78">
        <v>876</v>
      </c>
    </row>
    <row r="7392" spans="6:10" x14ac:dyDescent="0.25">
      <c r="F7392" s="76" t="s">
        <v>150</v>
      </c>
      <c r="G7392" s="77" t="s">
        <v>306</v>
      </c>
      <c r="H7392" s="77" t="s">
        <v>267</v>
      </c>
      <c r="I7392" s="86">
        <v>41696</v>
      </c>
      <c r="J7392" s="78">
        <v>776</v>
      </c>
    </row>
    <row r="7393" spans="6:10" x14ac:dyDescent="0.25">
      <c r="F7393" s="76" t="s">
        <v>150</v>
      </c>
      <c r="G7393" s="77" t="s">
        <v>306</v>
      </c>
      <c r="H7393" s="77" t="s">
        <v>267</v>
      </c>
      <c r="I7393" s="86">
        <v>41697</v>
      </c>
      <c r="J7393" s="78">
        <v>988</v>
      </c>
    </row>
    <row r="7394" spans="6:10" x14ac:dyDescent="0.25">
      <c r="F7394" s="76" t="s">
        <v>150</v>
      </c>
      <c r="G7394" s="77" t="s">
        <v>306</v>
      </c>
      <c r="H7394" s="77" t="s">
        <v>267</v>
      </c>
      <c r="I7394" s="86">
        <v>41781</v>
      </c>
      <c r="J7394" s="78">
        <v>725</v>
      </c>
    </row>
    <row r="7395" spans="6:10" x14ac:dyDescent="0.25">
      <c r="F7395" s="76" t="s">
        <v>150</v>
      </c>
      <c r="G7395" s="77" t="s">
        <v>306</v>
      </c>
      <c r="H7395" s="77" t="s">
        <v>267</v>
      </c>
      <c r="I7395" s="86">
        <v>41782</v>
      </c>
      <c r="J7395" s="78">
        <v>575</v>
      </c>
    </row>
    <row r="7396" spans="6:10" x14ac:dyDescent="0.25">
      <c r="F7396" s="76" t="s">
        <v>150</v>
      </c>
      <c r="G7396" s="77" t="s">
        <v>306</v>
      </c>
      <c r="H7396" s="77" t="s">
        <v>267</v>
      </c>
      <c r="I7396" s="86">
        <v>41783</v>
      </c>
      <c r="J7396" s="78">
        <v>735</v>
      </c>
    </row>
    <row r="7397" spans="6:10" x14ac:dyDescent="0.25">
      <c r="F7397" s="76" t="s">
        <v>150</v>
      </c>
      <c r="G7397" s="77" t="s">
        <v>306</v>
      </c>
      <c r="H7397" s="77" t="s">
        <v>267</v>
      </c>
      <c r="I7397" s="86">
        <v>41783</v>
      </c>
      <c r="J7397" s="78">
        <v>683</v>
      </c>
    </row>
    <row r="7398" spans="6:10" x14ac:dyDescent="0.25">
      <c r="F7398" s="76" t="s">
        <v>150</v>
      </c>
      <c r="G7398" s="77" t="s">
        <v>306</v>
      </c>
      <c r="H7398" s="77" t="s">
        <v>267</v>
      </c>
      <c r="I7398" s="86">
        <v>41787</v>
      </c>
      <c r="J7398" s="78">
        <v>1091</v>
      </c>
    </row>
    <row r="7399" spans="6:10" x14ac:dyDescent="0.25">
      <c r="F7399" s="76" t="s">
        <v>150</v>
      </c>
      <c r="G7399" s="77" t="s">
        <v>306</v>
      </c>
      <c r="H7399" s="77" t="s">
        <v>267</v>
      </c>
      <c r="I7399" s="86">
        <v>41788</v>
      </c>
      <c r="J7399" s="78">
        <v>558</v>
      </c>
    </row>
    <row r="7400" spans="6:10" x14ac:dyDescent="0.25">
      <c r="F7400" s="76" t="s">
        <v>150</v>
      </c>
      <c r="G7400" s="77" t="s">
        <v>306</v>
      </c>
      <c r="H7400" s="77" t="s">
        <v>267</v>
      </c>
      <c r="I7400" s="86">
        <v>41788</v>
      </c>
      <c r="J7400" s="78">
        <v>703</v>
      </c>
    </row>
    <row r="7401" spans="6:10" x14ac:dyDescent="0.25">
      <c r="F7401" s="76" t="s">
        <v>150</v>
      </c>
      <c r="G7401" s="77" t="s">
        <v>306</v>
      </c>
      <c r="H7401" s="77" t="s">
        <v>267</v>
      </c>
      <c r="I7401" s="86">
        <v>41789</v>
      </c>
      <c r="J7401" s="78">
        <v>987</v>
      </c>
    </row>
    <row r="7402" spans="6:10" x14ac:dyDescent="0.25">
      <c r="F7402" s="76" t="s">
        <v>150</v>
      </c>
      <c r="G7402" s="77" t="s">
        <v>306</v>
      </c>
      <c r="H7402" s="77" t="s">
        <v>267</v>
      </c>
      <c r="I7402" s="86">
        <v>41794</v>
      </c>
      <c r="J7402" s="78">
        <v>715</v>
      </c>
    </row>
    <row r="7403" spans="6:10" x14ac:dyDescent="0.25">
      <c r="F7403" s="76" t="s">
        <v>150</v>
      </c>
      <c r="G7403" s="77" t="s">
        <v>306</v>
      </c>
      <c r="H7403" s="77" t="s">
        <v>267</v>
      </c>
      <c r="I7403" s="86">
        <v>41796</v>
      </c>
      <c r="J7403" s="78">
        <v>772</v>
      </c>
    </row>
    <row r="7404" spans="6:10" x14ac:dyDescent="0.25">
      <c r="F7404" s="76" t="s">
        <v>150</v>
      </c>
      <c r="G7404" s="77" t="s">
        <v>306</v>
      </c>
      <c r="H7404" s="77" t="s">
        <v>267</v>
      </c>
      <c r="I7404" s="86">
        <v>41801</v>
      </c>
      <c r="J7404" s="78">
        <v>1071</v>
      </c>
    </row>
    <row r="7405" spans="6:10" x14ac:dyDescent="0.25">
      <c r="F7405" s="76" t="s">
        <v>150</v>
      </c>
      <c r="G7405" s="77" t="s">
        <v>306</v>
      </c>
      <c r="H7405" s="77" t="s">
        <v>267</v>
      </c>
      <c r="I7405" s="86">
        <v>41803</v>
      </c>
      <c r="J7405" s="78">
        <v>737</v>
      </c>
    </row>
    <row r="7406" spans="6:10" x14ac:dyDescent="0.25">
      <c r="F7406" s="76" t="s">
        <v>150</v>
      </c>
      <c r="G7406" s="77" t="s">
        <v>306</v>
      </c>
      <c r="H7406" s="77" t="s">
        <v>267</v>
      </c>
      <c r="I7406" s="86">
        <v>41807</v>
      </c>
      <c r="J7406" s="78">
        <v>725</v>
      </c>
    </row>
    <row r="7407" spans="6:10" x14ac:dyDescent="0.25">
      <c r="F7407" s="76" t="s">
        <v>150</v>
      </c>
      <c r="G7407" s="77" t="s">
        <v>306</v>
      </c>
      <c r="H7407" s="77" t="s">
        <v>267</v>
      </c>
      <c r="I7407" s="86">
        <v>41809</v>
      </c>
      <c r="J7407" s="78">
        <v>774</v>
      </c>
    </row>
    <row r="7408" spans="6:10" x14ac:dyDescent="0.25">
      <c r="F7408" s="76" t="s">
        <v>150</v>
      </c>
      <c r="G7408" s="77" t="s">
        <v>306</v>
      </c>
      <c r="H7408" s="77" t="s">
        <v>267</v>
      </c>
      <c r="I7408" s="86">
        <v>41813</v>
      </c>
      <c r="J7408" s="78">
        <v>703</v>
      </c>
    </row>
    <row r="7409" spans="6:10" x14ac:dyDescent="0.25">
      <c r="F7409" s="76" t="s">
        <v>150</v>
      </c>
      <c r="G7409" s="77" t="s">
        <v>306</v>
      </c>
      <c r="H7409" s="77" t="s">
        <v>267</v>
      </c>
      <c r="I7409" s="86">
        <v>41815</v>
      </c>
      <c r="J7409" s="78">
        <v>843</v>
      </c>
    </row>
    <row r="7410" spans="6:10" x14ac:dyDescent="0.25">
      <c r="F7410" s="76" t="s">
        <v>150</v>
      </c>
      <c r="G7410" s="77" t="s">
        <v>306</v>
      </c>
      <c r="H7410" s="77" t="s">
        <v>267</v>
      </c>
      <c r="I7410" s="86">
        <v>41896</v>
      </c>
      <c r="J7410" s="78">
        <v>1342</v>
      </c>
    </row>
    <row r="7411" spans="6:10" x14ac:dyDescent="0.25">
      <c r="F7411" s="76" t="s">
        <v>150</v>
      </c>
      <c r="G7411" s="77" t="s">
        <v>306</v>
      </c>
      <c r="H7411" s="77" t="s">
        <v>267</v>
      </c>
      <c r="I7411" s="86">
        <v>41899</v>
      </c>
      <c r="J7411" s="78">
        <v>1031</v>
      </c>
    </row>
    <row r="7412" spans="6:10" x14ac:dyDescent="0.25">
      <c r="F7412" s="76" t="s">
        <v>150</v>
      </c>
      <c r="G7412" s="77" t="s">
        <v>306</v>
      </c>
      <c r="H7412" s="77" t="s">
        <v>267</v>
      </c>
      <c r="I7412" s="86">
        <v>41901</v>
      </c>
      <c r="J7412" s="78">
        <v>503</v>
      </c>
    </row>
    <row r="7413" spans="6:10" x14ac:dyDescent="0.25">
      <c r="F7413" s="76" t="s">
        <v>150</v>
      </c>
      <c r="G7413" s="77" t="s">
        <v>306</v>
      </c>
      <c r="H7413" s="77" t="s">
        <v>267</v>
      </c>
      <c r="I7413" s="86">
        <v>41901</v>
      </c>
      <c r="J7413" s="78">
        <v>1284</v>
      </c>
    </row>
    <row r="7414" spans="6:10" x14ac:dyDescent="0.25">
      <c r="F7414" s="76" t="s">
        <v>150</v>
      </c>
      <c r="G7414" s="77" t="s">
        <v>306</v>
      </c>
      <c r="H7414" s="77" t="s">
        <v>267</v>
      </c>
      <c r="I7414" s="86">
        <v>41909</v>
      </c>
      <c r="J7414" s="78">
        <v>1272</v>
      </c>
    </row>
    <row r="7415" spans="6:10" x14ac:dyDescent="0.25">
      <c r="F7415" s="76" t="s">
        <v>150</v>
      </c>
      <c r="G7415" s="77" t="s">
        <v>306</v>
      </c>
      <c r="H7415" s="77" t="s">
        <v>267</v>
      </c>
      <c r="I7415" s="86">
        <v>41927</v>
      </c>
      <c r="J7415" s="78">
        <v>1138</v>
      </c>
    </row>
    <row r="7416" spans="6:10" x14ac:dyDescent="0.25">
      <c r="F7416" s="76" t="s">
        <v>150</v>
      </c>
      <c r="G7416" s="77" t="s">
        <v>306</v>
      </c>
      <c r="H7416" s="77" t="s">
        <v>267</v>
      </c>
      <c r="I7416" s="86">
        <v>41929</v>
      </c>
      <c r="J7416" s="78">
        <v>964</v>
      </c>
    </row>
    <row r="7417" spans="6:10" x14ac:dyDescent="0.25">
      <c r="F7417" s="76" t="s">
        <v>150</v>
      </c>
      <c r="G7417" s="77" t="s">
        <v>306</v>
      </c>
      <c r="H7417" s="77" t="s">
        <v>267</v>
      </c>
      <c r="I7417" s="86">
        <v>41933</v>
      </c>
      <c r="J7417" s="78">
        <v>1030</v>
      </c>
    </row>
    <row r="7418" spans="6:10" x14ac:dyDescent="0.25">
      <c r="F7418" s="76" t="s">
        <v>150</v>
      </c>
      <c r="G7418" s="77" t="s">
        <v>306</v>
      </c>
      <c r="H7418" s="77" t="s">
        <v>267</v>
      </c>
      <c r="I7418" s="86">
        <v>41938</v>
      </c>
      <c r="J7418" s="78">
        <v>949</v>
      </c>
    </row>
    <row r="7419" spans="6:10" x14ac:dyDescent="0.25">
      <c r="F7419" s="76" t="s">
        <v>150</v>
      </c>
      <c r="G7419" s="77" t="s">
        <v>306</v>
      </c>
      <c r="H7419" s="77" t="s">
        <v>267</v>
      </c>
      <c r="I7419" s="86">
        <v>41938</v>
      </c>
      <c r="J7419" s="78">
        <v>402</v>
      </c>
    </row>
    <row r="7420" spans="6:10" x14ac:dyDescent="0.25">
      <c r="F7420" s="76" t="s">
        <v>150</v>
      </c>
      <c r="G7420" s="77" t="s">
        <v>306</v>
      </c>
      <c r="H7420" s="77" t="s">
        <v>267</v>
      </c>
      <c r="I7420" s="86">
        <v>41975</v>
      </c>
      <c r="J7420" s="78">
        <v>1020</v>
      </c>
    </row>
    <row r="7421" spans="6:10" x14ac:dyDescent="0.25">
      <c r="F7421" s="76" t="s">
        <v>150</v>
      </c>
      <c r="G7421" s="77" t="s">
        <v>306</v>
      </c>
      <c r="H7421" s="77" t="s">
        <v>267</v>
      </c>
      <c r="I7421" s="86">
        <v>41976</v>
      </c>
      <c r="J7421" s="78">
        <v>399</v>
      </c>
    </row>
    <row r="7422" spans="6:10" x14ac:dyDescent="0.25">
      <c r="F7422" s="76" t="s">
        <v>150</v>
      </c>
      <c r="G7422" s="77" t="s">
        <v>306</v>
      </c>
      <c r="H7422" s="77" t="s">
        <v>267</v>
      </c>
      <c r="I7422" s="86">
        <v>41977</v>
      </c>
      <c r="J7422" s="78">
        <v>606</v>
      </c>
    </row>
    <row r="7423" spans="6:10" x14ac:dyDescent="0.25">
      <c r="F7423" s="76" t="s">
        <v>150</v>
      </c>
      <c r="G7423" s="77" t="s">
        <v>307</v>
      </c>
      <c r="H7423" s="77" t="s">
        <v>267</v>
      </c>
      <c r="I7423" s="86">
        <v>41635</v>
      </c>
      <c r="J7423" s="78">
        <v>1046</v>
      </c>
    </row>
    <row r="7424" spans="6:10" x14ac:dyDescent="0.25">
      <c r="F7424" s="76" t="s">
        <v>150</v>
      </c>
      <c r="G7424" s="77" t="s">
        <v>307</v>
      </c>
      <c r="H7424" s="77" t="s">
        <v>267</v>
      </c>
      <c r="I7424" s="86">
        <v>41638</v>
      </c>
      <c r="J7424" s="78">
        <v>613</v>
      </c>
    </row>
    <row r="7425" spans="6:10" x14ac:dyDescent="0.25">
      <c r="F7425" s="76" t="s">
        <v>150</v>
      </c>
      <c r="G7425" s="77" t="s">
        <v>307</v>
      </c>
      <c r="H7425" s="77" t="s">
        <v>267</v>
      </c>
      <c r="I7425" s="86">
        <v>41639</v>
      </c>
      <c r="J7425" s="78">
        <v>624</v>
      </c>
    </row>
    <row r="7426" spans="6:10" x14ac:dyDescent="0.25">
      <c r="F7426" s="76" t="s">
        <v>150</v>
      </c>
      <c r="G7426" s="77" t="s">
        <v>307</v>
      </c>
      <c r="H7426" s="77" t="s">
        <v>267</v>
      </c>
      <c r="I7426" s="86">
        <v>41646</v>
      </c>
      <c r="J7426" s="78">
        <v>1023</v>
      </c>
    </row>
    <row r="7427" spans="6:10" x14ac:dyDescent="0.25">
      <c r="F7427" s="76" t="s">
        <v>150</v>
      </c>
      <c r="G7427" s="77" t="s">
        <v>307</v>
      </c>
      <c r="H7427" s="77" t="s">
        <v>267</v>
      </c>
      <c r="I7427" s="86">
        <v>41647</v>
      </c>
      <c r="J7427" s="78">
        <v>1180</v>
      </c>
    </row>
    <row r="7428" spans="6:10" x14ac:dyDescent="0.25">
      <c r="F7428" s="76" t="s">
        <v>150</v>
      </c>
      <c r="G7428" s="77" t="s">
        <v>307</v>
      </c>
      <c r="H7428" s="77" t="s">
        <v>267</v>
      </c>
      <c r="I7428" s="86">
        <v>41647</v>
      </c>
      <c r="J7428" s="78">
        <v>848</v>
      </c>
    </row>
    <row r="7429" spans="6:10" x14ac:dyDescent="0.25">
      <c r="F7429" s="76" t="s">
        <v>150</v>
      </c>
      <c r="G7429" s="77" t="s">
        <v>307</v>
      </c>
      <c r="H7429" s="77" t="s">
        <v>267</v>
      </c>
      <c r="I7429" s="86">
        <v>41649</v>
      </c>
      <c r="J7429" s="78">
        <v>1324</v>
      </c>
    </row>
    <row r="7430" spans="6:10" x14ac:dyDescent="0.25">
      <c r="F7430" s="76" t="s">
        <v>150</v>
      </c>
      <c r="G7430" s="77" t="s">
        <v>307</v>
      </c>
      <c r="H7430" s="77" t="s">
        <v>267</v>
      </c>
      <c r="I7430" s="86">
        <v>41650</v>
      </c>
      <c r="J7430" s="78">
        <v>1107</v>
      </c>
    </row>
    <row r="7431" spans="6:10" x14ac:dyDescent="0.25">
      <c r="F7431" s="76" t="s">
        <v>150</v>
      </c>
      <c r="G7431" s="77" t="s">
        <v>307</v>
      </c>
      <c r="H7431" s="77" t="s">
        <v>267</v>
      </c>
      <c r="I7431" s="86">
        <v>41650</v>
      </c>
      <c r="J7431" s="78">
        <v>839</v>
      </c>
    </row>
    <row r="7432" spans="6:10" x14ac:dyDescent="0.25">
      <c r="F7432" s="76" t="s">
        <v>150</v>
      </c>
      <c r="G7432" s="77" t="s">
        <v>307</v>
      </c>
      <c r="H7432" s="77" t="s">
        <v>267</v>
      </c>
      <c r="I7432" s="86">
        <v>41651</v>
      </c>
      <c r="J7432" s="78">
        <v>1182</v>
      </c>
    </row>
    <row r="7433" spans="6:10" x14ac:dyDescent="0.25">
      <c r="F7433" s="76" t="s">
        <v>150</v>
      </c>
      <c r="G7433" s="77" t="s">
        <v>307</v>
      </c>
      <c r="H7433" s="77" t="s">
        <v>267</v>
      </c>
      <c r="I7433" s="86">
        <v>41652</v>
      </c>
      <c r="J7433" s="78">
        <v>1109</v>
      </c>
    </row>
    <row r="7434" spans="6:10" x14ac:dyDescent="0.25">
      <c r="F7434" s="76" t="s">
        <v>150</v>
      </c>
      <c r="G7434" s="77" t="s">
        <v>307</v>
      </c>
      <c r="H7434" s="77" t="s">
        <v>267</v>
      </c>
      <c r="I7434" s="86">
        <v>41674</v>
      </c>
      <c r="J7434" s="78">
        <v>841</v>
      </c>
    </row>
    <row r="7435" spans="6:10" x14ac:dyDescent="0.25">
      <c r="F7435" s="76" t="s">
        <v>150</v>
      </c>
      <c r="G7435" s="77" t="s">
        <v>307</v>
      </c>
      <c r="H7435" s="77" t="s">
        <v>267</v>
      </c>
      <c r="I7435" s="86">
        <v>41674</v>
      </c>
      <c r="J7435" s="78">
        <v>481</v>
      </c>
    </row>
    <row r="7436" spans="6:10" x14ac:dyDescent="0.25">
      <c r="F7436" s="76" t="s">
        <v>150</v>
      </c>
      <c r="G7436" s="77" t="s">
        <v>307</v>
      </c>
      <c r="H7436" s="77" t="s">
        <v>267</v>
      </c>
      <c r="I7436" s="86">
        <v>41675</v>
      </c>
      <c r="J7436" s="78">
        <v>595</v>
      </c>
    </row>
    <row r="7437" spans="6:10" x14ac:dyDescent="0.25">
      <c r="F7437" s="76" t="s">
        <v>150</v>
      </c>
      <c r="G7437" s="77" t="s">
        <v>307</v>
      </c>
      <c r="H7437" s="77" t="s">
        <v>267</v>
      </c>
      <c r="I7437" s="86">
        <v>41676</v>
      </c>
      <c r="J7437" s="78">
        <v>753</v>
      </c>
    </row>
    <row r="7438" spans="6:10" x14ac:dyDescent="0.25">
      <c r="F7438" s="76" t="s">
        <v>150</v>
      </c>
      <c r="G7438" s="77" t="s">
        <v>307</v>
      </c>
      <c r="H7438" s="77" t="s">
        <v>267</v>
      </c>
      <c r="I7438" s="86">
        <v>41677</v>
      </c>
      <c r="J7438" s="78">
        <v>693</v>
      </c>
    </row>
    <row r="7439" spans="6:10" x14ac:dyDescent="0.25">
      <c r="F7439" s="76" t="s">
        <v>150</v>
      </c>
      <c r="G7439" s="77" t="s">
        <v>307</v>
      </c>
      <c r="H7439" s="77" t="s">
        <v>267</v>
      </c>
      <c r="I7439" s="86">
        <v>41678</v>
      </c>
      <c r="J7439" s="78">
        <v>684</v>
      </c>
    </row>
    <row r="7440" spans="6:10" x14ac:dyDescent="0.25">
      <c r="F7440" s="76" t="s">
        <v>150</v>
      </c>
      <c r="G7440" s="77" t="s">
        <v>307</v>
      </c>
      <c r="H7440" s="77" t="s">
        <v>267</v>
      </c>
      <c r="I7440" s="86">
        <v>41679</v>
      </c>
      <c r="J7440" s="78">
        <v>747</v>
      </c>
    </row>
    <row r="7441" spans="6:10" x14ac:dyDescent="0.25">
      <c r="F7441" s="76" t="s">
        <v>150</v>
      </c>
      <c r="G7441" s="77" t="s">
        <v>307</v>
      </c>
      <c r="H7441" s="77" t="s">
        <v>267</v>
      </c>
      <c r="I7441" s="86">
        <v>41680</v>
      </c>
      <c r="J7441" s="78">
        <v>688</v>
      </c>
    </row>
    <row r="7442" spans="6:10" x14ac:dyDescent="0.25">
      <c r="F7442" s="76" t="s">
        <v>150</v>
      </c>
      <c r="G7442" s="77" t="s">
        <v>307</v>
      </c>
      <c r="H7442" s="77" t="s">
        <v>267</v>
      </c>
      <c r="I7442" s="86">
        <v>41681</v>
      </c>
      <c r="J7442" s="78">
        <v>721</v>
      </c>
    </row>
    <row r="7443" spans="6:10" x14ac:dyDescent="0.25">
      <c r="F7443" s="76" t="s">
        <v>150</v>
      </c>
      <c r="G7443" s="77" t="s">
        <v>307</v>
      </c>
      <c r="H7443" s="77" t="s">
        <v>267</v>
      </c>
      <c r="I7443" s="86">
        <v>41682</v>
      </c>
      <c r="J7443" s="78">
        <v>835</v>
      </c>
    </row>
    <row r="7444" spans="6:10" x14ac:dyDescent="0.25">
      <c r="F7444" s="76" t="s">
        <v>150</v>
      </c>
      <c r="G7444" s="77" t="s">
        <v>307</v>
      </c>
      <c r="H7444" s="77" t="s">
        <v>267</v>
      </c>
      <c r="I7444" s="86">
        <v>41683</v>
      </c>
      <c r="J7444" s="78">
        <v>752</v>
      </c>
    </row>
    <row r="7445" spans="6:10" x14ac:dyDescent="0.25">
      <c r="F7445" s="76" t="s">
        <v>150</v>
      </c>
      <c r="G7445" s="77" t="s">
        <v>307</v>
      </c>
      <c r="H7445" s="77" t="s">
        <v>267</v>
      </c>
      <c r="I7445" s="86">
        <v>41685</v>
      </c>
      <c r="J7445" s="78">
        <v>545</v>
      </c>
    </row>
    <row r="7446" spans="6:10" x14ac:dyDescent="0.25">
      <c r="F7446" s="76" t="s">
        <v>150</v>
      </c>
      <c r="G7446" s="77" t="s">
        <v>307</v>
      </c>
      <c r="H7446" s="77" t="s">
        <v>267</v>
      </c>
      <c r="I7446" s="86">
        <v>41685</v>
      </c>
      <c r="J7446" s="78">
        <v>799</v>
      </c>
    </row>
    <row r="7447" spans="6:10" x14ac:dyDescent="0.25">
      <c r="F7447" s="76" t="s">
        <v>150</v>
      </c>
      <c r="G7447" s="77" t="s">
        <v>307</v>
      </c>
      <c r="H7447" s="77" t="s">
        <v>267</v>
      </c>
      <c r="I7447" s="86">
        <v>41686</v>
      </c>
      <c r="J7447" s="78">
        <v>507</v>
      </c>
    </row>
    <row r="7448" spans="6:10" x14ac:dyDescent="0.25">
      <c r="F7448" s="76" t="s">
        <v>150</v>
      </c>
      <c r="G7448" s="77" t="s">
        <v>307</v>
      </c>
      <c r="H7448" s="77" t="s">
        <v>267</v>
      </c>
      <c r="I7448" s="86">
        <v>41687</v>
      </c>
      <c r="J7448" s="78">
        <v>526</v>
      </c>
    </row>
    <row r="7449" spans="6:10" x14ac:dyDescent="0.25">
      <c r="F7449" s="76" t="s">
        <v>150</v>
      </c>
      <c r="G7449" s="77" t="s">
        <v>307</v>
      </c>
      <c r="H7449" s="77" t="s">
        <v>267</v>
      </c>
      <c r="I7449" s="86">
        <v>41688</v>
      </c>
      <c r="J7449" s="78">
        <v>810</v>
      </c>
    </row>
    <row r="7450" spans="6:10" x14ac:dyDescent="0.25">
      <c r="F7450" s="76" t="s">
        <v>150</v>
      </c>
      <c r="G7450" s="77" t="s">
        <v>307</v>
      </c>
      <c r="H7450" s="77" t="s">
        <v>267</v>
      </c>
      <c r="I7450" s="86">
        <v>41689</v>
      </c>
      <c r="J7450" s="78">
        <v>574</v>
      </c>
    </row>
    <row r="7451" spans="6:10" x14ac:dyDescent="0.25">
      <c r="F7451" s="76" t="s">
        <v>150</v>
      </c>
      <c r="G7451" s="77" t="s">
        <v>307</v>
      </c>
      <c r="H7451" s="77" t="s">
        <v>267</v>
      </c>
      <c r="I7451" s="86">
        <v>41690</v>
      </c>
      <c r="J7451" s="78">
        <v>712</v>
      </c>
    </row>
    <row r="7452" spans="6:10" x14ac:dyDescent="0.25">
      <c r="F7452" s="76" t="s">
        <v>150</v>
      </c>
      <c r="G7452" s="77" t="s">
        <v>307</v>
      </c>
      <c r="H7452" s="77" t="s">
        <v>267</v>
      </c>
      <c r="I7452" s="86">
        <v>41691</v>
      </c>
      <c r="J7452" s="78">
        <v>635</v>
      </c>
    </row>
    <row r="7453" spans="6:10" x14ac:dyDescent="0.25">
      <c r="F7453" s="76" t="s">
        <v>150</v>
      </c>
      <c r="G7453" s="77" t="s">
        <v>307</v>
      </c>
      <c r="H7453" s="77" t="s">
        <v>267</v>
      </c>
      <c r="I7453" s="86">
        <v>41692</v>
      </c>
      <c r="J7453" s="78">
        <v>740</v>
      </c>
    </row>
    <row r="7454" spans="6:10" x14ac:dyDescent="0.25">
      <c r="F7454" s="76" t="s">
        <v>150</v>
      </c>
      <c r="G7454" s="77" t="s">
        <v>307</v>
      </c>
      <c r="H7454" s="77" t="s">
        <v>267</v>
      </c>
      <c r="I7454" s="86">
        <v>41693</v>
      </c>
      <c r="J7454" s="78">
        <v>780</v>
      </c>
    </row>
    <row r="7455" spans="6:10" x14ac:dyDescent="0.25">
      <c r="F7455" s="76" t="s">
        <v>150</v>
      </c>
      <c r="G7455" s="77" t="s">
        <v>307</v>
      </c>
      <c r="H7455" s="77" t="s">
        <v>267</v>
      </c>
      <c r="I7455" s="86">
        <v>41694</v>
      </c>
      <c r="J7455" s="78">
        <v>468</v>
      </c>
    </row>
    <row r="7456" spans="6:10" x14ac:dyDescent="0.25">
      <c r="F7456" s="76" t="s">
        <v>150</v>
      </c>
      <c r="G7456" s="77" t="s">
        <v>307</v>
      </c>
      <c r="H7456" s="77" t="s">
        <v>267</v>
      </c>
      <c r="I7456" s="86">
        <v>41695</v>
      </c>
      <c r="J7456" s="78">
        <v>720</v>
      </c>
    </row>
    <row r="7457" spans="6:10" x14ac:dyDescent="0.25">
      <c r="F7457" s="76" t="s">
        <v>150</v>
      </c>
      <c r="G7457" s="77" t="s">
        <v>307</v>
      </c>
      <c r="H7457" s="77" t="s">
        <v>267</v>
      </c>
      <c r="I7457" s="86">
        <v>41696</v>
      </c>
      <c r="J7457" s="78">
        <v>692</v>
      </c>
    </row>
    <row r="7458" spans="6:10" x14ac:dyDescent="0.25">
      <c r="F7458" s="76" t="s">
        <v>150</v>
      </c>
      <c r="G7458" s="77" t="s">
        <v>307</v>
      </c>
      <c r="H7458" s="77" t="s">
        <v>267</v>
      </c>
      <c r="I7458" s="86">
        <v>41697</v>
      </c>
      <c r="J7458" s="78">
        <v>707</v>
      </c>
    </row>
    <row r="7459" spans="6:10" x14ac:dyDescent="0.25">
      <c r="F7459" s="76" t="s">
        <v>150</v>
      </c>
      <c r="G7459" s="77" t="s">
        <v>307</v>
      </c>
      <c r="H7459" s="77" t="s">
        <v>267</v>
      </c>
      <c r="I7459" s="86">
        <v>41722</v>
      </c>
      <c r="J7459" s="78">
        <v>98</v>
      </c>
    </row>
    <row r="7460" spans="6:10" x14ac:dyDescent="0.25">
      <c r="F7460" s="76" t="s">
        <v>150</v>
      </c>
      <c r="G7460" s="77" t="s">
        <v>307</v>
      </c>
      <c r="H7460" s="77" t="s">
        <v>267</v>
      </c>
      <c r="I7460" s="86">
        <v>41725</v>
      </c>
      <c r="J7460" s="78">
        <v>599</v>
      </c>
    </row>
    <row r="7461" spans="6:10" x14ac:dyDescent="0.25">
      <c r="F7461" s="76" t="s">
        <v>150</v>
      </c>
      <c r="G7461" s="77" t="s">
        <v>307</v>
      </c>
      <c r="H7461" s="77" t="s">
        <v>267</v>
      </c>
      <c r="I7461" s="86">
        <v>41726</v>
      </c>
      <c r="J7461" s="78">
        <v>904</v>
      </c>
    </row>
    <row r="7462" spans="6:10" x14ac:dyDescent="0.25">
      <c r="F7462" s="76" t="s">
        <v>150</v>
      </c>
      <c r="G7462" s="77" t="s">
        <v>307</v>
      </c>
      <c r="H7462" s="77" t="s">
        <v>267</v>
      </c>
      <c r="I7462" s="86">
        <v>41729</v>
      </c>
      <c r="J7462" s="78">
        <v>766</v>
      </c>
    </row>
    <row r="7463" spans="6:10" x14ac:dyDescent="0.25">
      <c r="F7463" s="76" t="s">
        <v>150</v>
      </c>
      <c r="G7463" s="77" t="s">
        <v>307</v>
      </c>
      <c r="H7463" s="77" t="s">
        <v>267</v>
      </c>
      <c r="I7463" s="86">
        <v>41730</v>
      </c>
      <c r="J7463" s="78">
        <v>810</v>
      </c>
    </row>
    <row r="7464" spans="6:10" x14ac:dyDescent="0.25">
      <c r="F7464" s="76" t="s">
        <v>150</v>
      </c>
      <c r="G7464" s="77" t="s">
        <v>307</v>
      </c>
      <c r="H7464" s="77" t="s">
        <v>267</v>
      </c>
      <c r="I7464" s="86">
        <v>41731</v>
      </c>
      <c r="J7464" s="78">
        <v>1395</v>
      </c>
    </row>
    <row r="7465" spans="6:10" x14ac:dyDescent="0.25">
      <c r="F7465" s="76" t="s">
        <v>150</v>
      </c>
      <c r="G7465" s="77" t="s">
        <v>307</v>
      </c>
      <c r="H7465" s="77" t="s">
        <v>267</v>
      </c>
      <c r="I7465" s="86">
        <v>41734</v>
      </c>
      <c r="J7465" s="78">
        <v>1104</v>
      </c>
    </row>
    <row r="7466" spans="6:10" x14ac:dyDescent="0.25">
      <c r="F7466" s="76" t="s">
        <v>150</v>
      </c>
      <c r="G7466" s="77" t="s">
        <v>307</v>
      </c>
      <c r="H7466" s="77" t="s">
        <v>267</v>
      </c>
      <c r="I7466" s="86">
        <v>41735</v>
      </c>
      <c r="J7466" s="78">
        <v>610</v>
      </c>
    </row>
    <row r="7467" spans="6:10" x14ac:dyDescent="0.25">
      <c r="F7467" s="76" t="s">
        <v>150</v>
      </c>
      <c r="G7467" s="77" t="s">
        <v>307</v>
      </c>
      <c r="H7467" s="77" t="s">
        <v>267</v>
      </c>
      <c r="I7467" s="86">
        <v>41736</v>
      </c>
      <c r="J7467" s="78">
        <v>554</v>
      </c>
    </row>
    <row r="7468" spans="6:10" x14ac:dyDescent="0.25">
      <c r="F7468" s="76" t="s">
        <v>150</v>
      </c>
      <c r="G7468" s="77" t="s">
        <v>307</v>
      </c>
      <c r="H7468" s="77" t="s">
        <v>267</v>
      </c>
      <c r="I7468" s="86">
        <v>41737</v>
      </c>
      <c r="J7468" s="78">
        <v>507</v>
      </c>
    </row>
    <row r="7469" spans="6:10" x14ac:dyDescent="0.25">
      <c r="F7469" s="76" t="s">
        <v>150</v>
      </c>
      <c r="G7469" s="77" t="s">
        <v>307</v>
      </c>
      <c r="H7469" s="77" t="s">
        <v>267</v>
      </c>
      <c r="I7469" s="86">
        <v>41738</v>
      </c>
      <c r="J7469" s="78">
        <v>468</v>
      </c>
    </row>
    <row r="7470" spans="6:10" x14ac:dyDescent="0.25">
      <c r="F7470" s="76" t="s">
        <v>150</v>
      </c>
      <c r="G7470" s="77" t="s">
        <v>307</v>
      </c>
      <c r="H7470" s="77" t="s">
        <v>267</v>
      </c>
      <c r="I7470" s="86">
        <v>41780</v>
      </c>
      <c r="J7470" s="78">
        <v>417</v>
      </c>
    </row>
    <row r="7471" spans="6:10" x14ac:dyDescent="0.25">
      <c r="F7471" s="76" t="s">
        <v>150</v>
      </c>
      <c r="G7471" s="77" t="s">
        <v>307</v>
      </c>
      <c r="H7471" s="77" t="s">
        <v>267</v>
      </c>
      <c r="I7471" s="86">
        <v>41789</v>
      </c>
      <c r="J7471" s="78">
        <v>881</v>
      </c>
    </row>
    <row r="7472" spans="6:10" x14ac:dyDescent="0.25">
      <c r="F7472" s="76" t="s">
        <v>150</v>
      </c>
      <c r="G7472" s="77" t="s">
        <v>307</v>
      </c>
      <c r="H7472" s="77" t="s">
        <v>267</v>
      </c>
      <c r="I7472" s="86">
        <v>41790</v>
      </c>
      <c r="J7472" s="78">
        <v>783</v>
      </c>
    </row>
    <row r="7473" spans="6:10" x14ac:dyDescent="0.25">
      <c r="F7473" s="76" t="s">
        <v>150</v>
      </c>
      <c r="G7473" s="77" t="s">
        <v>307</v>
      </c>
      <c r="H7473" s="77" t="s">
        <v>267</v>
      </c>
      <c r="I7473" s="86">
        <v>41791</v>
      </c>
      <c r="J7473" s="78">
        <v>1110</v>
      </c>
    </row>
    <row r="7474" spans="6:10" x14ac:dyDescent="0.25">
      <c r="F7474" s="76" t="s">
        <v>150</v>
      </c>
      <c r="G7474" s="77" t="s">
        <v>307</v>
      </c>
      <c r="H7474" s="77" t="s">
        <v>267</v>
      </c>
      <c r="I7474" s="86">
        <v>41793</v>
      </c>
      <c r="J7474" s="78">
        <v>1378</v>
      </c>
    </row>
    <row r="7475" spans="6:10" x14ac:dyDescent="0.25">
      <c r="F7475" s="76" t="s">
        <v>150</v>
      </c>
      <c r="G7475" s="77" t="s">
        <v>307</v>
      </c>
      <c r="H7475" s="77" t="s">
        <v>267</v>
      </c>
      <c r="I7475" s="86">
        <v>41794</v>
      </c>
      <c r="J7475" s="78">
        <v>689</v>
      </c>
    </row>
    <row r="7476" spans="6:10" x14ac:dyDescent="0.25">
      <c r="F7476" s="76" t="s">
        <v>150</v>
      </c>
      <c r="G7476" s="77" t="s">
        <v>307</v>
      </c>
      <c r="H7476" s="77" t="s">
        <v>267</v>
      </c>
      <c r="I7476" s="86">
        <v>41794</v>
      </c>
      <c r="J7476" s="78">
        <v>618</v>
      </c>
    </row>
    <row r="7477" spans="6:10" x14ac:dyDescent="0.25">
      <c r="F7477" s="76" t="s">
        <v>150</v>
      </c>
      <c r="G7477" s="77" t="s">
        <v>307</v>
      </c>
      <c r="H7477" s="77" t="s">
        <v>267</v>
      </c>
      <c r="I7477" s="86">
        <v>41795</v>
      </c>
      <c r="J7477" s="78">
        <v>990</v>
      </c>
    </row>
    <row r="7478" spans="6:10" x14ac:dyDescent="0.25">
      <c r="F7478" s="76" t="s">
        <v>150</v>
      </c>
      <c r="G7478" s="77" t="s">
        <v>307</v>
      </c>
      <c r="H7478" s="77" t="s">
        <v>267</v>
      </c>
      <c r="I7478" s="86">
        <v>41796</v>
      </c>
      <c r="J7478" s="78">
        <v>599</v>
      </c>
    </row>
    <row r="7479" spans="6:10" x14ac:dyDescent="0.25">
      <c r="F7479" s="76" t="s">
        <v>150</v>
      </c>
      <c r="G7479" s="77" t="s">
        <v>307</v>
      </c>
      <c r="H7479" s="77" t="s">
        <v>267</v>
      </c>
      <c r="I7479" s="86">
        <v>41797</v>
      </c>
      <c r="J7479" s="78">
        <v>824</v>
      </c>
    </row>
    <row r="7480" spans="6:10" x14ac:dyDescent="0.25">
      <c r="F7480" s="76" t="s">
        <v>150</v>
      </c>
      <c r="G7480" s="77" t="s">
        <v>307</v>
      </c>
      <c r="H7480" s="77" t="s">
        <v>267</v>
      </c>
      <c r="I7480" s="86">
        <v>41799</v>
      </c>
      <c r="J7480" s="78">
        <v>1221</v>
      </c>
    </row>
    <row r="7481" spans="6:10" x14ac:dyDescent="0.25">
      <c r="F7481" s="76" t="s">
        <v>150</v>
      </c>
      <c r="G7481" s="77" t="s">
        <v>307</v>
      </c>
      <c r="H7481" s="77" t="s">
        <v>267</v>
      </c>
      <c r="I7481" s="86">
        <v>41800</v>
      </c>
      <c r="J7481" s="78">
        <v>937</v>
      </c>
    </row>
    <row r="7482" spans="6:10" x14ac:dyDescent="0.25">
      <c r="F7482" s="76" t="s">
        <v>150</v>
      </c>
      <c r="G7482" s="77" t="s">
        <v>307</v>
      </c>
      <c r="H7482" s="77" t="s">
        <v>267</v>
      </c>
      <c r="I7482" s="86">
        <v>41802</v>
      </c>
      <c r="J7482" s="78">
        <v>936</v>
      </c>
    </row>
    <row r="7483" spans="6:10" x14ac:dyDescent="0.25">
      <c r="F7483" s="76" t="s">
        <v>150</v>
      </c>
      <c r="G7483" s="77" t="s">
        <v>307</v>
      </c>
      <c r="H7483" s="77" t="s">
        <v>267</v>
      </c>
      <c r="I7483" s="86">
        <v>41806</v>
      </c>
      <c r="J7483" s="78">
        <v>766</v>
      </c>
    </row>
    <row r="7484" spans="6:10" x14ac:dyDescent="0.25">
      <c r="F7484" s="76" t="s">
        <v>150</v>
      </c>
      <c r="G7484" s="77" t="s">
        <v>307</v>
      </c>
      <c r="H7484" s="77" t="s">
        <v>267</v>
      </c>
      <c r="I7484" s="86">
        <v>41808</v>
      </c>
      <c r="J7484" s="78">
        <v>1068</v>
      </c>
    </row>
    <row r="7485" spans="6:10" x14ac:dyDescent="0.25">
      <c r="F7485" s="76" t="s">
        <v>150</v>
      </c>
      <c r="G7485" s="77" t="s">
        <v>307</v>
      </c>
      <c r="H7485" s="77" t="s">
        <v>267</v>
      </c>
      <c r="I7485" s="86">
        <v>41809</v>
      </c>
      <c r="J7485" s="78">
        <v>612</v>
      </c>
    </row>
    <row r="7486" spans="6:10" x14ac:dyDescent="0.25">
      <c r="F7486" s="76" t="s">
        <v>150</v>
      </c>
      <c r="G7486" s="77" t="s">
        <v>307</v>
      </c>
      <c r="H7486" s="77" t="s">
        <v>267</v>
      </c>
      <c r="I7486" s="86">
        <v>41810</v>
      </c>
      <c r="J7486" s="78">
        <v>729</v>
      </c>
    </row>
    <row r="7487" spans="6:10" x14ac:dyDescent="0.25">
      <c r="F7487" s="76" t="s">
        <v>150</v>
      </c>
      <c r="G7487" s="77" t="s">
        <v>307</v>
      </c>
      <c r="H7487" s="77" t="s">
        <v>267</v>
      </c>
      <c r="I7487" s="86">
        <v>41813</v>
      </c>
      <c r="J7487" s="78">
        <v>776</v>
      </c>
    </row>
    <row r="7488" spans="6:10" x14ac:dyDescent="0.25">
      <c r="F7488" s="76" t="s">
        <v>150</v>
      </c>
      <c r="G7488" s="77" t="s">
        <v>307</v>
      </c>
      <c r="H7488" s="77" t="s">
        <v>267</v>
      </c>
      <c r="I7488" s="86">
        <v>41815</v>
      </c>
      <c r="J7488" s="78">
        <v>1031</v>
      </c>
    </row>
    <row r="7489" spans="6:10" x14ac:dyDescent="0.25">
      <c r="F7489" s="76" t="s">
        <v>150</v>
      </c>
      <c r="G7489" s="77" t="s">
        <v>307</v>
      </c>
      <c r="H7489" s="77" t="s">
        <v>267</v>
      </c>
      <c r="I7489" s="86">
        <v>41817</v>
      </c>
      <c r="J7489" s="78">
        <v>1319</v>
      </c>
    </row>
    <row r="7490" spans="6:10" x14ac:dyDescent="0.25">
      <c r="F7490" s="76" t="s">
        <v>150</v>
      </c>
      <c r="G7490" s="77" t="s">
        <v>307</v>
      </c>
      <c r="H7490" s="77" t="s">
        <v>267</v>
      </c>
      <c r="I7490" s="86">
        <v>41820</v>
      </c>
      <c r="J7490" s="78">
        <v>706</v>
      </c>
    </row>
    <row r="7491" spans="6:10" x14ac:dyDescent="0.25">
      <c r="F7491" s="76" t="s">
        <v>150</v>
      </c>
      <c r="G7491" s="77" t="s">
        <v>307</v>
      </c>
      <c r="H7491" s="77" t="s">
        <v>267</v>
      </c>
      <c r="I7491" s="86">
        <v>41821</v>
      </c>
      <c r="J7491" s="78">
        <v>712</v>
      </c>
    </row>
    <row r="7492" spans="6:10" x14ac:dyDescent="0.25">
      <c r="F7492" s="76" t="s">
        <v>150</v>
      </c>
      <c r="G7492" s="77" t="s">
        <v>307</v>
      </c>
      <c r="H7492" s="77" t="s">
        <v>267</v>
      </c>
      <c r="I7492" s="86">
        <v>41822</v>
      </c>
      <c r="J7492" s="78">
        <v>669</v>
      </c>
    </row>
    <row r="7493" spans="6:10" x14ac:dyDescent="0.25">
      <c r="F7493" s="76" t="s">
        <v>150</v>
      </c>
      <c r="G7493" s="77" t="s">
        <v>307</v>
      </c>
      <c r="H7493" s="77" t="s">
        <v>267</v>
      </c>
      <c r="I7493" s="86">
        <v>41823</v>
      </c>
      <c r="J7493" s="78">
        <v>671</v>
      </c>
    </row>
    <row r="7494" spans="6:10" x14ac:dyDescent="0.25">
      <c r="F7494" s="76" t="s">
        <v>150</v>
      </c>
      <c r="G7494" s="77" t="s">
        <v>307</v>
      </c>
      <c r="H7494" s="77" t="s">
        <v>267</v>
      </c>
      <c r="I7494" s="86">
        <v>41823</v>
      </c>
      <c r="J7494" s="78">
        <v>819</v>
      </c>
    </row>
    <row r="7495" spans="6:10" x14ac:dyDescent="0.25">
      <c r="F7495" s="76" t="s">
        <v>150</v>
      </c>
      <c r="G7495" s="77" t="s">
        <v>307</v>
      </c>
      <c r="H7495" s="77" t="s">
        <v>267</v>
      </c>
      <c r="I7495" s="86">
        <v>41824</v>
      </c>
      <c r="J7495" s="78">
        <v>910</v>
      </c>
    </row>
    <row r="7496" spans="6:10" x14ac:dyDescent="0.25">
      <c r="F7496" s="76" t="s">
        <v>150</v>
      </c>
      <c r="G7496" s="77" t="s">
        <v>307</v>
      </c>
      <c r="H7496" s="77" t="s">
        <v>267</v>
      </c>
      <c r="I7496" s="86">
        <v>41825</v>
      </c>
      <c r="J7496" s="78">
        <v>1189</v>
      </c>
    </row>
    <row r="7497" spans="6:10" x14ac:dyDescent="0.25">
      <c r="F7497" s="76" t="s">
        <v>150</v>
      </c>
      <c r="G7497" s="77" t="s">
        <v>307</v>
      </c>
      <c r="H7497" s="77" t="s">
        <v>267</v>
      </c>
      <c r="I7497" s="86">
        <v>41825</v>
      </c>
      <c r="J7497" s="78">
        <v>584</v>
      </c>
    </row>
    <row r="7498" spans="6:10" x14ac:dyDescent="0.25">
      <c r="F7498" s="76" t="s">
        <v>150</v>
      </c>
      <c r="G7498" s="77" t="s">
        <v>307</v>
      </c>
      <c r="H7498" s="77" t="s">
        <v>267</v>
      </c>
      <c r="I7498" s="86">
        <v>41826</v>
      </c>
      <c r="J7498" s="78">
        <v>692</v>
      </c>
    </row>
    <row r="7499" spans="6:10" x14ac:dyDescent="0.25">
      <c r="F7499" s="76" t="s">
        <v>150</v>
      </c>
      <c r="G7499" s="77" t="s">
        <v>307</v>
      </c>
      <c r="H7499" s="77" t="s">
        <v>267</v>
      </c>
      <c r="I7499" s="86">
        <v>41826</v>
      </c>
      <c r="J7499" s="78">
        <v>514</v>
      </c>
    </row>
    <row r="7500" spans="6:10" x14ac:dyDescent="0.25">
      <c r="F7500" s="76" t="s">
        <v>150</v>
      </c>
      <c r="G7500" s="77" t="s">
        <v>307</v>
      </c>
      <c r="H7500" s="77" t="s">
        <v>267</v>
      </c>
      <c r="I7500" s="86">
        <v>41827</v>
      </c>
      <c r="J7500" s="78">
        <v>848</v>
      </c>
    </row>
    <row r="7501" spans="6:10" x14ac:dyDescent="0.25">
      <c r="F7501" s="76" t="s">
        <v>150</v>
      </c>
      <c r="G7501" s="77" t="s">
        <v>307</v>
      </c>
      <c r="H7501" s="77" t="s">
        <v>267</v>
      </c>
      <c r="I7501" s="86">
        <v>41828</v>
      </c>
      <c r="J7501" s="78">
        <v>1084</v>
      </c>
    </row>
    <row r="7502" spans="6:10" x14ac:dyDescent="0.25">
      <c r="F7502" s="76" t="s">
        <v>150</v>
      </c>
      <c r="G7502" s="77" t="s">
        <v>307</v>
      </c>
      <c r="H7502" s="77" t="s">
        <v>267</v>
      </c>
      <c r="I7502" s="86">
        <v>41829</v>
      </c>
      <c r="J7502" s="78">
        <v>662</v>
      </c>
    </row>
    <row r="7503" spans="6:10" x14ac:dyDescent="0.25">
      <c r="F7503" s="76" t="s">
        <v>150</v>
      </c>
      <c r="G7503" s="77" t="s">
        <v>307</v>
      </c>
      <c r="H7503" s="77" t="s">
        <v>267</v>
      </c>
      <c r="I7503" s="86">
        <v>41829</v>
      </c>
      <c r="J7503" s="78">
        <v>792</v>
      </c>
    </row>
    <row r="7504" spans="6:10" x14ac:dyDescent="0.25">
      <c r="F7504" s="76" t="s">
        <v>150</v>
      </c>
      <c r="G7504" s="77" t="s">
        <v>307</v>
      </c>
      <c r="H7504" s="77" t="s">
        <v>267</v>
      </c>
      <c r="I7504" s="86">
        <v>41830</v>
      </c>
      <c r="J7504" s="78">
        <v>1028</v>
      </c>
    </row>
    <row r="7505" spans="6:10" x14ac:dyDescent="0.25">
      <c r="F7505" s="76" t="s">
        <v>150</v>
      </c>
      <c r="G7505" s="77" t="s">
        <v>307</v>
      </c>
      <c r="H7505" s="77" t="s">
        <v>267</v>
      </c>
      <c r="I7505" s="86">
        <v>41838</v>
      </c>
      <c r="J7505" s="78">
        <v>665</v>
      </c>
    </row>
    <row r="7506" spans="6:10" x14ac:dyDescent="0.25">
      <c r="F7506" s="76" t="s">
        <v>150</v>
      </c>
      <c r="G7506" s="77" t="s">
        <v>307</v>
      </c>
      <c r="H7506" s="77" t="s">
        <v>267</v>
      </c>
      <c r="I7506" s="86">
        <v>41841</v>
      </c>
      <c r="J7506" s="78">
        <v>1362</v>
      </c>
    </row>
    <row r="7507" spans="6:10" x14ac:dyDescent="0.25">
      <c r="F7507" s="76" t="s">
        <v>150</v>
      </c>
      <c r="G7507" s="77" t="s">
        <v>307</v>
      </c>
      <c r="H7507" s="77" t="s">
        <v>267</v>
      </c>
      <c r="I7507" s="86">
        <v>41842</v>
      </c>
      <c r="J7507" s="78">
        <v>828</v>
      </c>
    </row>
    <row r="7508" spans="6:10" x14ac:dyDescent="0.25">
      <c r="F7508" s="76" t="s">
        <v>150</v>
      </c>
      <c r="G7508" s="77" t="s">
        <v>307</v>
      </c>
      <c r="H7508" s="77" t="s">
        <v>267</v>
      </c>
      <c r="I7508" s="86">
        <v>41843</v>
      </c>
      <c r="J7508" s="78">
        <v>1463</v>
      </c>
    </row>
    <row r="7509" spans="6:10" x14ac:dyDescent="0.25">
      <c r="F7509" s="76" t="s">
        <v>150</v>
      </c>
      <c r="G7509" s="77" t="s">
        <v>307</v>
      </c>
      <c r="H7509" s="77" t="s">
        <v>267</v>
      </c>
      <c r="I7509" s="86">
        <v>41844</v>
      </c>
      <c r="J7509" s="78">
        <v>561</v>
      </c>
    </row>
    <row r="7510" spans="6:10" x14ac:dyDescent="0.25">
      <c r="F7510" s="76" t="s">
        <v>150</v>
      </c>
      <c r="G7510" s="77" t="s">
        <v>307</v>
      </c>
      <c r="H7510" s="77" t="s">
        <v>267</v>
      </c>
      <c r="I7510" s="86">
        <v>41845</v>
      </c>
      <c r="J7510" s="78">
        <v>1171</v>
      </c>
    </row>
    <row r="7511" spans="6:10" x14ac:dyDescent="0.25">
      <c r="F7511" s="76" t="s">
        <v>150</v>
      </c>
      <c r="G7511" s="77" t="s">
        <v>307</v>
      </c>
      <c r="H7511" s="77" t="s">
        <v>267</v>
      </c>
      <c r="I7511" s="86">
        <v>41847</v>
      </c>
      <c r="J7511" s="78">
        <v>1171</v>
      </c>
    </row>
    <row r="7512" spans="6:10" x14ac:dyDescent="0.25">
      <c r="F7512" s="76" t="s">
        <v>150</v>
      </c>
      <c r="G7512" s="77" t="s">
        <v>307</v>
      </c>
      <c r="H7512" s="77" t="s">
        <v>267</v>
      </c>
      <c r="I7512" s="86">
        <v>41932</v>
      </c>
      <c r="J7512" s="78">
        <v>736</v>
      </c>
    </row>
    <row r="7513" spans="6:10" x14ac:dyDescent="0.25">
      <c r="F7513" s="76" t="s">
        <v>150</v>
      </c>
      <c r="G7513" s="77" t="s">
        <v>307</v>
      </c>
      <c r="H7513" s="77" t="s">
        <v>267</v>
      </c>
      <c r="I7513" s="86">
        <v>41934</v>
      </c>
      <c r="J7513" s="78">
        <v>1169</v>
      </c>
    </row>
    <row r="7514" spans="6:10" x14ac:dyDescent="0.25">
      <c r="F7514" s="76" t="s">
        <v>150</v>
      </c>
      <c r="G7514" s="77" t="s">
        <v>307</v>
      </c>
      <c r="H7514" s="77" t="s">
        <v>267</v>
      </c>
      <c r="I7514" s="86">
        <v>41935</v>
      </c>
      <c r="J7514" s="78">
        <v>780</v>
      </c>
    </row>
    <row r="7515" spans="6:10" x14ac:dyDescent="0.25">
      <c r="F7515" s="76" t="s">
        <v>150</v>
      </c>
      <c r="G7515" s="77" t="s">
        <v>307</v>
      </c>
      <c r="H7515" s="77" t="s">
        <v>267</v>
      </c>
      <c r="I7515" s="86">
        <v>41936</v>
      </c>
      <c r="J7515" s="78">
        <v>483</v>
      </c>
    </row>
    <row r="7516" spans="6:10" x14ac:dyDescent="0.25">
      <c r="F7516" s="76" t="s">
        <v>150</v>
      </c>
      <c r="G7516" s="77" t="s">
        <v>307</v>
      </c>
      <c r="H7516" s="77" t="s">
        <v>267</v>
      </c>
      <c r="I7516" s="86">
        <v>41939</v>
      </c>
      <c r="J7516" s="78">
        <v>799</v>
      </c>
    </row>
    <row r="7517" spans="6:10" x14ac:dyDescent="0.25">
      <c r="F7517" s="76" t="s">
        <v>150</v>
      </c>
      <c r="G7517" s="77" t="s">
        <v>307</v>
      </c>
      <c r="H7517" s="77" t="s">
        <v>267</v>
      </c>
      <c r="I7517" s="86">
        <v>41940</v>
      </c>
      <c r="J7517" s="78">
        <v>539</v>
      </c>
    </row>
    <row r="7518" spans="6:10" x14ac:dyDescent="0.25">
      <c r="F7518" s="76" t="s">
        <v>150</v>
      </c>
      <c r="G7518" s="77" t="s">
        <v>307</v>
      </c>
      <c r="H7518" s="77" t="s">
        <v>267</v>
      </c>
      <c r="I7518" s="86">
        <v>41941</v>
      </c>
      <c r="J7518" s="78">
        <v>843</v>
      </c>
    </row>
    <row r="7519" spans="6:10" x14ac:dyDescent="0.25">
      <c r="F7519" s="76" t="s">
        <v>150</v>
      </c>
      <c r="G7519" s="77" t="s">
        <v>307</v>
      </c>
      <c r="H7519" s="77" t="s">
        <v>267</v>
      </c>
      <c r="I7519" s="86">
        <v>41942</v>
      </c>
      <c r="J7519" s="78">
        <v>494</v>
      </c>
    </row>
    <row r="7520" spans="6:10" x14ac:dyDescent="0.25">
      <c r="F7520" s="76" t="s">
        <v>150</v>
      </c>
      <c r="G7520" s="77" t="s">
        <v>307</v>
      </c>
      <c r="H7520" s="77" t="s">
        <v>267</v>
      </c>
      <c r="I7520" s="86">
        <v>41943</v>
      </c>
      <c r="J7520" s="78">
        <v>452</v>
      </c>
    </row>
    <row r="7521" spans="6:10" x14ac:dyDescent="0.25">
      <c r="F7521" s="76" t="s">
        <v>150</v>
      </c>
      <c r="G7521" s="77" t="s">
        <v>307</v>
      </c>
      <c r="H7521" s="77" t="s">
        <v>267</v>
      </c>
      <c r="I7521" s="86">
        <v>41947</v>
      </c>
      <c r="J7521" s="78">
        <v>955</v>
      </c>
    </row>
    <row r="7522" spans="6:10" x14ac:dyDescent="0.25">
      <c r="F7522" s="76" t="s">
        <v>150</v>
      </c>
      <c r="G7522" s="77" t="s">
        <v>307</v>
      </c>
      <c r="H7522" s="77" t="s">
        <v>267</v>
      </c>
      <c r="I7522" s="86">
        <v>41949</v>
      </c>
      <c r="J7522" s="78">
        <v>978</v>
      </c>
    </row>
    <row r="7523" spans="6:10" x14ac:dyDescent="0.25">
      <c r="F7523" s="76" t="s">
        <v>150</v>
      </c>
      <c r="G7523" s="77" t="s">
        <v>307</v>
      </c>
      <c r="H7523" s="77" t="s">
        <v>267</v>
      </c>
      <c r="I7523" s="86">
        <v>41953</v>
      </c>
      <c r="J7523" s="78">
        <v>974</v>
      </c>
    </row>
    <row r="7524" spans="6:10" x14ac:dyDescent="0.25">
      <c r="F7524" s="76" t="s">
        <v>150</v>
      </c>
      <c r="G7524" s="77" t="s">
        <v>307</v>
      </c>
      <c r="H7524" s="77" t="s">
        <v>267</v>
      </c>
      <c r="I7524" s="86">
        <v>41955</v>
      </c>
      <c r="J7524" s="78">
        <v>986</v>
      </c>
    </row>
    <row r="7525" spans="6:10" x14ac:dyDescent="0.25">
      <c r="F7525" s="76" t="s">
        <v>150</v>
      </c>
      <c r="G7525" s="77" t="s">
        <v>307</v>
      </c>
      <c r="H7525" s="77" t="s">
        <v>267</v>
      </c>
      <c r="I7525" s="86">
        <v>41957</v>
      </c>
      <c r="J7525" s="78">
        <v>1085</v>
      </c>
    </row>
    <row r="7526" spans="6:10" x14ac:dyDescent="0.25">
      <c r="F7526" s="76" t="s">
        <v>150</v>
      </c>
      <c r="G7526" s="77" t="s">
        <v>307</v>
      </c>
      <c r="H7526" s="77" t="s">
        <v>267</v>
      </c>
      <c r="I7526" s="86">
        <v>41971</v>
      </c>
      <c r="J7526" s="78">
        <v>966</v>
      </c>
    </row>
    <row r="7527" spans="6:10" x14ac:dyDescent="0.25">
      <c r="F7527" s="76" t="s">
        <v>150</v>
      </c>
      <c r="G7527" s="77" t="s">
        <v>307</v>
      </c>
      <c r="H7527" s="77" t="s">
        <v>267</v>
      </c>
      <c r="I7527" s="86">
        <v>41974</v>
      </c>
      <c r="J7527" s="78">
        <v>511</v>
      </c>
    </row>
    <row r="7528" spans="6:10" x14ac:dyDescent="0.25">
      <c r="F7528" s="76" t="s">
        <v>150</v>
      </c>
      <c r="G7528" s="77" t="s">
        <v>307</v>
      </c>
      <c r="H7528" s="77" t="s">
        <v>267</v>
      </c>
      <c r="I7528" s="86">
        <v>41974</v>
      </c>
      <c r="J7528" s="78">
        <v>740</v>
      </c>
    </row>
    <row r="7529" spans="6:10" x14ac:dyDescent="0.25">
      <c r="F7529" s="76" t="s">
        <v>150</v>
      </c>
      <c r="G7529" s="77" t="s">
        <v>307</v>
      </c>
      <c r="H7529" s="77" t="s">
        <v>267</v>
      </c>
      <c r="I7529" s="86">
        <v>41976</v>
      </c>
      <c r="J7529" s="78">
        <v>793</v>
      </c>
    </row>
    <row r="7530" spans="6:10" x14ac:dyDescent="0.25">
      <c r="F7530" s="76" t="s">
        <v>150</v>
      </c>
      <c r="G7530" s="77" t="s">
        <v>307</v>
      </c>
      <c r="H7530" s="77" t="s">
        <v>267</v>
      </c>
      <c r="I7530" s="86">
        <v>41977</v>
      </c>
      <c r="J7530" s="78">
        <v>677</v>
      </c>
    </row>
    <row r="7531" spans="6:10" x14ac:dyDescent="0.25">
      <c r="F7531" s="76" t="s">
        <v>150</v>
      </c>
      <c r="G7531" s="77" t="s">
        <v>307</v>
      </c>
      <c r="H7531" s="77" t="s">
        <v>267</v>
      </c>
      <c r="I7531" s="86">
        <v>41979</v>
      </c>
      <c r="J7531" s="78">
        <v>995</v>
      </c>
    </row>
    <row r="7532" spans="6:10" x14ac:dyDescent="0.25">
      <c r="F7532" s="76" t="s">
        <v>150</v>
      </c>
      <c r="G7532" s="77" t="s">
        <v>307</v>
      </c>
      <c r="H7532" s="77" t="s">
        <v>267</v>
      </c>
      <c r="I7532" s="86">
        <v>41981</v>
      </c>
      <c r="J7532" s="78">
        <v>876</v>
      </c>
    </row>
    <row r="7533" spans="6:10" x14ac:dyDescent="0.25">
      <c r="F7533" s="76" t="s">
        <v>150</v>
      </c>
      <c r="G7533" s="77" t="s">
        <v>307</v>
      </c>
      <c r="H7533" s="77" t="s">
        <v>267</v>
      </c>
      <c r="I7533" s="86">
        <v>41983</v>
      </c>
      <c r="J7533" s="78">
        <v>804</v>
      </c>
    </row>
    <row r="7534" spans="6:10" x14ac:dyDescent="0.25">
      <c r="F7534" s="76" t="s">
        <v>150</v>
      </c>
      <c r="G7534" s="77" t="s">
        <v>307</v>
      </c>
      <c r="H7534" s="77" t="s">
        <v>267</v>
      </c>
      <c r="I7534" s="86">
        <v>41984</v>
      </c>
      <c r="J7534" s="78">
        <v>657</v>
      </c>
    </row>
    <row r="7535" spans="6:10" x14ac:dyDescent="0.25">
      <c r="F7535" s="76" t="s">
        <v>150</v>
      </c>
      <c r="G7535" s="77" t="s">
        <v>307</v>
      </c>
      <c r="H7535" s="77" t="s">
        <v>267</v>
      </c>
      <c r="I7535" s="86">
        <v>41995</v>
      </c>
      <c r="J7535" s="78">
        <v>417</v>
      </c>
    </row>
    <row r="7536" spans="6:10" x14ac:dyDescent="0.25">
      <c r="F7536" s="76" t="s">
        <v>150</v>
      </c>
      <c r="G7536" s="77" t="s">
        <v>307</v>
      </c>
      <c r="H7536" s="77" t="s">
        <v>267</v>
      </c>
      <c r="I7536" s="86">
        <v>41997</v>
      </c>
      <c r="J7536" s="78">
        <v>847</v>
      </c>
    </row>
    <row r="7537" spans="6:10" x14ac:dyDescent="0.25">
      <c r="F7537" s="76" t="s">
        <v>150</v>
      </c>
      <c r="G7537" s="77" t="s">
        <v>307</v>
      </c>
      <c r="H7537" s="77" t="s">
        <v>267</v>
      </c>
      <c r="I7537" s="86">
        <v>41999</v>
      </c>
      <c r="J7537" s="78">
        <v>620</v>
      </c>
    </row>
    <row r="7538" spans="6:10" x14ac:dyDescent="0.25">
      <c r="F7538" s="76" t="s">
        <v>150</v>
      </c>
      <c r="G7538" s="77" t="s">
        <v>308</v>
      </c>
      <c r="H7538" s="77" t="s">
        <v>267</v>
      </c>
      <c r="I7538" s="86">
        <v>41653</v>
      </c>
      <c r="J7538" s="78">
        <v>563</v>
      </c>
    </row>
    <row r="7539" spans="6:10" x14ac:dyDescent="0.25">
      <c r="F7539" s="76" t="s">
        <v>150</v>
      </c>
      <c r="G7539" s="77" t="s">
        <v>308</v>
      </c>
      <c r="H7539" s="77" t="s">
        <v>267</v>
      </c>
      <c r="I7539" s="86">
        <v>41654</v>
      </c>
      <c r="J7539" s="78">
        <v>1222</v>
      </c>
    </row>
    <row r="7540" spans="6:10" x14ac:dyDescent="0.25">
      <c r="F7540" s="76" t="s">
        <v>150</v>
      </c>
      <c r="G7540" s="77" t="s">
        <v>308</v>
      </c>
      <c r="H7540" s="77" t="s">
        <v>267</v>
      </c>
      <c r="I7540" s="86">
        <v>41655</v>
      </c>
      <c r="J7540" s="78">
        <v>1210</v>
      </c>
    </row>
    <row r="7541" spans="6:10" x14ac:dyDescent="0.25">
      <c r="F7541" s="76" t="s">
        <v>150</v>
      </c>
      <c r="G7541" s="77" t="s">
        <v>308</v>
      </c>
      <c r="H7541" s="77" t="s">
        <v>267</v>
      </c>
      <c r="I7541" s="86">
        <v>41656</v>
      </c>
      <c r="J7541" s="78">
        <v>1212</v>
      </c>
    </row>
    <row r="7542" spans="6:10" x14ac:dyDescent="0.25">
      <c r="F7542" s="76" t="s">
        <v>150</v>
      </c>
      <c r="G7542" s="77" t="s">
        <v>308</v>
      </c>
      <c r="H7542" s="77" t="s">
        <v>267</v>
      </c>
      <c r="I7542" s="86">
        <v>41657</v>
      </c>
      <c r="J7542" s="78">
        <v>897</v>
      </c>
    </row>
    <row r="7543" spans="6:10" x14ac:dyDescent="0.25">
      <c r="F7543" s="76" t="s">
        <v>150</v>
      </c>
      <c r="G7543" s="77" t="s">
        <v>308</v>
      </c>
      <c r="H7543" s="77" t="s">
        <v>267</v>
      </c>
      <c r="I7543" s="86">
        <v>41662</v>
      </c>
      <c r="J7543" s="78">
        <v>943</v>
      </c>
    </row>
    <row r="7544" spans="6:10" x14ac:dyDescent="0.25">
      <c r="F7544" s="76" t="s">
        <v>150</v>
      </c>
      <c r="G7544" s="77" t="s">
        <v>308</v>
      </c>
      <c r="H7544" s="77" t="s">
        <v>267</v>
      </c>
      <c r="I7544" s="86">
        <v>41663</v>
      </c>
      <c r="J7544" s="78">
        <v>1066</v>
      </c>
    </row>
    <row r="7545" spans="6:10" x14ac:dyDescent="0.25">
      <c r="F7545" s="76" t="s">
        <v>150</v>
      </c>
      <c r="G7545" s="77" t="s">
        <v>308</v>
      </c>
      <c r="H7545" s="77" t="s">
        <v>267</v>
      </c>
      <c r="I7545" s="86">
        <v>41667</v>
      </c>
      <c r="J7545" s="78">
        <v>1356</v>
      </c>
    </row>
    <row r="7546" spans="6:10" x14ac:dyDescent="0.25">
      <c r="F7546" s="76" t="s">
        <v>150</v>
      </c>
      <c r="G7546" s="77" t="s">
        <v>308</v>
      </c>
      <c r="H7546" s="77" t="s">
        <v>267</v>
      </c>
      <c r="I7546" s="86">
        <v>41668</v>
      </c>
      <c r="J7546" s="78">
        <v>1506</v>
      </c>
    </row>
    <row r="7547" spans="6:10" x14ac:dyDescent="0.25">
      <c r="F7547" s="76" t="s">
        <v>150</v>
      </c>
      <c r="G7547" s="77" t="s">
        <v>308</v>
      </c>
      <c r="H7547" s="77" t="s">
        <v>267</v>
      </c>
      <c r="I7547" s="86">
        <v>41670</v>
      </c>
      <c r="J7547" s="78">
        <v>1230</v>
      </c>
    </row>
    <row r="7548" spans="6:10" x14ac:dyDescent="0.25">
      <c r="F7548" s="76" t="s">
        <v>150</v>
      </c>
      <c r="G7548" s="77" t="s">
        <v>308</v>
      </c>
      <c r="H7548" s="77" t="s">
        <v>267</v>
      </c>
      <c r="I7548" s="86">
        <v>41674</v>
      </c>
      <c r="J7548" s="78">
        <v>177</v>
      </c>
    </row>
    <row r="7549" spans="6:10" x14ac:dyDescent="0.25">
      <c r="F7549" s="76" t="s">
        <v>150</v>
      </c>
      <c r="G7549" s="77" t="s">
        <v>308</v>
      </c>
      <c r="H7549" s="77" t="s">
        <v>267</v>
      </c>
      <c r="I7549" s="86">
        <v>41831</v>
      </c>
      <c r="J7549" s="78">
        <v>883</v>
      </c>
    </row>
    <row r="7550" spans="6:10" x14ac:dyDescent="0.25">
      <c r="F7550" s="76" t="s">
        <v>150</v>
      </c>
      <c r="G7550" s="77" t="s">
        <v>308</v>
      </c>
      <c r="H7550" s="77" t="s">
        <v>267</v>
      </c>
      <c r="I7550" s="86">
        <v>41836</v>
      </c>
      <c r="J7550" s="78">
        <v>890</v>
      </c>
    </row>
    <row r="7551" spans="6:10" x14ac:dyDescent="0.25">
      <c r="F7551" s="76" t="s">
        <v>150</v>
      </c>
      <c r="G7551" s="77" t="s">
        <v>308</v>
      </c>
      <c r="H7551" s="77" t="s">
        <v>267</v>
      </c>
      <c r="I7551" s="86">
        <v>41837</v>
      </c>
      <c r="J7551" s="78">
        <v>952</v>
      </c>
    </row>
    <row r="7552" spans="6:10" x14ac:dyDescent="0.25">
      <c r="F7552" s="76" t="s">
        <v>150</v>
      </c>
      <c r="G7552" s="77" t="s">
        <v>308</v>
      </c>
      <c r="H7552" s="77" t="s">
        <v>267</v>
      </c>
      <c r="I7552" s="86">
        <v>41839</v>
      </c>
      <c r="J7552" s="78">
        <v>946</v>
      </c>
    </row>
    <row r="7553" spans="6:10" x14ac:dyDescent="0.25">
      <c r="F7553" s="76" t="s">
        <v>150</v>
      </c>
      <c r="G7553" s="77" t="s">
        <v>308</v>
      </c>
      <c r="H7553" s="77" t="s">
        <v>267</v>
      </c>
      <c r="I7553" s="86">
        <v>41839</v>
      </c>
      <c r="J7553" s="78">
        <v>1139</v>
      </c>
    </row>
    <row r="7554" spans="6:10" x14ac:dyDescent="0.25">
      <c r="F7554" s="76" t="s">
        <v>150</v>
      </c>
      <c r="G7554" s="77" t="s">
        <v>308</v>
      </c>
      <c r="H7554" s="77" t="s">
        <v>267</v>
      </c>
      <c r="I7554" s="86">
        <v>41840</v>
      </c>
      <c r="J7554" s="78">
        <v>1191</v>
      </c>
    </row>
    <row r="7555" spans="6:10" x14ac:dyDescent="0.25">
      <c r="F7555" s="76" t="s">
        <v>150</v>
      </c>
      <c r="G7555" s="77" t="s">
        <v>308</v>
      </c>
      <c r="H7555" s="77" t="s">
        <v>267</v>
      </c>
      <c r="I7555" s="86">
        <v>41841</v>
      </c>
      <c r="J7555" s="78">
        <v>974</v>
      </c>
    </row>
    <row r="7556" spans="6:10" x14ac:dyDescent="0.25">
      <c r="F7556" s="76" t="s">
        <v>150</v>
      </c>
      <c r="G7556" s="77" t="s">
        <v>308</v>
      </c>
      <c r="H7556" s="77" t="s">
        <v>267</v>
      </c>
      <c r="I7556" s="86">
        <v>41841</v>
      </c>
      <c r="J7556" s="78">
        <v>423</v>
      </c>
    </row>
    <row r="7557" spans="6:10" x14ac:dyDescent="0.25">
      <c r="F7557" s="76" t="s">
        <v>150</v>
      </c>
      <c r="G7557" s="77" t="s">
        <v>308</v>
      </c>
      <c r="H7557" s="77" t="s">
        <v>267</v>
      </c>
      <c r="I7557" s="86">
        <v>41843</v>
      </c>
      <c r="J7557" s="78">
        <v>1363</v>
      </c>
    </row>
    <row r="7558" spans="6:10" x14ac:dyDescent="0.25">
      <c r="F7558" s="76" t="s">
        <v>150</v>
      </c>
      <c r="G7558" s="77" t="s">
        <v>308</v>
      </c>
      <c r="H7558" s="77" t="s">
        <v>267</v>
      </c>
      <c r="I7558" s="86">
        <v>41843</v>
      </c>
      <c r="J7558" s="78">
        <v>794</v>
      </c>
    </row>
    <row r="7559" spans="6:10" x14ac:dyDescent="0.25">
      <c r="F7559" s="76" t="s">
        <v>150</v>
      </c>
      <c r="G7559" s="77" t="s">
        <v>308</v>
      </c>
      <c r="H7559" s="77" t="s">
        <v>267</v>
      </c>
      <c r="I7559" s="86">
        <v>41848</v>
      </c>
      <c r="J7559" s="78">
        <v>491</v>
      </c>
    </row>
    <row r="7560" spans="6:10" x14ac:dyDescent="0.25">
      <c r="F7560" s="76" t="s">
        <v>150</v>
      </c>
      <c r="G7560" s="77" t="s">
        <v>308</v>
      </c>
      <c r="H7560" s="77" t="s">
        <v>267</v>
      </c>
      <c r="I7560" s="86">
        <v>41853</v>
      </c>
      <c r="J7560" s="78">
        <v>703</v>
      </c>
    </row>
    <row r="7561" spans="6:10" x14ac:dyDescent="0.25">
      <c r="F7561" s="76" t="s">
        <v>150</v>
      </c>
      <c r="G7561" s="77" t="s">
        <v>308</v>
      </c>
      <c r="H7561" s="77" t="s">
        <v>267</v>
      </c>
      <c r="I7561" s="86">
        <v>41853</v>
      </c>
      <c r="J7561" s="78">
        <v>950</v>
      </c>
    </row>
    <row r="7562" spans="6:10" x14ac:dyDescent="0.25">
      <c r="F7562" s="76" t="s">
        <v>150</v>
      </c>
      <c r="G7562" s="77" t="s">
        <v>308</v>
      </c>
      <c r="H7562" s="77" t="s">
        <v>267</v>
      </c>
      <c r="I7562" s="86">
        <v>41854</v>
      </c>
      <c r="J7562" s="78">
        <v>1136</v>
      </c>
    </row>
    <row r="7563" spans="6:10" x14ac:dyDescent="0.25">
      <c r="F7563" s="76" t="s">
        <v>150</v>
      </c>
      <c r="G7563" s="77" t="s">
        <v>308</v>
      </c>
      <c r="H7563" s="77" t="s">
        <v>267</v>
      </c>
      <c r="I7563" s="86">
        <v>41856</v>
      </c>
      <c r="J7563" s="78">
        <v>1069</v>
      </c>
    </row>
    <row r="7564" spans="6:10" x14ac:dyDescent="0.25">
      <c r="F7564" s="76" t="s">
        <v>150</v>
      </c>
      <c r="G7564" s="77" t="s">
        <v>308</v>
      </c>
      <c r="H7564" s="77" t="s">
        <v>267</v>
      </c>
      <c r="I7564" s="86">
        <v>41865</v>
      </c>
      <c r="J7564" s="78">
        <v>1244</v>
      </c>
    </row>
    <row r="7565" spans="6:10" x14ac:dyDescent="0.25">
      <c r="F7565" s="76" t="s">
        <v>150</v>
      </c>
      <c r="G7565" s="77" t="s">
        <v>308</v>
      </c>
      <c r="H7565" s="77" t="s">
        <v>267</v>
      </c>
      <c r="I7565" s="86">
        <v>41866</v>
      </c>
      <c r="J7565" s="78">
        <v>782</v>
      </c>
    </row>
    <row r="7566" spans="6:10" x14ac:dyDescent="0.25">
      <c r="F7566" s="76" t="s">
        <v>150</v>
      </c>
      <c r="G7566" s="77" t="s">
        <v>308</v>
      </c>
      <c r="H7566" s="77" t="s">
        <v>267</v>
      </c>
      <c r="I7566" s="86">
        <v>41869</v>
      </c>
      <c r="J7566" s="78">
        <v>1407</v>
      </c>
    </row>
    <row r="7567" spans="6:10" x14ac:dyDescent="0.25">
      <c r="F7567" s="76" t="s">
        <v>150</v>
      </c>
      <c r="G7567" s="77" t="s">
        <v>308</v>
      </c>
      <c r="H7567" s="77" t="s">
        <v>267</v>
      </c>
      <c r="I7567" s="86">
        <v>41870</v>
      </c>
      <c r="J7567" s="78">
        <v>844</v>
      </c>
    </row>
    <row r="7568" spans="6:10" x14ac:dyDescent="0.25">
      <c r="F7568" s="76" t="s">
        <v>150</v>
      </c>
      <c r="G7568" s="77" t="s">
        <v>308</v>
      </c>
      <c r="H7568" s="77" t="s">
        <v>267</v>
      </c>
      <c r="I7568" s="86">
        <v>41872</v>
      </c>
      <c r="J7568" s="78">
        <v>823</v>
      </c>
    </row>
    <row r="7569" spans="6:10" x14ac:dyDescent="0.25">
      <c r="F7569" s="76" t="s">
        <v>150</v>
      </c>
      <c r="G7569" s="77" t="s">
        <v>308</v>
      </c>
      <c r="H7569" s="77" t="s">
        <v>267</v>
      </c>
      <c r="I7569" s="86">
        <v>41875</v>
      </c>
      <c r="J7569" s="78">
        <v>1206</v>
      </c>
    </row>
    <row r="7570" spans="6:10" x14ac:dyDescent="0.25">
      <c r="F7570" s="76" t="s">
        <v>150</v>
      </c>
      <c r="G7570" s="77" t="s">
        <v>308</v>
      </c>
      <c r="H7570" s="77" t="s">
        <v>267</v>
      </c>
      <c r="I7570" s="86">
        <v>41896</v>
      </c>
      <c r="J7570" s="78">
        <v>1395</v>
      </c>
    </row>
    <row r="7571" spans="6:10" x14ac:dyDescent="0.25">
      <c r="F7571" s="76" t="s">
        <v>150</v>
      </c>
      <c r="G7571" s="77" t="s">
        <v>308</v>
      </c>
      <c r="H7571" s="77" t="s">
        <v>267</v>
      </c>
      <c r="I7571" s="86">
        <v>41955</v>
      </c>
      <c r="J7571" s="78">
        <v>443</v>
      </c>
    </row>
    <row r="7572" spans="6:10" x14ac:dyDescent="0.25">
      <c r="F7572" s="76" t="s">
        <v>150</v>
      </c>
      <c r="G7572" s="77" t="s">
        <v>308</v>
      </c>
      <c r="H7572" s="77" t="s">
        <v>267</v>
      </c>
      <c r="I7572" s="86">
        <v>41959</v>
      </c>
      <c r="J7572" s="78">
        <v>1125</v>
      </c>
    </row>
    <row r="7573" spans="6:10" x14ac:dyDescent="0.25">
      <c r="F7573" s="76" t="s">
        <v>150</v>
      </c>
      <c r="G7573" s="77" t="s">
        <v>308</v>
      </c>
      <c r="H7573" s="77" t="s">
        <v>267</v>
      </c>
      <c r="I7573" s="86">
        <v>41963</v>
      </c>
      <c r="J7573" s="78">
        <v>1077</v>
      </c>
    </row>
    <row r="7574" spans="6:10" x14ac:dyDescent="0.25">
      <c r="F7574" s="76" t="s">
        <v>150</v>
      </c>
      <c r="G7574" s="77" t="s">
        <v>308</v>
      </c>
      <c r="H7574" s="77" t="s">
        <v>267</v>
      </c>
      <c r="I7574" s="86">
        <v>41965</v>
      </c>
      <c r="J7574" s="78">
        <v>866</v>
      </c>
    </row>
    <row r="7575" spans="6:10" x14ac:dyDescent="0.25">
      <c r="F7575" s="76" t="s">
        <v>150</v>
      </c>
      <c r="G7575" s="77" t="s">
        <v>308</v>
      </c>
      <c r="H7575" s="77" t="s">
        <v>267</v>
      </c>
      <c r="I7575" s="86">
        <v>41966</v>
      </c>
      <c r="J7575" s="78">
        <v>394</v>
      </c>
    </row>
    <row r="7576" spans="6:10" x14ac:dyDescent="0.25">
      <c r="F7576" s="76" t="s">
        <v>150</v>
      </c>
      <c r="G7576" s="77" t="s">
        <v>308</v>
      </c>
      <c r="H7576" s="77" t="s">
        <v>267</v>
      </c>
      <c r="I7576" s="86">
        <v>41966</v>
      </c>
      <c r="J7576" s="78">
        <v>1078</v>
      </c>
    </row>
    <row r="7577" spans="6:10" x14ac:dyDescent="0.25">
      <c r="F7577" s="76" t="s">
        <v>150</v>
      </c>
      <c r="G7577" s="77" t="s">
        <v>308</v>
      </c>
      <c r="H7577" s="77" t="s">
        <v>267</v>
      </c>
      <c r="I7577" s="86">
        <v>41967</v>
      </c>
      <c r="J7577" s="78">
        <v>869</v>
      </c>
    </row>
    <row r="7578" spans="6:10" x14ac:dyDescent="0.25">
      <c r="F7578" s="76" t="s">
        <v>150</v>
      </c>
      <c r="G7578" s="77" t="s">
        <v>308</v>
      </c>
      <c r="H7578" s="77" t="s">
        <v>267</v>
      </c>
      <c r="I7578" s="86">
        <v>41976</v>
      </c>
      <c r="J7578" s="78">
        <v>1103</v>
      </c>
    </row>
    <row r="7579" spans="6:10" x14ac:dyDescent="0.25">
      <c r="F7579" s="76" t="s">
        <v>150</v>
      </c>
      <c r="G7579" s="77" t="s">
        <v>308</v>
      </c>
      <c r="H7579" s="77" t="s">
        <v>267</v>
      </c>
      <c r="I7579" s="86">
        <v>41977</v>
      </c>
      <c r="J7579" s="78">
        <v>746</v>
      </c>
    </row>
    <row r="7580" spans="6:10" x14ac:dyDescent="0.25">
      <c r="F7580" s="76" t="s">
        <v>150</v>
      </c>
      <c r="G7580" s="77" t="s">
        <v>308</v>
      </c>
      <c r="H7580" s="77" t="s">
        <v>267</v>
      </c>
      <c r="I7580" s="86">
        <v>41977</v>
      </c>
      <c r="J7580" s="78">
        <v>547</v>
      </c>
    </row>
    <row r="7581" spans="6:10" x14ac:dyDescent="0.25">
      <c r="F7581" s="76" t="s">
        <v>150</v>
      </c>
      <c r="G7581" s="77" t="s">
        <v>308</v>
      </c>
      <c r="H7581" s="77" t="s">
        <v>267</v>
      </c>
      <c r="I7581" s="86">
        <v>41978</v>
      </c>
      <c r="J7581" s="78">
        <v>964</v>
      </c>
    </row>
    <row r="7582" spans="6:10" x14ac:dyDescent="0.25">
      <c r="F7582" s="76" t="s">
        <v>150</v>
      </c>
      <c r="G7582" s="77" t="s">
        <v>308</v>
      </c>
      <c r="H7582" s="77" t="s">
        <v>267</v>
      </c>
      <c r="I7582" s="86">
        <v>41979</v>
      </c>
      <c r="J7582" s="78">
        <v>569</v>
      </c>
    </row>
    <row r="7583" spans="6:10" x14ac:dyDescent="0.25">
      <c r="F7583" s="76" t="s">
        <v>150</v>
      </c>
      <c r="G7583" s="77" t="s">
        <v>308</v>
      </c>
      <c r="H7583" s="77" t="s">
        <v>267</v>
      </c>
      <c r="I7583" s="86">
        <v>41980</v>
      </c>
      <c r="J7583" s="78">
        <v>848</v>
      </c>
    </row>
    <row r="7584" spans="6:10" x14ac:dyDescent="0.25">
      <c r="F7584" s="76" t="s">
        <v>150</v>
      </c>
      <c r="G7584" s="77" t="s">
        <v>308</v>
      </c>
      <c r="H7584" s="77" t="s">
        <v>267</v>
      </c>
      <c r="I7584" s="86">
        <v>41980</v>
      </c>
      <c r="J7584" s="78">
        <v>615</v>
      </c>
    </row>
    <row r="7585" spans="6:10" x14ac:dyDescent="0.25">
      <c r="F7585" s="76" t="s">
        <v>150</v>
      </c>
      <c r="G7585" s="77" t="s">
        <v>308</v>
      </c>
      <c r="H7585" s="77" t="s">
        <v>267</v>
      </c>
      <c r="I7585" s="86">
        <v>41981</v>
      </c>
      <c r="J7585" s="78">
        <v>692</v>
      </c>
    </row>
    <row r="7586" spans="6:10" x14ac:dyDescent="0.25">
      <c r="F7586" s="76" t="s">
        <v>150</v>
      </c>
      <c r="G7586" s="77" t="s">
        <v>308</v>
      </c>
      <c r="H7586" s="77" t="s">
        <v>267</v>
      </c>
      <c r="I7586" s="86">
        <v>41982</v>
      </c>
      <c r="J7586" s="78">
        <v>881</v>
      </c>
    </row>
    <row r="7587" spans="6:10" x14ac:dyDescent="0.25">
      <c r="F7587" s="76" t="s">
        <v>150</v>
      </c>
      <c r="G7587" s="77" t="s">
        <v>308</v>
      </c>
      <c r="H7587" s="77" t="s">
        <v>267</v>
      </c>
      <c r="I7587" s="86">
        <v>41982</v>
      </c>
      <c r="J7587" s="78">
        <v>771</v>
      </c>
    </row>
    <row r="7588" spans="6:10" x14ac:dyDescent="0.25">
      <c r="F7588" s="76" t="s">
        <v>150</v>
      </c>
      <c r="G7588" s="77" t="s">
        <v>308</v>
      </c>
      <c r="H7588" s="77" t="s">
        <v>267</v>
      </c>
      <c r="I7588" s="86">
        <v>41984</v>
      </c>
      <c r="J7588" s="78">
        <v>1099</v>
      </c>
    </row>
    <row r="7589" spans="6:10" x14ac:dyDescent="0.25">
      <c r="F7589" s="76" t="s">
        <v>150</v>
      </c>
      <c r="G7589" s="77" t="s">
        <v>308</v>
      </c>
      <c r="H7589" s="77" t="s">
        <v>267</v>
      </c>
      <c r="I7589" s="86">
        <v>41989</v>
      </c>
      <c r="J7589" s="78">
        <v>765</v>
      </c>
    </row>
    <row r="7590" spans="6:10" x14ac:dyDescent="0.25">
      <c r="F7590" s="76" t="s">
        <v>150</v>
      </c>
      <c r="G7590" s="77" t="s">
        <v>308</v>
      </c>
      <c r="H7590" s="77" t="s">
        <v>267</v>
      </c>
      <c r="I7590" s="86">
        <v>41991</v>
      </c>
      <c r="J7590" s="78">
        <v>912</v>
      </c>
    </row>
    <row r="7591" spans="6:10" x14ac:dyDescent="0.25">
      <c r="F7591" s="76" t="s">
        <v>150</v>
      </c>
      <c r="G7591" s="77" t="s">
        <v>308</v>
      </c>
      <c r="H7591" s="77" t="s">
        <v>267</v>
      </c>
      <c r="I7591" s="86">
        <v>41992</v>
      </c>
      <c r="J7591" s="78">
        <v>774</v>
      </c>
    </row>
    <row r="7592" spans="6:10" x14ac:dyDescent="0.25">
      <c r="F7592" s="76" t="s">
        <v>150</v>
      </c>
      <c r="G7592" s="77" t="s">
        <v>308</v>
      </c>
      <c r="H7592" s="77" t="s">
        <v>267</v>
      </c>
      <c r="I7592" s="86">
        <v>41993</v>
      </c>
      <c r="J7592" s="78">
        <v>581</v>
      </c>
    </row>
    <row r="7593" spans="6:10" x14ac:dyDescent="0.25">
      <c r="F7593" s="76" t="s">
        <v>150</v>
      </c>
      <c r="G7593" s="77" t="s">
        <v>308</v>
      </c>
      <c r="H7593" s="77" t="s">
        <v>267</v>
      </c>
      <c r="I7593" s="86">
        <v>41994</v>
      </c>
      <c r="J7593" s="78">
        <v>567</v>
      </c>
    </row>
    <row r="7594" spans="6:10" x14ac:dyDescent="0.25">
      <c r="F7594" s="76" t="s">
        <v>150</v>
      </c>
      <c r="G7594" s="77" t="s">
        <v>308</v>
      </c>
      <c r="H7594" s="77" t="s">
        <v>267</v>
      </c>
      <c r="I7594" s="86">
        <v>41995</v>
      </c>
      <c r="J7594" s="78">
        <v>597</v>
      </c>
    </row>
    <row r="7595" spans="6:10" x14ac:dyDescent="0.25">
      <c r="F7595" s="76" t="s">
        <v>150</v>
      </c>
      <c r="G7595" s="77" t="s">
        <v>308</v>
      </c>
      <c r="H7595" s="77" t="s">
        <v>267</v>
      </c>
      <c r="I7595" s="86">
        <v>41996</v>
      </c>
      <c r="J7595" s="78">
        <v>643</v>
      </c>
    </row>
    <row r="7596" spans="6:10" x14ac:dyDescent="0.25">
      <c r="F7596" s="76" t="s">
        <v>150</v>
      </c>
      <c r="G7596" s="77" t="s">
        <v>308</v>
      </c>
      <c r="H7596" s="77" t="s">
        <v>267</v>
      </c>
      <c r="I7596" s="86">
        <v>41997</v>
      </c>
      <c r="J7596" s="78">
        <v>1069</v>
      </c>
    </row>
    <row r="7597" spans="6:10" x14ac:dyDescent="0.25">
      <c r="F7597" s="76" t="s">
        <v>150</v>
      </c>
      <c r="G7597" s="77" t="s">
        <v>308</v>
      </c>
      <c r="H7597" s="77" t="s">
        <v>267</v>
      </c>
      <c r="I7597" s="86">
        <v>41998</v>
      </c>
      <c r="J7597" s="78">
        <v>811</v>
      </c>
    </row>
    <row r="7598" spans="6:10" x14ac:dyDescent="0.25">
      <c r="F7598" s="76" t="s">
        <v>150</v>
      </c>
      <c r="G7598" s="77" t="s">
        <v>308</v>
      </c>
      <c r="H7598" s="77" t="s">
        <v>267</v>
      </c>
      <c r="I7598" s="86">
        <v>41998</v>
      </c>
      <c r="J7598" s="78">
        <v>711</v>
      </c>
    </row>
    <row r="7599" spans="6:10" x14ac:dyDescent="0.25">
      <c r="F7599" s="76" t="s">
        <v>150</v>
      </c>
      <c r="G7599" s="77" t="s">
        <v>308</v>
      </c>
      <c r="H7599" s="77" t="s">
        <v>267</v>
      </c>
      <c r="I7599" s="86">
        <v>41999</v>
      </c>
      <c r="J7599" s="78">
        <v>1055</v>
      </c>
    </row>
    <row r="7600" spans="6:10" x14ac:dyDescent="0.25">
      <c r="F7600" s="76" t="s">
        <v>150</v>
      </c>
      <c r="G7600" s="77" t="s">
        <v>308</v>
      </c>
      <c r="H7600" s="77" t="s">
        <v>267</v>
      </c>
      <c r="I7600" s="86">
        <v>42000</v>
      </c>
      <c r="J7600" s="78">
        <v>635</v>
      </c>
    </row>
    <row r="7601" spans="6:10" x14ac:dyDescent="0.25">
      <c r="F7601" s="76" t="s">
        <v>150</v>
      </c>
      <c r="G7601" s="77" t="s">
        <v>308</v>
      </c>
      <c r="H7601" s="77" t="s">
        <v>267</v>
      </c>
      <c r="I7601" s="86">
        <v>42000</v>
      </c>
      <c r="J7601" s="78">
        <v>792</v>
      </c>
    </row>
    <row r="7602" spans="6:10" x14ac:dyDescent="0.25">
      <c r="F7602" s="76" t="s">
        <v>150</v>
      </c>
      <c r="G7602" s="77" t="s">
        <v>308</v>
      </c>
      <c r="H7602" s="77" t="s">
        <v>267</v>
      </c>
      <c r="I7602" s="86">
        <v>42001</v>
      </c>
      <c r="J7602" s="78">
        <v>1029</v>
      </c>
    </row>
    <row r="7603" spans="6:10" x14ac:dyDescent="0.25">
      <c r="F7603" s="76" t="s">
        <v>150</v>
      </c>
      <c r="G7603" s="77" t="s">
        <v>308</v>
      </c>
      <c r="H7603" s="77" t="s">
        <v>267</v>
      </c>
      <c r="I7603" s="86">
        <v>42002</v>
      </c>
      <c r="J7603" s="78">
        <v>724</v>
      </c>
    </row>
    <row r="7604" spans="6:10" x14ac:dyDescent="0.25">
      <c r="F7604" s="76" t="s">
        <v>150</v>
      </c>
      <c r="G7604" s="77" t="s">
        <v>269</v>
      </c>
      <c r="H7604" s="77" t="s">
        <v>174</v>
      </c>
      <c r="I7604" s="86">
        <v>41901</v>
      </c>
      <c r="J7604" s="78">
        <v>1061</v>
      </c>
    </row>
    <row r="7605" spans="6:10" x14ac:dyDescent="0.25">
      <c r="F7605" s="76" t="s">
        <v>150</v>
      </c>
      <c r="G7605" s="77" t="s">
        <v>242</v>
      </c>
      <c r="H7605" s="77" t="s">
        <v>174</v>
      </c>
      <c r="I7605" s="86">
        <v>41637</v>
      </c>
      <c r="J7605" s="78">
        <v>961</v>
      </c>
    </row>
    <row r="7606" spans="6:10" x14ac:dyDescent="0.25">
      <c r="F7606" s="76" t="s">
        <v>150</v>
      </c>
      <c r="G7606" s="77" t="s">
        <v>242</v>
      </c>
      <c r="H7606" s="77" t="s">
        <v>174</v>
      </c>
      <c r="I7606" s="86">
        <v>41641</v>
      </c>
      <c r="J7606" s="78">
        <v>1331</v>
      </c>
    </row>
    <row r="7607" spans="6:10" x14ac:dyDescent="0.25">
      <c r="F7607" s="76" t="s">
        <v>150</v>
      </c>
      <c r="G7607" s="77" t="s">
        <v>242</v>
      </c>
      <c r="H7607" s="77" t="s">
        <v>174</v>
      </c>
      <c r="I7607" s="86">
        <v>41641</v>
      </c>
      <c r="J7607" s="78">
        <v>217</v>
      </c>
    </row>
    <row r="7608" spans="6:10" x14ac:dyDescent="0.25">
      <c r="F7608" s="76" t="s">
        <v>150</v>
      </c>
      <c r="G7608" s="77" t="s">
        <v>242</v>
      </c>
      <c r="H7608" s="77" t="s">
        <v>174</v>
      </c>
      <c r="I7608" s="86">
        <v>41644</v>
      </c>
      <c r="J7608" s="78">
        <v>1236</v>
      </c>
    </row>
    <row r="7609" spans="6:10" x14ac:dyDescent="0.25">
      <c r="F7609" s="76" t="s">
        <v>150</v>
      </c>
      <c r="G7609" s="77" t="s">
        <v>242</v>
      </c>
      <c r="H7609" s="77" t="s">
        <v>174</v>
      </c>
      <c r="I7609" s="86">
        <v>41645</v>
      </c>
      <c r="J7609" s="78">
        <v>713</v>
      </c>
    </row>
    <row r="7610" spans="6:10" x14ac:dyDescent="0.25">
      <c r="F7610" s="76" t="s">
        <v>150</v>
      </c>
      <c r="G7610" s="77" t="s">
        <v>242</v>
      </c>
      <c r="H7610" s="77" t="s">
        <v>174</v>
      </c>
      <c r="I7610" s="86">
        <v>41647</v>
      </c>
      <c r="J7610" s="78">
        <v>1274</v>
      </c>
    </row>
    <row r="7611" spans="6:10" x14ac:dyDescent="0.25">
      <c r="F7611" s="76" t="s">
        <v>150</v>
      </c>
      <c r="G7611" s="77" t="s">
        <v>242</v>
      </c>
      <c r="H7611" s="77" t="s">
        <v>174</v>
      </c>
      <c r="I7611" s="86">
        <v>41652</v>
      </c>
      <c r="J7611" s="78">
        <v>921</v>
      </c>
    </row>
    <row r="7612" spans="6:10" x14ac:dyDescent="0.25">
      <c r="F7612" s="76" t="s">
        <v>150</v>
      </c>
      <c r="G7612" s="77" t="s">
        <v>242</v>
      </c>
      <c r="H7612" s="77" t="s">
        <v>174</v>
      </c>
      <c r="I7612" s="86">
        <v>41654</v>
      </c>
      <c r="J7612" s="78">
        <v>977</v>
      </c>
    </row>
    <row r="7613" spans="6:10" x14ac:dyDescent="0.25">
      <c r="F7613" s="76" t="s">
        <v>150</v>
      </c>
      <c r="G7613" s="77" t="s">
        <v>242</v>
      </c>
      <c r="H7613" s="77" t="s">
        <v>174</v>
      </c>
      <c r="I7613" s="86">
        <v>41656</v>
      </c>
      <c r="J7613" s="78">
        <v>1041</v>
      </c>
    </row>
    <row r="7614" spans="6:10" x14ac:dyDescent="0.25">
      <c r="F7614" s="76" t="s">
        <v>150</v>
      </c>
      <c r="G7614" s="77" t="s">
        <v>242</v>
      </c>
      <c r="H7614" s="77" t="s">
        <v>174</v>
      </c>
      <c r="I7614" s="86">
        <v>41657</v>
      </c>
      <c r="J7614" s="78">
        <v>840</v>
      </c>
    </row>
    <row r="7615" spans="6:10" x14ac:dyDescent="0.25">
      <c r="F7615" s="76" t="s">
        <v>150</v>
      </c>
      <c r="G7615" s="77" t="s">
        <v>242</v>
      </c>
      <c r="H7615" s="77" t="s">
        <v>174</v>
      </c>
      <c r="I7615" s="86">
        <v>41658</v>
      </c>
      <c r="J7615" s="78">
        <v>846</v>
      </c>
    </row>
    <row r="7616" spans="6:10" x14ac:dyDescent="0.25">
      <c r="F7616" s="76" t="s">
        <v>150</v>
      </c>
      <c r="G7616" s="77" t="s">
        <v>242</v>
      </c>
      <c r="H7616" s="77" t="s">
        <v>174</v>
      </c>
      <c r="I7616" s="86">
        <v>41659</v>
      </c>
      <c r="J7616" s="78">
        <v>856</v>
      </c>
    </row>
    <row r="7617" spans="6:10" x14ac:dyDescent="0.25">
      <c r="F7617" s="76" t="s">
        <v>150</v>
      </c>
      <c r="G7617" s="77" t="s">
        <v>242</v>
      </c>
      <c r="H7617" s="77" t="s">
        <v>174</v>
      </c>
      <c r="I7617" s="86">
        <v>41662</v>
      </c>
      <c r="J7617" s="78">
        <v>1774</v>
      </c>
    </row>
    <row r="7618" spans="6:10" x14ac:dyDescent="0.25">
      <c r="F7618" s="76" t="s">
        <v>150</v>
      </c>
      <c r="G7618" s="77" t="s">
        <v>242</v>
      </c>
      <c r="H7618" s="77" t="s">
        <v>174</v>
      </c>
      <c r="I7618" s="86">
        <v>41663</v>
      </c>
      <c r="J7618" s="78">
        <v>773</v>
      </c>
    </row>
    <row r="7619" spans="6:10" x14ac:dyDescent="0.25">
      <c r="F7619" s="76" t="s">
        <v>150</v>
      </c>
      <c r="G7619" s="77" t="s">
        <v>242</v>
      </c>
      <c r="H7619" s="77" t="s">
        <v>174</v>
      </c>
      <c r="I7619" s="86">
        <v>41664</v>
      </c>
      <c r="J7619" s="78">
        <v>1010</v>
      </c>
    </row>
    <row r="7620" spans="6:10" x14ac:dyDescent="0.25">
      <c r="F7620" s="76" t="s">
        <v>150</v>
      </c>
      <c r="G7620" s="77" t="s">
        <v>242</v>
      </c>
      <c r="H7620" s="77" t="s">
        <v>174</v>
      </c>
      <c r="I7620" s="86">
        <v>41665</v>
      </c>
      <c r="J7620" s="78">
        <v>1027</v>
      </c>
    </row>
    <row r="7621" spans="6:10" x14ac:dyDescent="0.25">
      <c r="F7621" s="76" t="s">
        <v>150</v>
      </c>
      <c r="G7621" s="77" t="s">
        <v>242</v>
      </c>
      <c r="H7621" s="77" t="s">
        <v>174</v>
      </c>
      <c r="I7621" s="86">
        <v>41666</v>
      </c>
      <c r="J7621" s="78">
        <v>909</v>
      </c>
    </row>
    <row r="7622" spans="6:10" x14ac:dyDescent="0.25">
      <c r="F7622" s="76" t="s">
        <v>150</v>
      </c>
      <c r="G7622" s="77" t="s">
        <v>242</v>
      </c>
      <c r="H7622" s="77" t="s">
        <v>174</v>
      </c>
      <c r="I7622" s="86">
        <v>41667</v>
      </c>
      <c r="J7622" s="78">
        <v>650</v>
      </c>
    </row>
    <row r="7623" spans="6:10" x14ac:dyDescent="0.25">
      <c r="F7623" s="76" t="s">
        <v>150</v>
      </c>
      <c r="G7623" s="77" t="s">
        <v>242</v>
      </c>
      <c r="H7623" s="77" t="s">
        <v>174</v>
      </c>
      <c r="I7623" s="86">
        <v>41669</v>
      </c>
      <c r="J7623" s="78">
        <v>1173</v>
      </c>
    </row>
    <row r="7624" spans="6:10" x14ac:dyDescent="0.25">
      <c r="F7624" s="76" t="s">
        <v>150</v>
      </c>
      <c r="G7624" s="77" t="s">
        <v>242</v>
      </c>
      <c r="H7624" s="77" t="s">
        <v>174</v>
      </c>
      <c r="I7624" s="86">
        <v>41670</v>
      </c>
      <c r="J7624" s="78">
        <v>1167</v>
      </c>
    </row>
    <row r="7625" spans="6:10" x14ac:dyDescent="0.25">
      <c r="F7625" s="76" t="s">
        <v>150</v>
      </c>
      <c r="G7625" s="77" t="s">
        <v>242</v>
      </c>
      <c r="H7625" s="77" t="s">
        <v>174</v>
      </c>
      <c r="I7625" s="86">
        <v>41672</v>
      </c>
      <c r="J7625" s="78">
        <v>1330</v>
      </c>
    </row>
    <row r="7626" spans="6:10" x14ac:dyDescent="0.25">
      <c r="F7626" s="76" t="s">
        <v>150</v>
      </c>
      <c r="G7626" s="77" t="s">
        <v>242</v>
      </c>
      <c r="H7626" s="77" t="s">
        <v>174</v>
      </c>
      <c r="I7626" s="86">
        <v>41673</v>
      </c>
      <c r="J7626" s="78">
        <v>865</v>
      </c>
    </row>
    <row r="7627" spans="6:10" x14ac:dyDescent="0.25">
      <c r="F7627" s="76" t="s">
        <v>150</v>
      </c>
      <c r="G7627" s="77" t="s">
        <v>242</v>
      </c>
      <c r="H7627" s="77" t="s">
        <v>174</v>
      </c>
      <c r="I7627" s="86">
        <v>41676</v>
      </c>
      <c r="J7627" s="78">
        <v>1530</v>
      </c>
    </row>
    <row r="7628" spans="6:10" x14ac:dyDescent="0.25">
      <c r="F7628" s="76" t="s">
        <v>150</v>
      </c>
      <c r="G7628" s="77" t="s">
        <v>242</v>
      </c>
      <c r="H7628" s="77" t="s">
        <v>174</v>
      </c>
      <c r="I7628" s="86">
        <v>41677</v>
      </c>
      <c r="J7628" s="78">
        <v>498</v>
      </c>
    </row>
    <row r="7629" spans="6:10" x14ac:dyDescent="0.25">
      <c r="F7629" s="76" t="s">
        <v>150</v>
      </c>
      <c r="G7629" s="77" t="s">
        <v>242</v>
      </c>
      <c r="H7629" s="77" t="s">
        <v>174</v>
      </c>
      <c r="I7629" s="86">
        <v>41678</v>
      </c>
      <c r="J7629" s="78">
        <v>894</v>
      </c>
    </row>
    <row r="7630" spans="6:10" x14ac:dyDescent="0.25">
      <c r="F7630" s="76" t="s">
        <v>150</v>
      </c>
      <c r="G7630" s="77" t="s">
        <v>242</v>
      </c>
      <c r="H7630" s="77" t="s">
        <v>174</v>
      </c>
      <c r="I7630" s="86">
        <v>41680</v>
      </c>
      <c r="J7630" s="78">
        <v>1188</v>
      </c>
    </row>
    <row r="7631" spans="6:10" x14ac:dyDescent="0.25">
      <c r="F7631" s="76" t="s">
        <v>150</v>
      </c>
      <c r="G7631" s="77" t="s">
        <v>242</v>
      </c>
      <c r="H7631" s="77" t="s">
        <v>174</v>
      </c>
      <c r="I7631" s="86">
        <v>41686</v>
      </c>
      <c r="J7631" s="78">
        <v>1301</v>
      </c>
    </row>
    <row r="7632" spans="6:10" x14ac:dyDescent="0.25">
      <c r="F7632" s="76" t="s">
        <v>150</v>
      </c>
      <c r="G7632" s="77" t="s">
        <v>242</v>
      </c>
      <c r="H7632" s="77" t="s">
        <v>174</v>
      </c>
      <c r="I7632" s="86">
        <v>41690</v>
      </c>
      <c r="J7632" s="78">
        <v>1744</v>
      </c>
    </row>
    <row r="7633" spans="6:10" x14ac:dyDescent="0.25">
      <c r="F7633" s="76" t="s">
        <v>150</v>
      </c>
      <c r="G7633" s="77" t="s">
        <v>242</v>
      </c>
      <c r="H7633" s="77" t="s">
        <v>174</v>
      </c>
      <c r="I7633" s="86">
        <v>41691</v>
      </c>
      <c r="J7633" s="78">
        <v>816</v>
      </c>
    </row>
    <row r="7634" spans="6:10" x14ac:dyDescent="0.25">
      <c r="F7634" s="76" t="s">
        <v>150</v>
      </c>
      <c r="G7634" s="77" t="s">
        <v>242</v>
      </c>
      <c r="H7634" s="77" t="s">
        <v>174</v>
      </c>
      <c r="I7634" s="86">
        <v>41691</v>
      </c>
      <c r="J7634" s="78">
        <v>970</v>
      </c>
    </row>
    <row r="7635" spans="6:10" x14ac:dyDescent="0.25">
      <c r="F7635" s="76" t="s">
        <v>150</v>
      </c>
      <c r="G7635" s="77" t="s">
        <v>242</v>
      </c>
      <c r="H7635" s="77" t="s">
        <v>174</v>
      </c>
      <c r="I7635" s="86">
        <v>41693</v>
      </c>
      <c r="J7635" s="78">
        <v>1268</v>
      </c>
    </row>
    <row r="7636" spans="6:10" x14ac:dyDescent="0.25">
      <c r="F7636" s="76" t="s">
        <v>150</v>
      </c>
      <c r="G7636" s="77" t="s">
        <v>242</v>
      </c>
      <c r="H7636" s="77" t="s">
        <v>174</v>
      </c>
      <c r="I7636" s="86">
        <v>41695</v>
      </c>
      <c r="J7636" s="78">
        <v>1201</v>
      </c>
    </row>
    <row r="7637" spans="6:10" x14ac:dyDescent="0.25">
      <c r="F7637" s="76" t="s">
        <v>150</v>
      </c>
      <c r="G7637" s="77" t="s">
        <v>242</v>
      </c>
      <c r="H7637" s="77" t="s">
        <v>174</v>
      </c>
      <c r="I7637" s="86">
        <v>41697</v>
      </c>
      <c r="J7637" s="78">
        <v>1037</v>
      </c>
    </row>
    <row r="7638" spans="6:10" x14ac:dyDescent="0.25">
      <c r="F7638" s="76" t="s">
        <v>150</v>
      </c>
      <c r="G7638" s="77" t="s">
        <v>242</v>
      </c>
      <c r="H7638" s="77" t="s">
        <v>174</v>
      </c>
      <c r="I7638" s="86">
        <v>41699</v>
      </c>
      <c r="J7638" s="78">
        <v>1457</v>
      </c>
    </row>
    <row r="7639" spans="6:10" x14ac:dyDescent="0.25">
      <c r="F7639" s="76" t="s">
        <v>150</v>
      </c>
      <c r="G7639" s="77" t="s">
        <v>242</v>
      </c>
      <c r="H7639" s="77" t="s">
        <v>174</v>
      </c>
      <c r="I7639" s="86">
        <v>41700</v>
      </c>
      <c r="J7639" s="78">
        <v>935</v>
      </c>
    </row>
    <row r="7640" spans="6:10" x14ac:dyDescent="0.25">
      <c r="F7640" s="76" t="s">
        <v>150</v>
      </c>
      <c r="G7640" s="77" t="s">
        <v>242</v>
      </c>
      <c r="H7640" s="77" t="s">
        <v>174</v>
      </c>
      <c r="I7640" s="86">
        <v>41701</v>
      </c>
      <c r="J7640" s="78">
        <v>734</v>
      </c>
    </row>
    <row r="7641" spans="6:10" x14ac:dyDescent="0.25">
      <c r="F7641" s="76" t="s">
        <v>150</v>
      </c>
      <c r="G7641" s="77" t="s">
        <v>242</v>
      </c>
      <c r="H7641" s="77" t="s">
        <v>174</v>
      </c>
      <c r="I7641" s="86">
        <v>41702</v>
      </c>
      <c r="J7641" s="78">
        <v>1118</v>
      </c>
    </row>
    <row r="7642" spans="6:10" x14ac:dyDescent="0.25">
      <c r="F7642" s="76" t="s">
        <v>150</v>
      </c>
      <c r="G7642" s="77" t="s">
        <v>242</v>
      </c>
      <c r="H7642" s="77" t="s">
        <v>174</v>
      </c>
      <c r="I7642" s="86">
        <v>41704</v>
      </c>
      <c r="J7642" s="78">
        <v>959</v>
      </c>
    </row>
    <row r="7643" spans="6:10" x14ac:dyDescent="0.25">
      <c r="F7643" s="76" t="s">
        <v>150</v>
      </c>
      <c r="G7643" s="77" t="s">
        <v>242</v>
      </c>
      <c r="H7643" s="77" t="s">
        <v>174</v>
      </c>
      <c r="I7643" s="86">
        <v>41706</v>
      </c>
      <c r="J7643" s="78">
        <v>1816</v>
      </c>
    </row>
    <row r="7644" spans="6:10" x14ac:dyDescent="0.25">
      <c r="F7644" s="76" t="s">
        <v>150</v>
      </c>
      <c r="G7644" s="77" t="s">
        <v>242</v>
      </c>
      <c r="H7644" s="77" t="s">
        <v>174</v>
      </c>
      <c r="I7644" s="86">
        <v>41708</v>
      </c>
      <c r="J7644" s="78">
        <v>1017</v>
      </c>
    </row>
    <row r="7645" spans="6:10" x14ac:dyDescent="0.25">
      <c r="F7645" s="76" t="s">
        <v>150</v>
      </c>
      <c r="G7645" s="77" t="s">
        <v>242</v>
      </c>
      <c r="H7645" s="77" t="s">
        <v>174</v>
      </c>
      <c r="I7645" s="86">
        <v>41709</v>
      </c>
      <c r="J7645" s="78">
        <v>1235</v>
      </c>
    </row>
    <row r="7646" spans="6:10" x14ac:dyDescent="0.25">
      <c r="F7646" s="76" t="s">
        <v>150</v>
      </c>
      <c r="G7646" s="77" t="s">
        <v>242</v>
      </c>
      <c r="H7646" s="77" t="s">
        <v>174</v>
      </c>
      <c r="I7646" s="86">
        <v>41725</v>
      </c>
      <c r="J7646" s="78">
        <v>1311</v>
      </c>
    </row>
    <row r="7647" spans="6:10" x14ac:dyDescent="0.25">
      <c r="F7647" s="76" t="s">
        <v>150</v>
      </c>
      <c r="G7647" s="77" t="s">
        <v>242</v>
      </c>
      <c r="H7647" s="77" t="s">
        <v>174</v>
      </c>
      <c r="I7647" s="86">
        <v>41731</v>
      </c>
      <c r="J7647" s="78">
        <v>1294</v>
      </c>
    </row>
    <row r="7648" spans="6:10" x14ac:dyDescent="0.25">
      <c r="F7648" s="76" t="s">
        <v>150</v>
      </c>
      <c r="G7648" s="77" t="s">
        <v>242</v>
      </c>
      <c r="H7648" s="77" t="s">
        <v>174</v>
      </c>
      <c r="I7648" s="86">
        <v>41733</v>
      </c>
      <c r="J7648" s="78">
        <v>751</v>
      </c>
    </row>
    <row r="7649" spans="6:10" x14ac:dyDescent="0.25">
      <c r="F7649" s="76" t="s">
        <v>150</v>
      </c>
      <c r="G7649" s="77" t="s">
        <v>242</v>
      </c>
      <c r="H7649" s="77" t="s">
        <v>174</v>
      </c>
      <c r="I7649" s="86">
        <v>41734</v>
      </c>
      <c r="J7649" s="78">
        <v>807</v>
      </c>
    </row>
    <row r="7650" spans="6:10" x14ac:dyDescent="0.25">
      <c r="F7650" s="76" t="s">
        <v>150</v>
      </c>
      <c r="G7650" s="77" t="s">
        <v>242</v>
      </c>
      <c r="H7650" s="77" t="s">
        <v>174</v>
      </c>
      <c r="I7650" s="86">
        <v>41736</v>
      </c>
      <c r="J7650" s="78">
        <v>1016</v>
      </c>
    </row>
    <row r="7651" spans="6:10" x14ac:dyDescent="0.25">
      <c r="F7651" s="76" t="s">
        <v>150</v>
      </c>
      <c r="G7651" s="77" t="s">
        <v>242</v>
      </c>
      <c r="H7651" s="77" t="s">
        <v>174</v>
      </c>
      <c r="I7651" s="86">
        <v>41738</v>
      </c>
      <c r="J7651" s="78">
        <v>931</v>
      </c>
    </row>
    <row r="7652" spans="6:10" x14ac:dyDescent="0.25">
      <c r="F7652" s="76" t="s">
        <v>150</v>
      </c>
      <c r="G7652" s="77" t="s">
        <v>242</v>
      </c>
      <c r="H7652" s="77" t="s">
        <v>174</v>
      </c>
      <c r="I7652" s="86">
        <v>41739</v>
      </c>
      <c r="J7652" s="78">
        <v>829</v>
      </c>
    </row>
    <row r="7653" spans="6:10" x14ac:dyDescent="0.25">
      <c r="F7653" s="76" t="s">
        <v>150</v>
      </c>
      <c r="G7653" s="77" t="s">
        <v>242</v>
      </c>
      <c r="H7653" s="77" t="s">
        <v>174</v>
      </c>
      <c r="I7653" s="86">
        <v>41740</v>
      </c>
      <c r="J7653" s="78">
        <v>1102</v>
      </c>
    </row>
    <row r="7654" spans="6:10" x14ac:dyDescent="0.25">
      <c r="F7654" s="76" t="s">
        <v>150</v>
      </c>
      <c r="G7654" s="77" t="s">
        <v>242</v>
      </c>
      <c r="H7654" s="77" t="s">
        <v>174</v>
      </c>
      <c r="I7654" s="86">
        <v>41743</v>
      </c>
      <c r="J7654" s="78">
        <v>648</v>
      </c>
    </row>
    <row r="7655" spans="6:10" x14ac:dyDescent="0.25">
      <c r="F7655" s="76" t="s">
        <v>150</v>
      </c>
      <c r="G7655" s="77" t="s">
        <v>242</v>
      </c>
      <c r="H7655" s="77" t="s">
        <v>174</v>
      </c>
      <c r="I7655" s="86">
        <v>41744</v>
      </c>
      <c r="J7655" s="78">
        <v>1068</v>
      </c>
    </row>
    <row r="7656" spans="6:10" x14ac:dyDescent="0.25">
      <c r="F7656" s="76" t="s">
        <v>150</v>
      </c>
      <c r="G7656" s="77" t="s">
        <v>242</v>
      </c>
      <c r="H7656" s="77" t="s">
        <v>174</v>
      </c>
      <c r="I7656" s="86">
        <v>41745</v>
      </c>
      <c r="J7656" s="78">
        <v>405</v>
      </c>
    </row>
    <row r="7657" spans="6:10" x14ac:dyDescent="0.25">
      <c r="F7657" s="76" t="s">
        <v>150</v>
      </c>
      <c r="G7657" s="77" t="s">
        <v>242</v>
      </c>
      <c r="H7657" s="77" t="s">
        <v>174</v>
      </c>
      <c r="I7657" s="86">
        <v>41746</v>
      </c>
      <c r="J7657" s="78">
        <v>1177</v>
      </c>
    </row>
    <row r="7658" spans="6:10" x14ac:dyDescent="0.25">
      <c r="F7658" s="76" t="s">
        <v>150</v>
      </c>
      <c r="G7658" s="77" t="s">
        <v>242</v>
      </c>
      <c r="H7658" s="77" t="s">
        <v>174</v>
      </c>
      <c r="I7658" s="86">
        <v>41750</v>
      </c>
      <c r="J7658" s="78">
        <v>990</v>
      </c>
    </row>
    <row r="7659" spans="6:10" x14ac:dyDescent="0.25">
      <c r="F7659" s="76" t="s">
        <v>150</v>
      </c>
      <c r="G7659" s="77" t="s">
        <v>242</v>
      </c>
      <c r="H7659" s="77" t="s">
        <v>174</v>
      </c>
      <c r="I7659" s="86">
        <v>41860</v>
      </c>
      <c r="J7659" s="78">
        <v>1404</v>
      </c>
    </row>
    <row r="7660" spans="6:10" x14ac:dyDescent="0.25">
      <c r="F7660" s="76" t="s">
        <v>150</v>
      </c>
      <c r="G7660" s="77" t="s">
        <v>242</v>
      </c>
      <c r="H7660" s="77" t="s">
        <v>174</v>
      </c>
      <c r="I7660" s="86">
        <v>41863</v>
      </c>
      <c r="J7660" s="78">
        <v>1227</v>
      </c>
    </row>
    <row r="7661" spans="6:10" x14ac:dyDescent="0.25">
      <c r="F7661" s="76" t="s">
        <v>150</v>
      </c>
      <c r="G7661" s="77" t="s">
        <v>242</v>
      </c>
      <c r="H7661" s="77" t="s">
        <v>174</v>
      </c>
      <c r="I7661" s="86">
        <v>41865</v>
      </c>
      <c r="J7661" s="78">
        <v>414</v>
      </c>
    </row>
    <row r="7662" spans="6:10" x14ac:dyDescent="0.25">
      <c r="F7662" s="76" t="s">
        <v>150</v>
      </c>
      <c r="G7662" s="77" t="s">
        <v>242</v>
      </c>
      <c r="H7662" s="77" t="s">
        <v>174</v>
      </c>
      <c r="I7662" s="86">
        <v>41865</v>
      </c>
      <c r="J7662" s="78">
        <v>1000</v>
      </c>
    </row>
    <row r="7663" spans="6:10" x14ac:dyDescent="0.25">
      <c r="F7663" s="76" t="s">
        <v>150</v>
      </c>
      <c r="G7663" s="77" t="s">
        <v>242</v>
      </c>
      <c r="H7663" s="77" t="s">
        <v>174</v>
      </c>
      <c r="I7663" s="86">
        <v>41866</v>
      </c>
      <c r="J7663" s="78">
        <v>708</v>
      </c>
    </row>
    <row r="7664" spans="6:10" x14ac:dyDescent="0.25">
      <c r="F7664" s="76" t="s">
        <v>150</v>
      </c>
      <c r="G7664" s="77" t="s">
        <v>242</v>
      </c>
      <c r="H7664" s="77" t="s">
        <v>174</v>
      </c>
      <c r="I7664" s="86">
        <v>41868</v>
      </c>
      <c r="J7664" s="78">
        <v>1506</v>
      </c>
    </row>
    <row r="7665" spans="6:10" x14ac:dyDescent="0.25">
      <c r="F7665" s="76" t="s">
        <v>150</v>
      </c>
      <c r="G7665" s="77" t="s">
        <v>242</v>
      </c>
      <c r="H7665" s="77" t="s">
        <v>174</v>
      </c>
      <c r="I7665" s="86">
        <v>41872</v>
      </c>
      <c r="J7665" s="78">
        <v>1276</v>
      </c>
    </row>
    <row r="7666" spans="6:10" x14ac:dyDescent="0.25">
      <c r="F7666" s="76" t="s">
        <v>150</v>
      </c>
      <c r="G7666" s="77" t="s">
        <v>309</v>
      </c>
      <c r="H7666" s="77" t="s">
        <v>174</v>
      </c>
      <c r="I7666" s="86">
        <v>41842</v>
      </c>
      <c r="J7666" s="78">
        <v>774</v>
      </c>
    </row>
    <row r="7667" spans="6:10" x14ac:dyDescent="0.25">
      <c r="F7667" s="76" t="s">
        <v>150</v>
      </c>
      <c r="G7667" s="77" t="s">
        <v>309</v>
      </c>
      <c r="H7667" s="77" t="s">
        <v>174</v>
      </c>
      <c r="I7667" s="86">
        <v>41844</v>
      </c>
      <c r="J7667" s="78">
        <v>1214</v>
      </c>
    </row>
    <row r="7668" spans="6:10" x14ac:dyDescent="0.25">
      <c r="F7668" s="76" t="s">
        <v>150</v>
      </c>
      <c r="G7668" s="77" t="s">
        <v>309</v>
      </c>
      <c r="H7668" s="77" t="s">
        <v>174</v>
      </c>
      <c r="I7668" s="86">
        <v>41845</v>
      </c>
      <c r="J7668" s="78">
        <v>644</v>
      </c>
    </row>
    <row r="7669" spans="6:10" x14ac:dyDescent="0.25">
      <c r="F7669" s="76" t="s">
        <v>150</v>
      </c>
      <c r="G7669" s="77" t="s">
        <v>309</v>
      </c>
      <c r="H7669" s="77" t="s">
        <v>174</v>
      </c>
      <c r="I7669" s="86">
        <v>41848</v>
      </c>
      <c r="J7669" s="78">
        <v>719</v>
      </c>
    </row>
    <row r="7670" spans="6:10" x14ac:dyDescent="0.25">
      <c r="F7670" s="76" t="s">
        <v>150</v>
      </c>
      <c r="G7670" s="77" t="s">
        <v>309</v>
      </c>
      <c r="H7670" s="77" t="s">
        <v>174</v>
      </c>
      <c r="I7670" s="86">
        <v>41850</v>
      </c>
      <c r="J7670" s="78">
        <v>1563</v>
      </c>
    </row>
    <row r="7671" spans="6:10" x14ac:dyDescent="0.25">
      <c r="F7671" s="76" t="s">
        <v>150</v>
      </c>
      <c r="G7671" s="77" t="s">
        <v>309</v>
      </c>
      <c r="H7671" s="77" t="s">
        <v>174</v>
      </c>
      <c r="I7671" s="86">
        <v>41851</v>
      </c>
      <c r="J7671" s="78">
        <v>832</v>
      </c>
    </row>
    <row r="7672" spans="6:10" x14ac:dyDescent="0.25">
      <c r="F7672" s="76" t="s">
        <v>150</v>
      </c>
      <c r="G7672" s="77" t="s">
        <v>309</v>
      </c>
      <c r="H7672" s="77" t="s">
        <v>174</v>
      </c>
      <c r="I7672" s="86">
        <v>41855</v>
      </c>
      <c r="J7672" s="78">
        <v>1176</v>
      </c>
    </row>
    <row r="7673" spans="6:10" x14ac:dyDescent="0.25">
      <c r="F7673" s="76" t="s">
        <v>150</v>
      </c>
      <c r="G7673" s="77" t="s">
        <v>309</v>
      </c>
      <c r="H7673" s="77" t="s">
        <v>174</v>
      </c>
      <c r="I7673" s="86">
        <v>41856</v>
      </c>
      <c r="J7673" s="78">
        <v>1303</v>
      </c>
    </row>
    <row r="7674" spans="6:10" x14ac:dyDescent="0.25">
      <c r="F7674" s="76" t="s">
        <v>150</v>
      </c>
      <c r="G7674" s="77" t="s">
        <v>309</v>
      </c>
      <c r="H7674" s="77" t="s">
        <v>174</v>
      </c>
      <c r="I7674" s="86">
        <v>41858</v>
      </c>
      <c r="J7674" s="78">
        <v>1032</v>
      </c>
    </row>
    <row r="7675" spans="6:10" x14ac:dyDescent="0.25">
      <c r="F7675" s="76" t="s">
        <v>150</v>
      </c>
      <c r="G7675" s="77" t="s">
        <v>309</v>
      </c>
      <c r="H7675" s="77" t="s">
        <v>174</v>
      </c>
      <c r="I7675" s="86">
        <v>41859</v>
      </c>
      <c r="J7675" s="78">
        <v>1115</v>
      </c>
    </row>
    <row r="7676" spans="6:10" x14ac:dyDescent="0.25">
      <c r="F7676" s="76" t="s">
        <v>150</v>
      </c>
      <c r="G7676" s="77" t="s">
        <v>309</v>
      </c>
      <c r="H7676" s="77" t="s">
        <v>174</v>
      </c>
      <c r="I7676" s="86">
        <v>41860</v>
      </c>
      <c r="J7676" s="78">
        <v>536</v>
      </c>
    </row>
    <row r="7677" spans="6:10" x14ac:dyDescent="0.25">
      <c r="F7677" s="76" t="s">
        <v>150</v>
      </c>
      <c r="G7677" s="77" t="s">
        <v>309</v>
      </c>
      <c r="H7677" s="77" t="s">
        <v>174</v>
      </c>
      <c r="I7677" s="86">
        <v>41862</v>
      </c>
      <c r="J7677" s="78">
        <v>1503</v>
      </c>
    </row>
    <row r="7678" spans="6:10" x14ac:dyDescent="0.25">
      <c r="F7678" s="76" t="s">
        <v>150</v>
      </c>
      <c r="G7678" s="77" t="s">
        <v>309</v>
      </c>
      <c r="H7678" s="77" t="s">
        <v>174</v>
      </c>
      <c r="I7678" s="86">
        <v>41864</v>
      </c>
      <c r="J7678" s="78">
        <v>1566</v>
      </c>
    </row>
    <row r="7679" spans="6:10" x14ac:dyDescent="0.25">
      <c r="F7679" s="76" t="s">
        <v>150</v>
      </c>
      <c r="G7679" s="77" t="s">
        <v>309</v>
      </c>
      <c r="H7679" s="77" t="s">
        <v>174</v>
      </c>
      <c r="I7679" s="86">
        <v>41865</v>
      </c>
      <c r="J7679" s="78">
        <v>624</v>
      </c>
    </row>
    <row r="7680" spans="6:10" x14ac:dyDescent="0.25">
      <c r="F7680" s="76" t="s">
        <v>150</v>
      </c>
      <c r="G7680" s="77" t="s">
        <v>309</v>
      </c>
      <c r="H7680" s="77" t="s">
        <v>174</v>
      </c>
      <c r="I7680" s="86">
        <v>41866</v>
      </c>
      <c r="J7680" s="78">
        <v>550</v>
      </c>
    </row>
    <row r="7681" spans="6:10" x14ac:dyDescent="0.25">
      <c r="F7681" s="76" t="s">
        <v>150</v>
      </c>
      <c r="G7681" s="77" t="s">
        <v>309</v>
      </c>
      <c r="H7681" s="77" t="s">
        <v>174</v>
      </c>
      <c r="I7681" s="86">
        <v>41869</v>
      </c>
      <c r="J7681" s="78">
        <v>1204</v>
      </c>
    </row>
    <row r="7682" spans="6:10" x14ac:dyDescent="0.25">
      <c r="F7682" s="76" t="s">
        <v>150</v>
      </c>
      <c r="G7682" s="77" t="s">
        <v>309</v>
      </c>
      <c r="H7682" s="77" t="s">
        <v>174</v>
      </c>
      <c r="I7682" s="86">
        <v>41871</v>
      </c>
      <c r="J7682" s="78">
        <v>676</v>
      </c>
    </row>
    <row r="7683" spans="6:10" x14ac:dyDescent="0.25">
      <c r="F7683" s="76" t="s">
        <v>150</v>
      </c>
      <c r="G7683" s="77" t="s">
        <v>309</v>
      </c>
      <c r="H7683" s="77" t="s">
        <v>174</v>
      </c>
      <c r="I7683" s="86">
        <v>41872</v>
      </c>
      <c r="J7683" s="78">
        <v>1362</v>
      </c>
    </row>
    <row r="7684" spans="6:10" x14ac:dyDescent="0.25">
      <c r="F7684" s="76" t="s">
        <v>150</v>
      </c>
      <c r="G7684" s="77" t="s">
        <v>309</v>
      </c>
      <c r="H7684" s="77" t="s">
        <v>174</v>
      </c>
      <c r="I7684" s="86">
        <v>41874</v>
      </c>
      <c r="J7684" s="78">
        <v>1047</v>
      </c>
    </row>
    <row r="7685" spans="6:10" x14ac:dyDescent="0.25">
      <c r="F7685" s="76" t="s">
        <v>150</v>
      </c>
      <c r="G7685" s="77" t="s">
        <v>309</v>
      </c>
      <c r="H7685" s="77" t="s">
        <v>174</v>
      </c>
      <c r="I7685" s="86">
        <v>41875</v>
      </c>
      <c r="J7685" s="78">
        <v>861</v>
      </c>
    </row>
    <row r="7686" spans="6:10" x14ac:dyDescent="0.25">
      <c r="F7686" s="76" t="s">
        <v>150</v>
      </c>
      <c r="G7686" s="77" t="s">
        <v>309</v>
      </c>
      <c r="H7686" s="77" t="s">
        <v>174</v>
      </c>
      <c r="I7686" s="86">
        <v>41876</v>
      </c>
      <c r="J7686" s="78">
        <v>1181</v>
      </c>
    </row>
    <row r="7687" spans="6:10" x14ac:dyDescent="0.25">
      <c r="F7687" s="76" t="s">
        <v>150</v>
      </c>
      <c r="G7687" s="77" t="s">
        <v>309</v>
      </c>
      <c r="H7687" s="77" t="s">
        <v>174</v>
      </c>
      <c r="I7687" s="86">
        <v>41878</v>
      </c>
      <c r="J7687" s="78">
        <v>1005</v>
      </c>
    </row>
    <row r="7688" spans="6:10" x14ac:dyDescent="0.25">
      <c r="F7688" s="76" t="s">
        <v>150</v>
      </c>
      <c r="G7688" s="77" t="s">
        <v>309</v>
      </c>
      <c r="H7688" s="77" t="s">
        <v>174</v>
      </c>
      <c r="I7688" s="86">
        <v>41880</v>
      </c>
      <c r="J7688" s="78">
        <v>1476</v>
      </c>
    </row>
    <row r="7689" spans="6:10" x14ac:dyDescent="0.25">
      <c r="F7689" s="76" t="s">
        <v>150</v>
      </c>
      <c r="G7689" s="77" t="s">
        <v>309</v>
      </c>
      <c r="H7689" s="77" t="s">
        <v>174</v>
      </c>
      <c r="I7689" s="86">
        <v>41881</v>
      </c>
      <c r="J7689" s="78">
        <v>943</v>
      </c>
    </row>
    <row r="7690" spans="6:10" x14ac:dyDescent="0.25">
      <c r="F7690" s="76" t="s">
        <v>150</v>
      </c>
      <c r="G7690" s="77" t="s">
        <v>309</v>
      </c>
      <c r="H7690" s="77" t="s">
        <v>174</v>
      </c>
      <c r="I7690" s="86">
        <v>41882</v>
      </c>
      <c r="J7690" s="78">
        <v>471</v>
      </c>
    </row>
    <row r="7691" spans="6:10" x14ac:dyDescent="0.25">
      <c r="F7691" s="76" t="s">
        <v>150</v>
      </c>
      <c r="G7691" s="77" t="s">
        <v>309</v>
      </c>
      <c r="H7691" s="77" t="s">
        <v>174</v>
      </c>
      <c r="I7691" s="86">
        <v>41884</v>
      </c>
      <c r="J7691" s="78">
        <v>799</v>
      </c>
    </row>
    <row r="7692" spans="6:10" x14ac:dyDescent="0.25">
      <c r="F7692" s="76" t="s">
        <v>150</v>
      </c>
      <c r="G7692" s="77" t="s">
        <v>309</v>
      </c>
      <c r="H7692" s="77" t="s">
        <v>174</v>
      </c>
      <c r="I7692" s="86">
        <v>41885</v>
      </c>
      <c r="J7692" s="78">
        <v>1046</v>
      </c>
    </row>
    <row r="7693" spans="6:10" x14ac:dyDescent="0.25">
      <c r="F7693" s="76" t="s">
        <v>150</v>
      </c>
      <c r="G7693" s="77" t="s">
        <v>309</v>
      </c>
      <c r="H7693" s="77" t="s">
        <v>174</v>
      </c>
      <c r="I7693" s="86">
        <v>41886</v>
      </c>
      <c r="J7693" s="78">
        <v>559</v>
      </c>
    </row>
    <row r="7694" spans="6:10" x14ac:dyDescent="0.25">
      <c r="F7694" s="76" t="s">
        <v>150</v>
      </c>
      <c r="G7694" s="77" t="s">
        <v>309</v>
      </c>
      <c r="H7694" s="77" t="s">
        <v>174</v>
      </c>
      <c r="I7694" s="86">
        <v>41888</v>
      </c>
      <c r="J7694" s="78">
        <v>1593</v>
      </c>
    </row>
    <row r="7695" spans="6:10" x14ac:dyDescent="0.25">
      <c r="F7695" s="76" t="s">
        <v>150</v>
      </c>
      <c r="G7695" s="77" t="s">
        <v>309</v>
      </c>
      <c r="H7695" s="77" t="s">
        <v>174</v>
      </c>
      <c r="I7695" s="86">
        <v>41890</v>
      </c>
      <c r="J7695" s="78">
        <v>1151</v>
      </c>
    </row>
    <row r="7696" spans="6:10" x14ac:dyDescent="0.25">
      <c r="F7696" s="76" t="s">
        <v>150</v>
      </c>
      <c r="G7696" s="77" t="s">
        <v>309</v>
      </c>
      <c r="H7696" s="77" t="s">
        <v>174</v>
      </c>
      <c r="I7696" s="86">
        <v>41892</v>
      </c>
      <c r="J7696" s="78">
        <v>1212</v>
      </c>
    </row>
    <row r="7697" spans="6:10" x14ac:dyDescent="0.25">
      <c r="F7697" s="76" t="s">
        <v>150</v>
      </c>
      <c r="G7697" s="77" t="s">
        <v>309</v>
      </c>
      <c r="H7697" s="77" t="s">
        <v>174</v>
      </c>
      <c r="I7697" s="86">
        <v>41893</v>
      </c>
      <c r="J7697" s="78">
        <v>1261</v>
      </c>
    </row>
    <row r="7698" spans="6:10" x14ac:dyDescent="0.25">
      <c r="F7698" s="76" t="s">
        <v>150</v>
      </c>
      <c r="G7698" s="77" t="s">
        <v>309</v>
      </c>
      <c r="H7698" s="77" t="s">
        <v>174</v>
      </c>
      <c r="I7698" s="86">
        <v>41896</v>
      </c>
      <c r="J7698" s="78">
        <v>1034</v>
      </c>
    </row>
    <row r="7699" spans="6:10" x14ac:dyDescent="0.25">
      <c r="F7699" s="76" t="s">
        <v>150</v>
      </c>
      <c r="G7699" s="77" t="s">
        <v>309</v>
      </c>
      <c r="H7699" s="77" t="s">
        <v>174</v>
      </c>
      <c r="I7699" s="86">
        <v>41898</v>
      </c>
      <c r="J7699" s="78">
        <v>1265</v>
      </c>
    </row>
    <row r="7700" spans="6:10" x14ac:dyDescent="0.25">
      <c r="F7700" s="76" t="s">
        <v>150</v>
      </c>
      <c r="G7700" s="77" t="s">
        <v>309</v>
      </c>
      <c r="H7700" s="77" t="s">
        <v>174</v>
      </c>
      <c r="I7700" s="86">
        <v>41899</v>
      </c>
      <c r="J7700" s="78">
        <v>579</v>
      </c>
    </row>
    <row r="7701" spans="6:10" x14ac:dyDescent="0.25">
      <c r="F7701" s="76" t="s">
        <v>150</v>
      </c>
      <c r="G7701" s="77" t="s">
        <v>309</v>
      </c>
      <c r="H7701" s="77" t="s">
        <v>174</v>
      </c>
      <c r="I7701" s="86">
        <v>41900</v>
      </c>
      <c r="J7701" s="78">
        <v>1017</v>
      </c>
    </row>
    <row r="7702" spans="6:10" x14ac:dyDescent="0.25">
      <c r="F7702" s="76" t="s">
        <v>150</v>
      </c>
      <c r="G7702" s="77" t="s">
        <v>309</v>
      </c>
      <c r="H7702" s="77" t="s">
        <v>174</v>
      </c>
      <c r="I7702" s="86">
        <v>41901</v>
      </c>
      <c r="J7702" s="78">
        <v>568</v>
      </c>
    </row>
    <row r="7703" spans="6:10" x14ac:dyDescent="0.25">
      <c r="F7703" s="76" t="s">
        <v>150</v>
      </c>
      <c r="G7703" s="77" t="s">
        <v>309</v>
      </c>
      <c r="H7703" s="77" t="s">
        <v>174</v>
      </c>
      <c r="I7703" s="86">
        <v>41902</v>
      </c>
      <c r="J7703" s="78">
        <v>963</v>
      </c>
    </row>
    <row r="7704" spans="6:10" x14ac:dyDescent="0.25">
      <c r="F7704" s="76" t="s">
        <v>150</v>
      </c>
      <c r="G7704" s="77" t="s">
        <v>309</v>
      </c>
      <c r="H7704" s="77" t="s">
        <v>174</v>
      </c>
      <c r="I7704" s="86">
        <v>41903</v>
      </c>
      <c r="J7704" s="78">
        <v>797</v>
      </c>
    </row>
    <row r="7705" spans="6:10" x14ac:dyDescent="0.25">
      <c r="F7705" s="76" t="s">
        <v>150</v>
      </c>
      <c r="G7705" s="77" t="s">
        <v>309</v>
      </c>
      <c r="H7705" s="77" t="s">
        <v>174</v>
      </c>
      <c r="I7705" s="86">
        <v>41905</v>
      </c>
      <c r="J7705" s="78">
        <v>897</v>
      </c>
    </row>
    <row r="7706" spans="6:10" x14ac:dyDescent="0.25">
      <c r="F7706" s="76" t="s">
        <v>150</v>
      </c>
      <c r="G7706" s="77" t="s">
        <v>309</v>
      </c>
      <c r="H7706" s="77" t="s">
        <v>174</v>
      </c>
      <c r="I7706" s="86">
        <v>41908</v>
      </c>
      <c r="J7706" s="78">
        <v>547</v>
      </c>
    </row>
    <row r="7707" spans="6:10" x14ac:dyDescent="0.25">
      <c r="F7707" s="76" t="s">
        <v>150</v>
      </c>
      <c r="G7707" s="77" t="s">
        <v>309</v>
      </c>
      <c r="H7707" s="77" t="s">
        <v>174</v>
      </c>
      <c r="I7707" s="86">
        <v>41911</v>
      </c>
      <c r="J7707" s="78">
        <v>508</v>
      </c>
    </row>
    <row r="7708" spans="6:10" x14ac:dyDescent="0.25">
      <c r="F7708" s="76" t="s">
        <v>150</v>
      </c>
      <c r="G7708" s="77" t="s">
        <v>309</v>
      </c>
      <c r="H7708" s="77" t="s">
        <v>174</v>
      </c>
      <c r="I7708" s="86">
        <v>41912</v>
      </c>
      <c r="J7708" s="78">
        <v>1209</v>
      </c>
    </row>
    <row r="7709" spans="6:10" x14ac:dyDescent="0.25">
      <c r="F7709" s="76" t="s">
        <v>150</v>
      </c>
      <c r="G7709" s="77" t="s">
        <v>309</v>
      </c>
      <c r="H7709" s="77" t="s">
        <v>174</v>
      </c>
      <c r="I7709" s="86">
        <v>41913</v>
      </c>
      <c r="J7709" s="78">
        <v>576</v>
      </c>
    </row>
    <row r="7710" spans="6:10" x14ac:dyDescent="0.25">
      <c r="F7710" s="76" t="s">
        <v>150</v>
      </c>
      <c r="G7710" s="77" t="s">
        <v>309</v>
      </c>
      <c r="H7710" s="77" t="s">
        <v>174</v>
      </c>
      <c r="I7710" s="86">
        <v>41914</v>
      </c>
      <c r="J7710" s="78">
        <v>1291</v>
      </c>
    </row>
    <row r="7711" spans="6:10" x14ac:dyDescent="0.25">
      <c r="F7711" s="76" t="s">
        <v>150</v>
      </c>
      <c r="G7711" s="77" t="s">
        <v>309</v>
      </c>
      <c r="H7711" s="77" t="s">
        <v>174</v>
      </c>
      <c r="I7711" s="86">
        <v>41916</v>
      </c>
      <c r="J7711" s="78">
        <v>1335</v>
      </c>
    </row>
    <row r="7712" spans="6:10" x14ac:dyDescent="0.25">
      <c r="F7712" s="76" t="s">
        <v>150</v>
      </c>
      <c r="G7712" s="77" t="s">
        <v>309</v>
      </c>
      <c r="H7712" s="77" t="s">
        <v>174</v>
      </c>
      <c r="I7712" s="86">
        <v>41917</v>
      </c>
      <c r="J7712" s="78">
        <v>740</v>
      </c>
    </row>
    <row r="7713" spans="6:10" x14ac:dyDescent="0.25">
      <c r="F7713" s="76" t="s">
        <v>150</v>
      </c>
      <c r="G7713" s="77" t="s">
        <v>309</v>
      </c>
      <c r="H7713" s="77" t="s">
        <v>174</v>
      </c>
      <c r="I7713" s="86">
        <v>41918</v>
      </c>
      <c r="J7713" s="78">
        <v>1214</v>
      </c>
    </row>
    <row r="7714" spans="6:10" x14ac:dyDescent="0.25">
      <c r="F7714" s="76" t="s">
        <v>150</v>
      </c>
      <c r="G7714" s="77" t="s">
        <v>309</v>
      </c>
      <c r="H7714" s="77" t="s">
        <v>174</v>
      </c>
      <c r="I7714" s="86">
        <v>41919</v>
      </c>
      <c r="J7714" s="78">
        <v>501</v>
      </c>
    </row>
    <row r="7715" spans="6:10" x14ac:dyDescent="0.25">
      <c r="F7715" s="76" t="s">
        <v>150</v>
      </c>
      <c r="G7715" s="77" t="s">
        <v>309</v>
      </c>
      <c r="H7715" s="77" t="s">
        <v>174</v>
      </c>
      <c r="I7715" s="86">
        <v>41920</v>
      </c>
      <c r="J7715" s="78">
        <v>1311</v>
      </c>
    </row>
    <row r="7716" spans="6:10" x14ac:dyDescent="0.25">
      <c r="F7716" s="76" t="s">
        <v>150</v>
      </c>
      <c r="G7716" s="77" t="s">
        <v>309</v>
      </c>
      <c r="H7716" s="77" t="s">
        <v>174</v>
      </c>
      <c r="I7716" s="86">
        <v>41921</v>
      </c>
      <c r="J7716" s="78">
        <v>898</v>
      </c>
    </row>
    <row r="7717" spans="6:10" x14ac:dyDescent="0.25">
      <c r="F7717" s="76" t="s">
        <v>150</v>
      </c>
      <c r="G7717" s="77" t="s">
        <v>309</v>
      </c>
      <c r="H7717" s="77" t="s">
        <v>174</v>
      </c>
      <c r="I7717" s="86">
        <v>41922</v>
      </c>
      <c r="J7717" s="78">
        <v>900</v>
      </c>
    </row>
    <row r="7718" spans="6:10" x14ac:dyDescent="0.25">
      <c r="F7718" s="76" t="s">
        <v>150</v>
      </c>
      <c r="G7718" s="77" t="s">
        <v>309</v>
      </c>
      <c r="H7718" s="77" t="s">
        <v>174</v>
      </c>
      <c r="I7718" s="86">
        <v>41925</v>
      </c>
      <c r="J7718" s="78">
        <v>857</v>
      </c>
    </row>
    <row r="7719" spans="6:10" x14ac:dyDescent="0.25">
      <c r="F7719" s="76" t="s">
        <v>150</v>
      </c>
      <c r="G7719" s="77" t="s">
        <v>309</v>
      </c>
      <c r="H7719" s="77" t="s">
        <v>174</v>
      </c>
      <c r="I7719" s="86">
        <v>41927</v>
      </c>
      <c r="J7719" s="78">
        <v>1332</v>
      </c>
    </row>
    <row r="7720" spans="6:10" x14ac:dyDescent="0.25">
      <c r="F7720" s="76" t="s">
        <v>150</v>
      </c>
      <c r="G7720" s="77" t="s">
        <v>309</v>
      </c>
      <c r="H7720" s="77" t="s">
        <v>174</v>
      </c>
      <c r="I7720" s="86">
        <v>41928</v>
      </c>
      <c r="J7720" s="78">
        <v>694</v>
      </c>
    </row>
    <row r="7721" spans="6:10" x14ac:dyDescent="0.25">
      <c r="F7721" s="76" t="s">
        <v>150</v>
      </c>
      <c r="G7721" s="77" t="s">
        <v>309</v>
      </c>
      <c r="H7721" s="77" t="s">
        <v>174</v>
      </c>
      <c r="I7721" s="86">
        <v>41930</v>
      </c>
      <c r="J7721" s="78">
        <v>1284</v>
      </c>
    </row>
    <row r="7722" spans="6:10" x14ac:dyDescent="0.25">
      <c r="F7722" s="76" t="s">
        <v>150</v>
      </c>
      <c r="G7722" s="77" t="s">
        <v>309</v>
      </c>
      <c r="H7722" s="77" t="s">
        <v>174</v>
      </c>
      <c r="I7722" s="86">
        <v>41932</v>
      </c>
      <c r="J7722" s="78">
        <v>883</v>
      </c>
    </row>
    <row r="7723" spans="6:10" x14ac:dyDescent="0.25">
      <c r="F7723" s="76" t="s">
        <v>150</v>
      </c>
      <c r="G7723" s="77" t="s">
        <v>309</v>
      </c>
      <c r="H7723" s="77" t="s">
        <v>174</v>
      </c>
      <c r="I7723" s="86">
        <v>41933</v>
      </c>
      <c r="J7723" s="78">
        <v>487</v>
      </c>
    </row>
    <row r="7724" spans="6:10" x14ac:dyDescent="0.25">
      <c r="F7724" s="76" t="s">
        <v>150</v>
      </c>
      <c r="G7724" s="77" t="s">
        <v>309</v>
      </c>
      <c r="H7724" s="77" t="s">
        <v>174</v>
      </c>
      <c r="I7724" s="86">
        <v>41934</v>
      </c>
      <c r="J7724" s="78">
        <v>1135</v>
      </c>
    </row>
    <row r="7725" spans="6:10" x14ac:dyDescent="0.25">
      <c r="F7725" s="76" t="s">
        <v>150</v>
      </c>
      <c r="G7725" s="77" t="s">
        <v>309</v>
      </c>
      <c r="H7725" s="77" t="s">
        <v>174</v>
      </c>
      <c r="I7725" s="86">
        <v>41935</v>
      </c>
      <c r="J7725" s="78">
        <v>552</v>
      </c>
    </row>
    <row r="7726" spans="6:10" x14ac:dyDescent="0.25">
      <c r="F7726" s="76" t="s">
        <v>150</v>
      </c>
      <c r="G7726" s="77" t="s">
        <v>309</v>
      </c>
      <c r="H7726" s="77" t="s">
        <v>174</v>
      </c>
      <c r="I7726" s="86">
        <v>41936</v>
      </c>
      <c r="J7726" s="78">
        <v>1135</v>
      </c>
    </row>
    <row r="7727" spans="6:10" x14ac:dyDescent="0.25">
      <c r="F7727" s="76" t="s">
        <v>150</v>
      </c>
      <c r="G7727" s="77" t="s">
        <v>309</v>
      </c>
      <c r="H7727" s="77" t="s">
        <v>174</v>
      </c>
      <c r="I7727" s="86">
        <v>41939</v>
      </c>
      <c r="J7727" s="78">
        <v>453</v>
      </c>
    </row>
    <row r="7728" spans="6:10" x14ac:dyDescent="0.25">
      <c r="F7728" s="76" t="s">
        <v>150</v>
      </c>
      <c r="G7728" s="77" t="s">
        <v>309</v>
      </c>
      <c r="H7728" s="77" t="s">
        <v>174</v>
      </c>
      <c r="I7728" s="86">
        <v>41940</v>
      </c>
      <c r="J7728" s="78">
        <v>1264</v>
      </c>
    </row>
    <row r="7729" spans="6:10" x14ac:dyDescent="0.25">
      <c r="F7729" s="76" t="s">
        <v>150</v>
      </c>
      <c r="G7729" s="77" t="s">
        <v>309</v>
      </c>
      <c r="H7729" s="77" t="s">
        <v>174</v>
      </c>
      <c r="I7729" s="86">
        <v>41941</v>
      </c>
      <c r="J7729" s="78">
        <v>514</v>
      </c>
    </row>
    <row r="7730" spans="6:10" x14ac:dyDescent="0.25">
      <c r="F7730" s="76" t="s">
        <v>150</v>
      </c>
      <c r="G7730" s="77" t="s">
        <v>309</v>
      </c>
      <c r="H7730" s="77" t="s">
        <v>174</v>
      </c>
      <c r="I7730" s="86">
        <v>41942</v>
      </c>
      <c r="J7730" s="78">
        <v>1119</v>
      </c>
    </row>
    <row r="7731" spans="6:10" x14ac:dyDescent="0.25">
      <c r="F7731" s="76" t="s">
        <v>150</v>
      </c>
      <c r="G7731" s="77" t="s">
        <v>309</v>
      </c>
      <c r="H7731" s="77" t="s">
        <v>174</v>
      </c>
      <c r="I7731" s="86">
        <v>41949</v>
      </c>
      <c r="J7731" s="78">
        <v>980</v>
      </c>
    </row>
    <row r="7732" spans="6:10" x14ac:dyDescent="0.25">
      <c r="F7732" s="76" t="s">
        <v>150</v>
      </c>
      <c r="G7732" s="77" t="s">
        <v>309</v>
      </c>
      <c r="H7732" s="77" t="s">
        <v>174</v>
      </c>
      <c r="I7732" s="86">
        <v>41963</v>
      </c>
      <c r="J7732" s="78">
        <v>1352</v>
      </c>
    </row>
    <row r="7733" spans="6:10" x14ac:dyDescent="0.25">
      <c r="F7733" s="76" t="s">
        <v>150</v>
      </c>
      <c r="G7733" s="77" t="s">
        <v>243</v>
      </c>
      <c r="H7733" s="77" t="s">
        <v>174</v>
      </c>
      <c r="I7733" s="86">
        <v>41686</v>
      </c>
      <c r="J7733" s="78">
        <v>691</v>
      </c>
    </row>
    <row r="7734" spans="6:10" x14ac:dyDescent="0.25">
      <c r="F7734" s="76" t="s">
        <v>150</v>
      </c>
      <c r="G7734" s="77" t="s">
        <v>243</v>
      </c>
      <c r="H7734" s="77" t="s">
        <v>174</v>
      </c>
      <c r="I7734" s="86">
        <v>41689</v>
      </c>
      <c r="J7734" s="78">
        <v>965</v>
      </c>
    </row>
    <row r="7735" spans="6:10" x14ac:dyDescent="0.25">
      <c r="F7735" s="76" t="s">
        <v>150</v>
      </c>
      <c r="G7735" s="77" t="s">
        <v>243</v>
      </c>
      <c r="H7735" s="77" t="s">
        <v>174</v>
      </c>
      <c r="I7735" s="86">
        <v>41691</v>
      </c>
      <c r="J7735" s="78">
        <v>839</v>
      </c>
    </row>
    <row r="7736" spans="6:10" x14ac:dyDescent="0.25">
      <c r="F7736" s="76" t="s">
        <v>150</v>
      </c>
      <c r="G7736" s="77" t="s">
        <v>243</v>
      </c>
      <c r="H7736" s="77" t="s">
        <v>174</v>
      </c>
      <c r="I7736" s="86">
        <v>41692</v>
      </c>
      <c r="J7736" s="78">
        <v>721</v>
      </c>
    </row>
    <row r="7737" spans="6:10" x14ac:dyDescent="0.25">
      <c r="F7737" s="76" t="s">
        <v>150</v>
      </c>
      <c r="G7737" s="77" t="s">
        <v>243</v>
      </c>
      <c r="H7737" s="77" t="s">
        <v>174</v>
      </c>
      <c r="I7737" s="86">
        <v>41693</v>
      </c>
      <c r="J7737" s="78">
        <v>775</v>
      </c>
    </row>
    <row r="7738" spans="6:10" x14ac:dyDescent="0.25">
      <c r="F7738" s="76" t="s">
        <v>150</v>
      </c>
      <c r="G7738" s="77" t="s">
        <v>243</v>
      </c>
      <c r="H7738" s="77" t="s">
        <v>174</v>
      </c>
      <c r="I7738" s="86">
        <v>41694</v>
      </c>
      <c r="J7738" s="78">
        <v>777</v>
      </c>
    </row>
    <row r="7739" spans="6:10" x14ac:dyDescent="0.25">
      <c r="F7739" s="76" t="s">
        <v>150</v>
      </c>
      <c r="G7739" s="77" t="s">
        <v>243</v>
      </c>
      <c r="H7739" s="77" t="s">
        <v>174</v>
      </c>
      <c r="I7739" s="86">
        <v>41696</v>
      </c>
      <c r="J7739" s="78">
        <v>1098</v>
      </c>
    </row>
    <row r="7740" spans="6:10" x14ac:dyDescent="0.25">
      <c r="F7740" s="76" t="s">
        <v>150</v>
      </c>
      <c r="G7740" s="77" t="s">
        <v>243</v>
      </c>
      <c r="H7740" s="77" t="s">
        <v>174</v>
      </c>
      <c r="I7740" s="86">
        <v>41699</v>
      </c>
      <c r="J7740" s="78">
        <v>1443</v>
      </c>
    </row>
    <row r="7741" spans="6:10" x14ac:dyDescent="0.25">
      <c r="F7741" s="76" t="s">
        <v>150</v>
      </c>
      <c r="G7741" s="77" t="s">
        <v>243</v>
      </c>
      <c r="H7741" s="77" t="s">
        <v>174</v>
      </c>
      <c r="I7741" s="86">
        <v>41700</v>
      </c>
      <c r="J7741" s="78">
        <v>784</v>
      </c>
    </row>
    <row r="7742" spans="6:10" x14ac:dyDescent="0.25">
      <c r="F7742" s="76" t="s">
        <v>150</v>
      </c>
      <c r="G7742" s="77" t="s">
        <v>243</v>
      </c>
      <c r="H7742" s="77" t="s">
        <v>174</v>
      </c>
      <c r="I7742" s="86">
        <v>41702</v>
      </c>
      <c r="J7742" s="78">
        <v>1502</v>
      </c>
    </row>
    <row r="7743" spans="6:10" x14ac:dyDescent="0.25">
      <c r="F7743" s="76" t="s">
        <v>150</v>
      </c>
      <c r="G7743" s="77" t="s">
        <v>243</v>
      </c>
      <c r="H7743" s="77" t="s">
        <v>174</v>
      </c>
      <c r="I7743" s="86">
        <v>41703</v>
      </c>
      <c r="J7743" s="78">
        <v>699</v>
      </c>
    </row>
    <row r="7744" spans="6:10" x14ac:dyDescent="0.25">
      <c r="F7744" s="76" t="s">
        <v>150</v>
      </c>
      <c r="G7744" s="77" t="s">
        <v>243</v>
      </c>
      <c r="H7744" s="77" t="s">
        <v>174</v>
      </c>
      <c r="I7744" s="86">
        <v>41705</v>
      </c>
      <c r="J7744" s="78">
        <v>757</v>
      </c>
    </row>
    <row r="7745" spans="6:10" x14ac:dyDescent="0.25">
      <c r="F7745" s="76" t="s">
        <v>150</v>
      </c>
      <c r="G7745" s="77" t="s">
        <v>243</v>
      </c>
      <c r="H7745" s="77" t="s">
        <v>174</v>
      </c>
      <c r="I7745" s="86">
        <v>41706</v>
      </c>
      <c r="J7745" s="78">
        <v>1117</v>
      </c>
    </row>
    <row r="7746" spans="6:10" x14ac:dyDescent="0.25">
      <c r="F7746" s="76" t="s">
        <v>150</v>
      </c>
      <c r="G7746" s="77" t="s">
        <v>243</v>
      </c>
      <c r="H7746" s="77" t="s">
        <v>174</v>
      </c>
      <c r="I7746" s="86">
        <v>41707</v>
      </c>
      <c r="J7746" s="78">
        <v>753</v>
      </c>
    </row>
    <row r="7747" spans="6:10" x14ac:dyDescent="0.25">
      <c r="F7747" s="76" t="s">
        <v>150</v>
      </c>
      <c r="G7747" s="77" t="s">
        <v>243</v>
      </c>
      <c r="H7747" s="77" t="s">
        <v>174</v>
      </c>
      <c r="I7747" s="86">
        <v>41708</v>
      </c>
      <c r="J7747" s="78">
        <v>745</v>
      </c>
    </row>
    <row r="7748" spans="6:10" x14ac:dyDescent="0.25">
      <c r="F7748" s="76" t="s">
        <v>150</v>
      </c>
      <c r="G7748" s="77" t="s">
        <v>243</v>
      </c>
      <c r="H7748" s="77" t="s">
        <v>174</v>
      </c>
      <c r="I7748" s="86">
        <v>41710</v>
      </c>
      <c r="J7748" s="78">
        <v>1548</v>
      </c>
    </row>
    <row r="7749" spans="6:10" x14ac:dyDescent="0.25">
      <c r="F7749" s="76" t="s">
        <v>150</v>
      </c>
      <c r="G7749" s="77" t="s">
        <v>243</v>
      </c>
      <c r="H7749" s="77" t="s">
        <v>174</v>
      </c>
      <c r="I7749" s="86">
        <v>41712</v>
      </c>
      <c r="J7749" s="78">
        <v>1480</v>
      </c>
    </row>
    <row r="7750" spans="6:10" x14ac:dyDescent="0.25">
      <c r="F7750" s="76" t="s">
        <v>150</v>
      </c>
      <c r="G7750" s="77" t="s">
        <v>243</v>
      </c>
      <c r="H7750" s="77" t="s">
        <v>174</v>
      </c>
      <c r="I7750" s="86">
        <v>41714</v>
      </c>
      <c r="J7750" s="78">
        <v>1444</v>
      </c>
    </row>
    <row r="7751" spans="6:10" x14ac:dyDescent="0.25">
      <c r="F7751" s="76" t="s">
        <v>150</v>
      </c>
      <c r="G7751" s="77" t="s">
        <v>243</v>
      </c>
      <c r="H7751" s="77" t="s">
        <v>174</v>
      </c>
      <c r="I7751" s="86">
        <v>41715</v>
      </c>
      <c r="J7751" s="78">
        <v>801</v>
      </c>
    </row>
    <row r="7752" spans="6:10" x14ac:dyDescent="0.25">
      <c r="F7752" s="76" t="s">
        <v>150</v>
      </c>
      <c r="G7752" s="77" t="s">
        <v>243</v>
      </c>
      <c r="H7752" s="77" t="s">
        <v>174</v>
      </c>
      <c r="I7752" s="86">
        <v>41717</v>
      </c>
      <c r="J7752" s="78">
        <v>934</v>
      </c>
    </row>
    <row r="7753" spans="6:10" x14ac:dyDescent="0.25">
      <c r="F7753" s="76" t="s">
        <v>150</v>
      </c>
      <c r="G7753" s="77" t="s">
        <v>243</v>
      </c>
      <c r="H7753" s="77" t="s">
        <v>174</v>
      </c>
      <c r="I7753" s="86">
        <v>41719</v>
      </c>
      <c r="J7753" s="78">
        <v>901</v>
      </c>
    </row>
    <row r="7754" spans="6:10" x14ac:dyDescent="0.25">
      <c r="F7754" s="76" t="s">
        <v>150</v>
      </c>
      <c r="G7754" s="77" t="s">
        <v>243</v>
      </c>
      <c r="H7754" s="77" t="s">
        <v>174</v>
      </c>
      <c r="I7754" s="86">
        <v>41721</v>
      </c>
      <c r="J7754" s="78">
        <v>1022</v>
      </c>
    </row>
    <row r="7755" spans="6:10" x14ac:dyDescent="0.25">
      <c r="F7755" s="76" t="s">
        <v>150</v>
      </c>
      <c r="G7755" s="77" t="s">
        <v>243</v>
      </c>
      <c r="H7755" s="77" t="s">
        <v>174</v>
      </c>
      <c r="I7755" s="86">
        <v>41722</v>
      </c>
      <c r="J7755" s="78">
        <v>638</v>
      </c>
    </row>
    <row r="7756" spans="6:10" x14ac:dyDescent="0.25">
      <c r="F7756" s="76" t="s">
        <v>150</v>
      </c>
      <c r="G7756" s="77" t="s">
        <v>243</v>
      </c>
      <c r="H7756" s="77" t="s">
        <v>174</v>
      </c>
      <c r="I7756" s="86">
        <v>41724</v>
      </c>
      <c r="J7756" s="78">
        <v>1475</v>
      </c>
    </row>
    <row r="7757" spans="6:10" x14ac:dyDescent="0.25">
      <c r="F7757" s="76" t="s">
        <v>150</v>
      </c>
      <c r="G7757" s="77" t="s">
        <v>243</v>
      </c>
      <c r="H7757" s="77" t="s">
        <v>174</v>
      </c>
      <c r="I7757" s="86">
        <v>41726</v>
      </c>
      <c r="J7757" s="78">
        <v>1463</v>
      </c>
    </row>
    <row r="7758" spans="6:10" x14ac:dyDescent="0.25">
      <c r="F7758" s="76" t="s">
        <v>150</v>
      </c>
      <c r="G7758" s="77" t="s">
        <v>243</v>
      </c>
      <c r="H7758" s="77" t="s">
        <v>174</v>
      </c>
      <c r="I7758" s="86">
        <v>41727</v>
      </c>
      <c r="J7758" s="78">
        <v>582</v>
      </c>
    </row>
    <row r="7759" spans="6:10" x14ac:dyDescent="0.25">
      <c r="F7759" s="76" t="s">
        <v>150</v>
      </c>
      <c r="G7759" s="77" t="s">
        <v>243</v>
      </c>
      <c r="H7759" s="77" t="s">
        <v>174</v>
      </c>
      <c r="I7759" s="86">
        <v>41728</v>
      </c>
      <c r="J7759" s="78">
        <v>699</v>
      </c>
    </row>
    <row r="7760" spans="6:10" x14ac:dyDescent="0.25">
      <c r="F7760" s="76" t="s">
        <v>150</v>
      </c>
      <c r="G7760" s="77" t="s">
        <v>243</v>
      </c>
      <c r="H7760" s="77" t="s">
        <v>174</v>
      </c>
      <c r="I7760" s="86">
        <v>41729</v>
      </c>
      <c r="J7760" s="78">
        <v>741</v>
      </c>
    </row>
    <row r="7761" spans="6:10" x14ac:dyDescent="0.25">
      <c r="F7761" s="76" t="s">
        <v>150</v>
      </c>
      <c r="G7761" s="77" t="s">
        <v>243</v>
      </c>
      <c r="H7761" s="77" t="s">
        <v>174</v>
      </c>
      <c r="I7761" s="86">
        <v>41731</v>
      </c>
      <c r="J7761" s="78">
        <v>1424</v>
      </c>
    </row>
    <row r="7762" spans="6:10" x14ac:dyDescent="0.25">
      <c r="F7762" s="76" t="s">
        <v>150</v>
      </c>
      <c r="G7762" s="77" t="s">
        <v>243</v>
      </c>
      <c r="H7762" s="77" t="s">
        <v>174</v>
      </c>
      <c r="I7762" s="86">
        <v>41733</v>
      </c>
      <c r="J7762" s="78">
        <v>965</v>
      </c>
    </row>
    <row r="7763" spans="6:10" x14ac:dyDescent="0.25">
      <c r="F7763" s="76" t="s">
        <v>150</v>
      </c>
      <c r="G7763" s="77" t="s">
        <v>243</v>
      </c>
      <c r="H7763" s="77" t="s">
        <v>174</v>
      </c>
      <c r="I7763" s="86">
        <v>41736</v>
      </c>
      <c r="J7763" s="78">
        <v>1228</v>
      </c>
    </row>
    <row r="7764" spans="6:10" x14ac:dyDescent="0.25">
      <c r="F7764" s="76" t="s">
        <v>150</v>
      </c>
      <c r="G7764" s="77" t="s">
        <v>243</v>
      </c>
      <c r="H7764" s="77" t="s">
        <v>174</v>
      </c>
      <c r="I7764" s="86">
        <v>41738</v>
      </c>
      <c r="J7764" s="78">
        <v>1428</v>
      </c>
    </row>
    <row r="7765" spans="6:10" x14ac:dyDescent="0.25">
      <c r="F7765" s="76" t="s">
        <v>150</v>
      </c>
      <c r="G7765" s="77" t="s">
        <v>243</v>
      </c>
      <c r="H7765" s="77" t="s">
        <v>174</v>
      </c>
      <c r="I7765" s="86">
        <v>41740</v>
      </c>
      <c r="J7765" s="78">
        <v>967</v>
      </c>
    </row>
    <row r="7766" spans="6:10" x14ac:dyDescent="0.25">
      <c r="F7766" s="76" t="s">
        <v>150</v>
      </c>
      <c r="G7766" s="77" t="s">
        <v>243</v>
      </c>
      <c r="H7766" s="77" t="s">
        <v>174</v>
      </c>
      <c r="I7766" s="86">
        <v>41741</v>
      </c>
      <c r="J7766" s="78">
        <v>483</v>
      </c>
    </row>
    <row r="7767" spans="6:10" x14ac:dyDescent="0.25">
      <c r="F7767" s="76" t="s">
        <v>150</v>
      </c>
      <c r="G7767" s="77" t="s">
        <v>243</v>
      </c>
      <c r="H7767" s="77" t="s">
        <v>174</v>
      </c>
      <c r="I7767" s="86">
        <v>41743</v>
      </c>
      <c r="J7767" s="78">
        <v>996</v>
      </c>
    </row>
    <row r="7768" spans="6:10" x14ac:dyDescent="0.25">
      <c r="F7768" s="76" t="s">
        <v>150</v>
      </c>
      <c r="G7768" s="77" t="s">
        <v>243</v>
      </c>
      <c r="H7768" s="77" t="s">
        <v>174</v>
      </c>
      <c r="I7768" s="86">
        <v>41745</v>
      </c>
      <c r="J7768" s="78">
        <v>1352</v>
      </c>
    </row>
    <row r="7769" spans="6:10" x14ac:dyDescent="0.25">
      <c r="F7769" s="76" t="s">
        <v>150</v>
      </c>
      <c r="G7769" s="77" t="s">
        <v>243</v>
      </c>
      <c r="H7769" s="77" t="s">
        <v>174</v>
      </c>
      <c r="I7769" s="86">
        <v>41747</v>
      </c>
      <c r="J7769" s="78">
        <v>1437</v>
      </c>
    </row>
    <row r="7770" spans="6:10" x14ac:dyDescent="0.25">
      <c r="F7770" s="76" t="s">
        <v>150</v>
      </c>
      <c r="G7770" s="77" t="s">
        <v>243</v>
      </c>
      <c r="H7770" s="77" t="s">
        <v>174</v>
      </c>
      <c r="I7770" s="86">
        <v>41751</v>
      </c>
      <c r="J7770" s="78">
        <v>922</v>
      </c>
    </row>
    <row r="7771" spans="6:10" x14ac:dyDescent="0.25">
      <c r="F7771" s="76" t="s">
        <v>150</v>
      </c>
      <c r="G7771" s="77" t="s">
        <v>243</v>
      </c>
      <c r="H7771" s="77" t="s">
        <v>174</v>
      </c>
      <c r="I7771" s="86">
        <v>41753</v>
      </c>
      <c r="J7771" s="78">
        <v>1193</v>
      </c>
    </row>
    <row r="7772" spans="6:10" x14ac:dyDescent="0.25">
      <c r="F7772" s="76" t="s">
        <v>150</v>
      </c>
      <c r="G7772" s="77" t="s">
        <v>243</v>
      </c>
      <c r="H7772" s="77" t="s">
        <v>174</v>
      </c>
      <c r="I7772" s="86">
        <v>41757</v>
      </c>
      <c r="J7772" s="78">
        <v>1216</v>
      </c>
    </row>
    <row r="7773" spans="6:10" x14ac:dyDescent="0.25">
      <c r="F7773" s="76" t="s">
        <v>150</v>
      </c>
      <c r="G7773" s="77" t="s">
        <v>243</v>
      </c>
      <c r="H7773" s="77" t="s">
        <v>174</v>
      </c>
      <c r="I7773" s="86">
        <v>41767</v>
      </c>
      <c r="J7773" s="78">
        <v>1332</v>
      </c>
    </row>
    <row r="7774" spans="6:10" x14ac:dyDescent="0.25">
      <c r="F7774" s="76" t="s">
        <v>150</v>
      </c>
      <c r="G7774" s="77" t="s">
        <v>243</v>
      </c>
      <c r="H7774" s="77" t="s">
        <v>174</v>
      </c>
      <c r="I7774" s="86">
        <v>41768</v>
      </c>
      <c r="J7774" s="78">
        <v>463</v>
      </c>
    </row>
    <row r="7775" spans="6:10" x14ac:dyDescent="0.25">
      <c r="F7775" s="76" t="s">
        <v>150</v>
      </c>
      <c r="G7775" s="77" t="s">
        <v>243</v>
      </c>
      <c r="H7775" s="77" t="s">
        <v>174</v>
      </c>
      <c r="I7775" s="86">
        <v>41772</v>
      </c>
      <c r="J7775" s="78">
        <v>1588</v>
      </c>
    </row>
    <row r="7776" spans="6:10" x14ac:dyDescent="0.25">
      <c r="F7776" s="76" t="s">
        <v>150</v>
      </c>
      <c r="G7776" s="77" t="s">
        <v>243</v>
      </c>
      <c r="H7776" s="77" t="s">
        <v>174</v>
      </c>
      <c r="I7776" s="86">
        <v>41774</v>
      </c>
      <c r="J7776" s="78">
        <v>918</v>
      </c>
    </row>
    <row r="7777" spans="6:10" x14ac:dyDescent="0.25">
      <c r="F7777" s="76" t="s">
        <v>150</v>
      </c>
      <c r="G7777" s="77" t="s">
        <v>243</v>
      </c>
      <c r="H7777" s="77" t="s">
        <v>174</v>
      </c>
      <c r="I7777" s="86">
        <v>41778</v>
      </c>
      <c r="J7777" s="78">
        <v>829</v>
      </c>
    </row>
    <row r="7778" spans="6:10" x14ac:dyDescent="0.25">
      <c r="F7778" s="76" t="s">
        <v>150</v>
      </c>
      <c r="G7778" s="77" t="s">
        <v>243</v>
      </c>
      <c r="H7778" s="77" t="s">
        <v>174</v>
      </c>
      <c r="I7778" s="86">
        <v>41781</v>
      </c>
      <c r="J7778" s="78">
        <v>1207</v>
      </c>
    </row>
    <row r="7779" spans="6:10" x14ac:dyDescent="0.25">
      <c r="F7779" s="76" t="s">
        <v>150</v>
      </c>
      <c r="G7779" s="77" t="s">
        <v>243</v>
      </c>
      <c r="H7779" s="77" t="s">
        <v>174</v>
      </c>
      <c r="I7779" s="86">
        <v>41786</v>
      </c>
      <c r="J7779" s="78">
        <v>837</v>
      </c>
    </row>
    <row r="7780" spans="6:10" x14ac:dyDescent="0.25">
      <c r="F7780" s="76" t="s">
        <v>150</v>
      </c>
      <c r="G7780" s="77" t="s">
        <v>243</v>
      </c>
      <c r="H7780" s="77" t="s">
        <v>174</v>
      </c>
      <c r="I7780" s="86">
        <v>41788</v>
      </c>
      <c r="J7780" s="78">
        <v>908</v>
      </c>
    </row>
    <row r="7781" spans="6:10" x14ac:dyDescent="0.25">
      <c r="F7781" s="76" t="s">
        <v>150</v>
      </c>
      <c r="G7781" s="77" t="s">
        <v>243</v>
      </c>
      <c r="H7781" s="77" t="s">
        <v>174</v>
      </c>
      <c r="I7781" s="86">
        <v>41792</v>
      </c>
      <c r="J7781" s="78">
        <v>851</v>
      </c>
    </row>
    <row r="7782" spans="6:10" x14ac:dyDescent="0.25">
      <c r="F7782" s="76" t="s">
        <v>150</v>
      </c>
      <c r="G7782" s="77" t="s">
        <v>243</v>
      </c>
      <c r="H7782" s="77" t="s">
        <v>174</v>
      </c>
      <c r="I7782" s="86">
        <v>41794</v>
      </c>
      <c r="J7782" s="78">
        <v>645</v>
      </c>
    </row>
    <row r="7783" spans="6:10" x14ac:dyDescent="0.25">
      <c r="F7783" s="76" t="s">
        <v>150</v>
      </c>
      <c r="G7783" s="77" t="s">
        <v>243</v>
      </c>
      <c r="H7783" s="77" t="s">
        <v>174</v>
      </c>
      <c r="I7783" s="86">
        <v>41796</v>
      </c>
      <c r="J7783" s="78">
        <v>827</v>
      </c>
    </row>
    <row r="7784" spans="6:10" x14ac:dyDescent="0.25">
      <c r="F7784" s="76" t="s">
        <v>150</v>
      </c>
      <c r="G7784" s="77" t="s">
        <v>243</v>
      </c>
      <c r="H7784" s="77" t="s">
        <v>174</v>
      </c>
      <c r="I7784" s="86">
        <v>41800</v>
      </c>
      <c r="J7784" s="78">
        <v>116</v>
      </c>
    </row>
    <row r="7785" spans="6:10" x14ac:dyDescent="0.25">
      <c r="F7785" s="76" t="s">
        <v>150</v>
      </c>
      <c r="G7785" s="77" t="s">
        <v>243</v>
      </c>
      <c r="H7785" s="77" t="s">
        <v>174</v>
      </c>
      <c r="I7785" s="86">
        <v>41800</v>
      </c>
      <c r="J7785" s="78">
        <v>1362</v>
      </c>
    </row>
    <row r="7786" spans="6:10" x14ac:dyDescent="0.25">
      <c r="F7786" s="76" t="s">
        <v>150</v>
      </c>
      <c r="G7786" s="77" t="s">
        <v>243</v>
      </c>
      <c r="H7786" s="77" t="s">
        <v>174</v>
      </c>
      <c r="I7786" s="86">
        <v>41807</v>
      </c>
      <c r="J7786" s="78">
        <v>1116</v>
      </c>
    </row>
    <row r="7787" spans="6:10" x14ac:dyDescent="0.25">
      <c r="F7787" s="76" t="s">
        <v>150</v>
      </c>
      <c r="G7787" s="77" t="s">
        <v>243</v>
      </c>
      <c r="H7787" s="77" t="s">
        <v>174</v>
      </c>
      <c r="I7787" s="86">
        <v>41814</v>
      </c>
      <c r="J7787" s="78">
        <v>1176</v>
      </c>
    </row>
    <row r="7788" spans="6:10" x14ac:dyDescent="0.25">
      <c r="F7788" s="76" t="s">
        <v>150</v>
      </c>
      <c r="G7788" s="77" t="s">
        <v>243</v>
      </c>
      <c r="H7788" s="77" t="s">
        <v>174</v>
      </c>
      <c r="I7788" s="86">
        <v>41816</v>
      </c>
      <c r="J7788" s="78">
        <v>922</v>
      </c>
    </row>
    <row r="7789" spans="6:10" x14ac:dyDescent="0.25">
      <c r="F7789" s="76" t="s">
        <v>150</v>
      </c>
      <c r="G7789" s="77" t="s">
        <v>243</v>
      </c>
      <c r="H7789" s="77" t="s">
        <v>174</v>
      </c>
      <c r="I7789" s="86">
        <v>41817</v>
      </c>
      <c r="J7789" s="78">
        <v>1141</v>
      </c>
    </row>
    <row r="7790" spans="6:10" x14ac:dyDescent="0.25">
      <c r="F7790" s="76" t="s">
        <v>150</v>
      </c>
      <c r="G7790" s="77" t="s">
        <v>243</v>
      </c>
      <c r="H7790" s="77" t="s">
        <v>174</v>
      </c>
      <c r="I7790" s="86">
        <v>41819</v>
      </c>
      <c r="J7790" s="78">
        <v>1314</v>
      </c>
    </row>
    <row r="7791" spans="6:10" x14ac:dyDescent="0.25">
      <c r="F7791" s="76" t="s">
        <v>150</v>
      </c>
      <c r="G7791" s="77" t="s">
        <v>243</v>
      </c>
      <c r="H7791" s="77" t="s">
        <v>174</v>
      </c>
      <c r="I7791" s="86">
        <v>41820</v>
      </c>
      <c r="J7791" s="78">
        <v>1084</v>
      </c>
    </row>
    <row r="7792" spans="6:10" x14ac:dyDescent="0.25">
      <c r="F7792" s="76" t="s">
        <v>150</v>
      </c>
      <c r="G7792" s="77" t="s">
        <v>243</v>
      </c>
      <c r="H7792" s="77" t="s">
        <v>174</v>
      </c>
      <c r="I7792" s="86">
        <v>41822</v>
      </c>
      <c r="J7792" s="78">
        <v>1100</v>
      </c>
    </row>
    <row r="7793" spans="6:10" x14ac:dyDescent="0.25">
      <c r="F7793" s="76" t="s">
        <v>150</v>
      </c>
      <c r="G7793" s="77" t="s">
        <v>243</v>
      </c>
      <c r="H7793" s="77" t="s">
        <v>174</v>
      </c>
      <c r="I7793" s="86">
        <v>41823</v>
      </c>
      <c r="J7793" s="78">
        <v>701</v>
      </c>
    </row>
    <row r="7794" spans="6:10" x14ac:dyDescent="0.25">
      <c r="F7794" s="76" t="s">
        <v>150</v>
      </c>
      <c r="G7794" s="77" t="s">
        <v>243</v>
      </c>
      <c r="H7794" s="77" t="s">
        <v>174</v>
      </c>
      <c r="I7794" s="86">
        <v>41824</v>
      </c>
      <c r="J7794" s="78">
        <v>724</v>
      </c>
    </row>
    <row r="7795" spans="6:10" x14ac:dyDescent="0.25">
      <c r="F7795" s="76" t="s">
        <v>150</v>
      </c>
      <c r="G7795" s="77" t="s">
        <v>243</v>
      </c>
      <c r="H7795" s="77" t="s">
        <v>174</v>
      </c>
      <c r="I7795" s="86">
        <v>41825</v>
      </c>
      <c r="J7795" s="78">
        <v>1137</v>
      </c>
    </row>
    <row r="7796" spans="6:10" x14ac:dyDescent="0.25">
      <c r="F7796" s="76" t="s">
        <v>150</v>
      </c>
      <c r="G7796" s="77" t="s">
        <v>243</v>
      </c>
      <c r="H7796" s="77" t="s">
        <v>174</v>
      </c>
      <c r="I7796" s="86">
        <v>41826</v>
      </c>
      <c r="J7796" s="78">
        <v>812</v>
      </c>
    </row>
    <row r="7797" spans="6:10" x14ac:dyDescent="0.25">
      <c r="F7797" s="76" t="s">
        <v>150</v>
      </c>
      <c r="G7797" s="77" t="s">
        <v>243</v>
      </c>
      <c r="H7797" s="77" t="s">
        <v>174</v>
      </c>
      <c r="I7797" s="86">
        <v>41828</v>
      </c>
      <c r="J7797" s="78">
        <v>372</v>
      </c>
    </row>
    <row r="7798" spans="6:10" x14ac:dyDescent="0.25">
      <c r="F7798" s="76" t="s">
        <v>150</v>
      </c>
      <c r="G7798" s="77" t="s">
        <v>243</v>
      </c>
      <c r="H7798" s="77" t="s">
        <v>174</v>
      </c>
      <c r="I7798" s="86">
        <v>41830</v>
      </c>
      <c r="J7798" s="78">
        <v>1169</v>
      </c>
    </row>
    <row r="7799" spans="6:10" x14ac:dyDescent="0.25">
      <c r="F7799" s="76" t="s">
        <v>150</v>
      </c>
      <c r="G7799" s="77" t="s">
        <v>243</v>
      </c>
      <c r="H7799" s="77" t="s">
        <v>174</v>
      </c>
      <c r="I7799" s="86">
        <v>41834</v>
      </c>
      <c r="J7799" s="78">
        <v>1032</v>
      </c>
    </row>
    <row r="7800" spans="6:10" x14ac:dyDescent="0.25">
      <c r="F7800" s="76" t="s">
        <v>150</v>
      </c>
      <c r="G7800" s="77" t="s">
        <v>243</v>
      </c>
      <c r="H7800" s="77" t="s">
        <v>174</v>
      </c>
      <c r="I7800" s="86">
        <v>41836</v>
      </c>
      <c r="J7800" s="78">
        <v>1032</v>
      </c>
    </row>
    <row r="7801" spans="6:10" x14ac:dyDescent="0.25">
      <c r="F7801" s="76" t="s">
        <v>150</v>
      </c>
      <c r="G7801" s="77" t="s">
        <v>243</v>
      </c>
      <c r="H7801" s="77" t="s">
        <v>174</v>
      </c>
      <c r="I7801" s="86">
        <v>41838</v>
      </c>
      <c r="J7801" s="78">
        <v>1135</v>
      </c>
    </row>
    <row r="7802" spans="6:10" x14ac:dyDescent="0.25">
      <c r="F7802" s="76" t="s">
        <v>150</v>
      </c>
      <c r="G7802" s="77" t="s">
        <v>243</v>
      </c>
      <c r="H7802" s="77" t="s">
        <v>174</v>
      </c>
      <c r="I7802" s="86">
        <v>41840</v>
      </c>
      <c r="J7802" s="78">
        <v>1571</v>
      </c>
    </row>
    <row r="7803" spans="6:10" x14ac:dyDescent="0.25">
      <c r="F7803" s="76" t="s">
        <v>150</v>
      </c>
      <c r="G7803" s="77" t="s">
        <v>243</v>
      </c>
      <c r="H7803" s="77" t="s">
        <v>174</v>
      </c>
      <c r="I7803" s="86">
        <v>41841</v>
      </c>
      <c r="J7803" s="78">
        <v>811</v>
      </c>
    </row>
    <row r="7804" spans="6:10" x14ac:dyDescent="0.25">
      <c r="F7804" s="76" t="s">
        <v>150</v>
      </c>
      <c r="G7804" s="77" t="s">
        <v>243</v>
      </c>
      <c r="H7804" s="77" t="s">
        <v>174</v>
      </c>
      <c r="I7804" s="86">
        <v>41842</v>
      </c>
      <c r="J7804" s="78">
        <v>470</v>
      </c>
    </row>
    <row r="7805" spans="6:10" x14ac:dyDescent="0.25">
      <c r="F7805" s="76" t="s">
        <v>150</v>
      </c>
      <c r="G7805" s="77" t="s">
        <v>243</v>
      </c>
      <c r="H7805" s="77" t="s">
        <v>174</v>
      </c>
      <c r="I7805" s="86">
        <v>41844</v>
      </c>
      <c r="J7805" s="78">
        <v>1021</v>
      </c>
    </row>
    <row r="7806" spans="6:10" x14ac:dyDescent="0.25">
      <c r="F7806" s="76" t="s">
        <v>150</v>
      </c>
      <c r="G7806" s="77" t="s">
        <v>243</v>
      </c>
      <c r="H7806" s="77" t="s">
        <v>174</v>
      </c>
      <c r="I7806" s="86">
        <v>41845</v>
      </c>
      <c r="J7806" s="78">
        <v>558</v>
      </c>
    </row>
    <row r="7807" spans="6:10" x14ac:dyDescent="0.25">
      <c r="F7807" s="76" t="s">
        <v>150</v>
      </c>
      <c r="G7807" s="77" t="s">
        <v>243</v>
      </c>
      <c r="H7807" s="77" t="s">
        <v>174</v>
      </c>
      <c r="I7807" s="86">
        <v>41848</v>
      </c>
      <c r="J7807" s="78">
        <v>1017</v>
      </c>
    </row>
    <row r="7808" spans="6:10" x14ac:dyDescent="0.25">
      <c r="F7808" s="76" t="s">
        <v>150</v>
      </c>
      <c r="G7808" s="77" t="s">
        <v>243</v>
      </c>
      <c r="H7808" s="77" t="s">
        <v>174</v>
      </c>
      <c r="I7808" s="86">
        <v>41849</v>
      </c>
      <c r="J7808" s="78">
        <v>437</v>
      </c>
    </row>
    <row r="7809" spans="6:10" x14ac:dyDescent="0.25">
      <c r="F7809" s="76" t="s">
        <v>150</v>
      </c>
      <c r="G7809" s="77" t="s">
        <v>243</v>
      </c>
      <c r="H7809" s="77" t="s">
        <v>174</v>
      </c>
      <c r="I7809" s="86">
        <v>41851</v>
      </c>
      <c r="J7809" s="78">
        <v>909</v>
      </c>
    </row>
    <row r="7810" spans="6:10" x14ac:dyDescent="0.25">
      <c r="F7810" s="76" t="s">
        <v>150</v>
      </c>
      <c r="G7810" s="77" t="s">
        <v>243</v>
      </c>
      <c r="H7810" s="77" t="s">
        <v>174</v>
      </c>
      <c r="I7810" s="86">
        <v>41852</v>
      </c>
      <c r="J7810" s="78">
        <v>367</v>
      </c>
    </row>
    <row r="7811" spans="6:10" x14ac:dyDescent="0.25">
      <c r="F7811" s="76" t="s">
        <v>150</v>
      </c>
      <c r="G7811" s="77" t="s">
        <v>243</v>
      </c>
      <c r="H7811" s="77" t="s">
        <v>174</v>
      </c>
      <c r="I7811" s="86">
        <v>41880</v>
      </c>
      <c r="J7811" s="78">
        <v>1093</v>
      </c>
    </row>
    <row r="7812" spans="6:10" x14ac:dyDescent="0.25">
      <c r="F7812" s="76" t="s">
        <v>150</v>
      </c>
      <c r="G7812" s="77" t="s">
        <v>243</v>
      </c>
      <c r="H7812" s="77" t="s">
        <v>174</v>
      </c>
      <c r="I7812" s="86">
        <v>41886</v>
      </c>
      <c r="J7812" s="78">
        <v>1335</v>
      </c>
    </row>
    <row r="7813" spans="6:10" x14ac:dyDescent="0.25">
      <c r="F7813" s="76" t="s">
        <v>150</v>
      </c>
      <c r="G7813" s="77" t="s">
        <v>243</v>
      </c>
      <c r="H7813" s="77" t="s">
        <v>174</v>
      </c>
      <c r="I7813" s="86">
        <v>41901</v>
      </c>
      <c r="J7813" s="78">
        <v>1289</v>
      </c>
    </row>
    <row r="7814" spans="6:10" x14ac:dyDescent="0.25">
      <c r="F7814" s="76" t="s">
        <v>150</v>
      </c>
      <c r="G7814" s="77" t="s">
        <v>243</v>
      </c>
      <c r="H7814" s="77" t="s">
        <v>174</v>
      </c>
      <c r="I7814" s="86">
        <v>41905</v>
      </c>
      <c r="J7814" s="78">
        <v>1076</v>
      </c>
    </row>
    <row r="7815" spans="6:10" x14ac:dyDescent="0.25">
      <c r="F7815" s="76" t="s">
        <v>150</v>
      </c>
      <c r="G7815" s="77" t="s">
        <v>243</v>
      </c>
      <c r="H7815" s="77" t="s">
        <v>174</v>
      </c>
      <c r="I7815" s="86">
        <v>41907</v>
      </c>
      <c r="J7815" s="78">
        <v>1098</v>
      </c>
    </row>
    <row r="7816" spans="6:10" x14ac:dyDescent="0.25">
      <c r="F7816" s="76" t="s">
        <v>150</v>
      </c>
      <c r="G7816" s="77" t="s">
        <v>243</v>
      </c>
      <c r="H7816" s="77" t="s">
        <v>174</v>
      </c>
      <c r="I7816" s="86">
        <v>41911</v>
      </c>
      <c r="J7816" s="78">
        <v>1123</v>
      </c>
    </row>
    <row r="7817" spans="6:10" x14ac:dyDescent="0.25">
      <c r="F7817" s="76" t="s">
        <v>150</v>
      </c>
      <c r="G7817" s="77" t="s">
        <v>243</v>
      </c>
      <c r="H7817" s="77" t="s">
        <v>174</v>
      </c>
      <c r="I7817" s="86">
        <v>41913</v>
      </c>
      <c r="J7817" s="78">
        <v>1056</v>
      </c>
    </row>
    <row r="7818" spans="6:10" x14ac:dyDescent="0.25">
      <c r="F7818" s="76" t="s">
        <v>150</v>
      </c>
      <c r="G7818" s="77" t="s">
        <v>243</v>
      </c>
      <c r="H7818" s="77" t="s">
        <v>174</v>
      </c>
      <c r="I7818" s="86">
        <v>41915</v>
      </c>
      <c r="J7818" s="78">
        <v>1075</v>
      </c>
    </row>
    <row r="7819" spans="6:10" x14ac:dyDescent="0.25">
      <c r="F7819" s="76" t="s">
        <v>150</v>
      </c>
      <c r="G7819" s="77" t="s">
        <v>243</v>
      </c>
      <c r="H7819" s="77" t="s">
        <v>174</v>
      </c>
      <c r="I7819" s="86">
        <v>41919</v>
      </c>
      <c r="J7819" s="78">
        <v>1053</v>
      </c>
    </row>
    <row r="7820" spans="6:10" x14ac:dyDescent="0.25">
      <c r="F7820" s="76" t="s">
        <v>150</v>
      </c>
      <c r="G7820" s="77" t="s">
        <v>243</v>
      </c>
      <c r="H7820" s="77" t="s">
        <v>174</v>
      </c>
      <c r="I7820" s="86">
        <v>41921</v>
      </c>
      <c r="J7820" s="78">
        <v>1183</v>
      </c>
    </row>
    <row r="7821" spans="6:10" x14ac:dyDescent="0.25">
      <c r="F7821" s="76" t="s">
        <v>150</v>
      </c>
      <c r="G7821" s="77" t="s">
        <v>243</v>
      </c>
      <c r="H7821" s="77" t="s">
        <v>174</v>
      </c>
      <c r="I7821" s="86">
        <v>41949</v>
      </c>
      <c r="J7821" s="78">
        <v>1122</v>
      </c>
    </row>
    <row r="7822" spans="6:10" x14ac:dyDescent="0.25">
      <c r="F7822" s="76" t="s">
        <v>150</v>
      </c>
      <c r="G7822" s="77" t="s">
        <v>243</v>
      </c>
      <c r="H7822" s="77" t="s">
        <v>174</v>
      </c>
      <c r="I7822" s="86">
        <v>41950</v>
      </c>
      <c r="J7822" s="78">
        <v>749</v>
      </c>
    </row>
    <row r="7823" spans="6:10" x14ac:dyDescent="0.25">
      <c r="F7823" s="76" t="s">
        <v>150</v>
      </c>
      <c r="G7823" s="77" t="s">
        <v>243</v>
      </c>
      <c r="H7823" s="77" t="s">
        <v>174</v>
      </c>
      <c r="I7823" s="86">
        <v>41953</v>
      </c>
      <c r="J7823" s="78">
        <v>282</v>
      </c>
    </row>
    <row r="7824" spans="6:10" x14ac:dyDescent="0.25">
      <c r="F7824" s="76" t="s">
        <v>150</v>
      </c>
      <c r="G7824" s="77" t="s">
        <v>243</v>
      </c>
      <c r="H7824" s="77" t="s">
        <v>174</v>
      </c>
      <c r="I7824" s="86">
        <v>41976</v>
      </c>
      <c r="J7824" s="78">
        <v>1142</v>
      </c>
    </row>
    <row r="7825" spans="6:10" x14ac:dyDescent="0.25">
      <c r="F7825" s="76" t="s">
        <v>150</v>
      </c>
      <c r="G7825" s="77" t="s">
        <v>243</v>
      </c>
      <c r="H7825" s="77" t="s">
        <v>174</v>
      </c>
      <c r="I7825" s="86">
        <v>41978</v>
      </c>
      <c r="J7825" s="78">
        <v>1164</v>
      </c>
    </row>
    <row r="7826" spans="6:10" x14ac:dyDescent="0.25">
      <c r="F7826" s="76" t="s">
        <v>150</v>
      </c>
      <c r="G7826" s="77" t="s">
        <v>243</v>
      </c>
      <c r="H7826" s="77" t="s">
        <v>174</v>
      </c>
      <c r="I7826" s="86">
        <v>41980</v>
      </c>
      <c r="J7826" s="78">
        <v>833</v>
      </c>
    </row>
    <row r="7827" spans="6:10" x14ac:dyDescent="0.25">
      <c r="F7827" s="76" t="s">
        <v>150</v>
      </c>
      <c r="G7827" s="77" t="s">
        <v>243</v>
      </c>
      <c r="H7827" s="77" t="s">
        <v>174</v>
      </c>
      <c r="I7827" s="86">
        <v>41983</v>
      </c>
      <c r="J7827" s="78">
        <v>1124</v>
      </c>
    </row>
    <row r="7828" spans="6:10" x14ac:dyDescent="0.25">
      <c r="F7828" s="76" t="s">
        <v>150</v>
      </c>
      <c r="G7828" s="77" t="s">
        <v>243</v>
      </c>
      <c r="H7828" s="77" t="s">
        <v>174</v>
      </c>
      <c r="I7828" s="86">
        <v>41984</v>
      </c>
      <c r="J7828" s="78">
        <v>734</v>
      </c>
    </row>
    <row r="7829" spans="6:10" x14ac:dyDescent="0.25">
      <c r="F7829" s="76" t="s">
        <v>150</v>
      </c>
      <c r="G7829" s="77" t="s">
        <v>243</v>
      </c>
      <c r="H7829" s="77" t="s">
        <v>174</v>
      </c>
      <c r="I7829" s="86">
        <v>41989</v>
      </c>
      <c r="J7829" s="78">
        <v>608</v>
      </c>
    </row>
    <row r="7830" spans="6:10" x14ac:dyDescent="0.25">
      <c r="F7830" s="76" t="s">
        <v>150</v>
      </c>
      <c r="G7830" s="77" t="s">
        <v>243</v>
      </c>
      <c r="H7830" s="77" t="s">
        <v>174</v>
      </c>
      <c r="I7830" s="86">
        <v>41992</v>
      </c>
      <c r="J7830" s="78">
        <v>1539</v>
      </c>
    </row>
    <row r="7831" spans="6:10" x14ac:dyDescent="0.25">
      <c r="F7831" s="76" t="s">
        <v>150</v>
      </c>
      <c r="G7831" s="77" t="s">
        <v>243</v>
      </c>
      <c r="H7831" s="77" t="s">
        <v>174</v>
      </c>
      <c r="I7831" s="86">
        <v>41995</v>
      </c>
      <c r="J7831" s="78">
        <v>978</v>
      </c>
    </row>
    <row r="7832" spans="6:10" x14ac:dyDescent="0.25">
      <c r="F7832" s="76" t="s">
        <v>150</v>
      </c>
      <c r="G7832" s="77" t="s">
        <v>243</v>
      </c>
      <c r="H7832" s="77" t="s">
        <v>174</v>
      </c>
      <c r="I7832" s="86">
        <v>41996</v>
      </c>
      <c r="J7832" s="78">
        <v>457</v>
      </c>
    </row>
    <row r="7833" spans="6:10" x14ac:dyDescent="0.25">
      <c r="F7833" s="76" t="s">
        <v>150</v>
      </c>
      <c r="G7833" s="77" t="s">
        <v>243</v>
      </c>
      <c r="H7833" s="77" t="s">
        <v>174</v>
      </c>
      <c r="I7833" s="86">
        <v>41999</v>
      </c>
      <c r="J7833" s="78">
        <v>866</v>
      </c>
    </row>
    <row r="7834" spans="6:10" x14ac:dyDescent="0.25">
      <c r="F7834" s="76" t="s">
        <v>150</v>
      </c>
      <c r="G7834" s="77" t="s">
        <v>243</v>
      </c>
      <c r="H7834" s="77" t="s">
        <v>174</v>
      </c>
      <c r="I7834" s="86">
        <v>42001</v>
      </c>
      <c r="J7834" s="78">
        <v>386</v>
      </c>
    </row>
    <row r="7835" spans="6:10" x14ac:dyDescent="0.25">
      <c r="F7835" s="76" t="s">
        <v>150</v>
      </c>
      <c r="G7835" s="77" t="s">
        <v>238</v>
      </c>
      <c r="H7835" s="77" t="s">
        <v>174</v>
      </c>
      <c r="I7835" s="86">
        <v>41646</v>
      </c>
      <c r="J7835" s="78">
        <v>1391</v>
      </c>
    </row>
    <row r="7836" spans="6:10" x14ac:dyDescent="0.25">
      <c r="F7836" s="76" t="s">
        <v>150</v>
      </c>
      <c r="G7836" s="77" t="s">
        <v>238</v>
      </c>
      <c r="H7836" s="77" t="s">
        <v>174</v>
      </c>
      <c r="I7836" s="86">
        <v>41648</v>
      </c>
      <c r="J7836" s="78">
        <v>626</v>
      </c>
    </row>
    <row r="7837" spans="6:10" x14ac:dyDescent="0.25">
      <c r="F7837" s="76" t="s">
        <v>150</v>
      </c>
      <c r="G7837" s="77" t="s">
        <v>238</v>
      </c>
      <c r="H7837" s="77" t="s">
        <v>174</v>
      </c>
      <c r="I7837" s="86">
        <v>41652</v>
      </c>
      <c r="J7837" s="78">
        <v>1432</v>
      </c>
    </row>
    <row r="7838" spans="6:10" x14ac:dyDescent="0.25">
      <c r="F7838" s="76" t="s">
        <v>150</v>
      </c>
      <c r="G7838" s="77" t="s">
        <v>238</v>
      </c>
      <c r="H7838" s="77" t="s">
        <v>174</v>
      </c>
      <c r="I7838" s="86">
        <v>41654</v>
      </c>
      <c r="J7838" s="78">
        <v>1480</v>
      </c>
    </row>
    <row r="7839" spans="6:10" x14ac:dyDescent="0.25">
      <c r="F7839" s="76" t="s">
        <v>150</v>
      </c>
      <c r="G7839" s="77" t="s">
        <v>238</v>
      </c>
      <c r="H7839" s="77" t="s">
        <v>174</v>
      </c>
      <c r="I7839" s="86">
        <v>41655</v>
      </c>
      <c r="J7839" s="78">
        <v>890</v>
      </c>
    </row>
    <row r="7840" spans="6:10" x14ac:dyDescent="0.25">
      <c r="F7840" s="76" t="s">
        <v>150</v>
      </c>
      <c r="G7840" s="77" t="s">
        <v>238</v>
      </c>
      <c r="H7840" s="77" t="s">
        <v>174</v>
      </c>
      <c r="I7840" s="86">
        <v>41656</v>
      </c>
      <c r="J7840" s="78">
        <v>506</v>
      </c>
    </row>
    <row r="7841" spans="6:10" x14ac:dyDescent="0.25">
      <c r="F7841" s="76" t="s">
        <v>150</v>
      </c>
      <c r="G7841" s="77" t="s">
        <v>238</v>
      </c>
      <c r="H7841" s="77" t="s">
        <v>174</v>
      </c>
      <c r="I7841" s="86">
        <v>41660</v>
      </c>
      <c r="J7841" s="78">
        <v>847</v>
      </c>
    </row>
    <row r="7842" spans="6:10" x14ac:dyDescent="0.25">
      <c r="F7842" s="76" t="s">
        <v>150</v>
      </c>
      <c r="G7842" s="77" t="s">
        <v>238</v>
      </c>
      <c r="H7842" s="77" t="s">
        <v>174</v>
      </c>
      <c r="I7842" s="86">
        <v>41662</v>
      </c>
      <c r="J7842" s="78">
        <v>1121</v>
      </c>
    </row>
    <row r="7843" spans="6:10" x14ac:dyDescent="0.25">
      <c r="F7843" s="76" t="s">
        <v>150</v>
      </c>
      <c r="G7843" s="77" t="s">
        <v>238</v>
      </c>
      <c r="H7843" s="77" t="s">
        <v>174</v>
      </c>
      <c r="I7843" s="86">
        <v>41666</v>
      </c>
      <c r="J7843" s="78">
        <v>1414</v>
      </c>
    </row>
    <row r="7844" spans="6:10" x14ac:dyDescent="0.25">
      <c r="F7844" s="76" t="s">
        <v>150</v>
      </c>
      <c r="G7844" s="77" t="s">
        <v>238</v>
      </c>
      <c r="H7844" s="77" t="s">
        <v>174</v>
      </c>
      <c r="I7844" s="86">
        <v>41668</v>
      </c>
      <c r="J7844" s="78">
        <v>866</v>
      </c>
    </row>
    <row r="7845" spans="6:10" x14ac:dyDescent="0.25">
      <c r="F7845" s="76" t="s">
        <v>150</v>
      </c>
      <c r="G7845" s="77" t="s">
        <v>238</v>
      </c>
      <c r="H7845" s="77" t="s">
        <v>174</v>
      </c>
      <c r="I7845" s="86">
        <v>41669</v>
      </c>
      <c r="J7845" s="78">
        <v>375</v>
      </c>
    </row>
    <row r="7846" spans="6:10" x14ac:dyDescent="0.25">
      <c r="F7846" s="76" t="s">
        <v>150</v>
      </c>
      <c r="G7846" s="77" t="s">
        <v>238</v>
      </c>
      <c r="H7846" s="77" t="s">
        <v>174</v>
      </c>
      <c r="I7846" s="86">
        <v>41670</v>
      </c>
      <c r="J7846" s="78">
        <v>648</v>
      </c>
    </row>
    <row r="7847" spans="6:10" x14ac:dyDescent="0.25">
      <c r="F7847" s="76" t="s">
        <v>150</v>
      </c>
      <c r="G7847" s="77" t="s">
        <v>238</v>
      </c>
      <c r="H7847" s="77" t="s">
        <v>174</v>
      </c>
      <c r="I7847" s="86">
        <v>41670</v>
      </c>
      <c r="J7847" s="78">
        <v>850</v>
      </c>
    </row>
    <row r="7848" spans="6:10" x14ac:dyDescent="0.25">
      <c r="F7848" s="76" t="s">
        <v>150</v>
      </c>
      <c r="G7848" s="77" t="s">
        <v>238</v>
      </c>
      <c r="H7848" s="77" t="s">
        <v>174</v>
      </c>
      <c r="I7848" s="86">
        <v>41671</v>
      </c>
      <c r="J7848" s="78">
        <v>1022</v>
      </c>
    </row>
    <row r="7849" spans="6:10" x14ac:dyDescent="0.25">
      <c r="F7849" s="76" t="s">
        <v>150</v>
      </c>
      <c r="G7849" s="77" t="s">
        <v>238</v>
      </c>
      <c r="H7849" s="77" t="s">
        <v>174</v>
      </c>
      <c r="I7849" s="86">
        <v>41672</v>
      </c>
      <c r="J7849" s="78">
        <v>533</v>
      </c>
    </row>
    <row r="7850" spans="6:10" x14ac:dyDescent="0.25">
      <c r="F7850" s="76" t="s">
        <v>150</v>
      </c>
      <c r="G7850" s="77" t="s">
        <v>238</v>
      </c>
      <c r="H7850" s="77" t="s">
        <v>174</v>
      </c>
      <c r="I7850" s="86">
        <v>41677</v>
      </c>
      <c r="J7850" s="78">
        <v>1255</v>
      </c>
    </row>
    <row r="7851" spans="6:10" x14ac:dyDescent="0.25">
      <c r="F7851" s="76" t="s">
        <v>150</v>
      </c>
      <c r="G7851" s="77" t="s">
        <v>238</v>
      </c>
      <c r="H7851" s="77" t="s">
        <v>174</v>
      </c>
      <c r="I7851" s="86">
        <v>41681</v>
      </c>
      <c r="J7851" s="78">
        <v>684</v>
      </c>
    </row>
    <row r="7852" spans="6:10" x14ac:dyDescent="0.25">
      <c r="F7852" s="76" t="s">
        <v>150</v>
      </c>
      <c r="G7852" s="77" t="s">
        <v>238</v>
      </c>
      <c r="H7852" s="77" t="s">
        <v>174</v>
      </c>
      <c r="I7852" s="86">
        <v>41690</v>
      </c>
      <c r="J7852" s="78">
        <v>1562</v>
      </c>
    </row>
    <row r="7853" spans="6:10" x14ac:dyDescent="0.25">
      <c r="F7853" s="76" t="s">
        <v>150</v>
      </c>
      <c r="G7853" s="77" t="s">
        <v>238</v>
      </c>
      <c r="H7853" s="77" t="s">
        <v>174</v>
      </c>
      <c r="I7853" s="86">
        <v>41694</v>
      </c>
      <c r="J7853" s="78">
        <v>867</v>
      </c>
    </row>
    <row r="7854" spans="6:10" x14ac:dyDescent="0.25">
      <c r="F7854" s="76" t="s">
        <v>150</v>
      </c>
      <c r="G7854" s="77" t="s">
        <v>238</v>
      </c>
      <c r="H7854" s="77" t="s">
        <v>174</v>
      </c>
      <c r="I7854" s="86">
        <v>41696</v>
      </c>
      <c r="J7854" s="78">
        <v>766</v>
      </c>
    </row>
    <row r="7855" spans="6:10" x14ac:dyDescent="0.25">
      <c r="F7855" s="76" t="s">
        <v>150</v>
      </c>
      <c r="G7855" s="77" t="s">
        <v>238</v>
      </c>
      <c r="H7855" s="77" t="s">
        <v>174</v>
      </c>
      <c r="I7855" s="86">
        <v>41698</v>
      </c>
      <c r="J7855" s="78">
        <v>1350</v>
      </c>
    </row>
    <row r="7856" spans="6:10" x14ac:dyDescent="0.25">
      <c r="F7856" s="76" t="s">
        <v>150</v>
      </c>
      <c r="G7856" s="77" t="s">
        <v>238</v>
      </c>
      <c r="H7856" s="77" t="s">
        <v>174</v>
      </c>
      <c r="I7856" s="86">
        <v>41701</v>
      </c>
      <c r="J7856" s="78">
        <v>1068</v>
      </c>
    </row>
    <row r="7857" spans="6:10" x14ac:dyDescent="0.25">
      <c r="F7857" s="76" t="s">
        <v>150</v>
      </c>
      <c r="G7857" s="77" t="s">
        <v>238</v>
      </c>
      <c r="H7857" s="77" t="s">
        <v>174</v>
      </c>
      <c r="I7857" s="86">
        <v>41702</v>
      </c>
      <c r="J7857" s="78">
        <v>1636</v>
      </c>
    </row>
    <row r="7858" spans="6:10" x14ac:dyDescent="0.25">
      <c r="F7858" s="76" t="s">
        <v>150</v>
      </c>
      <c r="G7858" s="77" t="s">
        <v>238</v>
      </c>
      <c r="H7858" s="77" t="s">
        <v>174</v>
      </c>
      <c r="I7858" s="86">
        <v>41704</v>
      </c>
      <c r="J7858" s="78">
        <v>892</v>
      </c>
    </row>
    <row r="7859" spans="6:10" x14ac:dyDescent="0.25">
      <c r="F7859" s="76" t="s">
        <v>150</v>
      </c>
      <c r="G7859" s="77" t="s">
        <v>238</v>
      </c>
      <c r="H7859" s="77" t="s">
        <v>174</v>
      </c>
      <c r="I7859" s="86">
        <v>41705</v>
      </c>
      <c r="J7859" s="78">
        <v>458</v>
      </c>
    </row>
    <row r="7860" spans="6:10" x14ac:dyDescent="0.25">
      <c r="F7860" s="76" t="s">
        <v>150</v>
      </c>
      <c r="G7860" s="77" t="s">
        <v>238</v>
      </c>
      <c r="H7860" s="77" t="s">
        <v>174</v>
      </c>
      <c r="I7860" s="86">
        <v>41709</v>
      </c>
      <c r="J7860" s="78">
        <v>1745</v>
      </c>
    </row>
    <row r="7861" spans="6:10" x14ac:dyDescent="0.25">
      <c r="F7861" s="76" t="s">
        <v>150</v>
      </c>
      <c r="G7861" s="77" t="s">
        <v>238</v>
      </c>
      <c r="H7861" s="77" t="s">
        <v>174</v>
      </c>
      <c r="I7861" s="86">
        <v>41710</v>
      </c>
      <c r="J7861" s="78">
        <v>424</v>
      </c>
    </row>
    <row r="7862" spans="6:10" x14ac:dyDescent="0.25">
      <c r="F7862" s="76" t="s">
        <v>150</v>
      </c>
      <c r="G7862" s="77" t="s">
        <v>238</v>
      </c>
      <c r="H7862" s="77" t="s">
        <v>174</v>
      </c>
      <c r="I7862" s="86">
        <v>41712</v>
      </c>
      <c r="J7862" s="78">
        <v>1487</v>
      </c>
    </row>
    <row r="7863" spans="6:10" x14ac:dyDescent="0.25">
      <c r="F7863" s="76" t="s">
        <v>150</v>
      </c>
      <c r="G7863" s="77" t="s">
        <v>238</v>
      </c>
      <c r="H7863" s="77" t="s">
        <v>174</v>
      </c>
      <c r="I7863" s="86">
        <v>41715</v>
      </c>
      <c r="J7863" s="78">
        <v>1369</v>
      </c>
    </row>
    <row r="7864" spans="6:10" x14ac:dyDescent="0.25">
      <c r="F7864" s="76" t="s">
        <v>150</v>
      </c>
      <c r="G7864" s="77" t="s">
        <v>238</v>
      </c>
      <c r="H7864" s="77" t="s">
        <v>174</v>
      </c>
      <c r="I7864" s="86">
        <v>41718</v>
      </c>
      <c r="J7864" s="78">
        <v>647</v>
      </c>
    </row>
    <row r="7865" spans="6:10" x14ac:dyDescent="0.25">
      <c r="F7865" s="76" t="s">
        <v>150</v>
      </c>
      <c r="G7865" s="77" t="s">
        <v>238</v>
      </c>
      <c r="H7865" s="77" t="s">
        <v>174</v>
      </c>
      <c r="I7865" s="86">
        <v>41722</v>
      </c>
      <c r="J7865" s="78">
        <v>921</v>
      </c>
    </row>
    <row r="7866" spans="6:10" x14ac:dyDescent="0.25">
      <c r="F7866" s="76" t="s">
        <v>150</v>
      </c>
      <c r="G7866" s="77" t="s">
        <v>238</v>
      </c>
      <c r="H7866" s="77" t="s">
        <v>174</v>
      </c>
      <c r="I7866" s="86">
        <v>41725</v>
      </c>
      <c r="J7866" s="78">
        <v>1302</v>
      </c>
    </row>
    <row r="7867" spans="6:10" x14ac:dyDescent="0.25">
      <c r="F7867" s="76" t="s">
        <v>150</v>
      </c>
      <c r="G7867" s="77" t="s">
        <v>238</v>
      </c>
      <c r="H7867" s="77" t="s">
        <v>174</v>
      </c>
      <c r="I7867" s="86">
        <v>41729</v>
      </c>
      <c r="J7867" s="78">
        <v>883</v>
      </c>
    </row>
    <row r="7868" spans="6:10" x14ac:dyDescent="0.25">
      <c r="F7868" s="76" t="s">
        <v>150</v>
      </c>
      <c r="G7868" s="77" t="s">
        <v>238</v>
      </c>
      <c r="H7868" s="77" t="s">
        <v>174</v>
      </c>
      <c r="I7868" s="86">
        <v>41731</v>
      </c>
      <c r="J7868" s="78">
        <v>766</v>
      </c>
    </row>
    <row r="7869" spans="6:10" x14ac:dyDescent="0.25">
      <c r="F7869" s="76" t="s">
        <v>150</v>
      </c>
      <c r="G7869" s="77" t="s">
        <v>238</v>
      </c>
      <c r="H7869" s="77" t="s">
        <v>174</v>
      </c>
      <c r="I7869" s="86">
        <v>41733</v>
      </c>
      <c r="J7869" s="78">
        <v>717</v>
      </c>
    </row>
    <row r="7870" spans="6:10" x14ac:dyDescent="0.25">
      <c r="F7870" s="76" t="s">
        <v>150</v>
      </c>
      <c r="G7870" s="77" t="s">
        <v>238</v>
      </c>
      <c r="H7870" s="77" t="s">
        <v>174</v>
      </c>
      <c r="I7870" s="86">
        <v>41735</v>
      </c>
      <c r="J7870" s="78">
        <v>471</v>
      </c>
    </row>
    <row r="7871" spans="6:10" x14ac:dyDescent="0.25">
      <c r="F7871" s="76" t="s">
        <v>150</v>
      </c>
      <c r="G7871" s="77" t="s">
        <v>238</v>
      </c>
      <c r="H7871" s="77" t="s">
        <v>174</v>
      </c>
      <c r="I7871" s="86">
        <v>41737</v>
      </c>
      <c r="J7871" s="78">
        <v>1082</v>
      </c>
    </row>
    <row r="7872" spans="6:10" x14ac:dyDescent="0.25">
      <c r="F7872" s="76" t="s">
        <v>150</v>
      </c>
      <c r="G7872" s="77" t="s">
        <v>238</v>
      </c>
      <c r="H7872" s="77" t="s">
        <v>174</v>
      </c>
      <c r="I7872" s="86">
        <v>41739</v>
      </c>
      <c r="J7872" s="78">
        <v>700</v>
      </c>
    </row>
    <row r="7873" spans="6:10" x14ac:dyDescent="0.25">
      <c r="F7873" s="76" t="s">
        <v>150</v>
      </c>
      <c r="G7873" s="77" t="s">
        <v>238</v>
      </c>
      <c r="H7873" s="77" t="s">
        <v>174</v>
      </c>
      <c r="I7873" s="86">
        <v>41743</v>
      </c>
      <c r="J7873" s="78">
        <v>951</v>
      </c>
    </row>
    <row r="7874" spans="6:10" x14ac:dyDescent="0.25">
      <c r="F7874" s="76" t="s">
        <v>150</v>
      </c>
      <c r="G7874" s="77" t="s">
        <v>238</v>
      </c>
      <c r="H7874" s="77" t="s">
        <v>174</v>
      </c>
      <c r="I7874" s="86">
        <v>41745</v>
      </c>
      <c r="J7874" s="78">
        <v>751</v>
      </c>
    </row>
    <row r="7875" spans="6:10" x14ac:dyDescent="0.25">
      <c r="F7875" s="76" t="s">
        <v>150</v>
      </c>
      <c r="G7875" s="77" t="s">
        <v>238</v>
      </c>
      <c r="H7875" s="77" t="s">
        <v>174</v>
      </c>
      <c r="I7875" s="86">
        <v>41760</v>
      </c>
      <c r="J7875" s="78">
        <v>703</v>
      </c>
    </row>
    <row r="7876" spans="6:10" x14ac:dyDescent="0.25">
      <c r="F7876" s="76" t="s">
        <v>150</v>
      </c>
      <c r="G7876" s="77" t="s">
        <v>238</v>
      </c>
      <c r="H7876" s="77" t="s">
        <v>174</v>
      </c>
      <c r="I7876" s="86">
        <v>41763</v>
      </c>
      <c r="J7876" s="78">
        <v>1128</v>
      </c>
    </row>
    <row r="7877" spans="6:10" x14ac:dyDescent="0.25">
      <c r="F7877" s="76" t="s">
        <v>150</v>
      </c>
      <c r="G7877" s="77" t="s">
        <v>238</v>
      </c>
      <c r="H7877" s="77" t="s">
        <v>174</v>
      </c>
      <c r="I7877" s="86">
        <v>41765</v>
      </c>
      <c r="J7877" s="78">
        <v>1427</v>
      </c>
    </row>
    <row r="7878" spans="6:10" x14ac:dyDescent="0.25">
      <c r="F7878" s="76" t="s">
        <v>150</v>
      </c>
      <c r="G7878" s="77" t="s">
        <v>238</v>
      </c>
      <c r="H7878" s="77" t="s">
        <v>174</v>
      </c>
      <c r="I7878" s="86">
        <v>41767</v>
      </c>
      <c r="J7878" s="78">
        <v>1120</v>
      </c>
    </row>
    <row r="7879" spans="6:10" x14ac:dyDescent="0.25">
      <c r="F7879" s="76" t="s">
        <v>150</v>
      </c>
      <c r="G7879" s="77" t="s">
        <v>238</v>
      </c>
      <c r="H7879" s="77" t="s">
        <v>174</v>
      </c>
      <c r="I7879" s="86">
        <v>41768</v>
      </c>
      <c r="J7879" s="78">
        <v>1063</v>
      </c>
    </row>
    <row r="7880" spans="6:10" x14ac:dyDescent="0.25">
      <c r="F7880" s="76" t="s">
        <v>150</v>
      </c>
      <c r="G7880" s="77" t="s">
        <v>238</v>
      </c>
      <c r="H7880" s="77" t="s">
        <v>174</v>
      </c>
      <c r="I7880" s="86">
        <v>41770</v>
      </c>
      <c r="J7880" s="78">
        <v>1293</v>
      </c>
    </row>
    <row r="7881" spans="6:10" x14ac:dyDescent="0.25">
      <c r="F7881" s="76" t="s">
        <v>150</v>
      </c>
      <c r="G7881" s="77" t="s">
        <v>238</v>
      </c>
      <c r="H7881" s="77" t="s">
        <v>174</v>
      </c>
      <c r="I7881" s="86">
        <v>41772</v>
      </c>
      <c r="J7881" s="78">
        <v>1265</v>
      </c>
    </row>
    <row r="7882" spans="6:10" x14ac:dyDescent="0.25">
      <c r="F7882" s="76" t="s">
        <v>150</v>
      </c>
      <c r="G7882" s="77" t="s">
        <v>238</v>
      </c>
      <c r="H7882" s="77" t="s">
        <v>174</v>
      </c>
      <c r="I7882" s="86">
        <v>41773</v>
      </c>
      <c r="J7882" s="78">
        <v>876</v>
      </c>
    </row>
    <row r="7883" spans="6:10" x14ac:dyDescent="0.25">
      <c r="F7883" s="76" t="s">
        <v>150</v>
      </c>
      <c r="G7883" s="77" t="s">
        <v>238</v>
      </c>
      <c r="H7883" s="77" t="s">
        <v>174</v>
      </c>
      <c r="I7883" s="86">
        <v>41775</v>
      </c>
      <c r="J7883" s="78">
        <v>1000</v>
      </c>
    </row>
    <row r="7884" spans="6:10" x14ac:dyDescent="0.25">
      <c r="F7884" s="76" t="s">
        <v>150</v>
      </c>
      <c r="G7884" s="77" t="s">
        <v>238</v>
      </c>
      <c r="H7884" s="77" t="s">
        <v>174</v>
      </c>
      <c r="I7884" s="86">
        <v>41777</v>
      </c>
      <c r="J7884" s="78">
        <v>1038</v>
      </c>
    </row>
    <row r="7885" spans="6:10" x14ac:dyDescent="0.25">
      <c r="F7885" s="76" t="s">
        <v>150</v>
      </c>
      <c r="G7885" s="77" t="s">
        <v>238</v>
      </c>
      <c r="H7885" s="77" t="s">
        <v>174</v>
      </c>
      <c r="I7885" s="86">
        <v>41778</v>
      </c>
      <c r="J7885" s="78">
        <v>854</v>
      </c>
    </row>
    <row r="7886" spans="6:10" x14ac:dyDescent="0.25">
      <c r="F7886" s="76" t="s">
        <v>150</v>
      </c>
      <c r="G7886" s="77" t="s">
        <v>238</v>
      </c>
      <c r="H7886" s="77" t="s">
        <v>174</v>
      </c>
      <c r="I7886" s="86">
        <v>41780</v>
      </c>
      <c r="J7886" s="78">
        <v>1305</v>
      </c>
    </row>
    <row r="7887" spans="6:10" x14ac:dyDescent="0.25">
      <c r="F7887" s="76" t="s">
        <v>150</v>
      </c>
      <c r="G7887" s="77" t="s">
        <v>238</v>
      </c>
      <c r="H7887" s="77" t="s">
        <v>174</v>
      </c>
      <c r="I7887" s="86">
        <v>41782</v>
      </c>
      <c r="J7887" s="78">
        <v>1298</v>
      </c>
    </row>
    <row r="7888" spans="6:10" x14ac:dyDescent="0.25">
      <c r="F7888" s="76" t="s">
        <v>150</v>
      </c>
      <c r="G7888" s="77" t="s">
        <v>238</v>
      </c>
      <c r="H7888" s="77" t="s">
        <v>174</v>
      </c>
      <c r="I7888" s="86">
        <v>41783</v>
      </c>
      <c r="J7888" s="78">
        <v>964</v>
      </c>
    </row>
    <row r="7889" spans="6:10" x14ac:dyDescent="0.25">
      <c r="F7889" s="76" t="s">
        <v>150</v>
      </c>
      <c r="G7889" s="77" t="s">
        <v>238</v>
      </c>
      <c r="H7889" s="77" t="s">
        <v>174</v>
      </c>
      <c r="I7889" s="86">
        <v>41784</v>
      </c>
      <c r="J7889" s="78">
        <v>802</v>
      </c>
    </row>
    <row r="7890" spans="6:10" x14ac:dyDescent="0.25">
      <c r="F7890" s="76" t="s">
        <v>150</v>
      </c>
      <c r="G7890" s="77" t="s">
        <v>238</v>
      </c>
      <c r="H7890" s="77" t="s">
        <v>174</v>
      </c>
      <c r="I7890" s="86">
        <v>41785</v>
      </c>
      <c r="J7890" s="78">
        <v>900</v>
      </c>
    </row>
    <row r="7891" spans="6:10" x14ac:dyDescent="0.25">
      <c r="F7891" s="76" t="s">
        <v>150</v>
      </c>
      <c r="G7891" s="77" t="s">
        <v>238</v>
      </c>
      <c r="H7891" s="77" t="s">
        <v>174</v>
      </c>
      <c r="I7891" s="86">
        <v>41786</v>
      </c>
      <c r="J7891" s="78">
        <v>887</v>
      </c>
    </row>
    <row r="7892" spans="6:10" x14ac:dyDescent="0.25">
      <c r="F7892" s="76" t="s">
        <v>150</v>
      </c>
      <c r="G7892" s="77" t="s">
        <v>238</v>
      </c>
      <c r="H7892" s="77" t="s">
        <v>174</v>
      </c>
      <c r="I7892" s="86">
        <v>41788</v>
      </c>
      <c r="J7892" s="78">
        <v>1317</v>
      </c>
    </row>
    <row r="7893" spans="6:10" x14ac:dyDescent="0.25">
      <c r="F7893" s="76" t="s">
        <v>150</v>
      </c>
      <c r="G7893" s="77" t="s">
        <v>238</v>
      </c>
      <c r="H7893" s="77" t="s">
        <v>174</v>
      </c>
      <c r="I7893" s="86">
        <v>41792</v>
      </c>
      <c r="J7893" s="78">
        <v>1554</v>
      </c>
    </row>
    <row r="7894" spans="6:10" x14ac:dyDescent="0.25">
      <c r="F7894" s="76" t="s">
        <v>150</v>
      </c>
      <c r="G7894" s="77" t="s">
        <v>238</v>
      </c>
      <c r="H7894" s="77" t="s">
        <v>174</v>
      </c>
      <c r="I7894" s="86">
        <v>41795</v>
      </c>
      <c r="J7894" s="78">
        <v>1348</v>
      </c>
    </row>
    <row r="7895" spans="6:10" x14ac:dyDescent="0.25">
      <c r="F7895" s="76" t="s">
        <v>150</v>
      </c>
      <c r="G7895" s="77" t="s">
        <v>238</v>
      </c>
      <c r="H7895" s="77" t="s">
        <v>174</v>
      </c>
      <c r="I7895" s="86">
        <v>41797</v>
      </c>
      <c r="J7895" s="78">
        <v>710</v>
      </c>
    </row>
    <row r="7896" spans="6:10" x14ac:dyDescent="0.25">
      <c r="F7896" s="76" t="s">
        <v>150</v>
      </c>
      <c r="G7896" s="77" t="s">
        <v>238</v>
      </c>
      <c r="H7896" s="77" t="s">
        <v>174</v>
      </c>
      <c r="I7896" s="86">
        <v>41798</v>
      </c>
      <c r="J7896" s="78">
        <v>747</v>
      </c>
    </row>
    <row r="7897" spans="6:10" x14ac:dyDescent="0.25">
      <c r="F7897" s="76" t="s">
        <v>150</v>
      </c>
      <c r="G7897" s="77" t="s">
        <v>238</v>
      </c>
      <c r="H7897" s="77" t="s">
        <v>174</v>
      </c>
      <c r="I7897" s="86">
        <v>41800</v>
      </c>
      <c r="J7897" s="78">
        <v>643</v>
      </c>
    </row>
    <row r="7898" spans="6:10" x14ac:dyDescent="0.25">
      <c r="F7898" s="76" t="s">
        <v>150</v>
      </c>
      <c r="G7898" s="77" t="s">
        <v>238</v>
      </c>
      <c r="H7898" s="77" t="s">
        <v>174</v>
      </c>
      <c r="I7898" s="86">
        <v>41802</v>
      </c>
      <c r="J7898" s="78">
        <v>652</v>
      </c>
    </row>
    <row r="7899" spans="6:10" x14ac:dyDescent="0.25">
      <c r="F7899" s="76" t="s">
        <v>150</v>
      </c>
      <c r="G7899" s="77" t="s">
        <v>238</v>
      </c>
      <c r="H7899" s="77" t="s">
        <v>174</v>
      </c>
      <c r="I7899" s="86">
        <v>41822</v>
      </c>
      <c r="J7899" s="78">
        <v>1418</v>
      </c>
    </row>
    <row r="7900" spans="6:10" x14ac:dyDescent="0.25">
      <c r="F7900" s="76" t="s">
        <v>150</v>
      </c>
      <c r="G7900" s="77" t="s">
        <v>238</v>
      </c>
      <c r="H7900" s="77" t="s">
        <v>174</v>
      </c>
      <c r="I7900" s="86">
        <v>41830</v>
      </c>
      <c r="J7900" s="78">
        <v>1155</v>
      </c>
    </row>
    <row r="7901" spans="6:10" x14ac:dyDescent="0.25">
      <c r="F7901" s="76" t="s">
        <v>150</v>
      </c>
      <c r="G7901" s="77" t="s">
        <v>238</v>
      </c>
      <c r="H7901" s="77" t="s">
        <v>174</v>
      </c>
      <c r="I7901" s="86">
        <v>41837</v>
      </c>
      <c r="J7901" s="78">
        <v>1383</v>
      </c>
    </row>
    <row r="7902" spans="6:10" x14ac:dyDescent="0.25">
      <c r="F7902" s="76" t="s">
        <v>150</v>
      </c>
      <c r="G7902" s="77" t="s">
        <v>238</v>
      </c>
      <c r="H7902" s="77" t="s">
        <v>174</v>
      </c>
      <c r="I7902" s="86">
        <v>41841</v>
      </c>
      <c r="J7902" s="78">
        <v>1424</v>
      </c>
    </row>
    <row r="7903" spans="6:10" x14ac:dyDescent="0.25">
      <c r="F7903" s="76" t="s">
        <v>150</v>
      </c>
      <c r="G7903" s="77" t="s">
        <v>238</v>
      </c>
      <c r="H7903" s="77" t="s">
        <v>174</v>
      </c>
      <c r="I7903" s="86">
        <v>41843</v>
      </c>
      <c r="J7903" s="78">
        <v>1144</v>
      </c>
    </row>
    <row r="7904" spans="6:10" x14ac:dyDescent="0.25">
      <c r="F7904" s="76" t="s">
        <v>150</v>
      </c>
      <c r="G7904" s="77" t="s">
        <v>238</v>
      </c>
      <c r="H7904" s="77" t="s">
        <v>174</v>
      </c>
      <c r="I7904" s="86">
        <v>41845</v>
      </c>
      <c r="J7904" s="78">
        <v>1645</v>
      </c>
    </row>
    <row r="7905" spans="6:10" x14ac:dyDescent="0.25">
      <c r="F7905" s="76" t="s">
        <v>150</v>
      </c>
      <c r="G7905" s="77" t="s">
        <v>238</v>
      </c>
      <c r="H7905" s="77" t="s">
        <v>174</v>
      </c>
      <c r="I7905" s="86">
        <v>41848</v>
      </c>
      <c r="J7905" s="78">
        <v>983</v>
      </c>
    </row>
    <row r="7906" spans="6:10" x14ac:dyDescent="0.25">
      <c r="F7906" s="76" t="s">
        <v>150</v>
      </c>
      <c r="G7906" s="77" t="s">
        <v>238</v>
      </c>
      <c r="H7906" s="77" t="s">
        <v>174</v>
      </c>
      <c r="I7906" s="86">
        <v>41849</v>
      </c>
      <c r="J7906" s="78">
        <v>358</v>
      </c>
    </row>
    <row r="7907" spans="6:10" x14ac:dyDescent="0.25">
      <c r="F7907" s="76" t="s">
        <v>150</v>
      </c>
      <c r="G7907" s="77" t="s">
        <v>238</v>
      </c>
      <c r="H7907" s="77" t="s">
        <v>174</v>
      </c>
      <c r="I7907" s="86">
        <v>41850</v>
      </c>
      <c r="J7907" s="78">
        <v>1503</v>
      </c>
    </row>
    <row r="7908" spans="6:10" x14ac:dyDescent="0.25">
      <c r="F7908" s="76" t="s">
        <v>150</v>
      </c>
      <c r="G7908" s="77" t="s">
        <v>238</v>
      </c>
      <c r="H7908" s="77" t="s">
        <v>174</v>
      </c>
      <c r="I7908" s="86">
        <v>41851</v>
      </c>
      <c r="J7908" s="78">
        <v>417</v>
      </c>
    </row>
    <row r="7909" spans="6:10" x14ac:dyDescent="0.25">
      <c r="F7909" s="76" t="s">
        <v>150</v>
      </c>
      <c r="G7909" s="77" t="s">
        <v>238</v>
      </c>
      <c r="H7909" s="77" t="s">
        <v>174</v>
      </c>
      <c r="I7909" s="86">
        <v>41852</v>
      </c>
      <c r="J7909" s="78">
        <v>1405</v>
      </c>
    </row>
    <row r="7910" spans="6:10" x14ac:dyDescent="0.25">
      <c r="F7910" s="76" t="s">
        <v>150</v>
      </c>
      <c r="G7910" s="77" t="s">
        <v>238</v>
      </c>
      <c r="H7910" s="77" t="s">
        <v>174</v>
      </c>
      <c r="I7910" s="86">
        <v>41855</v>
      </c>
      <c r="J7910" s="78">
        <v>973</v>
      </c>
    </row>
    <row r="7911" spans="6:10" x14ac:dyDescent="0.25">
      <c r="F7911" s="76" t="s">
        <v>150</v>
      </c>
      <c r="G7911" s="77" t="s">
        <v>238</v>
      </c>
      <c r="H7911" s="77" t="s">
        <v>174</v>
      </c>
      <c r="I7911" s="86">
        <v>41856</v>
      </c>
      <c r="J7911" s="78">
        <v>975</v>
      </c>
    </row>
    <row r="7912" spans="6:10" x14ac:dyDescent="0.25">
      <c r="F7912" s="76" t="s">
        <v>150</v>
      </c>
      <c r="G7912" s="77" t="s">
        <v>238</v>
      </c>
      <c r="H7912" s="77" t="s">
        <v>174</v>
      </c>
      <c r="I7912" s="86">
        <v>41857</v>
      </c>
      <c r="J7912" s="78">
        <v>499</v>
      </c>
    </row>
    <row r="7913" spans="6:10" x14ac:dyDescent="0.25">
      <c r="F7913" s="76" t="s">
        <v>150</v>
      </c>
      <c r="G7913" s="77" t="s">
        <v>238</v>
      </c>
      <c r="H7913" s="77" t="s">
        <v>174</v>
      </c>
      <c r="I7913" s="86">
        <v>41858</v>
      </c>
      <c r="J7913" s="78">
        <v>1403</v>
      </c>
    </row>
    <row r="7914" spans="6:10" x14ac:dyDescent="0.25">
      <c r="F7914" s="76" t="s">
        <v>150</v>
      </c>
      <c r="G7914" s="77" t="s">
        <v>238</v>
      </c>
      <c r="H7914" s="77" t="s">
        <v>174</v>
      </c>
      <c r="I7914" s="86">
        <v>41859</v>
      </c>
      <c r="J7914" s="78">
        <v>943</v>
      </c>
    </row>
    <row r="7915" spans="6:10" x14ac:dyDescent="0.25">
      <c r="F7915" s="76" t="s">
        <v>150</v>
      </c>
      <c r="G7915" s="77" t="s">
        <v>238</v>
      </c>
      <c r="H7915" s="77" t="s">
        <v>174</v>
      </c>
      <c r="I7915" s="86">
        <v>41862</v>
      </c>
      <c r="J7915" s="78">
        <v>474</v>
      </c>
    </row>
    <row r="7916" spans="6:10" x14ac:dyDescent="0.25">
      <c r="F7916" s="76" t="s">
        <v>150</v>
      </c>
      <c r="G7916" s="77" t="s">
        <v>238</v>
      </c>
      <c r="H7916" s="77" t="s">
        <v>174</v>
      </c>
      <c r="I7916" s="86">
        <v>41863</v>
      </c>
      <c r="J7916" s="78">
        <v>1404</v>
      </c>
    </row>
    <row r="7917" spans="6:10" x14ac:dyDescent="0.25">
      <c r="F7917" s="76" t="s">
        <v>150</v>
      </c>
      <c r="G7917" s="77" t="s">
        <v>238</v>
      </c>
      <c r="H7917" s="77" t="s">
        <v>174</v>
      </c>
      <c r="I7917" s="86">
        <v>41864</v>
      </c>
      <c r="J7917" s="78">
        <v>494</v>
      </c>
    </row>
    <row r="7918" spans="6:10" x14ac:dyDescent="0.25">
      <c r="F7918" s="76" t="s">
        <v>150</v>
      </c>
      <c r="G7918" s="77" t="s">
        <v>238</v>
      </c>
      <c r="H7918" s="77" t="s">
        <v>174</v>
      </c>
      <c r="I7918" s="86">
        <v>41865</v>
      </c>
      <c r="J7918" s="78">
        <v>1365</v>
      </c>
    </row>
    <row r="7919" spans="6:10" x14ac:dyDescent="0.25">
      <c r="F7919" s="76" t="s">
        <v>150</v>
      </c>
      <c r="G7919" s="77" t="s">
        <v>238</v>
      </c>
      <c r="H7919" s="77" t="s">
        <v>174</v>
      </c>
      <c r="I7919" s="86">
        <v>41866</v>
      </c>
      <c r="J7919" s="78">
        <v>499</v>
      </c>
    </row>
    <row r="7920" spans="6:10" x14ac:dyDescent="0.25">
      <c r="F7920" s="76" t="s">
        <v>150</v>
      </c>
      <c r="G7920" s="77" t="s">
        <v>238</v>
      </c>
      <c r="H7920" s="77" t="s">
        <v>174</v>
      </c>
      <c r="I7920" s="86">
        <v>41869</v>
      </c>
      <c r="J7920" s="78">
        <v>1345</v>
      </c>
    </row>
    <row r="7921" spans="6:10" x14ac:dyDescent="0.25">
      <c r="F7921" s="76" t="s">
        <v>150</v>
      </c>
      <c r="G7921" s="77" t="s">
        <v>238</v>
      </c>
      <c r="H7921" s="77" t="s">
        <v>174</v>
      </c>
      <c r="I7921" s="86">
        <v>41871</v>
      </c>
      <c r="J7921" s="78">
        <v>999</v>
      </c>
    </row>
    <row r="7922" spans="6:10" x14ac:dyDescent="0.25">
      <c r="F7922" s="76" t="s">
        <v>150</v>
      </c>
      <c r="G7922" s="77" t="s">
        <v>238</v>
      </c>
      <c r="H7922" s="77" t="s">
        <v>174</v>
      </c>
      <c r="I7922" s="86">
        <v>41877</v>
      </c>
      <c r="J7922" s="78">
        <v>1364</v>
      </c>
    </row>
    <row r="7923" spans="6:10" x14ac:dyDescent="0.25">
      <c r="F7923" s="76" t="s">
        <v>150</v>
      </c>
      <c r="G7923" s="77" t="s">
        <v>238</v>
      </c>
      <c r="H7923" s="77" t="s">
        <v>174</v>
      </c>
      <c r="I7923" s="86">
        <v>41878</v>
      </c>
      <c r="J7923" s="78">
        <v>1383</v>
      </c>
    </row>
    <row r="7924" spans="6:10" x14ac:dyDescent="0.25">
      <c r="F7924" s="76" t="s">
        <v>150</v>
      </c>
      <c r="G7924" s="77" t="s">
        <v>238</v>
      </c>
      <c r="H7924" s="77" t="s">
        <v>174</v>
      </c>
      <c r="I7924" s="86">
        <v>41879</v>
      </c>
      <c r="J7924" s="78">
        <v>502</v>
      </c>
    </row>
    <row r="7925" spans="6:10" x14ac:dyDescent="0.25">
      <c r="F7925" s="76" t="s">
        <v>150</v>
      </c>
      <c r="G7925" s="77" t="s">
        <v>238</v>
      </c>
      <c r="H7925" s="77" t="s">
        <v>174</v>
      </c>
      <c r="I7925" s="86">
        <v>41880</v>
      </c>
      <c r="J7925" s="78">
        <v>1356</v>
      </c>
    </row>
    <row r="7926" spans="6:10" x14ac:dyDescent="0.25">
      <c r="F7926" s="76" t="s">
        <v>150</v>
      </c>
      <c r="G7926" s="77" t="s">
        <v>238</v>
      </c>
      <c r="H7926" s="77" t="s">
        <v>174</v>
      </c>
      <c r="I7926" s="86">
        <v>41884</v>
      </c>
      <c r="J7926" s="78">
        <v>1624</v>
      </c>
    </row>
    <row r="7927" spans="6:10" x14ac:dyDescent="0.25">
      <c r="F7927" s="76" t="s">
        <v>150</v>
      </c>
      <c r="G7927" s="77" t="s">
        <v>238</v>
      </c>
      <c r="H7927" s="77" t="s">
        <v>174</v>
      </c>
      <c r="I7927" s="86">
        <v>41885</v>
      </c>
      <c r="J7927" s="78">
        <v>1282</v>
      </c>
    </row>
    <row r="7928" spans="6:10" x14ac:dyDescent="0.25">
      <c r="F7928" s="76" t="s">
        <v>150</v>
      </c>
      <c r="G7928" s="77" t="s">
        <v>238</v>
      </c>
      <c r="H7928" s="77" t="s">
        <v>174</v>
      </c>
      <c r="I7928" s="86">
        <v>41893</v>
      </c>
      <c r="J7928" s="78">
        <v>1485</v>
      </c>
    </row>
    <row r="7929" spans="6:10" x14ac:dyDescent="0.25">
      <c r="F7929" s="76" t="s">
        <v>150</v>
      </c>
      <c r="G7929" s="77" t="s">
        <v>238</v>
      </c>
      <c r="H7929" s="77" t="s">
        <v>174</v>
      </c>
      <c r="I7929" s="86">
        <v>41897</v>
      </c>
      <c r="J7929" s="78">
        <v>1021</v>
      </c>
    </row>
    <row r="7930" spans="6:10" x14ac:dyDescent="0.25">
      <c r="F7930" s="76" t="s">
        <v>150</v>
      </c>
      <c r="G7930" s="77" t="s">
        <v>238</v>
      </c>
      <c r="H7930" s="77" t="s">
        <v>174</v>
      </c>
      <c r="I7930" s="86">
        <v>41899</v>
      </c>
      <c r="J7930" s="78">
        <v>1093</v>
      </c>
    </row>
    <row r="7931" spans="6:10" x14ac:dyDescent="0.25">
      <c r="F7931" s="76" t="s">
        <v>150</v>
      </c>
      <c r="G7931" s="77" t="s">
        <v>238</v>
      </c>
      <c r="H7931" s="77" t="s">
        <v>174</v>
      </c>
      <c r="I7931" s="86">
        <v>41901</v>
      </c>
      <c r="J7931" s="78">
        <v>1030</v>
      </c>
    </row>
    <row r="7932" spans="6:10" x14ac:dyDescent="0.25">
      <c r="F7932" s="76" t="s">
        <v>150</v>
      </c>
      <c r="G7932" s="77" t="s">
        <v>238</v>
      </c>
      <c r="H7932" s="77" t="s">
        <v>174</v>
      </c>
      <c r="I7932" s="86">
        <v>41905</v>
      </c>
      <c r="J7932" s="78">
        <v>1028</v>
      </c>
    </row>
    <row r="7933" spans="6:10" x14ac:dyDescent="0.25">
      <c r="F7933" s="76" t="s">
        <v>150</v>
      </c>
      <c r="G7933" s="77" t="s">
        <v>238</v>
      </c>
      <c r="H7933" s="77" t="s">
        <v>174</v>
      </c>
      <c r="I7933" s="86">
        <v>41907</v>
      </c>
      <c r="J7933" s="78">
        <v>1149</v>
      </c>
    </row>
    <row r="7934" spans="6:10" x14ac:dyDescent="0.25">
      <c r="F7934" s="76" t="s">
        <v>150</v>
      </c>
      <c r="G7934" s="77" t="s">
        <v>238</v>
      </c>
      <c r="H7934" s="77" t="s">
        <v>174</v>
      </c>
      <c r="I7934" s="86">
        <v>41909</v>
      </c>
      <c r="J7934" s="78">
        <v>900</v>
      </c>
    </row>
    <row r="7935" spans="6:10" x14ac:dyDescent="0.25">
      <c r="F7935" s="76" t="s">
        <v>150</v>
      </c>
      <c r="G7935" s="77" t="s">
        <v>238</v>
      </c>
      <c r="H7935" s="77" t="s">
        <v>174</v>
      </c>
      <c r="I7935" s="86">
        <v>41911</v>
      </c>
      <c r="J7935" s="78">
        <v>1302</v>
      </c>
    </row>
    <row r="7936" spans="6:10" x14ac:dyDescent="0.25">
      <c r="F7936" s="76" t="s">
        <v>150</v>
      </c>
      <c r="G7936" s="77" t="s">
        <v>238</v>
      </c>
      <c r="H7936" s="77" t="s">
        <v>174</v>
      </c>
      <c r="I7936" s="86">
        <v>41916</v>
      </c>
      <c r="J7936" s="78">
        <v>1195</v>
      </c>
    </row>
    <row r="7937" spans="6:10" x14ac:dyDescent="0.25">
      <c r="F7937" s="76" t="s">
        <v>150</v>
      </c>
      <c r="G7937" s="77" t="s">
        <v>238</v>
      </c>
      <c r="H7937" s="77" t="s">
        <v>174</v>
      </c>
      <c r="I7937" s="86">
        <v>41916</v>
      </c>
      <c r="J7937" s="78">
        <v>778</v>
      </c>
    </row>
    <row r="7938" spans="6:10" x14ac:dyDescent="0.25">
      <c r="F7938" s="76" t="s">
        <v>150</v>
      </c>
      <c r="G7938" s="77" t="s">
        <v>238</v>
      </c>
      <c r="H7938" s="77" t="s">
        <v>174</v>
      </c>
      <c r="I7938" s="86">
        <v>41917</v>
      </c>
      <c r="J7938" s="78">
        <v>652</v>
      </c>
    </row>
    <row r="7939" spans="6:10" x14ac:dyDescent="0.25">
      <c r="F7939" s="76" t="s">
        <v>150</v>
      </c>
      <c r="G7939" s="77" t="s">
        <v>238</v>
      </c>
      <c r="H7939" s="77" t="s">
        <v>174</v>
      </c>
      <c r="I7939" s="86">
        <v>41943</v>
      </c>
      <c r="J7939" s="78">
        <v>1574</v>
      </c>
    </row>
    <row r="7940" spans="6:10" x14ac:dyDescent="0.25">
      <c r="F7940" s="76" t="s">
        <v>150</v>
      </c>
      <c r="G7940" s="77" t="s">
        <v>238</v>
      </c>
      <c r="H7940" s="77" t="s">
        <v>174</v>
      </c>
      <c r="I7940" s="86">
        <v>41946</v>
      </c>
      <c r="J7940" s="78">
        <v>1080</v>
      </c>
    </row>
    <row r="7941" spans="6:10" x14ac:dyDescent="0.25">
      <c r="F7941" s="76" t="s">
        <v>150</v>
      </c>
      <c r="G7941" s="77" t="s">
        <v>238</v>
      </c>
      <c r="H7941" s="77" t="s">
        <v>174</v>
      </c>
      <c r="I7941" s="86">
        <v>41953</v>
      </c>
      <c r="J7941" s="78">
        <v>381</v>
      </c>
    </row>
    <row r="7942" spans="6:10" x14ac:dyDescent="0.25">
      <c r="F7942" s="76" t="s">
        <v>150</v>
      </c>
      <c r="G7942" s="77" t="s">
        <v>238</v>
      </c>
      <c r="H7942" s="77" t="s">
        <v>174</v>
      </c>
      <c r="I7942" s="86">
        <v>41956</v>
      </c>
      <c r="J7942" s="78">
        <v>998</v>
      </c>
    </row>
    <row r="7943" spans="6:10" x14ac:dyDescent="0.25">
      <c r="F7943" s="76" t="s">
        <v>150</v>
      </c>
      <c r="G7943" s="77" t="s">
        <v>238</v>
      </c>
      <c r="H7943" s="77" t="s">
        <v>174</v>
      </c>
      <c r="I7943" s="86">
        <v>41957</v>
      </c>
      <c r="J7943" s="78">
        <v>243</v>
      </c>
    </row>
    <row r="7944" spans="6:10" x14ac:dyDescent="0.25">
      <c r="F7944" s="76" t="s">
        <v>150</v>
      </c>
      <c r="G7944" s="77" t="s">
        <v>238</v>
      </c>
      <c r="H7944" s="77" t="s">
        <v>174</v>
      </c>
      <c r="I7944" s="86">
        <v>41962</v>
      </c>
      <c r="J7944" s="78">
        <v>1148</v>
      </c>
    </row>
    <row r="7945" spans="6:10" x14ac:dyDescent="0.25">
      <c r="F7945" s="76" t="s">
        <v>150</v>
      </c>
      <c r="G7945" s="77" t="s">
        <v>238</v>
      </c>
      <c r="H7945" s="77" t="s">
        <v>174</v>
      </c>
      <c r="I7945" s="86">
        <v>41967</v>
      </c>
      <c r="J7945" s="78">
        <v>950</v>
      </c>
    </row>
    <row r="7946" spans="6:10" x14ac:dyDescent="0.25">
      <c r="F7946" s="76" t="s">
        <v>150</v>
      </c>
      <c r="G7946" s="77" t="s">
        <v>238</v>
      </c>
      <c r="H7946" s="77" t="s">
        <v>174</v>
      </c>
      <c r="I7946" s="86">
        <v>41971</v>
      </c>
      <c r="J7946" s="78">
        <v>938</v>
      </c>
    </row>
    <row r="7947" spans="6:10" x14ac:dyDescent="0.25">
      <c r="F7947" s="76" t="s">
        <v>150</v>
      </c>
      <c r="G7947" s="77" t="s">
        <v>238</v>
      </c>
      <c r="H7947" s="77" t="s">
        <v>174</v>
      </c>
      <c r="I7947" s="86">
        <v>41972</v>
      </c>
      <c r="J7947" s="78">
        <v>623</v>
      </c>
    </row>
    <row r="7948" spans="6:10" x14ac:dyDescent="0.25">
      <c r="F7948" s="76" t="s">
        <v>150</v>
      </c>
      <c r="G7948" s="77" t="s">
        <v>238</v>
      </c>
      <c r="H7948" s="77" t="s">
        <v>174</v>
      </c>
      <c r="I7948" s="86">
        <v>41974</v>
      </c>
      <c r="J7948" s="78">
        <v>924</v>
      </c>
    </row>
    <row r="7949" spans="6:10" x14ac:dyDescent="0.25">
      <c r="F7949" s="76" t="s">
        <v>150</v>
      </c>
      <c r="G7949" s="77" t="s">
        <v>238</v>
      </c>
      <c r="H7949" s="77" t="s">
        <v>174</v>
      </c>
      <c r="I7949" s="86">
        <v>41976</v>
      </c>
      <c r="J7949" s="78">
        <v>694</v>
      </c>
    </row>
    <row r="7950" spans="6:10" x14ac:dyDescent="0.25">
      <c r="F7950" s="76" t="s">
        <v>150</v>
      </c>
      <c r="G7950" s="77" t="s">
        <v>238</v>
      </c>
      <c r="H7950" s="77" t="s">
        <v>174</v>
      </c>
      <c r="I7950" s="86">
        <v>41978</v>
      </c>
      <c r="J7950" s="78">
        <v>663</v>
      </c>
    </row>
    <row r="7951" spans="6:10" x14ac:dyDescent="0.25">
      <c r="F7951" s="76" t="s">
        <v>150</v>
      </c>
      <c r="G7951" s="77" t="s">
        <v>238</v>
      </c>
      <c r="H7951" s="77" t="s">
        <v>174</v>
      </c>
      <c r="I7951" s="86">
        <v>41980</v>
      </c>
      <c r="J7951" s="78">
        <v>646</v>
      </c>
    </row>
    <row r="7952" spans="6:10" x14ac:dyDescent="0.25">
      <c r="F7952" s="76" t="s">
        <v>150</v>
      </c>
      <c r="G7952" s="77" t="s">
        <v>238</v>
      </c>
      <c r="H7952" s="77" t="s">
        <v>174</v>
      </c>
      <c r="I7952" s="86">
        <v>41982</v>
      </c>
      <c r="J7952" s="78">
        <v>1309</v>
      </c>
    </row>
    <row r="7953" spans="6:10" x14ac:dyDescent="0.25">
      <c r="F7953" s="76" t="s">
        <v>150</v>
      </c>
      <c r="G7953" s="77" t="s">
        <v>238</v>
      </c>
      <c r="H7953" s="77" t="s">
        <v>174</v>
      </c>
      <c r="I7953" s="86">
        <v>41984</v>
      </c>
      <c r="J7953" s="78">
        <v>650</v>
      </c>
    </row>
    <row r="7954" spans="6:10" x14ac:dyDescent="0.25">
      <c r="F7954" s="76" t="s">
        <v>150</v>
      </c>
      <c r="G7954" s="77" t="s">
        <v>238</v>
      </c>
      <c r="H7954" s="77" t="s">
        <v>174</v>
      </c>
      <c r="I7954" s="86">
        <v>41988</v>
      </c>
      <c r="J7954" s="78">
        <v>964</v>
      </c>
    </row>
    <row r="7955" spans="6:10" x14ac:dyDescent="0.25">
      <c r="F7955" s="76" t="s">
        <v>150</v>
      </c>
      <c r="G7955" s="77" t="s">
        <v>238</v>
      </c>
      <c r="H7955" s="77" t="s">
        <v>174</v>
      </c>
      <c r="I7955" s="86">
        <v>41992</v>
      </c>
      <c r="J7955" s="78">
        <v>1308</v>
      </c>
    </row>
    <row r="7956" spans="6:10" x14ac:dyDescent="0.25">
      <c r="F7956" s="76" t="s">
        <v>150</v>
      </c>
      <c r="G7956" s="77" t="s">
        <v>310</v>
      </c>
      <c r="H7956" s="77" t="s">
        <v>174</v>
      </c>
      <c r="I7956" s="86">
        <v>41638</v>
      </c>
      <c r="J7956" s="78">
        <v>1339</v>
      </c>
    </row>
    <row r="7957" spans="6:10" x14ac:dyDescent="0.25">
      <c r="F7957" s="76" t="s">
        <v>150</v>
      </c>
      <c r="G7957" s="77" t="s">
        <v>310</v>
      </c>
      <c r="H7957" s="77" t="s">
        <v>174</v>
      </c>
      <c r="I7957" s="86">
        <v>41642</v>
      </c>
      <c r="J7957" s="78">
        <v>1163</v>
      </c>
    </row>
    <row r="7958" spans="6:10" x14ac:dyDescent="0.25">
      <c r="F7958" s="76" t="s">
        <v>150</v>
      </c>
      <c r="G7958" s="77" t="s">
        <v>310</v>
      </c>
      <c r="H7958" s="77" t="s">
        <v>174</v>
      </c>
      <c r="I7958" s="86">
        <v>41644</v>
      </c>
      <c r="J7958" s="78">
        <v>1901</v>
      </c>
    </row>
    <row r="7959" spans="6:10" x14ac:dyDescent="0.25">
      <c r="F7959" s="76" t="s">
        <v>150</v>
      </c>
      <c r="G7959" s="77" t="s">
        <v>310</v>
      </c>
      <c r="H7959" s="77" t="s">
        <v>174</v>
      </c>
      <c r="I7959" s="86">
        <v>41646</v>
      </c>
      <c r="J7959" s="78">
        <v>1713</v>
      </c>
    </row>
    <row r="7960" spans="6:10" x14ac:dyDescent="0.25">
      <c r="F7960" s="76" t="s">
        <v>150</v>
      </c>
      <c r="G7960" s="77" t="s">
        <v>310</v>
      </c>
      <c r="H7960" s="77" t="s">
        <v>174</v>
      </c>
      <c r="I7960" s="86">
        <v>41648</v>
      </c>
      <c r="J7960" s="78">
        <v>1108</v>
      </c>
    </row>
    <row r="7961" spans="6:10" x14ac:dyDescent="0.25">
      <c r="F7961" s="76" t="s">
        <v>150</v>
      </c>
      <c r="G7961" s="77" t="s">
        <v>310</v>
      </c>
      <c r="H7961" s="77" t="s">
        <v>174</v>
      </c>
      <c r="I7961" s="86">
        <v>41649</v>
      </c>
      <c r="J7961" s="78">
        <v>864</v>
      </c>
    </row>
    <row r="7962" spans="6:10" x14ac:dyDescent="0.25">
      <c r="F7962" s="76" t="s">
        <v>150</v>
      </c>
      <c r="G7962" s="77" t="s">
        <v>310</v>
      </c>
      <c r="H7962" s="77" t="s">
        <v>174</v>
      </c>
      <c r="I7962" s="86">
        <v>41651</v>
      </c>
      <c r="J7962" s="78">
        <v>1379</v>
      </c>
    </row>
    <row r="7963" spans="6:10" x14ac:dyDescent="0.25">
      <c r="F7963" s="76" t="s">
        <v>150</v>
      </c>
      <c r="G7963" s="77" t="s">
        <v>310</v>
      </c>
      <c r="H7963" s="77" t="s">
        <v>174</v>
      </c>
      <c r="I7963" s="86">
        <v>41652</v>
      </c>
      <c r="J7963" s="78">
        <v>1026</v>
      </c>
    </row>
    <row r="7964" spans="6:10" x14ac:dyDescent="0.25">
      <c r="F7964" s="76" t="s">
        <v>150</v>
      </c>
      <c r="G7964" s="77" t="s">
        <v>310</v>
      </c>
      <c r="H7964" s="77" t="s">
        <v>174</v>
      </c>
      <c r="I7964" s="86">
        <v>41654</v>
      </c>
      <c r="J7964" s="78">
        <v>844</v>
      </c>
    </row>
    <row r="7965" spans="6:10" x14ac:dyDescent="0.25">
      <c r="F7965" s="76" t="s">
        <v>150</v>
      </c>
      <c r="G7965" s="77" t="s">
        <v>310</v>
      </c>
      <c r="H7965" s="77" t="s">
        <v>174</v>
      </c>
      <c r="I7965" s="86">
        <v>41656</v>
      </c>
      <c r="J7965" s="78">
        <v>940</v>
      </c>
    </row>
    <row r="7966" spans="6:10" x14ac:dyDescent="0.25">
      <c r="F7966" s="76" t="s">
        <v>150</v>
      </c>
      <c r="G7966" s="77" t="s">
        <v>310</v>
      </c>
      <c r="H7966" s="77" t="s">
        <v>174</v>
      </c>
      <c r="I7966" s="86">
        <v>41660</v>
      </c>
      <c r="J7966" s="78">
        <v>1361</v>
      </c>
    </row>
    <row r="7967" spans="6:10" x14ac:dyDescent="0.25">
      <c r="F7967" s="76" t="s">
        <v>150</v>
      </c>
      <c r="G7967" s="77" t="s">
        <v>310</v>
      </c>
      <c r="H7967" s="77" t="s">
        <v>174</v>
      </c>
      <c r="I7967" s="86">
        <v>41662</v>
      </c>
      <c r="J7967" s="78">
        <v>1157</v>
      </c>
    </row>
    <row r="7968" spans="6:10" x14ac:dyDescent="0.25">
      <c r="F7968" s="76" t="s">
        <v>150</v>
      </c>
      <c r="G7968" s="77" t="s">
        <v>310</v>
      </c>
      <c r="H7968" s="77" t="s">
        <v>174</v>
      </c>
      <c r="I7968" s="86">
        <v>41663</v>
      </c>
      <c r="J7968" s="78">
        <v>831</v>
      </c>
    </row>
    <row r="7969" spans="6:10" x14ac:dyDescent="0.25">
      <c r="F7969" s="76" t="s">
        <v>150</v>
      </c>
      <c r="G7969" s="77" t="s">
        <v>310</v>
      </c>
      <c r="H7969" s="77" t="s">
        <v>174</v>
      </c>
      <c r="I7969" s="86">
        <v>41665</v>
      </c>
      <c r="J7969" s="78">
        <v>1549</v>
      </c>
    </row>
    <row r="7970" spans="6:10" x14ac:dyDescent="0.25">
      <c r="F7970" s="76" t="s">
        <v>150</v>
      </c>
      <c r="G7970" s="77" t="s">
        <v>310</v>
      </c>
      <c r="H7970" s="77" t="s">
        <v>174</v>
      </c>
      <c r="I7970" s="86">
        <v>41667</v>
      </c>
      <c r="J7970" s="78">
        <v>1500</v>
      </c>
    </row>
    <row r="7971" spans="6:10" x14ac:dyDescent="0.25">
      <c r="F7971" s="76" t="s">
        <v>150</v>
      </c>
      <c r="G7971" s="77" t="s">
        <v>310</v>
      </c>
      <c r="H7971" s="77" t="s">
        <v>174</v>
      </c>
      <c r="I7971" s="86">
        <v>41669</v>
      </c>
      <c r="J7971" s="78">
        <v>1649</v>
      </c>
    </row>
    <row r="7972" spans="6:10" x14ac:dyDescent="0.25">
      <c r="F7972" s="76" t="s">
        <v>150</v>
      </c>
      <c r="G7972" s="77" t="s">
        <v>310</v>
      </c>
      <c r="H7972" s="77" t="s">
        <v>174</v>
      </c>
      <c r="I7972" s="86">
        <v>41676</v>
      </c>
      <c r="J7972" s="78">
        <v>1027</v>
      </c>
    </row>
    <row r="7973" spans="6:10" x14ac:dyDescent="0.25">
      <c r="F7973" s="76" t="s">
        <v>150</v>
      </c>
      <c r="G7973" s="77" t="s">
        <v>310</v>
      </c>
      <c r="H7973" s="77" t="s">
        <v>174</v>
      </c>
      <c r="I7973" s="86">
        <v>41705</v>
      </c>
      <c r="J7973" s="78">
        <v>849</v>
      </c>
    </row>
    <row r="7974" spans="6:10" x14ac:dyDescent="0.25">
      <c r="F7974" s="76" t="s">
        <v>150</v>
      </c>
      <c r="G7974" s="77" t="s">
        <v>310</v>
      </c>
      <c r="H7974" s="77" t="s">
        <v>174</v>
      </c>
      <c r="I7974" s="86">
        <v>41710</v>
      </c>
      <c r="J7974" s="78">
        <v>1551</v>
      </c>
    </row>
    <row r="7975" spans="6:10" x14ac:dyDescent="0.25">
      <c r="F7975" s="76" t="s">
        <v>150</v>
      </c>
      <c r="G7975" s="77" t="s">
        <v>310</v>
      </c>
      <c r="H7975" s="77" t="s">
        <v>174</v>
      </c>
      <c r="I7975" s="86">
        <v>41726</v>
      </c>
      <c r="J7975" s="78">
        <v>888</v>
      </c>
    </row>
    <row r="7976" spans="6:10" x14ac:dyDescent="0.25">
      <c r="F7976" s="76" t="s">
        <v>150</v>
      </c>
      <c r="G7976" s="77" t="s">
        <v>310</v>
      </c>
      <c r="H7976" s="77" t="s">
        <v>174</v>
      </c>
      <c r="I7976" s="86">
        <v>41728</v>
      </c>
      <c r="J7976" s="78">
        <v>1103</v>
      </c>
    </row>
    <row r="7977" spans="6:10" x14ac:dyDescent="0.25">
      <c r="F7977" s="76" t="s">
        <v>150</v>
      </c>
      <c r="G7977" s="77" t="s">
        <v>310</v>
      </c>
      <c r="H7977" s="77" t="s">
        <v>174</v>
      </c>
      <c r="I7977" s="86">
        <v>41730</v>
      </c>
      <c r="J7977" s="78">
        <v>1208</v>
      </c>
    </row>
    <row r="7978" spans="6:10" x14ac:dyDescent="0.25">
      <c r="F7978" s="76" t="s">
        <v>150</v>
      </c>
      <c r="G7978" s="77" t="s">
        <v>310</v>
      </c>
      <c r="H7978" s="77" t="s">
        <v>174</v>
      </c>
      <c r="I7978" s="86">
        <v>41732</v>
      </c>
      <c r="J7978" s="78">
        <v>1004</v>
      </c>
    </row>
    <row r="7979" spans="6:10" x14ac:dyDescent="0.25">
      <c r="F7979" s="76" t="s">
        <v>150</v>
      </c>
      <c r="G7979" s="77" t="s">
        <v>310</v>
      </c>
      <c r="H7979" s="77" t="s">
        <v>174</v>
      </c>
      <c r="I7979" s="86">
        <v>41733</v>
      </c>
      <c r="J7979" s="78">
        <v>1063</v>
      </c>
    </row>
    <row r="7980" spans="6:10" x14ac:dyDescent="0.25">
      <c r="F7980" s="76" t="s">
        <v>150</v>
      </c>
      <c r="G7980" s="77" t="s">
        <v>310</v>
      </c>
      <c r="H7980" s="77" t="s">
        <v>174</v>
      </c>
      <c r="I7980" s="86">
        <v>41735</v>
      </c>
      <c r="J7980" s="78">
        <v>1303</v>
      </c>
    </row>
    <row r="7981" spans="6:10" x14ac:dyDescent="0.25">
      <c r="F7981" s="76" t="s">
        <v>150</v>
      </c>
      <c r="G7981" s="77" t="s">
        <v>310</v>
      </c>
      <c r="H7981" s="77" t="s">
        <v>174</v>
      </c>
      <c r="I7981" s="86">
        <v>41737</v>
      </c>
      <c r="J7981" s="78">
        <v>1192</v>
      </c>
    </row>
    <row r="7982" spans="6:10" x14ac:dyDescent="0.25">
      <c r="F7982" s="76" t="s">
        <v>150</v>
      </c>
      <c r="G7982" s="77" t="s">
        <v>310</v>
      </c>
      <c r="H7982" s="77" t="s">
        <v>174</v>
      </c>
      <c r="I7982" s="86">
        <v>41738</v>
      </c>
      <c r="J7982" s="78">
        <v>1071</v>
      </c>
    </row>
    <row r="7983" spans="6:10" x14ac:dyDescent="0.25">
      <c r="F7983" s="76" t="s">
        <v>150</v>
      </c>
      <c r="G7983" s="77" t="s">
        <v>310</v>
      </c>
      <c r="H7983" s="77" t="s">
        <v>174</v>
      </c>
      <c r="I7983" s="86">
        <v>41740</v>
      </c>
      <c r="J7983" s="78">
        <v>859</v>
      </c>
    </row>
    <row r="7984" spans="6:10" x14ac:dyDescent="0.25">
      <c r="F7984" s="76" t="s">
        <v>150</v>
      </c>
      <c r="G7984" s="77" t="s">
        <v>310</v>
      </c>
      <c r="H7984" s="77" t="s">
        <v>174</v>
      </c>
      <c r="I7984" s="86">
        <v>41742</v>
      </c>
      <c r="J7984" s="78">
        <v>1380</v>
      </c>
    </row>
    <row r="7985" spans="6:10" x14ac:dyDescent="0.25">
      <c r="F7985" s="76" t="s">
        <v>150</v>
      </c>
      <c r="G7985" s="77" t="s">
        <v>310</v>
      </c>
      <c r="H7985" s="77" t="s">
        <v>174</v>
      </c>
      <c r="I7985" s="86">
        <v>41745</v>
      </c>
      <c r="J7985" s="78">
        <v>1251</v>
      </c>
    </row>
    <row r="7986" spans="6:10" x14ac:dyDescent="0.25">
      <c r="F7986" s="76" t="s">
        <v>150</v>
      </c>
      <c r="G7986" s="77" t="s">
        <v>310</v>
      </c>
      <c r="H7986" s="77" t="s">
        <v>174</v>
      </c>
      <c r="I7986" s="86">
        <v>41746</v>
      </c>
      <c r="J7986" s="78">
        <v>744</v>
      </c>
    </row>
    <row r="7987" spans="6:10" x14ac:dyDescent="0.25">
      <c r="F7987" s="76" t="s">
        <v>150</v>
      </c>
      <c r="G7987" s="77" t="s">
        <v>310</v>
      </c>
      <c r="H7987" s="77" t="s">
        <v>174</v>
      </c>
      <c r="I7987" s="86">
        <v>41747</v>
      </c>
      <c r="J7987" s="78">
        <v>840</v>
      </c>
    </row>
    <row r="7988" spans="6:10" x14ac:dyDescent="0.25">
      <c r="F7988" s="76" t="s">
        <v>150</v>
      </c>
      <c r="G7988" s="77" t="s">
        <v>310</v>
      </c>
      <c r="H7988" s="77" t="s">
        <v>174</v>
      </c>
      <c r="I7988" s="86">
        <v>41749</v>
      </c>
      <c r="J7988" s="78">
        <v>1139</v>
      </c>
    </row>
    <row r="7989" spans="6:10" x14ac:dyDescent="0.25">
      <c r="F7989" s="76" t="s">
        <v>150</v>
      </c>
      <c r="G7989" s="77" t="s">
        <v>310</v>
      </c>
      <c r="H7989" s="77" t="s">
        <v>174</v>
      </c>
      <c r="I7989" s="86">
        <v>41750</v>
      </c>
      <c r="J7989" s="78">
        <v>568</v>
      </c>
    </row>
    <row r="7990" spans="6:10" x14ac:dyDescent="0.25">
      <c r="F7990" s="76" t="s">
        <v>150</v>
      </c>
      <c r="G7990" s="77" t="s">
        <v>310</v>
      </c>
      <c r="H7990" s="77" t="s">
        <v>174</v>
      </c>
      <c r="I7990" s="86">
        <v>41752</v>
      </c>
      <c r="J7990" s="78">
        <v>1050</v>
      </c>
    </row>
    <row r="7991" spans="6:10" x14ac:dyDescent="0.25">
      <c r="F7991" s="76" t="s">
        <v>150</v>
      </c>
      <c r="G7991" s="77" t="s">
        <v>310</v>
      </c>
      <c r="H7991" s="77" t="s">
        <v>174</v>
      </c>
      <c r="I7991" s="86">
        <v>41753</v>
      </c>
      <c r="J7991" s="78">
        <v>1107</v>
      </c>
    </row>
    <row r="7992" spans="6:10" x14ac:dyDescent="0.25">
      <c r="F7992" s="76" t="s">
        <v>150</v>
      </c>
      <c r="G7992" s="77" t="s">
        <v>310</v>
      </c>
      <c r="H7992" s="77" t="s">
        <v>174</v>
      </c>
      <c r="I7992" s="86">
        <v>41755</v>
      </c>
      <c r="J7992" s="78">
        <v>944</v>
      </c>
    </row>
    <row r="7993" spans="6:10" x14ac:dyDescent="0.25">
      <c r="F7993" s="76" t="s">
        <v>150</v>
      </c>
      <c r="G7993" s="77" t="s">
        <v>310</v>
      </c>
      <c r="H7993" s="77" t="s">
        <v>174</v>
      </c>
      <c r="I7993" s="86">
        <v>41757</v>
      </c>
      <c r="J7993" s="78">
        <v>715</v>
      </c>
    </row>
    <row r="7994" spans="6:10" x14ac:dyDescent="0.25">
      <c r="F7994" s="76" t="s">
        <v>150</v>
      </c>
      <c r="G7994" s="77" t="s">
        <v>310</v>
      </c>
      <c r="H7994" s="77" t="s">
        <v>174</v>
      </c>
      <c r="I7994" s="86">
        <v>41760</v>
      </c>
      <c r="J7994" s="78">
        <v>1219</v>
      </c>
    </row>
    <row r="7995" spans="6:10" x14ac:dyDescent="0.25">
      <c r="F7995" s="76" t="s">
        <v>150</v>
      </c>
      <c r="G7995" s="77" t="s">
        <v>310</v>
      </c>
      <c r="H7995" s="77" t="s">
        <v>174</v>
      </c>
      <c r="I7995" s="86">
        <v>41761</v>
      </c>
      <c r="J7995" s="78">
        <v>650</v>
      </c>
    </row>
    <row r="7996" spans="6:10" x14ac:dyDescent="0.25">
      <c r="F7996" s="76" t="s">
        <v>150</v>
      </c>
      <c r="G7996" s="77" t="s">
        <v>310</v>
      </c>
      <c r="H7996" s="77" t="s">
        <v>174</v>
      </c>
      <c r="I7996" s="86">
        <v>41762</v>
      </c>
      <c r="J7996" s="78">
        <v>831</v>
      </c>
    </row>
    <row r="7997" spans="6:10" x14ac:dyDescent="0.25">
      <c r="F7997" s="76" t="s">
        <v>150</v>
      </c>
      <c r="G7997" s="77" t="s">
        <v>310</v>
      </c>
      <c r="H7997" s="77" t="s">
        <v>174</v>
      </c>
      <c r="I7997" s="86">
        <v>41763</v>
      </c>
      <c r="J7997" s="78">
        <v>774</v>
      </c>
    </row>
    <row r="7998" spans="6:10" x14ac:dyDescent="0.25">
      <c r="F7998" s="76" t="s">
        <v>150</v>
      </c>
      <c r="G7998" s="77" t="s">
        <v>310</v>
      </c>
      <c r="H7998" s="77" t="s">
        <v>174</v>
      </c>
      <c r="I7998" s="86">
        <v>41764</v>
      </c>
      <c r="J7998" s="78">
        <v>666</v>
      </c>
    </row>
    <row r="7999" spans="6:10" x14ac:dyDescent="0.25">
      <c r="F7999" s="76" t="s">
        <v>150</v>
      </c>
      <c r="G7999" s="77" t="s">
        <v>310</v>
      </c>
      <c r="H7999" s="77" t="s">
        <v>174</v>
      </c>
      <c r="I7999" s="86">
        <v>41766</v>
      </c>
      <c r="J7999" s="78">
        <v>1001</v>
      </c>
    </row>
    <row r="8000" spans="6:10" x14ac:dyDescent="0.25">
      <c r="F8000" s="76" t="s">
        <v>150</v>
      </c>
      <c r="G8000" s="77" t="s">
        <v>310</v>
      </c>
      <c r="H8000" s="77" t="s">
        <v>174</v>
      </c>
      <c r="I8000" s="86">
        <v>41767</v>
      </c>
      <c r="J8000" s="78">
        <v>1141</v>
      </c>
    </row>
    <row r="8001" spans="6:10" x14ac:dyDescent="0.25">
      <c r="F8001" s="76" t="s">
        <v>150</v>
      </c>
      <c r="G8001" s="77" t="s">
        <v>310</v>
      </c>
      <c r="H8001" s="77" t="s">
        <v>174</v>
      </c>
      <c r="I8001" s="86">
        <v>41769</v>
      </c>
      <c r="J8001" s="78">
        <v>1181</v>
      </c>
    </row>
    <row r="8002" spans="6:10" x14ac:dyDescent="0.25">
      <c r="F8002" s="76" t="s">
        <v>150</v>
      </c>
      <c r="G8002" s="77" t="s">
        <v>310</v>
      </c>
      <c r="H8002" s="77" t="s">
        <v>174</v>
      </c>
      <c r="I8002" s="86">
        <v>41771</v>
      </c>
      <c r="J8002" s="78">
        <v>1462</v>
      </c>
    </row>
    <row r="8003" spans="6:10" x14ac:dyDescent="0.25">
      <c r="F8003" s="76" t="s">
        <v>150</v>
      </c>
      <c r="G8003" s="77" t="s">
        <v>310</v>
      </c>
      <c r="H8003" s="77" t="s">
        <v>174</v>
      </c>
      <c r="I8003" s="86">
        <v>41772</v>
      </c>
      <c r="J8003" s="78">
        <v>881</v>
      </c>
    </row>
    <row r="8004" spans="6:10" x14ac:dyDescent="0.25">
      <c r="F8004" s="76" t="s">
        <v>150</v>
      </c>
      <c r="G8004" s="77" t="s">
        <v>310</v>
      </c>
      <c r="H8004" s="77" t="s">
        <v>174</v>
      </c>
      <c r="I8004" s="86">
        <v>41774</v>
      </c>
      <c r="J8004" s="78">
        <v>945</v>
      </c>
    </row>
    <row r="8005" spans="6:10" x14ac:dyDescent="0.25">
      <c r="F8005" s="76" t="s">
        <v>150</v>
      </c>
      <c r="G8005" s="77" t="s">
        <v>310</v>
      </c>
      <c r="H8005" s="77" t="s">
        <v>174</v>
      </c>
      <c r="I8005" s="86">
        <v>41775</v>
      </c>
      <c r="J8005" s="78">
        <v>1124</v>
      </c>
    </row>
    <row r="8006" spans="6:10" x14ac:dyDescent="0.25">
      <c r="F8006" s="76" t="s">
        <v>150</v>
      </c>
      <c r="G8006" s="77" t="s">
        <v>310</v>
      </c>
      <c r="H8006" s="77" t="s">
        <v>174</v>
      </c>
      <c r="I8006" s="86">
        <v>41777</v>
      </c>
      <c r="J8006" s="78">
        <v>1334</v>
      </c>
    </row>
    <row r="8007" spans="6:10" x14ac:dyDescent="0.25">
      <c r="F8007" s="76" t="s">
        <v>150</v>
      </c>
      <c r="G8007" s="77" t="s">
        <v>310</v>
      </c>
      <c r="H8007" s="77" t="s">
        <v>174</v>
      </c>
      <c r="I8007" s="86">
        <v>41778</v>
      </c>
      <c r="J8007" s="78">
        <v>706</v>
      </c>
    </row>
    <row r="8008" spans="6:10" x14ac:dyDescent="0.25">
      <c r="F8008" s="76" t="s">
        <v>150</v>
      </c>
      <c r="G8008" s="77" t="s">
        <v>310</v>
      </c>
      <c r="H8008" s="77" t="s">
        <v>174</v>
      </c>
      <c r="I8008" s="86">
        <v>41779</v>
      </c>
      <c r="J8008" s="78">
        <v>506</v>
      </c>
    </row>
    <row r="8009" spans="6:10" x14ac:dyDescent="0.25">
      <c r="F8009" s="76" t="s">
        <v>150</v>
      </c>
      <c r="G8009" s="77" t="s">
        <v>310</v>
      </c>
      <c r="H8009" s="77" t="s">
        <v>174</v>
      </c>
      <c r="I8009" s="86">
        <v>41780</v>
      </c>
      <c r="J8009" s="78">
        <v>1215</v>
      </c>
    </row>
    <row r="8010" spans="6:10" x14ac:dyDescent="0.25">
      <c r="F8010" s="76" t="s">
        <v>150</v>
      </c>
      <c r="G8010" s="77" t="s">
        <v>310</v>
      </c>
      <c r="H8010" s="77" t="s">
        <v>174</v>
      </c>
      <c r="I8010" s="86">
        <v>41782</v>
      </c>
      <c r="J8010" s="78">
        <v>958</v>
      </c>
    </row>
    <row r="8011" spans="6:10" x14ac:dyDescent="0.25">
      <c r="F8011" s="76" t="s">
        <v>150</v>
      </c>
      <c r="G8011" s="77" t="s">
        <v>310</v>
      </c>
      <c r="H8011" s="77" t="s">
        <v>174</v>
      </c>
      <c r="I8011" s="86">
        <v>41786</v>
      </c>
      <c r="J8011" s="78">
        <v>714</v>
      </c>
    </row>
    <row r="8012" spans="6:10" x14ac:dyDescent="0.25">
      <c r="F8012" s="76" t="s">
        <v>150</v>
      </c>
      <c r="G8012" s="77" t="s">
        <v>310</v>
      </c>
      <c r="H8012" s="77" t="s">
        <v>174</v>
      </c>
      <c r="I8012" s="86">
        <v>41819</v>
      </c>
      <c r="J8012" s="78">
        <v>1041</v>
      </c>
    </row>
    <row r="8013" spans="6:10" x14ac:dyDescent="0.25">
      <c r="F8013" s="76" t="s">
        <v>150</v>
      </c>
      <c r="G8013" s="77" t="s">
        <v>310</v>
      </c>
      <c r="H8013" s="77" t="s">
        <v>174</v>
      </c>
      <c r="I8013" s="86">
        <v>41821</v>
      </c>
      <c r="J8013" s="78">
        <v>904</v>
      </c>
    </row>
    <row r="8014" spans="6:10" x14ac:dyDescent="0.25">
      <c r="F8014" s="76" t="s">
        <v>150</v>
      </c>
      <c r="G8014" s="77" t="s">
        <v>310</v>
      </c>
      <c r="H8014" s="77" t="s">
        <v>174</v>
      </c>
      <c r="I8014" s="86">
        <v>41823</v>
      </c>
      <c r="J8014" s="78">
        <v>909</v>
      </c>
    </row>
    <row r="8015" spans="6:10" x14ac:dyDescent="0.25">
      <c r="F8015" s="76" t="s">
        <v>150</v>
      </c>
      <c r="G8015" s="77" t="s">
        <v>310</v>
      </c>
      <c r="H8015" s="77" t="s">
        <v>174</v>
      </c>
      <c r="I8015" s="86">
        <v>41827</v>
      </c>
      <c r="J8015" s="78">
        <v>1218</v>
      </c>
    </row>
    <row r="8016" spans="6:10" x14ac:dyDescent="0.25">
      <c r="F8016" s="76" t="s">
        <v>150</v>
      </c>
      <c r="G8016" s="77" t="s">
        <v>310</v>
      </c>
      <c r="H8016" s="77" t="s">
        <v>174</v>
      </c>
      <c r="I8016" s="86">
        <v>41830</v>
      </c>
      <c r="J8016" s="78">
        <v>1419</v>
      </c>
    </row>
    <row r="8017" spans="6:10" x14ac:dyDescent="0.25">
      <c r="F8017" s="76" t="s">
        <v>150</v>
      </c>
      <c r="G8017" s="77" t="s">
        <v>310</v>
      </c>
      <c r="H8017" s="77" t="s">
        <v>174</v>
      </c>
      <c r="I8017" s="86">
        <v>41831</v>
      </c>
      <c r="J8017" s="78">
        <v>580</v>
      </c>
    </row>
    <row r="8018" spans="6:10" x14ac:dyDescent="0.25">
      <c r="F8018" s="76" t="s">
        <v>150</v>
      </c>
      <c r="G8018" s="77" t="s">
        <v>310</v>
      </c>
      <c r="H8018" s="77" t="s">
        <v>174</v>
      </c>
      <c r="I8018" s="86">
        <v>41835</v>
      </c>
      <c r="J8018" s="78">
        <v>1405</v>
      </c>
    </row>
    <row r="8019" spans="6:10" x14ac:dyDescent="0.25">
      <c r="F8019" s="76" t="s">
        <v>150</v>
      </c>
      <c r="G8019" s="77" t="s">
        <v>310</v>
      </c>
      <c r="H8019" s="77" t="s">
        <v>174</v>
      </c>
      <c r="I8019" s="86">
        <v>41837</v>
      </c>
      <c r="J8019" s="78">
        <v>943</v>
      </c>
    </row>
    <row r="8020" spans="6:10" x14ac:dyDescent="0.25">
      <c r="F8020" s="76" t="s">
        <v>150</v>
      </c>
      <c r="G8020" s="77" t="s">
        <v>310</v>
      </c>
      <c r="H8020" s="77" t="s">
        <v>174</v>
      </c>
      <c r="I8020" s="86">
        <v>41841</v>
      </c>
      <c r="J8020" s="78">
        <v>838</v>
      </c>
    </row>
    <row r="8021" spans="6:10" x14ac:dyDescent="0.25">
      <c r="F8021" s="76" t="s">
        <v>150</v>
      </c>
      <c r="G8021" s="77" t="s">
        <v>310</v>
      </c>
      <c r="H8021" s="77" t="s">
        <v>174</v>
      </c>
      <c r="I8021" s="86">
        <v>41843</v>
      </c>
      <c r="J8021" s="78">
        <v>914</v>
      </c>
    </row>
    <row r="8022" spans="6:10" x14ac:dyDescent="0.25">
      <c r="F8022" s="76" t="s">
        <v>150</v>
      </c>
      <c r="G8022" s="77" t="s">
        <v>310</v>
      </c>
      <c r="H8022" s="77" t="s">
        <v>174</v>
      </c>
      <c r="I8022" s="86">
        <v>41852</v>
      </c>
      <c r="J8022" s="78">
        <v>1434</v>
      </c>
    </row>
    <row r="8023" spans="6:10" x14ac:dyDescent="0.25">
      <c r="F8023" s="76" t="s">
        <v>150</v>
      </c>
      <c r="G8023" s="77" t="s">
        <v>310</v>
      </c>
      <c r="H8023" s="77" t="s">
        <v>174</v>
      </c>
      <c r="I8023" s="86">
        <v>41855</v>
      </c>
      <c r="J8023" s="78">
        <v>1384</v>
      </c>
    </row>
    <row r="8024" spans="6:10" x14ac:dyDescent="0.25">
      <c r="F8024" s="76" t="s">
        <v>150</v>
      </c>
      <c r="G8024" s="77" t="s">
        <v>310</v>
      </c>
      <c r="H8024" s="77" t="s">
        <v>174</v>
      </c>
      <c r="I8024" s="86">
        <v>41857</v>
      </c>
      <c r="J8024" s="78">
        <v>919</v>
      </c>
    </row>
    <row r="8025" spans="6:10" x14ac:dyDescent="0.25">
      <c r="F8025" s="76" t="s">
        <v>150</v>
      </c>
      <c r="G8025" s="77" t="s">
        <v>310</v>
      </c>
      <c r="H8025" s="77" t="s">
        <v>174</v>
      </c>
      <c r="I8025" s="86">
        <v>41859</v>
      </c>
      <c r="J8025" s="78">
        <v>920</v>
      </c>
    </row>
    <row r="8026" spans="6:10" x14ac:dyDescent="0.25">
      <c r="F8026" s="76" t="s">
        <v>150</v>
      </c>
      <c r="G8026" s="77" t="s">
        <v>310</v>
      </c>
      <c r="H8026" s="77" t="s">
        <v>174</v>
      </c>
      <c r="I8026" s="86">
        <v>41869</v>
      </c>
      <c r="J8026" s="78">
        <v>1178</v>
      </c>
    </row>
    <row r="8027" spans="6:10" x14ac:dyDescent="0.25">
      <c r="F8027" s="76" t="s">
        <v>150</v>
      </c>
      <c r="G8027" s="77" t="s">
        <v>310</v>
      </c>
      <c r="H8027" s="77" t="s">
        <v>174</v>
      </c>
      <c r="I8027" s="86">
        <v>41871</v>
      </c>
      <c r="J8027" s="78">
        <v>1556</v>
      </c>
    </row>
    <row r="8028" spans="6:10" x14ac:dyDescent="0.25">
      <c r="F8028" s="76" t="s">
        <v>150</v>
      </c>
      <c r="G8028" s="77" t="s">
        <v>310</v>
      </c>
      <c r="H8028" s="77" t="s">
        <v>174</v>
      </c>
      <c r="I8028" s="86">
        <v>41873</v>
      </c>
      <c r="J8028" s="78">
        <v>949</v>
      </c>
    </row>
    <row r="8029" spans="6:10" x14ac:dyDescent="0.25">
      <c r="F8029" s="76" t="s">
        <v>150</v>
      </c>
      <c r="G8029" s="77" t="s">
        <v>310</v>
      </c>
      <c r="H8029" s="77" t="s">
        <v>174</v>
      </c>
      <c r="I8029" s="86">
        <v>41875</v>
      </c>
      <c r="J8029" s="78">
        <v>933</v>
      </c>
    </row>
    <row r="8030" spans="6:10" x14ac:dyDescent="0.25">
      <c r="F8030" s="76" t="s">
        <v>150</v>
      </c>
      <c r="G8030" s="77" t="s">
        <v>310</v>
      </c>
      <c r="H8030" s="77" t="s">
        <v>174</v>
      </c>
      <c r="I8030" s="86">
        <v>41877</v>
      </c>
      <c r="J8030" s="78">
        <v>1153</v>
      </c>
    </row>
    <row r="8031" spans="6:10" x14ac:dyDescent="0.25">
      <c r="F8031" s="76" t="s">
        <v>150</v>
      </c>
      <c r="G8031" s="77" t="s">
        <v>310</v>
      </c>
      <c r="H8031" s="77" t="s">
        <v>174</v>
      </c>
      <c r="I8031" s="86">
        <v>41878</v>
      </c>
      <c r="J8031" s="78">
        <v>1150</v>
      </c>
    </row>
    <row r="8032" spans="6:10" x14ac:dyDescent="0.25">
      <c r="F8032" s="76" t="s">
        <v>150</v>
      </c>
      <c r="G8032" s="77" t="s">
        <v>310</v>
      </c>
      <c r="H8032" s="77" t="s">
        <v>174</v>
      </c>
      <c r="I8032" s="86">
        <v>41879</v>
      </c>
      <c r="J8032" s="78">
        <v>930</v>
      </c>
    </row>
    <row r="8033" spans="6:10" x14ac:dyDescent="0.25">
      <c r="F8033" s="76" t="s">
        <v>150</v>
      </c>
      <c r="G8033" s="77" t="s">
        <v>310</v>
      </c>
      <c r="H8033" s="77" t="s">
        <v>174</v>
      </c>
      <c r="I8033" s="86">
        <v>41881</v>
      </c>
      <c r="J8033" s="78">
        <v>938</v>
      </c>
    </row>
    <row r="8034" spans="6:10" x14ac:dyDescent="0.25">
      <c r="F8034" s="76" t="s">
        <v>150</v>
      </c>
      <c r="G8034" s="77" t="s">
        <v>310</v>
      </c>
      <c r="H8034" s="77" t="s">
        <v>174</v>
      </c>
      <c r="I8034" s="86">
        <v>41882</v>
      </c>
      <c r="J8034" s="78">
        <v>1113</v>
      </c>
    </row>
    <row r="8035" spans="6:10" x14ac:dyDescent="0.25">
      <c r="F8035" s="76" t="s">
        <v>150</v>
      </c>
      <c r="G8035" s="77" t="s">
        <v>310</v>
      </c>
      <c r="H8035" s="77" t="s">
        <v>174</v>
      </c>
      <c r="I8035" s="86">
        <v>41883</v>
      </c>
      <c r="J8035" s="78">
        <v>773</v>
      </c>
    </row>
    <row r="8036" spans="6:10" x14ac:dyDescent="0.25">
      <c r="F8036" s="76" t="s">
        <v>150</v>
      </c>
      <c r="G8036" s="77" t="s">
        <v>310</v>
      </c>
      <c r="H8036" s="77" t="s">
        <v>174</v>
      </c>
      <c r="I8036" s="86">
        <v>41905</v>
      </c>
      <c r="J8036" s="78">
        <v>879</v>
      </c>
    </row>
    <row r="8037" spans="6:10" x14ac:dyDescent="0.25">
      <c r="F8037" s="76" t="s">
        <v>150</v>
      </c>
      <c r="G8037" s="77" t="s">
        <v>310</v>
      </c>
      <c r="H8037" s="77" t="s">
        <v>174</v>
      </c>
      <c r="I8037" s="86">
        <v>41907</v>
      </c>
      <c r="J8037" s="78">
        <v>793</v>
      </c>
    </row>
    <row r="8038" spans="6:10" x14ac:dyDescent="0.25">
      <c r="F8038" s="76" t="s">
        <v>150</v>
      </c>
      <c r="G8038" s="77" t="s">
        <v>310</v>
      </c>
      <c r="H8038" s="77" t="s">
        <v>174</v>
      </c>
      <c r="I8038" s="86">
        <v>41912</v>
      </c>
      <c r="J8038" s="78">
        <v>1106</v>
      </c>
    </row>
    <row r="8039" spans="6:10" x14ac:dyDescent="0.25">
      <c r="F8039" s="76" t="s">
        <v>150</v>
      </c>
      <c r="G8039" s="77" t="s">
        <v>310</v>
      </c>
      <c r="H8039" s="77" t="s">
        <v>174</v>
      </c>
      <c r="I8039" s="86">
        <v>41914</v>
      </c>
      <c r="J8039" s="78">
        <v>992</v>
      </c>
    </row>
    <row r="8040" spans="6:10" x14ac:dyDescent="0.25">
      <c r="F8040" s="76" t="s">
        <v>150</v>
      </c>
      <c r="G8040" s="77" t="s">
        <v>310</v>
      </c>
      <c r="H8040" s="77" t="s">
        <v>174</v>
      </c>
      <c r="I8040" s="86">
        <v>41918</v>
      </c>
      <c r="J8040" s="78">
        <v>837</v>
      </c>
    </row>
    <row r="8041" spans="6:10" x14ac:dyDescent="0.25">
      <c r="F8041" s="76" t="s">
        <v>150</v>
      </c>
      <c r="G8041" s="77" t="s">
        <v>310</v>
      </c>
      <c r="H8041" s="77" t="s">
        <v>174</v>
      </c>
      <c r="I8041" s="86">
        <v>41921</v>
      </c>
      <c r="J8041" s="78">
        <v>1008</v>
      </c>
    </row>
    <row r="8042" spans="6:10" x14ac:dyDescent="0.25">
      <c r="F8042" s="76" t="s">
        <v>150</v>
      </c>
      <c r="G8042" s="77" t="s">
        <v>310</v>
      </c>
      <c r="H8042" s="77" t="s">
        <v>174</v>
      </c>
      <c r="I8042" s="86">
        <v>41925</v>
      </c>
      <c r="J8042" s="78">
        <v>922</v>
      </c>
    </row>
    <row r="8043" spans="6:10" x14ac:dyDescent="0.25">
      <c r="F8043" s="76" t="s">
        <v>150</v>
      </c>
      <c r="G8043" s="77" t="s">
        <v>310</v>
      </c>
      <c r="H8043" s="77" t="s">
        <v>174</v>
      </c>
      <c r="I8043" s="86">
        <v>41927</v>
      </c>
      <c r="J8043" s="78">
        <v>756</v>
      </c>
    </row>
    <row r="8044" spans="6:10" x14ac:dyDescent="0.25">
      <c r="F8044" s="76" t="s">
        <v>150</v>
      </c>
      <c r="G8044" s="77" t="s">
        <v>310</v>
      </c>
      <c r="H8044" s="77" t="s">
        <v>174</v>
      </c>
      <c r="I8044" s="86">
        <v>41932</v>
      </c>
      <c r="J8044" s="78">
        <v>1426</v>
      </c>
    </row>
    <row r="8045" spans="6:10" x14ac:dyDescent="0.25">
      <c r="F8045" s="76" t="s">
        <v>150</v>
      </c>
      <c r="G8045" s="77" t="s">
        <v>310</v>
      </c>
      <c r="H8045" s="77" t="s">
        <v>174</v>
      </c>
      <c r="I8045" s="86">
        <v>41934</v>
      </c>
      <c r="J8045" s="78">
        <v>542</v>
      </c>
    </row>
    <row r="8046" spans="6:10" x14ac:dyDescent="0.25">
      <c r="F8046" s="76" t="s">
        <v>150</v>
      </c>
      <c r="G8046" s="77" t="s">
        <v>310</v>
      </c>
      <c r="H8046" s="77" t="s">
        <v>174</v>
      </c>
      <c r="I8046" s="86">
        <v>41939</v>
      </c>
      <c r="J8046" s="78">
        <v>1428</v>
      </c>
    </row>
    <row r="8047" spans="6:10" x14ac:dyDescent="0.25">
      <c r="F8047" s="76" t="s">
        <v>150</v>
      </c>
      <c r="G8047" s="77" t="s">
        <v>310</v>
      </c>
      <c r="H8047" s="77" t="s">
        <v>174</v>
      </c>
      <c r="I8047" s="86">
        <v>41941</v>
      </c>
      <c r="J8047" s="78">
        <v>601</v>
      </c>
    </row>
    <row r="8048" spans="6:10" x14ac:dyDescent="0.25">
      <c r="F8048" s="76" t="s">
        <v>150</v>
      </c>
      <c r="G8048" s="77" t="s">
        <v>310</v>
      </c>
      <c r="H8048" s="77" t="s">
        <v>174</v>
      </c>
      <c r="I8048" s="86">
        <v>41946</v>
      </c>
      <c r="J8048" s="78">
        <v>1182</v>
      </c>
    </row>
    <row r="8049" spans="6:10" x14ac:dyDescent="0.25">
      <c r="F8049" s="76" t="s">
        <v>150</v>
      </c>
      <c r="G8049" s="77" t="s">
        <v>310</v>
      </c>
      <c r="H8049" s="77" t="s">
        <v>174</v>
      </c>
      <c r="I8049" s="86">
        <v>41948</v>
      </c>
      <c r="J8049" s="78">
        <v>711</v>
      </c>
    </row>
    <row r="8050" spans="6:10" x14ac:dyDescent="0.25">
      <c r="F8050" s="76" t="s">
        <v>150</v>
      </c>
      <c r="G8050" s="77" t="s">
        <v>310</v>
      </c>
      <c r="H8050" s="77" t="s">
        <v>174</v>
      </c>
      <c r="I8050" s="86">
        <v>41953</v>
      </c>
      <c r="J8050" s="78">
        <v>1219</v>
      </c>
    </row>
    <row r="8051" spans="6:10" x14ac:dyDescent="0.25">
      <c r="F8051" s="76" t="s">
        <v>150</v>
      </c>
      <c r="G8051" s="77" t="s">
        <v>310</v>
      </c>
      <c r="H8051" s="77" t="s">
        <v>174</v>
      </c>
      <c r="I8051" s="86">
        <v>41955</v>
      </c>
      <c r="J8051" s="78">
        <v>716</v>
      </c>
    </row>
    <row r="8052" spans="6:10" x14ac:dyDescent="0.25">
      <c r="F8052" s="76" t="s">
        <v>150</v>
      </c>
      <c r="G8052" s="77" t="s">
        <v>310</v>
      </c>
      <c r="H8052" s="77" t="s">
        <v>174</v>
      </c>
      <c r="I8052" s="86">
        <v>41963</v>
      </c>
      <c r="J8052" s="78">
        <v>1306</v>
      </c>
    </row>
    <row r="8053" spans="6:10" x14ac:dyDescent="0.25">
      <c r="F8053" s="76" t="s">
        <v>150</v>
      </c>
      <c r="G8053" s="77" t="s">
        <v>310</v>
      </c>
      <c r="H8053" s="77" t="s">
        <v>174</v>
      </c>
      <c r="I8053" s="86">
        <v>41976</v>
      </c>
      <c r="J8053" s="78">
        <v>582</v>
      </c>
    </row>
    <row r="8054" spans="6:10" x14ac:dyDescent="0.25">
      <c r="F8054" s="76" t="s">
        <v>150</v>
      </c>
      <c r="G8054" s="77" t="s">
        <v>310</v>
      </c>
      <c r="H8054" s="77" t="s">
        <v>174</v>
      </c>
      <c r="I8054" s="86">
        <v>41976</v>
      </c>
      <c r="J8054" s="78">
        <v>1872</v>
      </c>
    </row>
    <row r="8055" spans="6:10" x14ac:dyDescent="0.25">
      <c r="F8055" s="76" t="s">
        <v>150</v>
      </c>
      <c r="G8055" s="77" t="s">
        <v>310</v>
      </c>
      <c r="H8055" s="77" t="s">
        <v>174</v>
      </c>
      <c r="I8055" s="86">
        <v>41978</v>
      </c>
      <c r="J8055" s="78">
        <v>1650</v>
      </c>
    </row>
    <row r="8056" spans="6:10" x14ac:dyDescent="0.25">
      <c r="F8056" s="76" t="s">
        <v>150</v>
      </c>
      <c r="G8056" s="77" t="s">
        <v>310</v>
      </c>
      <c r="H8056" s="77" t="s">
        <v>174</v>
      </c>
      <c r="I8056" s="86">
        <v>41982</v>
      </c>
      <c r="J8056" s="78">
        <v>1750</v>
      </c>
    </row>
    <row r="8057" spans="6:10" x14ac:dyDescent="0.25">
      <c r="F8057" s="76" t="s">
        <v>150</v>
      </c>
      <c r="G8057" s="77" t="s">
        <v>310</v>
      </c>
      <c r="H8057" s="77" t="s">
        <v>174</v>
      </c>
      <c r="I8057" s="86">
        <v>41984</v>
      </c>
      <c r="J8057" s="78">
        <v>1276</v>
      </c>
    </row>
    <row r="8058" spans="6:10" x14ac:dyDescent="0.25">
      <c r="F8058" s="76" t="s">
        <v>150</v>
      </c>
      <c r="G8058" s="77" t="s">
        <v>310</v>
      </c>
      <c r="H8058" s="77" t="s">
        <v>174</v>
      </c>
      <c r="I8058" s="86">
        <v>41985</v>
      </c>
      <c r="J8058" s="78">
        <v>1034</v>
      </c>
    </row>
    <row r="8059" spans="6:10" x14ac:dyDescent="0.25">
      <c r="F8059" s="76" t="s">
        <v>150</v>
      </c>
      <c r="G8059" s="77" t="s">
        <v>310</v>
      </c>
      <c r="H8059" s="77" t="s">
        <v>174</v>
      </c>
      <c r="I8059" s="86">
        <v>41988</v>
      </c>
      <c r="J8059" s="78">
        <v>547</v>
      </c>
    </row>
    <row r="8060" spans="6:10" x14ac:dyDescent="0.25">
      <c r="F8060" s="76" t="s">
        <v>150</v>
      </c>
      <c r="G8060" s="77" t="s">
        <v>310</v>
      </c>
      <c r="H8060" s="77" t="s">
        <v>174</v>
      </c>
      <c r="I8060" s="86">
        <v>41989</v>
      </c>
      <c r="J8060" s="78">
        <v>1431</v>
      </c>
    </row>
    <row r="8061" spans="6:10" x14ac:dyDescent="0.25">
      <c r="F8061" s="76" t="s">
        <v>150</v>
      </c>
      <c r="G8061" s="77" t="s">
        <v>310</v>
      </c>
      <c r="H8061" s="77" t="s">
        <v>174</v>
      </c>
      <c r="I8061" s="86">
        <v>41991</v>
      </c>
      <c r="J8061" s="78">
        <v>1210</v>
      </c>
    </row>
    <row r="8062" spans="6:10" x14ac:dyDescent="0.25">
      <c r="F8062" s="76" t="s">
        <v>150</v>
      </c>
      <c r="G8062" s="77" t="s">
        <v>239</v>
      </c>
      <c r="H8062" s="77" t="s">
        <v>174</v>
      </c>
      <c r="I8062" s="86">
        <v>41660</v>
      </c>
      <c r="J8062" s="78">
        <v>629</v>
      </c>
    </row>
    <row r="8063" spans="6:10" x14ac:dyDescent="0.25">
      <c r="F8063" s="76" t="s">
        <v>150</v>
      </c>
      <c r="G8063" s="77" t="s">
        <v>239</v>
      </c>
      <c r="H8063" s="77" t="s">
        <v>174</v>
      </c>
      <c r="I8063" s="86">
        <v>41661</v>
      </c>
      <c r="J8063" s="78">
        <v>1132</v>
      </c>
    </row>
    <row r="8064" spans="6:10" x14ac:dyDescent="0.25">
      <c r="F8064" s="76" t="s">
        <v>150</v>
      </c>
      <c r="G8064" s="77" t="s">
        <v>239</v>
      </c>
      <c r="H8064" s="77" t="s">
        <v>174</v>
      </c>
      <c r="I8064" s="86">
        <v>41663</v>
      </c>
      <c r="J8064" s="78">
        <v>1004</v>
      </c>
    </row>
    <row r="8065" spans="6:10" x14ac:dyDescent="0.25">
      <c r="F8065" s="76" t="s">
        <v>150</v>
      </c>
      <c r="G8065" s="77" t="s">
        <v>239</v>
      </c>
      <c r="H8065" s="77" t="s">
        <v>174</v>
      </c>
      <c r="I8065" s="86">
        <v>41666</v>
      </c>
      <c r="J8065" s="78">
        <v>892</v>
      </c>
    </row>
    <row r="8066" spans="6:10" x14ac:dyDescent="0.25">
      <c r="F8066" s="76" t="s">
        <v>150</v>
      </c>
      <c r="G8066" s="77" t="s">
        <v>239</v>
      </c>
      <c r="H8066" s="77" t="s">
        <v>174</v>
      </c>
      <c r="I8066" s="86">
        <v>41667</v>
      </c>
      <c r="J8066" s="78">
        <v>1058</v>
      </c>
    </row>
    <row r="8067" spans="6:10" x14ac:dyDescent="0.25">
      <c r="F8067" s="76" t="s">
        <v>150</v>
      </c>
      <c r="G8067" s="77" t="s">
        <v>239</v>
      </c>
      <c r="H8067" s="77" t="s">
        <v>174</v>
      </c>
      <c r="I8067" s="86">
        <v>41681</v>
      </c>
      <c r="J8067" s="78">
        <v>1498</v>
      </c>
    </row>
    <row r="8068" spans="6:10" x14ac:dyDescent="0.25">
      <c r="F8068" s="76" t="s">
        <v>150</v>
      </c>
      <c r="G8068" s="77" t="s">
        <v>239</v>
      </c>
      <c r="H8068" s="77" t="s">
        <v>174</v>
      </c>
      <c r="I8068" s="86">
        <v>41683</v>
      </c>
      <c r="J8068" s="78">
        <v>1618</v>
      </c>
    </row>
    <row r="8069" spans="6:10" x14ac:dyDescent="0.25">
      <c r="F8069" s="76" t="s">
        <v>150</v>
      </c>
      <c r="G8069" s="77" t="s">
        <v>239</v>
      </c>
      <c r="H8069" s="77" t="s">
        <v>174</v>
      </c>
      <c r="I8069" s="86">
        <v>41685</v>
      </c>
      <c r="J8069" s="78">
        <v>1313</v>
      </c>
    </row>
    <row r="8070" spans="6:10" x14ac:dyDescent="0.25">
      <c r="F8070" s="76" t="s">
        <v>150</v>
      </c>
      <c r="G8070" s="77" t="s">
        <v>239</v>
      </c>
      <c r="H8070" s="77" t="s">
        <v>174</v>
      </c>
      <c r="I8070" s="86">
        <v>41686</v>
      </c>
      <c r="J8070" s="78">
        <v>857</v>
      </c>
    </row>
    <row r="8071" spans="6:10" x14ac:dyDescent="0.25">
      <c r="F8071" s="76" t="s">
        <v>150</v>
      </c>
      <c r="G8071" s="77" t="s">
        <v>239</v>
      </c>
      <c r="H8071" s="77" t="s">
        <v>174</v>
      </c>
      <c r="I8071" s="86">
        <v>41687</v>
      </c>
      <c r="J8071" s="78">
        <v>1295</v>
      </c>
    </row>
    <row r="8072" spans="6:10" x14ac:dyDescent="0.25">
      <c r="F8072" s="76" t="s">
        <v>150</v>
      </c>
      <c r="G8072" s="77" t="s">
        <v>239</v>
      </c>
      <c r="H8072" s="77" t="s">
        <v>174</v>
      </c>
      <c r="I8072" s="86">
        <v>41688</v>
      </c>
      <c r="J8072" s="78">
        <v>805</v>
      </c>
    </row>
    <row r="8073" spans="6:10" x14ac:dyDescent="0.25">
      <c r="F8073" s="76" t="s">
        <v>150</v>
      </c>
      <c r="G8073" s="77" t="s">
        <v>239</v>
      </c>
      <c r="H8073" s="77" t="s">
        <v>174</v>
      </c>
      <c r="I8073" s="86">
        <v>41690</v>
      </c>
      <c r="J8073" s="78">
        <v>1006</v>
      </c>
    </row>
    <row r="8074" spans="6:10" x14ac:dyDescent="0.25">
      <c r="F8074" s="76" t="s">
        <v>150</v>
      </c>
      <c r="G8074" s="77" t="s">
        <v>239</v>
      </c>
      <c r="H8074" s="77" t="s">
        <v>174</v>
      </c>
      <c r="I8074" s="86">
        <v>41694</v>
      </c>
      <c r="J8074" s="78">
        <v>1125</v>
      </c>
    </row>
    <row r="8075" spans="6:10" x14ac:dyDescent="0.25">
      <c r="F8075" s="76" t="s">
        <v>150</v>
      </c>
      <c r="G8075" s="77" t="s">
        <v>239</v>
      </c>
      <c r="H8075" s="77" t="s">
        <v>174</v>
      </c>
      <c r="I8075" s="86">
        <v>41695</v>
      </c>
      <c r="J8075" s="78">
        <v>875</v>
      </c>
    </row>
    <row r="8076" spans="6:10" x14ac:dyDescent="0.25">
      <c r="F8076" s="76" t="s">
        <v>150</v>
      </c>
      <c r="G8076" s="77" t="s">
        <v>239</v>
      </c>
      <c r="H8076" s="77" t="s">
        <v>174</v>
      </c>
      <c r="I8076" s="86">
        <v>41697</v>
      </c>
      <c r="J8076" s="78">
        <v>1216</v>
      </c>
    </row>
    <row r="8077" spans="6:10" x14ac:dyDescent="0.25">
      <c r="F8077" s="76" t="s">
        <v>150</v>
      </c>
      <c r="G8077" s="77" t="s">
        <v>239</v>
      </c>
      <c r="H8077" s="77" t="s">
        <v>174</v>
      </c>
      <c r="I8077" s="86">
        <v>41698</v>
      </c>
      <c r="J8077" s="78">
        <v>1255</v>
      </c>
    </row>
    <row r="8078" spans="6:10" x14ac:dyDescent="0.25">
      <c r="F8078" s="76" t="s">
        <v>150</v>
      </c>
      <c r="G8078" s="77" t="s">
        <v>239</v>
      </c>
      <c r="H8078" s="77" t="s">
        <v>174</v>
      </c>
      <c r="I8078" s="86">
        <v>41699</v>
      </c>
      <c r="J8078" s="78">
        <v>580</v>
      </c>
    </row>
    <row r="8079" spans="6:10" x14ac:dyDescent="0.25">
      <c r="F8079" s="76" t="s">
        <v>150</v>
      </c>
      <c r="G8079" s="77" t="s">
        <v>239</v>
      </c>
      <c r="H8079" s="77" t="s">
        <v>174</v>
      </c>
      <c r="I8079" s="86">
        <v>41701</v>
      </c>
      <c r="J8079" s="78">
        <v>1208</v>
      </c>
    </row>
    <row r="8080" spans="6:10" x14ac:dyDescent="0.25">
      <c r="F8080" s="76" t="s">
        <v>150</v>
      </c>
      <c r="G8080" s="77" t="s">
        <v>239</v>
      </c>
      <c r="H8080" s="77" t="s">
        <v>174</v>
      </c>
      <c r="I8080" s="86">
        <v>41703</v>
      </c>
      <c r="J8080" s="78">
        <v>1659</v>
      </c>
    </row>
    <row r="8081" spans="6:10" x14ac:dyDescent="0.25">
      <c r="F8081" s="76" t="s">
        <v>150</v>
      </c>
      <c r="G8081" s="77" t="s">
        <v>239</v>
      </c>
      <c r="H8081" s="77" t="s">
        <v>174</v>
      </c>
      <c r="I8081" s="86">
        <v>41704</v>
      </c>
      <c r="J8081" s="78">
        <v>810</v>
      </c>
    </row>
    <row r="8082" spans="6:10" x14ac:dyDescent="0.25">
      <c r="F8082" s="76" t="s">
        <v>150</v>
      </c>
      <c r="G8082" s="77" t="s">
        <v>239</v>
      </c>
      <c r="H8082" s="77" t="s">
        <v>174</v>
      </c>
      <c r="I8082" s="86">
        <v>41706</v>
      </c>
      <c r="J8082" s="78">
        <v>819</v>
      </c>
    </row>
    <row r="8083" spans="6:10" x14ac:dyDescent="0.25">
      <c r="F8083" s="76" t="s">
        <v>150</v>
      </c>
      <c r="G8083" s="77" t="s">
        <v>239</v>
      </c>
      <c r="H8083" s="77" t="s">
        <v>174</v>
      </c>
      <c r="I8083" s="86">
        <v>41707</v>
      </c>
      <c r="J8083" s="78">
        <v>591</v>
      </c>
    </row>
    <row r="8084" spans="6:10" x14ac:dyDescent="0.25">
      <c r="F8084" s="76" t="s">
        <v>150</v>
      </c>
      <c r="G8084" s="77" t="s">
        <v>239</v>
      </c>
      <c r="H8084" s="77" t="s">
        <v>174</v>
      </c>
      <c r="I8084" s="86">
        <v>41709</v>
      </c>
      <c r="J8084" s="78">
        <v>1010</v>
      </c>
    </row>
    <row r="8085" spans="6:10" x14ac:dyDescent="0.25">
      <c r="F8085" s="76" t="s">
        <v>150</v>
      </c>
      <c r="G8085" s="77" t="s">
        <v>239</v>
      </c>
      <c r="H8085" s="77" t="s">
        <v>174</v>
      </c>
      <c r="I8085" s="86">
        <v>41711</v>
      </c>
      <c r="J8085" s="78">
        <v>1047</v>
      </c>
    </row>
    <row r="8086" spans="6:10" x14ac:dyDescent="0.25">
      <c r="F8086" s="76" t="s">
        <v>150</v>
      </c>
      <c r="G8086" s="77" t="s">
        <v>239</v>
      </c>
      <c r="H8086" s="77" t="s">
        <v>174</v>
      </c>
      <c r="I8086" s="86">
        <v>41713</v>
      </c>
      <c r="J8086" s="78">
        <v>1035</v>
      </c>
    </row>
    <row r="8087" spans="6:10" x14ac:dyDescent="0.25">
      <c r="F8087" s="76" t="s">
        <v>150</v>
      </c>
      <c r="G8087" s="77" t="s">
        <v>239</v>
      </c>
      <c r="H8087" s="77" t="s">
        <v>174</v>
      </c>
      <c r="I8087" s="86">
        <v>41715</v>
      </c>
      <c r="J8087" s="78">
        <v>945</v>
      </c>
    </row>
    <row r="8088" spans="6:10" x14ac:dyDescent="0.25">
      <c r="F8088" s="76" t="s">
        <v>150</v>
      </c>
      <c r="G8088" s="77" t="s">
        <v>239</v>
      </c>
      <c r="H8088" s="77" t="s">
        <v>174</v>
      </c>
      <c r="I8088" s="86">
        <v>41716</v>
      </c>
      <c r="J8088" s="78">
        <v>1024</v>
      </c>
    </row>
    <row r="8089" spans="6:10" x14ac:dyDescent="0.25">
      <c r="F8089" s="76" t="s">
        <v>150</v>
      </c>
      <c r="G8089" s="77" t="s">
        <v>239</v>
      </c>
      <c r="H8089" s="77" t="s">
        <v>174</v>
      </c>
      <c r="I8089" s="86">
        <v>41718</v>
      </c>
      <c r="J8089" s="78">
        <v>1009</v>
      </c>
    </row>
    <row r="8090" spans="6:10" x14ac:dyDescent="0.25">
      <c r="F8090" s="76" t="s">
        <v>150</v>
      </c>
      <c r="G8090" s="77" t="s">
        <v>239</v>
      </c>
      <c r="H8090" s="77" t="s">
        <v>174</v>
      </c>
      <c r="I8090" s="86">
        <v>41719</v>
      </c>
      <c r="J8090" s="78">
        <v>851</v>
      </c>
    </row>
    <row r="8091" spans="6:10" x14ac:dyDescent="0.25">
      <c r="F8091" s="76" t="s">
        <v>150</v>
      </c>
      <c r="G8091" s="77" t="s">
        <v>239</v>
      </c>
      <c r="H8091" s="77" t="s">
        <v>174</v>
      </c>
      <c r="I8091" s="86">
        <v>41722</v>
      </c>
      <c r="J8091" s="78">
        <v>1390</v>
      </c>
    </row>
    <row r="8092" spans="6:10" x14ac:dyDescent="0.25">
      <c r="F8092" s="76" t="s">
        <v>150</v>
      </c>
      <c r="G8092" s="77" t="s">
        <v>239</v>
      </c>
      <c r="H8092" s="77" t="s">
        <v>174</v>
      </c>
      <c r="I8092" s="86">
        <v>41722</v>
      </c>
      <c r="J8092" s="78">
        <v>271</v>
      </c>
    </row>
    <row r="8093" spans="6:10" x14ac:dyDescent="0.25">
      <c r="F8093" s="76" t="s">
        <v>150</v>
      </c>
      <c r="G8093" s="77" t="s">
        <v>239</v>
      </c>
      <c r="H8093" s="77" t="s">
        <v>174</v>
      </c>
      <c r="I8093" s="86">
        <v>41744</v>
      </c>
      <c r="J8093" s="78">
        <v>766</v>
      </c>
    </row>
    <row r="8094" spans="6:10" x14ac:dyDescent="0.25">
      <c r="F8094" s="76" t="s">
        <v>150</v>
      </c>
      <c r="G8094" s="77" t="s">
        <v>239</v>
      </c>
      <c r="H8094" s="77" t="s">
        <v>174</v>
      </c>
      <c r="I8094" s="86">
        <v>41750</v>
      </c>
      <c r="J8094" s="78">
        <v>675</v>
      </c>
    </row>
    <row r="8095" spans="6:10" x14ac:dyDescent="0.25">
      <c r="F8095" s="76" t="s">
        <v>150</v>
      </c>
      <c r="G8095" s="77" t="s">
        <v>239</v>
      </c>
      <c r="H8095" s="77" t="s">
        <v>174</v>
      </c>
      <c r="I8095" s="86">
        <v>41751</v>
      </c>
      <c r="J8095" s="78">
        <v>474</v>
      </c>
    </row>
    <row r="8096" spans="6:10" x14ac:dyDescent="0.25">
      <c r="F8096" s="76" t="s">
        <v>150</v>
      </c>
      <c r="G8096" s="77" t="s">
        <v>239</v>
      </c>
      <c r="H8096" s="77" t="s">
        <v>174</v>
      </c>
      <c r="I8096" s="86">
        <v>41753</v>
      </c>
      <c r="J8096" s="78">
        <v>720</v>
      </c>
    </row>
    <row r="8097" spans="6:10" x14ac:dyDescent="0.25">
      <c r="F8097" s="76" t="s">
        <v>150</v>
      </c>
      <c r="G8097" s="77" t="s">
        <v>239</v>
      </c>
      <c r="H8097" s="77" t="s">
        <v>174</v>
      </c>
      <c r="I8097" s="86">
        <v>41757</v>
      </c>
      <c r="J8097" s="78">
        <v>733</v>
      </c>
    </row>
    <row r="8098" spans="6:10" x14ac:dyDescent="0.25">
      <c r="F8098" s="76" t="s">
        <v>150</v>
      </c>
      <c r="G8098" s="77" t="s">
        <v>239</v>
      </c>
      <c r="H8098" s="77" t="s">
        <v>174</v>
      </c>
      <c r="I8098" s="86">
        <v>41760</v>
      </c>
      <c r="J8098" s="78">
        <v>1473</v>
      </c>
    </row>
    <row r="8099" spans="6:10" x14ac:dyDescent="0.25">
      <c r="F8099" s="76" t="s">
        <v>150</v>
      </c>
      <c r="G8099" s="77" t="s">
        <v>239</v>
      </c>
      <c r="H8099" s="77" t="s">
        <v>174</v>
      </c>
      <c r="I8099" s="86">
        <v>41767</v>
      </c>
      <c r="J8099" s="78">
        <v>1457</v>
      </c>
    </row>
    <row r="8100" spans="6:10" x14ac:dyDescent="0.25">
      <c r="F8100" s="76" t="s">
        <v>150</v>
      </c>
      <c r="G8100" s="77" t="s">
        <v>239</v>
      </c>
      <c r="H8100" s="77" t="s">
        <v>174</v>
      </c>
      <c r="I8100" s="86">
        <v>41769</v>
      </c>
      <c r="J8100" s="78">
        <v>945</v>
      </c>
    </row>
    <row r="8101" spans="6:10" x14ac:dyDescent="0.25">
      <c r="F8101" s="76" t="s">
        <v>150</v>
      </c>
      <c r="G8101" s="77" t="s">
        <v>239</v>
      </c>
      <c r="H8101" s="77" t="s">
        <v>174</v>
      </c>
      <c r="I8101" s="86">
        <v>41771</v>
      </c>
      <c r="J8101" s="78">
        <v>1011</v>
      </c>
    </row>
    <row r="8102" spans="6:10" x14ac:dyDescent="0.25">
      <c r="F8102" s="76" t="s">
        <v>150</v>
      </c>
      <c r="G8102" s="77" t="s">
        <v>239</v>
      </c>
      <c r="H8102" s="77" t="s">
        <v>174</v>
      </c>
      <c r="I8102" s="86">
        <v>41772</v>
      </c>
      <c r="J8102" s="78">
        <v>606</v>
      </c>
    </row>
    <row r="8103" spans="6:10" x14ac:dyDescent="0.25">
      <c r="F8103" s="76" t="s">
        <v>150</v>
      </c>
      <c r="G8103" s="77" t="s">
        <v>239</v>
      </c>
      <c r="H8103" s="77" t="s">
        <v>174</v>
      </c>
      <c r="I8103" s="86">
        <v>41773</v>
      </c>
      <c r="J8103" s="78">
        <v>1035</v>
      </c>
    </row>
    <row r="8104" spans="6:10" x14ac:dyDescent="0.25">
      <c r="F8104" s="76" t="s">
        <v>150</v>
      </c>
      <c r="G8104" s="77" t="s">
        <v>239</v>
      </c>
      <c r="H8104" s="77" t="s">
        <v>174</v>
      </c>
      <c r="I8104" s="86">
        <v>41775</v>
      </c>
      <c r="J8104" s="78">
        <v>973</v>
      </c>
    </row>
    <row r="8105" spans="6:10" x14ac:dyDescent="0.25">
      <c r="F8105" s="76" t="s">
        <v>150</v>
      </c>
      <c r="G8105" s="77" t="s">
        <v>239</v>
      </c>
      <c r="H8105" s="77" t="s">
        <v>174</v>
      </c>
      <c r="I8105" s="86">
        <v>41776</v>
      </c>
      <c r="J8105" s="78">
        <v>769</v>
      </c>
    </row>
    <row r="8106" spans="6:10" x14ac:dyDescent="0.25">
      <c r="F8106" s="76" t="s">
        <v>150</v>
      </c>
      <c r="G8106" s="77" t="s">
        <v>239</v>
      </c>
      <c r="H8106" s="77" t="s">
        <v>174</v>
      </c>
      <c r="I8106" s="86">
        <v>41777</v>
      </c>
      <c r="J8106" s="78">
        <v>718</v>
      </c>
    </row>
    <row r="8107" spans="6:10" x14ac:dyDescent="0.25">
      <c r="F8107" s="76" t="s">
        <v>150</v>
      </c>
      <c r="G8107" s="77" t="s">
        <v>239</v>
      </c>
      <c r="H8107" s="77" t="s">
        <v>174</v>
      </c>
      <c r="I8107" s="86">
        <v>41778</v>
      </c>
      <c r="J8107" s="78">
        <v>819</v>
      </c>
    </row>
    <row r="8108" spans="6:10" x14ac:dyDescent="0.25">
      <c r="F8108" s="76" t="s">
        <v>150</v>
      </c>
      <c r="G8108" s="77" t="s">
        <v>239</v>
      </c>
      <c r="H8108" s="77" t="s">
        <v>174</v>
      </c>
      <c r="I8108" s="86">
        <v>41780</v>
      </c>
      <c r="J8108" s="78">
        <v>1705</v>
      </c>
    </row>
    <row r="8109" spans="6:10" x14ac:dyDescent="0.25">
      <c r="F8109" s="76" t="s">
        <v>150</v>
      </c>
      <c r="G8109" s="77" t="s">
        <v>239</v>
      </c>
      <c r="H8109" s="77" t="s">
        <v>174</v>
      </c>
      <c r="I8109" s="86">
        <v>41782</v>
      </c>
      <c r="J8109" s="78">
        <v>1001</v>
      </c>
    </row>
    <row r="8110" spans="6:10" x14ac:dyDescent="0.25">
      <c r="F8110" s="76" t="s">
        <v>150</v>
      </c>
      <c r="G8110" s="77" t="s">
        <v>239</v>
      </c>
      <c r="H8110" s="77" t="s">
        <v>174</v>
      </c>
      <c r="I8110" s="86">
        <v>41784</v>
      </c>
      <c r="J8110" s="78">
        <v>1172</v>
      </c>
    </row>
    <row r="8111" spans="6:10" x14ac:dyDescent="0.25">
      <c r="F8111" s="76" t="s">
        <v>150</v>
      </c>
      <c r="G8111" s="77" t="s">
        <v>239</v>
      </c>
      <c r="H8111" s="77" t="s">
        <v>174</v>
      </c>
      <c r="I8111" s="86">
        <v>41786</v>
      </c>
      <c r="J8111" s="78">
        <v>1048</v>
      </c>
    </row>
    <row r="8112" spans="6:10" x14ac:dyDescent="0.25">
      <c r="F8112" s="76" t="s">
        <v>150</v>
      </c>
      <c r="G8112" s="77" t="s">
        <v>239</v>
      </c>
      <c r="H8112" s="77" t="s">
        <v>174</v>
      </c>
      <c r="I8112" s="86">
        <v>41788</v>
      </c>
      <c r="J8112" s="78">
        <v>883</v>
      </c>
    </row>
    <row r="8113" spans="6:10" x14ac:dyDescent="0.25">
      <c r="F8113" s="76" t="s">
        <v>150</v>
      </c>
      <c r="G8113" s="77" t="s">
        <v>239</v>
      </c>
      <c r="H8113" s="77" t="s">
        <v>174</v>
      </c>
      <c r="I8113" s="86">
        <v>41792</v>
      </c>
      <c r="J8113" s="78">
        <v>1117</v>
      </c>
    </row>
    <row r="8114" spans="6:10" x14ac:dyDescent="0.25">
      <c r="F8114" s="76" t="s">
        <v>150</v>
      </c>
      <c r="G8114" s="77" t="s">
        <v>239</v>
      </c>
      <c r="H8114" s="77" t="s">
        <v>174</v>
      </c>
      <c r="I8114" s="86">
        <v>41794</v>
      </c>
      <c r="J8114" s="78">
        <v>555</v>
      </c>
    </row>
    <row r="8115" spans="6:10" x14ac:dyDescent="0.25">
      <c r="F8115" s="76" t="s">
        <v>150</v>
      </c>
      <c r="G8115" s="77" t="s">
        <v>239</v>
      </c>
      <c r="H8115" s="77" t="s">
        <v>174</v>
      </c>
      <c r="I8115" s="86">
        <v>41795</v>
      </c>
      <c r="J8115" s="78">
        <v>311</v>
      </c>
    </row>
    <row r="8116" spans="6:10" x14ac:dyDescent="0.25">
      <c r="F8116" s="76" t="s">
        <v>150</v>
      </c>
      <c r="G8116" s="77" t="s">
        <v>239</v>
      </c>
      <c r="H8116" s="77" t="s">
        <v>174</v>
      </c>
      <c r="I8116" s="86">
        <v>41799</v>
      </c>
      <c r="J8116" s="78">
        <v>1165</v>
      </c>
    </row>
    <row r="8117" spans="6:10" x14ac:dyDescent="0.25">
      <c r="F8117" s="76" t="s">
        <v>150</v>
      </c>
      <c r="G8117" s="77" t="s">
        <v>239</v>
      </c>
      <c r="H8117" s="77" t="s">
        <v>174</v>
      </c>
      <c r="I8117" s="86">
        <v>41801</v>
      </c>
      <c r="J8117" s="78">
        <v>811</v>
      </c>
    </row>
    <row r="8118" spans="6:10" x14ac:dyDescent="0.25">
      <c r="F8118" s="76" t="s">
        <v>150</v>
      </c>
      <c r="G8118" s="77" t="s">
        <v>239</v>
      </c>
      <c r="H8118" s="77" t="s">
        <v>174</v>
      </c>
      <c r="I8118" s="86">
        <v>41803</v>
      </c>
      <c r="J8118" s="78">
        <v>893</v>
      </c>
    </row>
    <row r="8119" spans="6:10" x14ac:dyDescent="0.25">
      <c r="F8119" s="76" t="s">
        <v>150</v>
      </c>
      <c r="G8119" s="77" t="s">
        <v>239</v>
      </c>
      <c r="H8119" s="77" t="s">
        <v>174</v>
      </c>
      <c r="I8119" s="86">
        <v>41807</v>
      </c>
      <c r="J8119" s="78">
        <v>1034</v>
      </c>
    </row>
    <row r="8120" spans="6:10" x14ac:dyDescent="0.25">
      <c r="F8120" s="76" t="s">
        <v>150</v>
      </c>
      <c r="G8120" s="77" t="s">
        <v>239</v>
      </c>
      <c r="H8120" s="77" t="s">
        <v>174</v>
      </c>
      <c r="I8120" s="86">
        <v>41809</v>
      </c>
      <c r="J8120" s="78">
        <v>1195</v>
      </c>
    </row>
    <row r="8121" spans="6:10" x14ac:dyDescent="0.25">
      <c r="F8121" s="76" t="s">
        <v>150</v>
      </c>
      <c r="G8121" s="77" t="s">
        <v>239</v>
      </c>
      <c r="H8121" s="77" t="s">
        <v>174</v>
      </c>
      <c r="I8121" s="86">
        <v>41813</v>
      </c>
      <c r="J8121" s="78">
        <v>867</v>
      </c>
    </row>
    <row r="8122" spans="6:10" x14ac:dyDescent="0.25">
      <c r="F8122" s="76" t="s">
        <v>150</v>
      </c>
      <c r="G8122" s="77" t="s">
        <v>239</v>
      </c>
      <c r="H8122" s="77" t="s">
        <v>174</v>
      </c>
      <c r="I8122" s="86">
        <v>41816</v>
      </c>
      <c r="J8122" s="78">
        <v>1205</v>
      </c>
    </row>
    <row r="8123" spans="6:10" x14ac:dyDescent="0.25">
      <c r="F8123" s="76" t="s">
        <v>150</v>
      </c>
      <c r="G8123" s="77" t="s">
        <v>239</v>
      </c>
      <c r="H8123" s="77" t="s">
        <v>174</v>
      </c>
      <c r="I8123" s="86">
        <v>41820</v>
      </c>
      <c r="J8123" s="78">
        <v>910</v>
      </c>
    </row>
    <row r="8124" spans="6:10" x14ac:dyDescent="0.25">
      <c r="F8124" s="76" t="s">
        <v>150</v>
      </c>
      <c r="G8124" s="77" t="s">
        <v>239</v>
      </c>
      <c r="H8124" s="77" t="s">
        <v>174</v>
      </c>
      <c r="I8124" s="86">
        <v>41822</v>
      </c>
      <c r="J8124" s="78">
        <v>884</v>
      </c>
    </row>
    <row r="8125" spans="6:10" x14ac:dyDescent="0.25">
      <c r="F8125" s="76" t="s">
        <v>150</v>
      </c>
      <c r="G8125" s="77" t="s">
        <v>239</v>
      </c>
      <c r="H8125" s="77" t="s">
        <v>174</v>
      </c>
      <c r="I8125" s="86">
        <v>41827</v>
      </c>
      <c r="J8125" s="78">
        <v>1077</v>
      </c>
    </row>
    <row r="8126" spans="6:10" x14ac:dyDescent="0.25">
      <c r="F8126" s="76" t="s">
        <v>150</v>
      </c>
      <c r="G8126" s="77" t="s">
        <v>239</v>
      </c>
      <c r="H8126" s="77" t="s">
        <v>174</v>
      </c>
      <c r="I8126" s="86">
        <v>41828</v>
      </c>
      <c r="J8126" s="78">
        <v>495</v>
      </c>
    </row>
    <row r="8127" spans="6:10" x14ac:dyDescent="0.25">
      <c r="F8127" s="76" t="s">
        <v>150</v>
      </c>
      <c r="G8127" s="77" t="s">
        <v>239</v>
      </c>
      <c r="H8127" s="77" t="s">
        <v>174</v>
      </c>
      <c r="I8127" s="86">
        <v>41830</v>
      </c>
      <c r="J8127" s="78">
        <v>864</v>
      </c>
    </row>
    <row r="8128" spans="6:10" x14ac:dyDescent="0.25">
      <c r="F8128" s="76" t="s">
        <v>150</v>
      </c>
      <c r="G8128" s="77" t="s">
        <v>239</v>
      </c>
      <c r="H8128" s="77" t="s">
        <v>174</v>
      </c>
      <c r="I8128" s="86">
        <v>41842</v>
      </c>
      <c r="J8128" s="78">
        <v>665</v>
      </c>
    </row>
    <row r="8129" spans="6:10" x14ac:dyDescent="0.25">
      <c r="F8129" s="76" t="s">
        <v>150</v>
      </c>
      <c r="G8129" s="77" t="s">
        <v>239</v>
      </c>
      <c r="H8129" s="77" t="s">
        <v>174</v>
      </c>
      <c r="I8129" s="86">
        <v>41845</v>
      </c>
      <c r="J8129" s="78">
        <v>1092</v>
      </c>
    </row>
    <row r="8130" spans="6:10" x14ac:dyDescent="0.25">
      <c r="F8130" s="76" t="s">
        <v>150</v>
      </c>
      <c r="G8130" s="77" t="s">
        <v>239</v>
      </c>
      <c r="H8130" s="77" t="s">
        <v>174</v>
      </c>
      <c r="I8130" s="86">
        <v>41851</v>
      </c>
      <c r="J8130" s="78">
        <v>1140</v>
      </c>
    </row>
    <row r="8131" spans="6:10" x14ac:dyDescent="0.25">
      <c r="F8131" s="76" t="s">
        <v>150</v>
      </c>
      <c r="G8131" s="77" t="s">
        <v>239</v>
      </c>
      <c r="H8131" s="77" t="s">
        <v>174</v>
      </c>
      <c r="I8131" s="86">
        <v>41852</v>
      </c>
      <c r="J8131" s="78">
        <v>523</v>
      </c>
    </row>
    <row r="8132" spans="6:10" x14ac:dyDescent="0.25">
      <c r="F8132" s="76" t="s">
        <v>150</v>
      </c>
      <c r="G8132" s="77" t="s">
        <v>239</v>
      </c>
      <c r="H8132" s="77" t="s">
        <v>174</v>
      </c>
      <c r="I8132" s="86">
        <v>41856</v>
      </c>
      <c r="J8132" s="78">
        <v>1148</v>
      </c>
    </row>
    <row r="8133" spans="6:10" x14ac:dyDescent="0.25">
      <c r="F8133" s="76" t="s">
        <v>150</v>
      </c>
      <c r="G8133" s="77" t="s">
        <v>239</v>
      </c>
      <c r="H8133" s="77" t="s">
        <v>174</v>
      </c>
      <c r="I8133" s="86">
        <v>41859</v>
      </c>
      <c r="J8133" s="78">
        <v>1498</v>
      </c>
    </row>
    <row r="8134" spans="6:10" x14ac:dyDescent="0.25">
      <c r="F8134" s="76" t="s">
        <v>150</v>
      </c>
      <c r="G8134" s="77" t="s">
        <v>239</v>
      </c>
      <c r="H8134" s="77" t="s">
        <v>174</v>
      </c>
      <c r="I8134" s="86">
        <v>41862</v>
      </c>
      <c r="J8134" s="78">
        <v>1174</v>
      </c>
    </row>
    <row r="8135" spans="6:10" x14ac:dyDescent="0.25">
      <c r="F8135" s="76" t="s">
        <v>150</v>
      </c>
      <c r="G8135" s="77" t="s">
        <v>239</v>
      </c>
      <c r="H8135" s="77" t="s">
        <v>174</v>
      </c>
      <c r="I8135" s="86">
        <v>41865</v>
      </c>
      <c r="J8135" s="78">
        <v>1532</v>
      </c>
    </row>
    <row r="8136" spans="6:10" x14ac:dyDescent="0.25">
      <c r="F8136" s="76" t="s">
        <v>150</v>
      </c>
      <c r="G8136" s="77" t="s">
        <v>239</v>
      </c>
      <c r="H8136" s="77" t="s">
        <v>174</v>
      </c>
      <c r="I8136" s="86">
        <v>41866</v>
      </c>
      <c r="J8136" s="78">
        <v>527</v>
      </c>
    </row>
    <row r="8137" spans="6:10" x14ac:dyDescent="0.25">
      <c r="F8137" s="76" t="s">
        <v>150</v>
      </c>
      <c r="G8137" s="77" t="s">
        <v>239</v>
      </c>
      <c r="H8137" s="77" t="s">
        <v>174</v>
      </c>
      <c r="I8137" s="86">
        <v>41869</v>
      </c>
      <c r="J8137" s="78">
        <v>1162</v>
      </c>
    </row>
    <row r="8138" spans="6:10" x14ac:dyDescent="0.25">
      <c r="F8138" s="76" t="s">
        <v>150</v>
      </c>
      <c r="G8138" s="77" t="s">
        <v>239</v>
      </c>
      <c r="H8138" s="77" t="s">
        <v>174</v>
      </c>
      <c r="I8138" s="86">
        <v>41870</v>
      </c>
      <c r="J8138" s="78">
        <v>870</v>
      </c>
    </row>
    <row r="8139" spans="6:10" x14ac:dyDescent="0.25">
      <c r="F8139" s="76" t="s">
        <v>150</v>
      </c>
      <c r="G8139" s="77" t="s">
        <v>239</v>
      </c>
      <c r="H8139" s="77" t="s">
        <v>174</v>
      </c>
      <c r="I8139" s="86">
        <v>41871</v>
      </c>
      <c r="J8139" s="78">
        <v>862</v>
      </c>
    </row>
    <row r="8140" spans="6:10" x14ac:dyDescent="0.25">
      <c r="F8140" s="76" t="s">
        <v>150</v>
      </c>
      <c r="G8140" s="77" t="s">
        <v>239</v>
      </c>
      <c r="H8140" s="77" t="s">
        <v>174</v>
      </c>
      <c r="I8140" s="86">
        <v>41873</v>
      </c>
      <c r="J8140" s="78">
        <v>968</v>
      </c>
    </row>
    <row r="8141" spans="6:10" x14ac:dyDescent="0.25">
      <c r="F8141" s="76" t="s">
        <v>150</v>
      </c>
      <c r="G8141" s="77" t="s">
        <v>239</v>
      </c>
      <c r="H8141" s="77" t="s">
        <v>174</v>
      </c>
      <c r="I8141" s="86">
        <v>41874</v>
      </c>
      <c r="J8141" s="78">
        <v>1064</v>
      </c>
    </row>
    <row r="8142" spans="6:10" x14ac:dyDescent="0.25">
      <c r="F8142" s="76" t="s">
        <v>150</v>
      </c>
      <c r="G8142" s="77" t="s">
        <v>239</v>
      </c>
      <c r="H8142" s="77" t="s">
        <v>174</v>
      </c>
      <c r="I8142" s="86">
        <v>41876</v>
      </c>
      <c r="J8142" s="78">
        <v>1387</v>
      </c>
    </row>
    <row r="8143" spans="6:10" x14ac:dyDescent="0.25">
      <c r="F8143" s="76" t="s">
        <v>150</v>
      </c>
      <c r="G8143" s="77" t="s">
        <v>239</v>
      </c>
      <c r="H8143" s="77" t="s">
        <v>174</v>
      </c>
      <c r="I8143" s="86">
        <v>41878</v>
      </c>
      <c r="J8143" s="78">
        <v>886</v>
      </c>
    </row>
    <row r="8144" spans="6:10" x14ac:dyDescent="0.25">
      <c r="F8144" s="76" t="s">
        <v>150</v>
      </c>
      <c r="G8144" s="77" t="s">
        <v>239</v>
      </c>
      <c r="H8144" s="77" t="s">
        <v>174</v>
      </c>
      <c r="I8144" s="86">
        <v>41880</v>
      </c>
      <c r="J8144" s="78">
        <v>900</v>
      </c>
    </row>
    <row r="8145" spans="6:10" x14ac:dyDescent="0.25">
      <c r="F8145" s="76" t="s">
        <v>150</v>
      </c>
      <c r="G8145" s="77" t="s">
        <v>239</v>
      </c>
      <c r="H8145" s="77" t="s">
        <v>174</v>
      </c>
      <c r="I8145" s="86">
        <v>41886</v>
      </c>
      <c r="J8145" s="78">
        <v>1479</v>
      </c>
    </row>
    <row r="8146" spans="6:10" x14ac:dyDescent="0.25">
      <c r="F8146" s="76" t="s">
        <v>150</v>
      </c>
      <c r="G8146" s="77" t="s">
        <v>239</v>
      </c>
      <c r="H8146" s="77" t="s">
        <v>174</v>
      </c>
      <c r="I8146" s="86">
        <v>41892</v>
      </c>
      <c r="J8146" s="78">
        <v>1524</v>
      </c>
    </row>
    <row r="8147" spans="6:10" x14ac:dyDescent="0.25">
      <c r="F8147" s="76" t="s">
        <v>150</v>
      </c>
      <c r="G8147" s="77" t="s">
        <v>239</v>
      </c>
      <c r="H8147" s="77" t="s">
        <v>174</v>
      </c>
      <c r="I8147" s="86">
        <v>41897</v>
      </c>
      <c r="J8147" s="78">
        <v>1278</v>
      </c>
    </row>
    <row r="8148" spans="6:10" x14ac:dyDescent="0.25">
      <c r="F8148" s="76" t="s">
        <v>150</v>
      </c>
      <c r="G8148" s="77" t="s">
        <v>239</v>
      </c>
      <c r="H8148" s="77" t="s">
        <v>174</v>
      </c>
      <c r="I8148" s="86">
        <v>41900</v>
      </c>
      <c r="J8148" s="78">
        <v>1379</v>
      </c>
    </row>
    <row r="8149" spans="6:10" x14ac:dyDescent="0.25">
      <c r="F8149" s="76" t="s">
        <v>150</v>
      </c>
      <c r="G8149" s="77" t="s">
        <v>239</v>
      </c>
      <c r="H8149" s="77" t="s">
        <v>174</v>
      </c>
      <c r="I8149" s="86">
        <v>41904</v>
      </c>
      <c r="J8149" s="78">
        <v>800</v>
      </c>
    </row>
    <row r="8150" spans="6:10" x14ac:dyDescent="0.25">
      <c r="F8150" s="76" t="s">
        <v>150</v>
      </c>
      <c r="G8150" s="77" t="s">
        <v>239</v>
      </c>
      <c r="H8150" s="77" t="s">
        <v>174</v>
      </c>
      <c r="I8150" s="86">
        <v>41906</v>
      </c>
      <c r="J8150" s="78">
        <v>870</v>
      </c>
    </row>
    <row r="8151" spans="6:10" x14ac:dyDescent="0.25">
      <c r="F8151" s="76" t="s">
        <v>150</v>
      </c>
      <c r="G8151" s="77" t="s">
        <v>239</v>
      </c>
      <c r="H8151" s="77" t="s">
        <v>174</v>
      </c>
      <c r="I8151" s="86">
        <v>41908</v>
      </c>
      <c r="J8151" s="78">
        <v>806</v>
      </c>
    </row>
    <row r="8152" spans="6:10" x14ac:dyDescent="0.25">
      <c r="F8152" s="76" t="s">
        <v>150</v>
      </c>
      <c r="G8152" s="77" t="s">
        <v>239</v>
      </c>
      <c r="H8152" s="77" t="s">
        <v>174</v>
      </c>
      <c r="I8152" s="86">
        <v>41912</v>
      </c>
      <c r="J8152" s="78">
        <v>1105</v>
      </c>
    </row>
    <row r="8153" spans="6:10" x14ac:dyDescent="0.25">
      <c r="F8153" s="76" t="s">
        <v>150</v>
      </c>
      <c r="G8153" s="77" t="s">
        <v>239</v>
      </c>
      <c r="H8153" s="77" t="s">
        <v>174</v>
      </c>
      <c r="I8153" s="86">
        <v>41914</v>
      </c>
      <c r="J8153" s="78">
        <v>790</v>
      </c>
    </row>
    <row r="8154" spans="6:10" x14ac:dyDescent="0.25">
      <c r="F8154" s="76" t="s">
        <v>150</v>
      </c>
      <c r="G8154" s="77" t="s">
        <v>239</v>
      </c>
      <c r="H8154" s="77" t="s">
        <v>174</v>
      </c>
      <c r="I8154" s="86">
        <v>41918</v>
      </c>
      <c r="J8154" s="78">
        <v>657</v>
      </c>
    </row>
    <row r="8155" spans="6:10" x14ac:dyDescent="0.25">
      <c r="F8155" s="76" t="s">
        <v>150</v>
      </c>
      <c r="G8155" s="77" t="s">
        <v>239</v>
      </c>
      <c r="H8155" s="77" t="s">
        <v>174</v>
      </c>
      <c r="I8155" s="86">
        <v>41920</v>
      </c>
      <c r="J8155" s="78">
        <v>800</v>
      </c>
    </row>
    <row r="8156" spans="6:10" x14ac:dyDescent="0.25">
      <c r="F8156" s="76" t="s">
        <v>150</v>
      </c>
      <c r="G8156" s="77" t="s">
        <v>239</v>
      </c>
      <c r="H8156" s="77" t="s">
        <v>174</v>
      </c>
      <c r="I8156" s="86">
        <v>41922</v>
      </c>
      <c r="J8156" s="78">
        <v>760</v>
      </c>
    </row>
    <row r="8157" spans="6:10" x14ac:dyDescent="0.25">
      <c r="F8157" s="76" t="s">
        <v>150</v>
      </c>
      <c r="G8157" s="77" t="s">
        <v>239</v>
      </c>
      <c r="H8157" s="77" t="s">
        <v>174</v>
      </c>
      <c r="I8157" s="86">
        <v>41926</v>
      </c>
      <c r="J8157" s="78">
        <v>1013</v>
      </c>
    </row>
    <row r="8158" spans="6:10" x14ac:dyDescent="0.25">
      <c r="F8158" s="76" t="s">
        <v>150</v>
      </c>
      <c r="G8158" s="77" t="s">
        <v>239</v>
      </c>
      <c r="H8158" s="77" t="s">
        <v>174</v>
      </c>
      <c r="I8158" s="86">
        <v>41928</v>
      </c>
      <c r="J8158" s="78">
        <v>593</v>
      </c>
    </row>
    <row r="8159" spans="6:10" x14ac:dyDescent="0.25">
      <c r="F8159" s="76" t="s">
        <v>150</v>
      </c>
      <c r="G8159" s="77" t="s">
        <v>239</v>
      </c>
      <c r="H8159" s="77" t="s">
        <v>174</v>
      </c>
      <c r="I8159" s="86">
        <v>41948</v>
      </c>
      <c r="J8159" s="78">
        <v>1468</v>
      </c>
    </row>
    <row r="8160" spans="6:10" x14ac:dyDescent="0.25">
      <c r="F8160" s="76" t="s">
        <v>150</v>
      </c>
      <c r="G8160" s="77" t="s">
        <v>239</v>
      </c>
      <c r="H8160" s="77" t="s">
        <v>174</v>
      </c>
      <c r="I8160" s="86">
        <v>41949</v>
      </c>
      <c r="J8160" s="78">
        <v>547</v>
      </c>
    </row>
    <row r="8161" spans="6:10" x14ac:dyDescent="0.25">
      <c r="F8161" s="76" t="s">
        <v>150</v>
      </c>
      <c r="G8161" s="77" t="s">
        <v>239</v>
      </c>
      <c r="H8161" s="77" t="s">
        <v>174</v>
      </c>
      <c r="I8161" s="86">
        <v>41953</v>
      </c>
      <c r="J8161" s="78">
        <v>1096</v>
      </c>
    </row>
    <row r="8162" spans="6:10" x14ac:dyDescent="0.25">
      <c r="F8162" s="76" t="s">
        <v>150</v>
      </c>
      <c r="G8162" s="77" t="s">
        <v>239</v>
      </c>
      <c r="H8162" s="77" t="s">
        <v>174</v>
      </c>
      <c r="I8162" s="86">
        <v>41954</v>
      </c>
      <c r="J8162" s="78">
        <v>1039</v>
      </c>
    </row>
    <row r="8163" spans="6:10" x14ac:dyDescent="0.25">
      <c r="F8163" s="76" t="s">
        <v>150</v>
      </c>
      <c r="G8163" s="77" t="s">
        <v>239</v>
      </c>
      <c r="H8163" s="77" t="s">
        <v>174</v>
      </c>
      <c r="I8163" s="86">
        <v>41956</v>
      </c>
      <c r="J8163" s="78">
        <v>916</v>
      </c>
    </row>
    <row r="8164" spans="6:10" x14ac:dyDescent="0.25">
      <c r="F8164" s="76" t="s">
        <v>150</v>
      </c>
      <c r="G8164" s="77" t="s">
        <v>239</v>
      </c>
      <c r="H8164" s="77" t="s">
        <v>174</v>
      </c>
      <c r="I8164" s="86">
        <v>41958</v>
      </c>
      <c r="J8164" s="78">
        <v>1165</v>
      </c>
    </row>
    <row r="8165" spans="6:10" x14ac:dyDescent="0.25">
      <c r="F8165" s="76" t="s">
        <v>150</v>
      </c>
      <c r="G8165" s="77" t="s">
        <v>239</v>
      </c>
      <c r="H8165" s="77" t="s">
        <v>174</v>
      </c>
      <c r="I8165" s="86">
        <v>41960</v>
      </c>
      <c r="J8165" s="78">
        <v>1218</v>
      </c>
    </row>
    <row r="8166" spans="6:10" x14ac:dyDescent="0.25">
      <c r="F8166" s="76" t="s">
        <v>150</v>
      </c>
      <c r="G8166" s="77" t="s">
        <v>239</v>
      </c>
      <c r="H8166" s="77" t="s">
        <v>174</v>
      </c>
      <c r="I8166" s="86">
        <v>41962</v>
      </c>
      <c r="J8166" s="78">
        <v>884</v>
      </c>
    </row>
    <row r="8167" spans="6:10" x14ac:dyDescent="0.25">
      <c r="F8167" s="76" t="s">
        <v>150</v>
      </c>
      <c r="G8167" s="77" t="s">
        <v>239</v>
      </c>
      <c r="H8167" s="77" t="s">
        <v>174</v>
      </c>
      <c r="I8167" s="86">
        <v>41963</v>
      </c>
      <c r="J8167" s="78">
        <v>1037</v>
      </c>
    </row>
    <row r="8168" spans="6:10" x14ac:dyDescent="0.25">
      <c r="F8168" s="76" t="s">
        <v>150</v>
      </c>
      <c r="G8168" s="77" t="s">
        <v>239</v>
      </c>
      <c r="H8168" s="77" t="s">
        <v>174</v>
      </c>
      <c r="I8168" s="86">
        <v>41965</v>
      </c>
      <c r="J8168" s="78">
        <v>1476</v>
      </c>
    </row>
    <row r="8169" spans="6:10" x14ac:dyDescent="0.25">
      <c r="F8169" s="76" t="s">
        <v>150</v>
      </c>
      <c r="G8169" s="77" t="s">
        <v>239</v>
      </c>
      <c r="H8169" s="77" t="s">
        <v>174</v>
      </c>
      <c r="I8169" s="86">
        <v>41966</v>
      </c>
      <c r="J8169" s="78">
        <v>759</v>
      </c>
    </row>
    <row r="8170" spans="6:10" x14ac:dyDescent="0.25">
      <c r="F8170" s="76" t="s">
        <v>150</v>
      </c>
      <c r="G8170" s="77" t="s">
        <v>239</v>
      </c>
      <c r="H8170" s="77" t="s">
        <v>174</v>
      </c>
      <c r="I8170" s="86">
        <v>41968</v>
      </c>
      <c r="J8170" s="78">
        <v>1297</v>
      </c>
    </row>
    <row r="8171" spans="6:10" x14ac:dyDescent="0.25">
      <c r="F8171" s="76" t="s">
        <v>150</v>
      </c>
      <c r="G8171" s="77" t="s">
        <v>239</v>
      </c>
      <c r="H8171" s="77" t="s">
        <v>174</v>
      </c>
      <c r="I8171" s="86">
        <v>41970</v>
      </c>
      <c r="J8171" s="78">
        <v>1443</v>
      </c>
    </row>
    <row r="8172" spans="6:10" x14ac:dyDescent="0.25">
      <c r="F8172" s="76" t="s">
        <v>150</v>
      </c>
      <c r="G8172" s="77" t="s">
        <v>239</v>
      </c>
      <c r="H8172" s="77" t="s">
        <v>174</v>
      </c>
      <c r="I8172" s="86">
        <v>41972</v>
      </c>
      <c r="J8172" s="78">
        <v>1330</v>
      </c>
    </row>
    <row r="8173" spans="6:10" x14ac:dyDescent="0.25">
      <c r="F8173" s="76" t="s">
        <v>150</v>
      </c>
      <c r="G8173" s="77" t="s">
        <v>239</v>
      </c>
      <c r="H8173" s="77" t="s">
        <v>174</v>
      </c>
      <c r="I8173" s="86">
        <v>41973</v>
      </c>
      <c r="J8173" s="78">
        <v>1146</v>
      </c>
    </row>
    <row r="8174" spans="6:10" x14ac:dyDescent="0.25">
      <c r="F8174" s="76" t="s">
        <v>150</v>
      </c>
      <c r="G8174" s="77" t="s">
        <v>239</v>
      </c>
      <c r="H8174" s="77" t="s">
        <v>174</v>
      </c>
      <c r="I8174" s="86">
        <v>41974</v>
      </c>
      <c r="J8174" s="78">
        <v>700</v>
      </c>
    </row>
    <row r="8175" spans="6:10" x14ac:dyDescent="0.25">
      <c r="F8175" s="76" t="s">
        <v>150</v>
      </c>
      <c r="G8175" s="77" t="s">
        <v>239</v>
      </c>
      <c r="H8175" s="77" t="s">
        <v>174</v>
      </c>
      <c r="I8175" s="86">
        <v>41976</v>
      </c>
      <c r="J8175" s="78">
        <v>1613</v>
      </c>
    </row>
    <row r="8176" spans="6:10" x14ac:dyDescent="0.25">
      <c r="F8176" s="76" t="s">
        <v>150</v>
      </c>
      <c r="G8176" s="77" t="s">
        <v>239</v>
      </c>
      <c r="H8176" s="77" t="s">
        <v>174</v>
      </c>
      <c r="I8176" s="86">
        <v>41978</v>
      </c>
      <c r="J8176" s="78">
        <v>1503</v>
      </c>
    </row>
    <row r="8177" spans="6:10" x14ac:dyDescent="0.25">
      <c r="F8177" s="76" t="s">
        <v>150</v>
      </c>
      <c r="G8177" s="77" t="s">
        <v>239</v>
      </c>
      <c r="H8177" s="77" t="s">
        <v>174</v>
      </c>
      <c r="I8177" s="86">
        <v>41981</v>
      </c>
      <c r="J8177" s="78">
        <v>1880</v>
      </c>
    </row>
    <row r="8178" spans="6:10" x14ac:dyDescent="0.25">
      <c r="F8178" s="76" t="s">
        <v>150</v>
      </c>
      <c r="G8178" s="77" t="s">
        <v>239</v>
      </c>
      <c r="H8178" s="77" t="s">
        <v>174</v>
      </c>
      <c r="I8178" s="86">
        <v>41983</v>
      </c>
      <c r="J8178" s="78">
        <v>1003</v>
      </c>
    </row>
    <row r="8179" spans="6:10" x14ac:dyDescent="0.25">
      <c r="F8179" s="76" t="s">
        <v>150</v>
      </c>
      <c r="G8179" s="77" t="s">
        <v>239</v>
      </c>
      <c r="H8179" s="77" t="s">
        <v>174</v>
      </c>
      <c r="I8179" s="86">
        <v>41985</v>
      </c>
      <c r="J8179" s="78">
        <v>914</v>
      </c>
    </row>
    <row r="8180" spans="6:10" x14ac:dyDescent="0.25">
      <c r="F8180" s="76" t="s">
        <v>150</v>
      </c>
      <c r="G8180" s="77" t="s">
        <v>239</v>
      </c>
      <c r="H8180" s="77" t="s">
        <v>174</v>
      </c>
      <c r="I8180" s="86">
        <v>41986</v>
      </c>
      <c r="J8180" s="78">
        <v>1044</v>
      </c>
    </row>
    <row r="8181" spans="6:10" x14ac:dyDescent="0.25">
      <c r="F8181" s="76" t="s">
        <v>150</v>
      </c>
      <c r="G8181" s="77" t="s">
        <v>239</v>
      </c>
      <c r="H8181" s="77" t="s">
        <v>174</v>
      </c>
      <c r="I8181" s="86">
        <v>41987</v>
      </c>
      <c r="J8181" s="78">
        <v>832</v>
      </c>
    </row>
    <row r="8182" spans="6:10" x14ac:dyDescent="0.25">
      <c r="F8182" s="76" t="s">
        <v>150</v>
      </c>
      <c r="G8182" s="77" t="s">
        <v>239</v>
      </c>
      <c r="H8182" s="77" t="s">
        <v>174</v>
      </c>
      <c r="I8182" s="86">
        <v>41988</v>
      </c>
      <c r="J8182" s="78">
        <v>1053</v>
      </c>
    </row>
    <row r="8183" spans="6:10" x14ac:dyDescent="0.25">
      <c r="F8183" s="76" t="s">
        <v>150</v>
      </c>
      <c r="G8183" s="77" t="s">
        <v>239</v>
      </c>
      <c r="H8183" s="77" t="s">
        <v>174</v>
      </c>
      <c r="I8183" s="86">
        <v>41990</v>
      </c>
      <c r="J8183" s="78">
        <v>1214</v>
      </c>
    </row>
    <row r="8184" spans="6:10" x14ac:dyDescent="0.25">
      <c r="F8184" s="76" t="s">
        <v>150</v>
      </c>
      <c r="G8184" s="77" t="s">
        <v>239</v>
      </c>
      <c r="H8184" s="77" t="s">
        <v>174</v>
      </c>
      <c r="I8184" s="86">
        <v>41991</v>
      </c>
      <c r="J8184" s="78">
        <v>648</v>
      </c>
    </row>
    <row r="8185" spans="6:10" x14ac:dyDescent="0.25">
      <c r="F8185" s="76" t="s">
        <v>150</v>
      </c>
      <c r="G8185" s="77" t="s">
        <v>239</v>
      </c>
      <c r="H8185" s="77" t="s">
        <v>174</v>
      </c>
      <c r="I8185" s="86">
        <v>41994</v>
      </c>
      <c r="J8185" s="78">
        <v>1110</v>
      </c>
    </row>
    <row r="8186" spans="6:10" x14ac:dyDescent="0.25">
      <c r="F8186" s="76" t="s">
        <v>150</v>
      </c>
      <c r="G8186" s="77" t="s">
        <v>239</v>
      </c>
      <c r="H8186" s="77" t="s">
        <v>174</v>
      </c>
      <c r="I8186" s="86">
        <v>41995</v>
      </c>
      <c r="J8186" s="78">
        <v>775</v>
      </c>
    </row>
    <row r="8187" spans="6:10" x14ac:dyDescent="0.25">
      <c r="F8187" s="76" t="s">
        <v>150</v>
      </c>
      <c r="G8187" s="77" t="s">
        <v>239</v>
      </c>
      <c r="H8187" s="77" t="s">
        <v>174</v>
      </c>
      <c r="I8187" s="86">
        <v>41997</v>
      </c>
      <c r="J8187" s="78">
        <v>1502</v>
      </c>
    </row>
    <row r="8188" spans="6:10" x14ac:dyDescent="0.25">
      <c r="F8188" s="76" t="s">
        <v>150</v>
      </c>
      <c r="G8188" s="77" t="s">
        <v>239</v>
      </c>
      <c r="H8188" s="77" t="s">
        <v>174</v>
      </c>
      <c r="I8188" s="86">
        <v>41999</v>
      </c>
      <c r="J8188" s="78">
        <v>919</v>
      </c>
    </row>
    <row r="8189" spans="6:10" x14ac:dyDescent="0.25">
      <c r="F8189" s="76" t="s">
        <v>150</v>
      </c>
      <c r="G8189" s="77" t="s">
        <v>239</v>
      </c>
      <c r="H8189" s="77" t="s">
        <v>174</v>
      </c>
      <c r="I8189" s="86">
        <v>42000</v>
      </c>
      <c r="J8189" s="78">
        <v>880</v>
      </c>
    </row>
    <row r="8190" spans="6:10" x14ac:dyDescent="0.25">
      <c r="F8190" s="76" t="s">
        <v>150</v>
      </c>
      <c r="G8190" s="77" t="s">
        <v>239</v>
      </c>
      <c r="H8190" s="77" t="s">
        <v>174</v>
      </c>
      <c r="I8190" s="86">
        <v>42001</v>
      </c>
      <c r="J8190" s="78">
        <v>741</v>
      </c>
    </row>
    <row r="8191" spans="6:10" x14ac:dyDescent="0.25">
      <c r="F8191" s="76" t="s">
        <v>150</v>
      </c>
      <c r="G8191" s="77" t="s">
        <v>239</v>
      </c>
      <c r="H8191" s="77" t="s">
        <v>174</v>
      </c>
      <c r="I8191" s="86">
        <v>42002</v>
      </c>
      <c r="J8191" s="78">
        <v>1065</v>
      </c>
    </row>
    <row r="8192" spans="6:10" x14ac:dyDescent="0.25">
      <c r="F8192" s="76" t="s">
        <v>150</v>
      </c>
      <c r="G8192" s="77" t="s">
        <v>311</v>
      </c>
      <c r="H8192" s="77" t="s">
        <v>174</v>
      </c>
      <c r="I8192" s="86">
        <v>41655</v>
      </c>
      <c r="J8192" s="78">
        <v>801</v>
      </c>
    </row>
    <row r="8193" spans="6:10" x14ac:dyDescent="0.25">
      <c r="F8193" s="76" t="s">
        <v>150</v>
      </c>
      <c r="G8193" s="77" t="s">
        <v>311</v>
      </c>
      <c r="H8193" s="77" t="s">
        <v>174</v>
      </c>
      <c r="I8193" s="86">
        <v>41657</v>
      </c>
      <c r="J8193" s="78">
        <v>964</v>
      </c>
    </row>
    <row r="8194" spans="6:10" x14ac:dyDescent="0.25">
      <c r="F8194" s="76" t="s">
        <v>150</v>
      </c>
      <c r="G8194" s="77" t="s">
        <v>311</v>
      </c>
      <c r="H8194" s="77" t="s">
        <v>174</v>
      </c>
      <c r="I8194" s="86">
        <v>41660</v>
      </c>
      <c r="J8194" s="78">
        <v>1405</v>
      </c>
    </row>
    <row r="8195" spans="6:10" x14ac:dyDescent="0.25">
      <c r="F8195" s="76" t="s">
        <v>150</v>
      </c>
      <c r="G8195" s="77" t="s">
        <v>311</v>
      </c>
      <c r="H8195" s="77" t="s">
        <v>174</v>
      </c>
      <c r="I8195" s="86">
        <v>41662</v>
      </c>
      <c r="J8195" s="78">
        <v>1393</v>
      </c>
    </row>
    <row r="8196" spans="6:10" x14ac:dyDescent="0.25">
      <c r="F8196" s="76" t="s">
        <v>150</v>
      </c>
      <c r="G8196" s="77" t="s">
        <v>311</v>
      </c>
      <c r="H8196" s="77" t="s">
        <v>174</v>
      </c>
      <c r="I8196" s="86">
        <v>41664</v>
      </c>
      <c r="J8196" s="78">
        <v>1323</v>
      </c>
    </row>
    <row r="8197" spans="6:10" x14ac:dyDescent="0.25">
      <c r="F8197" s="76" t="s">
        <v>150</v>
      </c>
      <c r="G8197" s="77" t="s">
        <v>311</v>
      </c>
      <c r="H8197" s="77" t="s">
        <v>174</v>
      </c>
      <c r="I8197" s="86">
        <v>41664</v>
      </c>
      <c r="J8197" s="78">
        <v>701</v>
      </c>
    </row>
    <row r="8198" spans="6:10" x14ac:dyDescent="0.25">
      <c r="F8198" s="76" t="s">
        <v>150</v>
      </c>
      <c r="G8198" s="77" t="s">
        <v>311</v>
      </c>
      <c r="H8198" s="77" t="s">
        <v>174</v>
      </c>
      <c r="I8198" s="86">
        <v>41667</v>
      </c>
      <c r="J8198" s="78">
        <v>1563</v>
      </c>
    </row>
    <row r="8199" spans="6:10" x14ac:dyDescent="0.25">
      <c r="F8199" s="76" t="s">
        <v>150</v>
      </c>
      <c r="G8199" s="77" t="s">
        <v>311</v>
      </c>
      <c r="H8199" s="77" t="s">
        <v>174</v>
      </c>
      <c r="I8199" s="86">
        <v>41668</v>
      </c>
      <c r="J8199" s="78">
        <v>1263</v>
      </c>
    </row>
    <row r="8200" spans="6:10" x14ac:dyDescent="0.25">
      <c r="F8200" s="76" t="s">
        <v>150</v>
      </c>
      <c r="G8200" s="77" t="s">
        <v>311</v>
      </c>
      <c r="H8200" s="77" t="s">
        <v>174</v>
      </c>
      <c r="I8200" s="86">
        <v>41670</v>
      </c>
      <c r="J8200" s="78">
        <v>1183</v>
      </c>
    </row>
    <row r="8201" spans="6:10" x14ac:dyDescent="0.25">
      <c r="F8201" s="76" t="s">
        <v>150</v>
      </c>
      <c r="G8201" s="77" t="s">
        <v>311</v>
      </c>
      <c r="H8201" s="77" t="s">
        <v>174</v>
      </c>
      <c r="I8201" s="86">
        <v>41670</v>
      </c>
      <c r="J8201" s="78">
        <v>175</v>
      </c>
    </row>
    <row r="8202" spans="6:10" x14ac:dyDescent="0.25">
      <c r="F8202" s="76" t="s">
        <v>150</v>
      </c>
      <c r="G8202" s="77" t="s">
        <v>311</v>
      </c>
      <c r="H8202" s="77" t="s">
        <v>174</v>
      </c>
      <c r="I8202" s="86">
        <v>41674</v>
      </c>
      <c r="J8202" s="78">
        <v>1163</v>
      </c>
    </row>
    <row r="8203" spans="6:10" x14ac:dyDescent="0.25">
      <c r="F8203" s="76" t="s">
        <v>150</v>
      </c>
      <c r="G8203" s="77" t="s">
        <v>311</v>
      </c>
      <c r="H8203" s="77" t="s">
        <v>174</v>
      </c>
      <c r="I8203" s="86">
        <v>41677</v>
      </c>
      <c r="J8203" s="78">
        <v>1367</v>
      </c>
    </row>
    <row r="8204" spans="6:10" x14ac:dyDescent="0.25">
      <c r="F8204" s="76" t="s">
        <v>150</v>
      </c>
      <c r="G8204" s="77" t="s">
        <v>311</v>
      </c>
      <c r="H8204" s="77" t="s">
        <v>174</v>
      </c>
      <c r="I8204" s="86">
        <v>41679</v>
      </c>
      <c r="J8204" s="78">
        <v>978</v>
      </c>
    </row>
    <row r="8205" spans="6:10" x14ac:dyDescent="0.25">
      <c r="F8205" s="76" t="s">
        <v>150</v>
      </c>
      <c r="G8205" s="77" t="s">
        <v>311</v>
      </c>
      <c r="H8205" s="77" t="s">
        <v>174</v>
      </c>
      <c r="I8205" s="86">
        <v>41681</v>
      </c>
      <c r="J8205" s="78">
        <v>1512</v>
      </c>
    </row>
    <row r="8206" spans="6:10" x14ac:dyDescent="0.25">
      <c r="F8206" s="76" t="s">
        <v>150</v>
      </c>
      <c r="G8206" s="77" t="s">
        <v>311</v>
      </c>
      <c r="H8206" s="77" t="s">
        <v>174</v>
      </c>
      <c r="I8206" s="86">
        <v>41683</v>
      </c>
      <c r="J8206" s="78">
        <v>1289</v>
      </c>
    </row>
    <row r="8207" spans="6:10" x14ac:dyDescent="0.25">
      <c r="F8207" s="76" t="s">
        <v>150</v>
      </c>
      <c r="G8207" s="77" t="s">
        <v>311</v>
      </c>
      <c r="H8207" s="77" t="s">
        <v>174</v>
      </c>
      <c r="I8207" s="86">
        <v>41685</v>
      </c>
      <c r="J8207" s="78">
        <v>500</v>
      </c>
    </row>
    <row r="8208" spans="6:10" x14ac:dyDescent="0.25">
      <c r="F8208" s="76" t="s">
        <v>150</v>
      </c>
      <c r="G8208" s="77" t="s">
        <v>311</v>
      </c>
      <c r="H8208" s="77" t="s">
        <v>174</v>
      </c>
      <c r="I8208" s="86">
        <v>41687</v>
      </c>
      <c r="J8208" s="78">
        <v>197</v>
      </c>
    </row>
    <row r="8209" spans="6:10" x14ac:dyDescent="0.25">
      <c r="F8209" s="76" t="s">
        <v>150</v>
      </c>
      <c r="G8209" s="77" t="s">
        <v>311</v>
      </c>
      <c r="H8209" s="77" t="s">
        <v>174</v>
      </c>
      <c r="I8209" s="86">
        <v>41690</v>
      </c>
      <c r="J8209" s="78">
        <v>1392</v>
      </c>
    </row>
    <row r="8210" spans="6:10" x14ac:dyDescent="0.25">
      <c r="F8210" s="76" t="s">
        <v>150</v>
      </c>
      <c r="G8210" s="77" t="s">
        <v>311</v>
      </c>
      <c r="H8210" s="77" t="s">
        <v>174</v>
      </c>
      <c r="I8210" s="86">
        <v>41693</v>
      </c>
      <c r="J8210" s="78">
        <v>664</v>
      </c>
    </row>
    <row r="8211" spans="6:10" x14ac:dyDescent="0.25">
      <c r="F8211" s="76" t="s">
        <v>150</v>
      </c>
      <c r="G8211" s="77" t="s">
        <v>311</v>
      </c>
      <c r="H8211" s="77" t="s">
        <v>174</v>
      </c>
      <c r="I8211" s="86">
        <v>41694</v>
      </c>
      <c r="J8211" s="78">
        <v>825</v>
      </c>
    </row>
    <row r="8212" spans="6:10" x14ac:dyDescent="0.25">
      <c r="F8212" s="76" t="s">
        <v>150</v>
      </c>
      <c r="G8212" s="77" t="s">
        <v>311</v>
      </c>
      <c r="H8212" s="77" t="s">
        <v>174</v>
      </c>
      <c r="I8212" s="86">
        <v>41696</v>
      </c>
      <c r="J8212" s="78">
        <v>982</v>
      </c>
    </row>
    <row r="8213" spans="6:10" x14ac:dyDescent="0.25">
      <c r="F8213" s="76" t="s">
        <v>150</v>
      </c>
      <c r="G8213" s="77" t="s">
        <v>311</v>
      </c>
      <c r="H8213" s="77" t="s">
        <v>174</v>
      </c>
      <c r="I8213" s="86">
        <v>41698</v>
      </c>
      <c r="J8213" s="78">
        <v>1253</v>
      </c>
    </row>
    <row r="8214" spans="6:10" x14ac:dyDescent="0.25">
      <c r="F8214" s="76" t="s">
        <v>150</v>
      </c>
      <c r="G8214" s="77" t="s">
        <v>311</v>
      </c>
      <c r="H8214" s="77" t="s">
        <v>174</v>
      </c>
      <c r="I8214" s="86">
        <v>41700</v>
      </c>
      <c r="J8214" s="78">
        <v>523</v>
      </c>
    </row>
    <row r="8215" spans="6:10" x14ac:dyDescent="0.25">
      <c r="F8215" s="76" t="s">
        <v>150</v>
      </c>
      <c r="G8215" s="77" t="s">
        <v>311</v>
      </c>
      <c r="H8215" s="77" t="s">
        <v>174</v>
      </c>
      <c r="I8215" s="86">
        <v>41702</v>
      </c>
      <c r="J8215" s="78">
        <v>1330</v>
      </c>
    </row>
    <row r="8216" spans="6:10" x14ac:dyDescent="0.25">
      <c r="F8216" s="76" t="s">
        <v>150</v>
      </c>
      <c r="G8216" s="77" t="s">
        <v>311</v>
      </c>
      <c r="H8216" s="77" t="s">
        <v>174</v>
      </c>
      <c r="I8216" s="86">
        <v>41704</v>
      </c>
      <c r="J8216" s="78">
        <v>895</v>
      </c>
    </row>
    <row r="8217" spans="6:10" x14ac:dyDescent="0.25">
      <c r="F8217" s="76" t="s">
        <v>150</v>
      </c>
      <c r="G8217" s="77" t="s">
        <v>311</v>
      </c>
      <c r="H8217" s="77" t="s">
        <v>174</v>
      </c>
      <c r="I8217" s="86">
        <v>41708</v>
      </c>
      <c r="J8217" s="78">
        <v>848</v>
      </c>
    </row>
    <row r="8218" spans="6:10" x14ac:dyDescent="0.25">
      <c r="F8218" s="76" t="s">
        <v>150</v>
      </c>
      <c r="G8218" s="77" t="s">
        <v>311</v>
      </c>
      <c r="H8218" s="77" t="s">
        <v>174</v>
      </c>
      <c r="I8218" s="86">
        <v>41710</v>
      </c>
      <c r="J8218" s="78">
        <v>763</v>
      </c>
    </row>
    <row r="8219" spans="6:10" x14ac:dyDescent="0.25">
      <c r="F8219" s="76" t="s">
        <v>150</v>
      </c>
      <c r="G8219" s="77" t="s">
        <v>311</v>
      </c>
      <c r="H8219" s="77" t="s">
        <v>174</v>
      </c>
      <c r="I8219" s="86">
        <v>41712</v>
      </c>
      <c r="J8219" s="78">
        <v>1005</v>
      </c>
    </row>
    <row r="8220" spans="6:10" x14ac:dyDescent="0.25">
      <c r="F8220" s="76" t="s">
        <v>150</v>
      </c>
      <c r="G8220" s="77" t="s">
        <v>311</v>
      </c>
      <c r="H8220" s="77" t="s">
        <v>174</v>
      </c>
      <c r="I8220" s="86">
        <v>41715</v>
      </c>
      <c r="J8220" s="78">
        <v>704</v>
      </c>
    </row>
    <row r="8221" spans="6:10" x14ac:dyDescent="0.25">
      <c r="F8221" s="76" t="s">
        <v>150</v>
      </c>
      <c r="G8221" s="77" t="s">
        <v>311</v>
      </c>
      <c r="H8221" s="77" t="s">
        <v>174</v>
      </c>
      <c r="I8221" s="86">
        <v>41718</v>
      </c>
      <c r="J8221" s="78">
        <v>748</v>
      </c>
    </row>
    <row r="8222" spans="6:10" x14ac:dyDescent="0.25">
      <c r="F8222" s="76" t="s">
        <v>150</v>
      </c>
      <c r="G8222" s="77" t="s">
        <v>311</v>
      </c>
      <c r="H8222" s="77" t="s">
        <v>174</v>
      </c>
      <c r="I8222" s="86">
        <v>41722</v>
      </c>
      <c r="J8222" s="78">
        <v>838</v>
      </c>
    </row>
    <row r="8223" spans="6:10" x14ac:dyDescent="0.25">
      <c r="F8223" s="76" t="s">
        <v>150</v>
      </c>
      <c r="G8223" s="77" t="s">
        <v>311</v>
      </c>
      <c r="H8223" s="77" t="s">
        <v>174</v>
      </c>
      <c r="I8223" s="86">
        <v>41724</v>
      </c>
      <c r="J8223" s="78">
        <v>785</v>
      </c>
    </row>
    <row r="8224" spans="6:10" x14ac:dyDescent="0.25">
      <c r="F8224" s="76" t="s">
        <v>150</v>
      </c>
      <c r="G8224" s="77" t="s">
        <v>311</v>
      </c>
      <c r="H8224" s="77" t="s">
        <v>174</v>
      </c>
      <c r="I8224" s="86">
        <v>41727</v>
      </c>
      <c r="J8224" s="78">
        <v>1269</v>
      </c>
    </row>
    <row r="8225" spans="6:10" x14ac:dyDescent="0.25">
      <c r="F8225" s="76" t="s">
        <v>150</v>
      </c>
      <c r="G8225" s="77" t="s">
        <v>311</v>
      </c>
      <c r="H8225" s="77" t="s">
        <v>174</v>
      </c>
      <c r="I8225" s="86">
        <v>41728</v>
      </c>
      <c r="J8225" s="78">
        <v>360</v>
      </c>
    </row>
    <row r="8226" spans="6:10" x14ac:dyDescent="0.25">
      <c r="F8226" s="76" t="s">
        <v>150</v>
      </c>
      <c r="G8226" s="77" t="s">
        <v>311</v>
      </c>
      <c r="H8226" s="77" t="s">
        <v>174</v>
      </c>
      <c r="I8226" s="86">
        <v>41729</v>
      </c>
      <c r="J8226" s="78">
        <v>803</v>
      </c>
    </row>
    <row r="8227" spans="6:10" x14ac:dyDescent="0.25">
      <c r="F8227" s="76" t="s">
        <v>150</v>
      </c>
      <c r="G8227" s="77" t="s">
        <v>311</v>
      </c>
      <c r="H8227" s="77" t="s">
        <v>174</v>
      </c>
      <c r="I8227" s="86">
        <v>41730</v>
      </c>
      <c r="J8227" s="78">
        <v>416</v>
      </c>
    </row>
    <row r="8228" spans="6:10" x14ac:dyDescent="0.25">
      <c r="F8228" s="76" t="s">
        <v>150</v>
      </c>
      <c r="G8228" s="77" t="s">
        <v>311</v>
      </c>
      <c r="H8228" s="77" t="s">
        <v>174</v>
      </c>
      <c r="I8228" s="86">
        <v>41731</v>
      </c>
      <c r="J8228" s="78">
        <v>517</v>
      </c>
    </row>
    <row r="8229" spans="6:10" x14ac:dyDescent="0.25">
      <c r="F8229" s="76" t="s">
        <v>150</v>
      </c>
      <c r="G8229" s="77" t="s">
        <v>311</v>
      </c>
      <c r="H8229" s="77" t="s">
        <v>174</v>
      </c>
      <c r="I8229" s="86">
        <v>41732</v>
      </c>
      <c r="J8229" s="78">
        <v>547</v>
      </c>
    </row>
    <row r="8230" spans="6:10" x14ac:dyDescent="0.25">
      <c r="F8230" s="76" t="s">
        <v>150</v>
      </c>
      <c r="G8230" s="77" t="s">
        <v>311</v>
      </c>
      <c r="H8230" s="77" t="s">
        <v>174</v>
      </c>
      <c r="I8230" s="86">
        <v>41733</v>
      </c>
      <c r="J8230" s="78">
        <v>423</v>
      </c>
    </row>
    <row r="8231" spans="6:10" x14ac:dyDescent="0.25">
      <c r="F8231" s="76" t="s">
        <v>150</v>
      </c>
      <c r="G8231" s="77" t="s">
        <v>311</v>
      </c>
      <c r="H8231" s="77" t="s">
        <v>174</v>
      </c>
      <c r="I8231" s="86">
        <v>41734</v>
      </c>
      <c r="J8231" s="78">
        <v>565</v>
      </c>
    </row>
    <row r="8232" spans="6:10" x14ac:dyDescent="0.25">
      <c r="F8232" s="76" t="s">
        <v>150</v>
      </c>
      <c r="G8232" s="77" t="s">
        <v>311</v>
      </c>
      <c r="H8232" s="77" t="s">
        <v>174</v>
      </c>
      <c r="I8232" s="86">
        <v>41735</v>
      </c>
      <c r="J8232" s="78">
        <v>579</v>
      </c>
    </row>
    <row r="8233" spans="6:10" x14ac:dyDescent="0.25">
      <c r="F8233" s="76" t="s">
        <v>150</v>
      </c>
      <c r="G8233" s="77" t="s">
        <v>311</v>
      </c>
      <c r="H8233" s="77" t="s">
        <v>174</v>
      </c>
      <c r="I8233" s="86">
        <v>41736</v>
      </c>
      <c r="J8233" s="78">
        <v>507</v>
      </c>
    </row>
    <row r="8234" spans="6:10" x14ac:dyDescent="0.25">
      <c r="F8234" s="76" t="s">
        <v>150</v>
      </c>
      <c r="G8234" s="77" t="s">
        <v>311</v>
      </c>
      <c r="H8234" s="77" t="s">
        <v>174</v>
      </c>
      <c r="I8234" s="86">
        <v>41737</v>
      </c>
      <c r="J8234" s="78">
        <v>480</v>
      </c>
    </row>
    <row r="8235" spans="6:10" x14ac:dyDescent="0.25">
      <c r="F8235" s="76" t="s">
        <v>150</v>
      </c>
      <c r="G8235" s="77" t="s">
        <v>311</v>
      </c>
      <c r="H8235" s="77" t="s">
        <v>174</v>
      </c>
      <c r="I8235" s="86">
        <v>41739</v>
      </c>
      <c r="J8235" s="78">
        <v>399</v>
      </c>
    </row>
    <row r="8236" spans="6:10" x14ac:dyDescent="0.25">
      <c r="F8236" s="76" t="s">
        <v>150</v>
      </c>
      <c r="G8236" s="77" t="s">
        <v>311</v>
      </c>
      <c r="H8236" s="77" t="s">
        <v>174</v>
      </c>
      <c r="I8236" s="86">
        <v>41741</v>
      </c>
      <c r="J8236" s="78">
        <v>1271</v>
      </c>
    </row>
    <row r="8237" spans="6:10" x14ac:dyDescent="0.25">
      <c r="F8237" s="76" t="s">
        <v>150</v>
      </c>
      <c r="G8237" s="77" t="s">
        <v>311</v>
      </c>
      <c r="H8237" s="77" t="s">
        <v>174</v>
      </c>
      <c r="I8237" s="86">
        <v>41742</v>
      </c>
      <c r="J8237" s="78">
        <v>801</v>
      </c>
    </row>
    <row r="8238" spans="6:10" x14ac:dyDescent="0.25">
      <c r="F8238" s="76" t="s">
        <v>150</v>
      </c>
      <c r="G8238" s="77" t="s">
        <v>311</v>
      </c>
      <c r="H8238" s="77" t="s">
        <v>174</v>
      </c>
      <c r="I8238" s="86">
        <v>41744</v>
      </c>
      <c r="J8238" s="78">
        <v>635</v>
      </c>
    </row>
    <row r="8239" spans="6:10" x14ac:dyDescent="0.25">
      <c r="F8239" s="76" t="s">
        <v>150</v>
      </c>
      <c r="G8239" s="77" t="s">
        <v>311</v>
      </c>
      <c r="H8239" s="77" t="s">
        <v>174</v>
      </c>
      <c r="I8239" s="86">
        <v>41746</v>
      </c>
      <c r="J8239" s="78">
        <v>828</v>
      </c>
    </row>
    <row r="8240" spans="6:10" x14ac:dyDescent="0.25">
      <c r="F8240" s="76" t="s">
        <v>150</v>
      </c>
      <c r="G8240" s="77" t="s">
        <v>311</v>
      </c>
      <c r="H8240" s="77" t="s">
        <v>174</v>
      </c>
      <c r="I8240" s="86">
        <v>41750</v>
      </c>
      <c r="J8240" s="78">
        <v>758</v>
      </c>
    </row>
    <row r="8241" spans="6:10" x14ac:dyDescent="0.25">
      <c r="F8241" s="76" t="s">
        <v>150</v>
      </c>
      <c r="G8241" s="77" t="s">
        <v>311</v>
      </c>
      <c r="H8241" s="77" t="s">
        <v>174</v>
      </c>
      <c r="I8241" s="86">
        <v>41752</v>
      </c>
      <c r="J8241" s="78">
        <v>829</v>
      </c>
    </row>
    <row r="8242" spans="6:10" x14ac:dyDescent="0.25">
      <c r="F8242" s="76" t="s">
        <v>150</v>
      </c>
      <c r="G8242" s="77" t="s">
        <v>311</v>
      </c>
      <c r="H8242" s="77" t="s">
        <v>174</v>
      </c>
      <c r="I8242" s="86">
        <v>41754</v>
      </c>
      <c r="J8242" s="78">
        <v>786</v>
      </c>
    </row>
    <row r="8243" spans="6:10" x14ac:dyDescent="0.25">
      <c r="F8243" s="76" t="s">
        <v>150</v>
      </c>
      <c r="G8243" s="77" t="s">
        <v>311</v>
      </c>
      <c r="H8243" s="77" t="s">
        <v>174</v>
      </c>
      <c r="I8243" s="86">
        <v>41757</v>
      </c>
      <c r="J8243" s="78">
        <v>1001</v>
      </c>
    </row>
    <row r="8244" spans="6:10" x14ac:dyDescent="0.25">
      <c r="F8244" s="76" t="s">
        <v>150</v>
      </c>
      <c r="G8244" s="77" t="s">
        <v>311</v>
      </c>
      <c r="H8244" s="77" t="s">
        <v>174</v>
      </c>
      <c r="I8244" s="86">
        <v>41759</v>
      </c>
      <c r="J8244" s="78">
        <v>1465</v>
      </c>
    </row>
    <row r="8245" spans="6:10" x14ac:dyDescent="0.25">
      <c r="F8245" s="76" t="s">
        <v>150</v>
      </c>
      <c r="G8245" s="77" t="s">
        <v>311</v>
      </c>
      <c r="H8245" s="77" t="s">
        <v>174</v>
      </c>
      <c r="I8245" s="86">
        <v>41761</v>
      </c>
      <c r="J8245" s="78">
        <v>1321</v>
      </c>
    </row>
    <row r="8246" spans="6:10" x14ac:dyDescent="0.25">
      <c r="F8246" s="76" t="s">
        <v>150</v>
      </c>
      <c r="G8246" s="77" t="s">
        <v>311</v>
      </c>
      <c r="H8246" s="77" t="s">
        <v>174</v>
      </c>
      <c r="I8246" s="86">
        <v>41786</v>
      </c>
      <c r="J8246" s="78">
        <v>1133</v>
      </c>
    </row>
    <row r="8247" spans="6:10" x14ac:dyDescent="0.25">
      <c r="F8247" s="76" t="s">
        <v>150</v>
      </c>
      <c r="G8247" s="77" t="s">
        <v>311</v>
      </c>
      <c r="H8247" s="77" t="s">
        <v>174</v>
      </c>
      <c r="I8247" s="86">
        <v>41787</v>
      </c>
      <c r="J8247" s="78">
        <v>1174</v>
      </c>
    </row>
    <row r="8248" spans="6:10" x14ac:dyDescent="0.25">
      <c r="F8248" s="76" t="s">
        <v>150</v>
      </c>
      <c r="G8248" s="77" t="s">
        <v>311</v>
      </c>
      <c r="H8248" s="77" t="s">
        <v>174</v>
      </c>
      <c r="I8248" s="86">
        <v>41789</v>
      </c>
      <c r="J8248" s="78">
        <v>1583</v>
      </c>
    </row>
    <row r="8249" spans="6:10" x14ac:dyDescent="0.25">
      <c r="F8249" s="76" t="s">
        <v>150</v>
      </c>
      <c r="G8249" s="77" t="s">
        <v>311</v>
      </c>
      <c r="H8249" s="77" t="s">
        <v>174</v>
      </c>
      <c r="I8249" s="86">
        <v>41793</v>
      </c>
      <c r="J8249" s="78">
        <v>1550</v>
      </c>
    </row>
    <row r="8250" spans="6:10" x14ac:dyDescent="0.25">
      <c r="F8250" s="76" t="s">
        <v>150</v>
      </c>
      <c r="G8250" s="77" t="s">
        <v>311</v>
      </c>
      <c r="H8250" s="77" t="s">
        <v>174</v>
      </c>
      <c r="I8250" s="86">
        <v>41795</v>
      </c>
      <c r="J8250" s="78">
        <v>578</v>
      </c>
    </row>
    <row r="8251" spans="6:10" x14ac:dyDescent="0.25">
      <c r="F8251" s="76" t="s">
        <v>150</v>
      </c>
      <c r="G8251" s="77" t="s">
        <v>311</v>
      </c>
      <c r="H8251" s="77" t="s">
        <v>174</v>
      </c>
      <c r="I8251" s="86">
        <v>41797</v>
      </c>
      <c r="J8251" s="78">
        <v>792</v>
      </c>
    </row>
    <row r="8252" spans="6:10" x14ac:dyDescent="0.25">
      <c r="F8252" s="76" t="s">
        <v>150</v>
      </c>
      <c r="G8252" s="77" t="s">
        <v>311</v>
      </c>
      <c r="H8252" s="77" t="s">
        <v>174</v>
      </c>
      <c r="I8252" s="86">
        <v>41799</v>
      </c>
      <c r="J8252" s="78">
        <v>1172</v>
      </c>
    </row>
    <row r="8253" spans="6:10" x14ac:dyDescent="0.25">
      <c r="F8253" s="76" t="s">
        <v>150</v>
      </c>
      <c r="G8253" s="77" t="s">
        <v>311</v>
      </c>
      <c r="H8253" s="77" t="s">
        <v>174</v>
      </c>
      <c r="I8253" s="86">
        <v>41801</v>
      </c>
      <c r="J8253" s="78">
        <v>1656</v>
      </c>
    </row>
    <row r="8254" spans="6:10" x14ac:dyDescent="0.25">
      <c r="F8254" s="76" t="s">
        <v>150</v>
      </c>
      <c r="G8254" s="77" t="s">
        <v>311</v>
      </c>
      <c r="H8254" s="77" t="s">
        <v>174</v>
      </c>
      <c r="I8254" s="86">
        <v>41802</v>
      </c>
      <c r="J8254" s="78">
        <v>900</v>
      </c>
    </row>
    <row r="8255" spans="6:10" x14ac:dyDescent="0.25">
      <c r="F8255" s="76" t="s">
        <v>150</v>
      </c>
      <c r="G8255" s="77" t="s">
        <v>311</v>
      </c>
      <c r="H8255" s="77" t="s">
        <v>174</v>
      </c>
      <c r="I8255" s="86">
        <v>41804</v>
      </c>
      <c r="J8255" s="78">
        <v>1082</v>
      </c>
    </row>
    <row r="8256" spans="6:10" x14ac:dyDescent="0.25">
      <c r="F8256" s="76" t="s">
        <v>150</v>
      </c>
      <c r="G8256" s="77" t="s">
        <v>311</v>
      </c>
      <c r="H8256" s="77" t="s">
        <v>174</v>
      </c>
      <c r="I8256" s="86">
        <v>41805</v>
      </c>
      <c r="J8256" s="78">
        <v>751</v>
      </c>
    </row>
    <row r="8257" spans="6:10" x14ac:dyDescent="0.25">
      <c r="F8257" s="76" t="s">
        <v>150</v>
      </c>
      <c r="G8257" s="77" t="s">
        <v>311</v>
      </c>
      <c r="H8257" s="77" t="s">
        <v>174</v>
      </c>
      <c r="I8257" s="86">
        <v>41806</v>
      </c>
      <c r="J8257" s="78">
        <v>527</v>
      </c>
    </row>
    <row r="8258" spans="6:10" x14ac:dyDescent="0.25">
      <c r="F8258" s="76" t="s">
        <v>150</v>
      </c>
      <c r="G8258" s="77" t="s">
        <v>311</v>
      </c>
      <c r="H8258" s="77" t="s">
        <v>174</v>
      </c>
      <c r="I8258" s="86">
        <v>41808</v>
      </c>
      <c r="J8258" s="78">
        <v>1569</v>
      </c>
    </row>
    <row r="8259" spans="6:10" x14ac:dyDescent="0.25">
      <c r="F8259" s="76" t="s">
        <v>150</v>
      </c>
      <c r="G8259" s="77" t="s">
        <v>311</v>
      </c>
      <c r="H8259" s="77" t="s">
        <v>174</v>
      </c>
      <c r="I8259" s="86">
        <v>41809</v>
      </c>
      <c r="J8259" s="78">
        <v>349</v>
      </c>
    </row>
    <row r="8260" spans="6:10" x14ac:dyDescent="0.25">
      <c r="F8260" s="76" t="s">
        <v>150</v>
      </c>
      <c r="G8260" s="77" t="s">
        <v>311</v>
      </c>
      <c r="H8260" s="77" t="s">
        <v>174</v>
      </c>
      <c r="I8260" s="86">
        <v>41810</v>
      </c>
      <c r="J8260" s="78">
        <v>1000</v>
      </c>
    </row>
    <row r="8261" spans="6:10" x14ac:dyDescent="0.25">
      <c r="F8261" s="76" t="s">
        <v>150</v>
      </c>
      <c r="G8261" s="77" t="s">
        <v>311</v>
      </c>
      <c r="H8261" s="77" t="s">
        <v>174</v>
      </c>
      <c r="I8261" s="86">
        <v>41812</v>
      </c>
      <c r="J8261" s="78">
        <v>1719</v>
      </c>
    </row>
    <row r="8262" spans="6:10" x14ac:dyDescent="0.25">
      <c r="F8262" s="76" t="s">
        <v>150</v>
      </c>
      <c r="G8262" s="77" t="s">
        <v>311</v>
      </c>
      <c r="H8262" s="77" t="s">
        <v>174</v>
      </c>
      <c r="I8262" s="86">
        <v>41814</v>
      </c>
      <c r="J8262" s="78">
        <v>1364</v>
      </c>
    </row>
    <row r="8263" spans="6:10" x14ac:dyDescent="0.25">
      <c r="F8263" s="76" t="s">
        <v>150</v>
      </c>
      <c r="G8263" s="77" t="s">
        <v>311</v>
      </c>
      <c r="H8263" s="77" t="s">
        <v>174</v>
      </c>
      <c r="I8263" s="86">
        <v>41815</v>
      </c>
      <c r="J8263" s="78">
        <v>692</v>
      </c>
    </row>
    <row r="8264" spans="6:10" x14ac:dyDescent="0.25">
      <c r="F8264" s="76" t="s">
        <v>150</v>
      </c>
      <c r="G8264" s="77" t="s">
        <v>311</v>
      </c>
      <c r="H8264" s="77" t="s">
        <v>174</v>
      </c>
      <c r="I8264" s="86">
        <v>41817</v>
      </c>
      <c r="J8264" s="78">
        <v>842</v>
      </c>
    </row>
    <row r="8265" spans="6:10" x14ac:dyDescent="0.25">
      <c r="F8265" s="76" t="s">
        <v>150</v>
      </c>
      <c r="G8265" s="77" t="s">
        <v>311</v>
      </c>
      <c r="H8265" s="77" t="s">
        <v>174</v>
      </c>
      <c r="I8265" s="86">
        <v>41821</v>
      </c>
      <c r="J8265" s="78">
        <v>1122</v>
      </c>
    </row>
    <row r="8266" spans="6:10" x14ac:dyDescent="0.25">
      <c r="F8266" s="76" t="s">
        <v>150</v>
      </c>
      <c r="G8266" s="77" t="s">
        <v>311</v>
      </c>
      <c r="H8266" s="77" t="s">
        <v>174</v>
      </c>
      <c r="I8266" s="86">
        <v>41842</v>
      </c>
      <c r="J8266" s="78">
        <v>712</v>
      </c>
    </row>
    <row r="8267" spans="6:10" x14ac:dyDescent="0.25">
      <c r="F8267" s="76" t="s">
        <v>150</v>
      </c>
      <c r="G8267" s="77" t="s">
        <v>311</v>
      </c>
      <c r="H8267" s="77" t="s">
        <v>174</v>
      </c>
      <c r="I8267" s="86">
        <v>41844</v>
      </c>
      <c r="J8267" s="78">
        <v>735</v>
      </c>
    </row>
    <row r="8268" spans="6:10" x14ac:dyDescent="0.25">
      <c r="F8268" s="76" t="s">
        <v>150</v>
      </c>
      <c r="G8268" s="77" t="s">
        <v>311</v>
      </c>
      <c r="H8268" s="77" t="s">
        <v>174</v>
      </c>
      <c r="I8268" s="86">
        <v>41848</v>
      </c>
      <c r="J8268" s="78">
        <v>906</v>
      </c>
    </row>
    <row r="8269" spans="6:10" x14ac:dyDescent="0.25">
      <c r="F8269" s="76" t="s">
        <v>150</v>
      </c>
      <c r="G8269" s="77" t="s">
        <v>311</v>
      </c>
      <c r="H8269" s="77" t="s">
        <v>174</v>
      </c>
      <c r="I8269" s="86">
        <v>41850</v>
      </c>
      <c r="J8269" s="78">
        <v>953</v>
      </c>
    </row>
    <row r="8270" spans="6:10" x14ac:dyDescent="0.25">
      <c r="F8270" s="76" t="s">
        <v>150</v>
      </c>
      <c r="G8270" s="77" t="s">
        <v>311</v>
      </c>
      <c r="H8270" s="77" t="s">
        <v>174</v>
      </c>
      <c r="I8270" s="86">
        <v>41852</v>
      </c>
      <c r="J8270" s="78">
        <v>1027</v>
      </c>
    </row>
    <row r="8271" spans="6:10" x14ac:dyDescent="0.25">
      <c r="F8271" s="76" t="s">
        <v>150</v>
      </c>
      <c r="G8271" s="77" t="s">
        <v>311</v>
      </c>
      <c r="H8271" s="77" t="s">
        <v>174</v>
      </c>
      <c r="I8271" s="86">
        <v>41853</v>
      </c>
      <c r="J8271" s="78">
        <v>299</v>
      </c>
    </row>
    <row r="8272" spans="6:10" x14ac:dyDescent="0.25">
      <c r="F8272" s="76" t="s">
        <v>150</v>
      </c>
      <c r="G8272" s="77" t="s">
        <v>311</v>
      </c>
      <c r="H8272" s="77" t="s">
        <v>174</v>
      </c>
      <c r="I8272" s="86">
        <v>41855</v>
      </c>
      <c r="J8272" s="78">
        <v>1133</v>
      </c>
    </row>
    <row r="8273" spans="6:10" x14ac:dyDescent="0.25">
      <c r="F8273" s="76" t="s">
        <v>150</v>
      </c>
      <c r="G8273" s="77" t="s">
        <v>311</v>
      </c>
      <c r="H8273" s="77" t="s">
        <v>174</v>
      </c>
      <c r="I8273" s="86">
        <v>41856</v>
      </c>
      <c r="J8273" s="78">
        <v>490</v>
      </c>
    </row>
    <row r="8274" spans="6:10" x14ac:dyDescent="0.25">
      <c r="F8274" s="76" t="s">
        <v>150</v>
      </c>
      <c r="G8274" s="77" t="s">
        <v>311</v>
      </c>
      <c r="H8274" s="77" t="s">
        <v>174</v>
      </c>
      <c r="I8274" s="86">
        <v>41858</v>
      </c>
      <c r="J8274" s="78">
        <v>975</v>
      </c>
    </row>
    <row r="8275" spans="6:10" x14ac:dyDescent="0.25">
      <c r="F8275" s="76" t="s">
        <v>150</v>
      </c>
      <c r="G8275" s="77" t="s">
        <v>311</v>
      </c>
      <c r="H8275" s="77" t="s">
        <v>174</v>
      </c>
      <c r="I8275" s="86">
        <v>41862</v>
      </c>
      <c r="J8275" s="78">
        <v>662</v>
      </c>
    </row>
    <row r="8276" spans="6:10" x14ac:dyDescent="0.25">
      <c r="F8276" s="76" t="s">
        <v>150</v>
      </c>
      <c r="G8276" s="77" t="s">
        <v>311</v>
      </c>
      <c r="H8276" s="77" t="s">
        <v>174</v>
      </c>
      <c r="I8276" s="86">
        <v>41864</v>
      </c>
      <c r="J8276" s="78">
        <v>892</v>
      </c>
    </row>
    <row r="8277" spans="6:10" x14ac:dyDescent="0.25">
      <c r="F8277" s="76" t="s">
        <v>150</v>
      </c>
      <c r="G8277" s="77" t="s">
        <v>311</v>
      </c>
      <c r="H8277" s="77" t="s">
        <v>174</v>
      </c>
      <c r="I8277" s="86">
        <v>41866</v>
      </c>
      <c r="J8277" s="78">
        <v>917</v>
      </c>
    </row>
    <row r="8278" spans="6:10" x14ac:dyDescent="0.25">
      <c r="F8278" s="76" t="s">
        <v>150</v>
      </c>
      <c r="G8278" s="77" t="s">
        <v>311</v>
      </c>
      <c r="H8278" s="77" t="s">
        <v>174</v>
      </c>
      <c r="I8278" s="86">
        <v>41870</v>
      </c>
      <c r="J8278" s="78">
        <v>1438</v>
      </c>
    </row>
    <row r="8279" spans="6:10" x14ac:dyDescent="0.25">
      <c r="F8279" s="76" t="s">
        <v>150</v>
      </c>
      <c r="G8279" s="77" t="s">
        <v>311</v>
      </c>
      <c r="H8279" s="77" t="s">
        <v>174</v>
      </c>
      <c r="I8279" s="86">
        <v>41872</v>
      </c>
      <c r="J8279" s="78">
        <v>1013</v>
      </c>
    </row>
    <row r="8280" spans="6:10" x14ac:dyDescent="0.25">
      <c r="F8280" s="76" t="s">
        <v>150</v>
      </c>
      <c r="G8280" s="77" t="s">
        <v>311</v>
      </c>
      <c r="H8280" s="77" t="s">
        <v>174</v>
      </c>
      <c r="I8280" s="86">
        <v>41876</v>
      </c>
      <c r="J8280" s="78">
        <v>823</v>
      </c>
    </row>
    <row r="8281" spans="6:10" x14ac:dyDescent="0.25">
      <c r="F8281" s="76" t="s">
        <v>150</v>
      </c>
      <c r="G8281" s="77" t="s">
        <v>311</v>
      </c>
      <c r="H8281" s="77" t="s">
        <v>174</v>
      </c>
      <c r="I8281" s="86">
        <v>41877</v>
      </c>
      <c r="J8281" s="78">
        <v>626</v>
      </c>
    </row>
    <row r="8282" spans="6:10" x14ac:dyDescent="0.25">
      <c r="F8282" s="76" t="s">
        <v>150</v>
      </c>
      <c r="G8282" s="77" t="s">
        <v>311</v>
      </c>
      <c r="H8282" s="77" t="s">
        <v>174</v>
      </c>
      <c r="I8282" s="86">
        <v>41879</v>
      </c>
      <c r="J8282" s="78">
        <v>800</v>
      </c>
    </row>
    <row r="8283" spans="6:10" x14ac:dyDescent="0.25">
      <c r="F8283" s="76" t="s">
        <v>150</v>
      </c>
      <c r="G8283" s="77" t="s">
        <v>311</v>
      </c>
      <c r="H8283" s="77" t="s">
        <v>174</v>
      </c>
      <c r="I8283" s="86">
        <v>41884</v>
      </c>
      <c r="J8283" s="78">
        <v>888</v>
      </c>
    </row>
    <row r="8284" spans="6:10" x14ac:dyDescent="0.25">
      <c r="F8284" s="76" t="s">
        <v>150</v>
      </c>
      <c r="G8284" s="77" t="s">
        <v>311</v>
      </c>
      <c r="H8284" s="77" t="s">
        <v>174</v>
      </c>
      <c r="I8284" s="86">
        <v>41887</v>
      </c>
      <c r="J8284" s="78">
        <v>1485</v>
      </c>
    </row>
    <row r="8285" spans="6:10" x14ac:dyDescent="0.25">
      <c r="F8285" s="76" t="s">
        <v>150</v>
      </c>
      <c r="G8285" s="77" t="s">
        <v>311</v>
      </c>
      <c r="H8285" s="77" t="s">
        <v>174</v>
      </c>
      <c r="I8285" s="86">
        <v>41891</v>
      </c>
      <c r="J8285" s="78">
        <v>981</v>
      </c>
    </row>
    <row r="8286" spans="6:10" x14ac:dyDescent="0.25">
      <c r="F8286" s="76" t="s">
        <v>150</v>
      </c>
      <c r="G8286" s="77" t="s">
        <v>311</v>
      </c>
      <c r="H8286" s="77" t="s">
        <v>174</v>
      </c>
      <c r="I8286" s="86">
        <v>41893</v>
      </c>
      <c r="J8286" s="78">
        <v>1106</v>
      </c>
    </row>
    <row r="8287" spans="6:10" x14ac:dyDescent="0.25">
      <c r="F8287" s="76" t="s">
        <v>150</v>
      </c>
      <c r="G8287" s="77" t="s">
        <v>311</v>
      </c>
      <c r="H8287" s="77" t="s">
        <v>174</v>
      </c>
      <c r="I8287" s="86">
        <v>41895</v>
      </c>
      <c r="J8287" s="78">
        <v>1476</v>
      </c>
    </row>
    <row r="8288" spans="6:10" x14ac:dyDescent="0.25">
      <c r="F8288" s="76" t="s">
        <v>150</v>
      </c>
      <c r="G8288" s="77" t="s">
        <v>311</v>
      </c>
      <c r="H8288" s="77" t="s">
        <v>174</v>
      </c>
      <c r="I8288" s="86">
        <v>41896</v>
      </c>
      <c r="J8288" s="78">
        <v>929</v>
      </c>
    </row>
    <row r="8289" spans="6:10" x14ac:dyDescent="0.25">
      <c r="F8289" s="76" t="s">
        <v>150</v>
      </c>
      <c r="G8289" s="77" t="s">
        <v>311</v>
      </c>
      <c r="H8289" s="77" t="s">
        <v>174</v>
      </c>
      <c r="I8289" s="86">
        <v>41897</v>
      </c>
      <c r="J8289" s="78">
        <v>1092</v>
      </c>
    </row>
    <row r="8290" spans="6:10" x14ac:dyDescent="0.25">
      <c r="F8290" s="76" t="s">
        <v>150</v>
      </c>
      <c r="G8290" s="77" t="s">
        <v>311</v>
      </c>
      <c r="H8290" s="77" t="s">
        <v>174</v>
      </c>
      <c r="I8290" s="86">
        <v>41899</v>
      </c>
      <c r="J8290" s="78">
        <v>1528</v>
      </c>
    </row>
    <row r="8291" spans="6:10" x14ac:dyDescent="0.25">
      <c r="F8291" s="76" t="s">
        <v>150</v>
      </c>
      <c r="G8291" s="77" t="s">
        <v>311</v>
      </c>
      <c r="H8291" s="77" t="s">
        <v>174</v>
      </c>
      <c r="I8291" s="86">
        <v>41900</v>
      </c>
      <c r="J8291" s="78">
        <v>655</v>
      </c>
    </row>
    <row r="8292" spans="6:10" x14ac:dyDescent="0.25">
      <c r="F8292" s="76" t="s">
        <v>150</v>
      </c>
      <c r="G8292" s="77" t="s">
        <v>311</v>
      </c>
      <c r="H8292" s="77" t="s">
        <v>174</v>
      </c>
      <c r="I8292" s="86">
        <v>41903</v>
      </c>
      <c r="J8292" s="78">
        <v>944</v>
      </c>
    </row>
    <row r="8293" spans="6:10" x14ac:dyDescent="0.25">
      <c r="F8293" s="76" t="s">
        <v>150</v>
      </c>
      <c r="G8293" s="77" t="s">
        <v>311</v>
      </c>
      <c r="H8293" s="77" t="s">
        <v>174</v>
      </c>
      <c r="I8293" s="86">
        <v>41904</v>
      </c>
      <c r="J8293" s="78">
        <v>963</v>
      </c>
    </row>
    <row r="8294" spans="6:10" x14ac:dyDescent="0.25">
      <c r="F8294" s="76" t="s">
        <v>150</v>
      </c>
      <c r="G8294" s="77" t="s">
        <v>311</v>
      </c>
      <c r="H8294" s="77" t="s">
        <v>174</v>
      </c>
      <c r="I8294" s="86">
        <v>41906</v>
      </c>
      <c r="J8294" s="78">
        <v>1521</v>
      </c>
    </row>
    <row r="8295" spans="6:10" x14ac:dyDescent="0.25">
      <c r="F8295" s="76" t="s">
        <v>150</v>
      </c>
      <c r="G8295" s="77" t="s">
        <v>311</v>
      </c>
      <c r="H8295" s="77" t="s">
        <v>174</v>
      </c>
      <c r="I8295" s="86">
        <v>41908</v>
      </c>
      <c r="J8295" s="78">
        <v>1084</v>
      </c>
    </row>
    <row r="8296" spans="6:10" x14ac:dyDescent="0.25">
      <c r="F8296" s="76" t="s">
        <v>150</v>
      </c>
      <c r="G8296" s="77" t="s">
        <v>311</v>
      </c>
      <c r="H8296" s="77" t="s">
        <v>174</v>
      </c>
      <c r="I8296" s="86">
        <v>41909</v>
      </c>
      <c r="J8296" s="78">
        <v>854</v>
      </c>
    </row>
    <row r="8297" spans="6:10" x14ac:dyDescent="0.25">
      <c r="F8297" s="76" t="s">
        <v>150</v>
      </c>
      <c r="G8297" s="77" t="s">
        <v>311</v>
      </c>
      <c r="H8297" s="77" t="s">
        <v>174</v>
      </c>
      <c r="I8297" s="86">
        <v>41911</v>
      </c>
      <c r="J8297" s="78">
        <v>1275</v>
      </c>
    </row>
    <row r="8298" spans="6:10" x14ac:dyDescent="0.25">
      <c r="F8298" s="76" t="s">
        <v>150</v>
      </c>
      <c r="G8298" s="77" t="s">
        <v>311</v>
      </c>
      <c r="H8298" s="77" t="s">
        <v>174</v>
      </c>
      <c r="I8298" s="86">
        <v>41912</v>
      </c>
      <c r="J8298" s="78">
        <v>910</v>
      </c>
    </row>
    <row r="8299" spans="6:10" x14ac:dyDescent="0.25">
      <c r="F8299" s="76" t="s">
        <v>150</v>
      </c>
      <c r="G8299" s="77" t="s">
        <v>311</v>
      </c>
      <c r="H8299" s="77" t="s">
        <v>174</v>
      </c>
      <c r="I8299" s="86">
        <v>41913</v>
      </c>
      <c r="J8299" s="78">
        <v>917</v>
      </c>
    </row>
    <row r="8300" spans="6:10" x14ac:dyDescent="0.25">
      <c r="F8300" s="76" t="s">
        <v>150</v>
      </c>
      <c r="G8300" s="77" t="s">
        <v>311</v>
      </c>
      <c r="H8300" s="77" t="s">
        <v>174</v>
      </c>
      <c r="I8300" s="86">
        <v>41915</v>
      </c>
      <c r="J8300" s="78">
        <v>877</v>
      </c>
    </row>
    <row r="8301" spans="6:10" x14ac:dyDescent="0.25">
      <c r="F8301" s="76" t="s">
        <v>150</v>
      </c>
      <c r="G8301" s="77" t="s">
        <v>311</v>
      </c>
      <c r="H8301" s="77" t="s">
        <v>174</v>
      </c>
      <c r="I8301" s="86">
        <v>41916</v>
      </c>
      <c r="J8301" s="78">
        <v>1042</v>
      </c>
    </row>
    <row r="8302" spans="6:10" x14ac:dyDescent="0.25">
      <c r="F8302" s="76" t="s">
        <v>150</v>
      </c>
      <c r="G8302" s="77" t="s">
        <v>311</v>
      </c>
      <c r="H8302" s="77" t="s">
        <v>174</v>
      </c>
      <c r="I8302" s="86">
        <v>41918</v>
      </c>
      <c r="J8302" s="78">
        <v>1512</v>
      </c>
    </row>
    <row r="8303" spans="6:10" x14ac:dyDescent="0.25">
      <c r="F8303" s="76" t="s">
        <v>150</v>
      </c>
      <c r="G8303" s="77" t="s">
        <v>311</v>
      </c>
      <c r="H8303" s="77" t="s">
        <v>174</v>
      </c>
      <c r="I8303" s="86">
        <v>41920</v>
      </c>
      <c r="J8303" s="78">
        <v>1074</v>
      </c>
    </row>
    <row r="8304" spans="6:10" x14ac:dyDescent="0.25">
      <c r="F8304" s="76" t="s">
        <v>150</v>
      </c>
      <c r="G8304" s="77" t="s">
        <v>311</v>
      </c>
      <c r="H8304" s="77" t="s">
        <v>174</v>
      </c>
      <c r="I8304" s="86">
        <v>41921</v>
      </c>
      <c r="J8304" s="78">
        <v>927</v>
      </c>
    </row>
    <row r="8305" spans="6:10" x14ac:dyDescent="0.25">
      <c r="F8305" s="76" t="s">
        <v>150</v>
      </c>
      <c r="G8305" s="77" t="s">
        <v>311</v>
      </c>
      <c r="H8305" s="77" t="s">
        <v>174</v>
      </c>
      <c r="I8305" s="86">
        <v>41922</v>
      </c>
      <c r="J8305" s="78">
        <v>1344</v>
      </c>
    </row>
    <row r="8306" spans="6:10" x14ac:dyDescent="0.25">
      <c r="F8306" s="76" t="s">
        <v>150</v>
      </c>
      <c r="G8306" s="77" t="s">
        <v>311</v>
      </c>
      <c r="H8306" s="77" t="s">
        <v>174</v>
      </c>
      <c r="I8306" s="86">
        <v>41924</v>
      </c>
      <c r="J8306" s="78">
        <v>723</v>
      </c>
    </row>
    <row r="8307" spans="6:10" x14ac:dyDescent="0.25">
      <c r="F8307" s="76" t="s">
        <v>150</v>
      </c>
      <c r="G8307" s="77" t="s">
        <v>311</v>
      </c>
      <c r="H8307" s="77" t="s">
        <v>174</v>
      </c>
      <c r="I8307" s="86">
        <v>41926</v>
      </c>
      <c r="J8307" s="78">
        <v>1144</v>
      </c>
    </row>
    <row r="8308" spans="6:10" x14ac:dyDescent="0.25">
      <c r="F8308" s="76" t="s">
        <v>150</v>
      </c>
      <c r="G8308" s="77" t="s">
        <v>311</v>
      </c>
      <c r="H8308" s="77" t="s">
        <v>174</v>
      </c>
      <c r="I8308" s="86">
        <v>41928</v>
      </c>
      <c r="J8308" s="78">
        <v>1301</v>
      </c>
    </row>
    <row r="8309" spans="6:10" x14ac:dyDescent="0.25">
      <c r="F8309" s="76" t="s">
        <v>150</v>
      </c>
      <c r="G8309" s="77" t="s">
        <v>311</v>
      </c>
      <c r="H8309" s="77" t="s">
        <v>174</v>
      </c>
      <c r="I8309" s="86">
        <v>41930</v>
      </c>
      <c r="J8309" s="78">
        <v>1410</v>
      </c>
    </row>
    <row r="8310" spans="6:10" x14ac:dyDescent="0.25">
      <c r="F8310" s="76" t="s">
        <v>150</v>
      </c>
      <c r="G8310" s="77" t="s">
        <v>311</v>
      </c>
      <c r="H8310" s="77" t="s">
        <v>174</v>
      </c>
      <c r="I8310" s="86">
        <v>41942</v>
      </c>
      <c r="J8310" s="78">
        <v>908</v>
      </c>
    </row>
    <row r="8311" spans="6:10" x14ac:dyDescent="0.25">
      <c r="F8311" s="76" t="s">
        <v>150</v>
      </c>
      <c r="G8311" s="77" t="s">
        <v>311</v>
      </c>
      <c r="H8311" s="77" t="s">
        <v>174</v>
      </c>
      <c r="I8311" s="86">
        <v>41946</v>
      </c>
      <c r="J8311" s="78">
        <v>1048</v>
      </c>
    </row>
    <row r="8312" spans="6:10" x14ac:dyDescent="0.25">
      <c r="F8312" s="76" t="s">
        <v>150</v>
      </c>
      <c r="G8312" s="77" t="s">
        <v>311</v>
      </c>
      <c r="H8312" s="77" t="s">
        <v>174</v>
      </c>
      <c r="I8312" s="86">
        <v>41948</v>
      </c>
      <c r="J8312" s="78">
        <v>1034</v>
      </c>
    </row>
    <row r="8313" spans="6:10" x14ac:dyDescent="0.25">
      <c r="F8313" s="76" t="s">
        <v>150</v>
      </c>
      <c r="G8313" s="77" t="s">
        <v>311</v>
      </c>
      <c r="H8313" s="77" t="s">
        <v>174</v>
      </c>
      <c r="I8313" s="86">
        <v>41949</v>
      </c>
      <c r="J8313" s="78">
        <v>1157</v>
      </c>
    </row>
    <row r="8314" spans="6:10" x14ac:dyDescent="0.25">
      <c r="F8314" s="76" t="s">
        <v>150</v>
      </c>
      <c r="G8314" s="77" t="s">
        <v>311</v>
      </c>
      <c r="H8314" s="77" t="s">
        <v>174</v>
      </c>
      <c r="I8314" s="86">
        <v>41951</v>
      </c>
      <c r="J8314" s="78">
        <v>1007</v>
      </c>
    </row>
    <row r="8315" spans="6:10" x14ac:dyDescent="0.25">
      <c r="F8315" s="76" t="s">
        <v>150</v>
      </c>
      <c r="G8315" s="77" t="s">
        <v>311</v>
      </c>
      <c r="H8315" s="77" t="s">
        <v>174</v>
      </c>
      <c r="I8315" s="86">
        <v>41954</v>
      </c>
      <c r="J8315" s="78">
        <v>402</v>
      </c>
    </row>
    <row r="8316" spans="6:10" x14ac:dyDescent="0.25">
      <c r="F8316" s="76" t="s">
        <v>150</v>
      </c>
      <c r="G8316" s="77" t="s">
        <v>311</v>
      </c>
      <c r="H8316" s="77" t="s">
        <v>174</v>
      </c>
      <c r="I8316" s="86">
        <v>41956</v>
      </c>
      <c r="J8316" s="78">
        <v>722</v>
      </c>
    </row>
    <row r="8317" spans="6:10" x14ac:dyDescent="0.25">
      <c r="F8317" s="76" t="s">
        <v>150</v>
      </c>
      <c r="G8317" s="77" t="s">
        <v>311</v>
      </c>
      <c r="H8317" s="77" t="s">
        <v>174</v>
      </c>
      <c r="I8317" s="86">
        <v>41960</v>
      </c>
      <c r="J8317" s="78">
        <v>1005</v>
      </c>
    </row>
    <row r="8318" spans="6:10" x14ac:dyDescent="0.25">
      <c r="F8318" s="76" t="s">
        <v>150</v>
      </c>
      <c r="G8318" s="77" t="s">
        <v>311</v>
      </c>
      <c r="H8318" s="77" t="s">
        <v>174</v>
      </c>
      <c r="I8318" s="86">
        <v>41962</v>
      </c>
      <c r="J8318" s="78">
        <v>805</v>
      </c>
    </row>
    <row r="8319" spans="6:10" x14ac:dyDescent="0.25">
      <c r="F8319" s="76" t="s">
        <v>150</v>
      </c>
      <c r="G8319" s="77" t="s">
        <v>311</v>
      </c>
      <c r="H8319" s="77" t="s">
        <v>174</v>
      </c>
      <c r="I8319" s="86">
        <v>41964</v>
      </c>
      <c r="J8319" s="78">
        <v>789</v>
      </c>
    </row>
    <row r="8320" spans="6:10" x14ac:dyDescent="0.25">
      <c r="F8320" s="76" t="s">
        <v>150</v>
      </c>
      <c r="G8320" s="77" t="s">
        <v>311</v>
      </c>
      <c r="H8320" s="77" t="s">
        <v>174</v>
      </c>
      <c r="I8320" s="86">
        <v>41969</v>
      </c>
      <c r="J8320" s="78">
        <v>1399</v>
      </c>
    </row>
    <row r="8321" spans="6:10" x14ac:dyDescent="0.25">
      <c r="F8321" s="76" t="s">
        <v>150</v>
      </c>
      <c r="G8321" s="77" t="s">
        <v>311</v>
      </c>
      <c r="H8321" s="77" t="s">
        <v>174</v>
      </c>
      <c r="I8321" s="86">
        <v>41974</v>
      </c>
      <c r="J8321" s="78">
        <v>1052</v>
      </c>
    </row>
    <row r="8322" spans="6:10" x14ac:dyDescent="0.25">
      <c r="F8322" s="76" t="s">
        <v>150</v>
      </c>
      <c r="G8322" s="77" t="s">
        <v>311</v>
      </c>
      <c r="H8322" s="77" t="s">
        <v>174</v>
      </c>
      <c r="I8322" s="86">
        <v>41976</v>
      </c>
      <c r="J8322" s="78">
        <v>964</v>
      </c>
    </row>
    <row r="8323" spans="6:10" x14ac:dyDescent="0.25">
      <c r="F8323" s="76" t="s">
        <v>150</v>
      </c>
      <c r="G8323" s="77" t="s">
        <v>311</v>
      </c>
      <c r="H8323" s="77" t="s">
        <v>174</v>
      </c>
      <c r="I8323" s="86">
        <v>41977</v>
      </c>
      <c r="J8323" s="78">
        <v>475</v>
      </c>
    </row>
    <row r="8324" spans="6:10" x14ac:dyDescent="0.25">
      <c r="F8324" s="76" t="s">
        <v>150</v>
      </c>
      <c r="G8324" s="77" t="s">
        <v>311</v>
      </c>
      <c r="H8324" s="77" t="s">
        <v>174</v>
      </c>
      <c r="I8324" s="86">
        <v>41981</v>
      </c>
      <c r="J8324" s="78">
        <v>1085</v>
      </c>
    </row>
    <row r="8325" spans="6:10" x14ac:dyDescent="0.25">
      <c r="F8325" s="76" t="s">
        <v>150</v>
      </c>
      <c r="G8325" s="77" t="s">
        <v>311</v>
      </c>
      <c r="H8325" s="77" t="s">
        <v>174</v>
      </c>
      <c r="I8325" s="86">
        <v>41983</v>
      </c>
      <c r="J8325" s="78">
        <v>743</v>
      </c>
    </row>
    <row r="8326" spans="6:10" x14ac:dyDescent="0.25">
      <c r="F8326" s="76" t="s">
        <v>150</v>
      </c>
      <c r="G8326" s="77" t="s">
        <v>311</v>
      </c>
      <c r="H8326" s="77" t="s">
        <v>174</v>
      </c>
      <c r="I8326" s="86">
        <v>41985</v>
      </c>
      <c r="J8326" s="78">
        <v>816</v>
      </c>
    </row>
    <row r="8327" spans="6:10" x14ac:dyDescent="0.25">
      <c r="F8327" s="76" t="s">
        <v>150</v>
      </c>
      <c r="G8327" s="77" t="s">
        <v>311</v>
      </c>
      <c r="H8327" s="77" t="s">
        <v>174</v>
      </c>
      <c r="I8327" s="86">
        <v>41987</v>
      </c>
      <c r="J8327" s="78">
        <v>513</v>
      </c>
    </row>
    <row r="8328" spans="6:10" x14ac:dyDescent="0.25">
      <c r="F8328" s="76" t="s">
        <v>150</v>
      </c>
      <c r="G8328" s="77" t="s">
        <v>311</v>
      </c>
      <c r="H8328" s="77" t="s">
        <v>174</v>
      </c>
      <c r="I8328" s="86">
        <v>41989</v>
      </c>
      <c r="J8328" s="78">
        <v>770</v>
      </c>
    </row>
    <row r="8329" spans="6:10" x14ac:dyDescent="0.25">
      <c r="F8329" s="76" t="s">
        <v>150</v>
      </c>
      <c r="G8329" s="77" t="s">
        <v>311</v>
      </c>
      <c r="H8329" s="77" t="s">
        <v>174</v>
      </c>
      <c r="I8329" s="86">
        <v>41991</v>
      </c>
      <c r="J8329" s="78">
        <v>663</v>
      </c>
    </row>
    <row r="8330" spans="6:10" x14ac:dyDescent="0.25">
      <c r="F8330" s="76" t="s">
        <v>150</v>
      </c>
      <c r="G8330" s="77" t="s">
        <v>311</v>
      </c>
      <c r="H8330" s="77" t="s">
        <v>174</v>
      </c>
      <c r="I8330" s="86">
        <v>41994</v>
      </c>
      <c r="J8330" s="78">
        <v>785</v>
      </c>
    </row>
    <row r="8331" spans="6:10" x14ac:dyDescent="0.25">
      <c r="F8331" s="76" t="s">
        <v>150</v>
      </c>
      <c r="G8331" s="77" t="s">
        <v>311</v>
      </c>
      <c r="H8331" s="77" t="s">
        <v>174</v>
      </c>
      <c r="I8331" s="86">
        <v>41995</v>
      </c>
      <c r="J8331" s="78">
        <v>1136</v>
      </c>
    </row>
    <row r="8332" spans="6:10" x14ac:dyDescent="0.25">
      <c r="F8332" s="76" t="s">
        <v>150</v>
      </c>
      <c r="G8332" s="77" t="s">
        <v>311</v>
      </c>
      <c r="H8332" s="77" t="s">
        <v>174</v>
      </c>
      <c r="I8332" s="86">
        <v>41997</v>
      </c>
      <c r="J8332" s="78">
        <v>736</v>
      </c>
    </row>
    <row r="8333" spans="6:10" x14ac:dyDescent="0.25">
      <c r="F8333" s="76" t="s">
        <v>150</v>
      </c>
      <c r="G8333" s="77" t="s">
        <v>311</v>
      </c>
      <c r="H8333" s="77" t="s">
        <v>174</v>
      </c>
      <c r="I8333" s="86">
        <v>42002</v>
      </c>
      <c r="J8333" s="78">
        <v>909</v>
      </c>
    </row>
    <row r="8334" spans="6:10" x14ac:dyDescent="0.25">
      <c r="F8334" s="76" t="s">
        <v>150</v>
      </c>
      <c r="G8334" s="77" t="s">
        <v>312</v>
      </c>
      <c r="H8334" s="77" t="s">
        <v>174</v>
      </c>
      <c r="I8334" s="86">
        <v>41800</v>
      </c>
      <c r="J8334" s="78">
        <v>887</v>
      </c>
    </row>
    <row r="8335" spans="6:10" x14ac:dyDescent="0.25">
      <c r="F8335" s="76" t="s">
        <v>150</v>
      </c>
      <c r="G8335" s="77" t="s">
        <v>312</v>
      </c>
      <c r="H8335" s="77" t="s">
        <v>174</v>
      </c>
      <c r="I8335" s="86">
        <v>41824</v>
      </c>
      <c r="J8335" s="78">
        <v>542</v>
      </c>
    </row>
    <row r="8336" spans="6:10" x14ac:dyDescent="0.25">
      <c r="F8336" s="76" t="s">
        <v>150</v>
      </c>
      <c r="G8336" s="77" t="s">
        <v>312</v>
      </c>
      <c r="H8336" s="77" t="s">
        <v>174</v>
      </c>
      <c r="I8336" s="86">
        <v>41825</v>
      </c>
      <c r="J8336" s="78">
        <v>599</v>
      </c>
    </row>
    <row r="8337" spans="6:10" x14ac:dyDescent="0.25">
      <c r="F8337" s="76" t="s">
        <v>150</v>
      </c>
      <c r="G8337" s="77" t="s">
        <v>312</v>
      </c>
      <c r="H8337" s="77" t="s">
        <v>174</v>
      </c>
      <c r="I8337" s="86">
        <v>41826</v>
      </c>
      <c r="J8337" s="78">
        <v>786</v>
      </c>
    </row>
    <row r="8338" spans="6:10" x14ac:dyDescent="0.25">
      <c r="F8338" s="76" t="s">
        <v>150</v>
      </c>
      <c r="G8338" s="77" t="s">
        <v>312</v>
      </c>
      <c r="H8338" s="77" t="s">
        <v>174</v>
      </c>
      <c r="I8338" s="86">
        <v>41829</v>
      </c>
      <c r="J8338" s="78">
        <v>1560</v>
      </c>
    </row>
    <row r="8339" spans="6:10" x14ac:dyDescent="0.25">
      <c r="F8339" s="76" t="s">
        <v>150</v>
      </c>
      <c r="G8339" s="77" t="s">
        <v>312</v>
      </c>
      <c r="H8339" s="77" t="s">
        <v>174</v>
      </c>
      <c r="I8339" s="86">
        <v>41831</v>
      </c>
      <c r="J8339" s="78">
        <v>1425</v>
      </c>
    </row>
    <row r="8340" spans="6:10" x14ac:dyDescent="0.25">
      <c r="F8340" s="76" t="s">
        <v>150</v>
      </c>
      <c r="G8340" s="77" t="s">
        <v>312</v>
      </c>
      <c r="H8340" s="77" t="s">
        <v>174</v>
      </c>
      <c r="I8340" s="86">
        <v>41834</v>
      </c>
      <c r="J8340" s="78">
        <v>1161</v>
      </c>
    </row>
    <row r="8341" spans="6:10" x14ac:dyDescent="0.25">
      <c r="F8341" s="76" t="s">
        <v>150</v>
      </c>
      <c r="G8341" s="77" t="s">
        <v>312</v>
      </c>
      <c r="H8341" s="77" t="s">
        <v>174</v>
      </c>
      <c r="I8341" s="86">
        <v>41835</v>
      </c>
      <c r="J8341" s="78">
        <v>966</v>
      </c>
    </row>
    <row r="8342" spans="6:10" x14ac:dyDescent="0.25">
      <c r="F8342" s="76" t="s">
        <v>150</v>
      </c>
      <c r="G8342" s="77" t="s">
        <v>312</v>
      </c>
      <c r="H8342" s="77" t="s">
        <v>174</v>
      </c>
      <c r="I8342" s="86">
        <v>41837</v>
      </c>
      <c r="J8342" s="78">
        <v>1593</v>
      </c>
    </row>
    <row r="8343" spans="6:10" x14ac:dyDescent="0.25">
      <c r="F8343" s="76" t="s">
        <v>150</v>
      </c>
      <c r="G8343" s="77" t="s">
        <v>312</v>
      </c>
      <c r="H8343" s="77" t="s">
        <v>174</v>
      </c>
      <c r="I8343" s="86">
        <v>41838</v>
      </c>
      <c r="J8343" s="78">
        <v>638</v>
      </c>
    </row>
    <row r="8344" spans="6:10" x14ac:dyDescent="0.25">
      <c r="F8344" s="76" t="s">
        <v>150</v>
      </c>
      <c r="G8344" s="77" t="s">
        <v>312</v>
      </c>
      <c r="H8344" s="77" t="s">
        <v>174</v>
      </c>
      <c r="I8344" s="86">
        <v>41840</v>
      </c>
      <c r="J8344" s="78">
        <v>1270</v>
      </c>
    </row>
    <row r="8345" spans="6:10" x14ac:dyDescent="0.25">
      <c r="F8345" s="76" t="s">
        <v>150</v>
      </c>
      <c r="G8345" s="77" t="s">
        <v>312</v>
      </c>
      <c r="H8345" s="77" t="s">
        <v>174</v>
      </c>
      <c r="I8345" s="86">
        <v>41841</v>
      </c>
      <c r="J8345" s="78">
        <v>950</v>
      </c>
    </row>
    <row r="8346" spans="6:10" x14ac:dyDescent="0.25">
      <c r="F8346" s="76" t="s">
        <v>150</v>
      </c>
      <c r="G8346" s="77" t="s">
        <v>312</v>
      </c>
      <c r="H8346" s="77" t="s">
        <v>174</v>
      </c>
      <c r="I8346" s="86">
        <v>41842</v>
      </c>
      <c r="J8346" s="78">
        <v>578</v>
      </c>
    </row>
    <row r="8347" spans="6:10" x14ac:dyDescent="0.25">
      <c r="F8347" s="76" t="s">
        <v>150</v>
      </c>
      <c r="G8347" s="77" t="s">
        <v>312</v>
      </c>
      <c r="H8347" s="77" t="s">
        <v>174</v>
      </c>
      <c r="I8347" s="86">
        <v>41843</v>
      </c>
      <c r="J8347" s="78">
        <v>1038</v>
      </c>
    </row>
    <row r="8348" spans="6:10" x14ac:dyDescent="0.25">
      <c r="F8348" s="76" t="s">
        <v>150</v>
      </c>
      <c r="G8348" s="77" t="s">
        <v>312</v>
      </c>
      <c r="H8348" s="77" t="s">
        <v>174</v>
      </c>
      <c r="I8348" s="86">
        <v>41845</v>
      </c>
      <c r="J8348" s="78">
        <v>1338</v>
      </c>
    </row>
    <row r="8349" spans="6:10" x14ac:dyDescent="0.25">
      <c r="F8349" s="76" t="s">
        <v>150</v>
      </c>
      <c r="G8349" s="77" t="s">
        <v>312</v>
      </c>
      <c r="H8349" s="77" t="s">
        <v>174</v>
      </c>
      <c r="I8349" s="86">
        <v>41848</v>
      </c>
      <c r="J8349" s="78">
        <v>1030</v>
      </c>
    </row>
    <row r="8350" spans="6:10" x14ac:dyDescent="0.25">
      <c r="F8350" s="76" t="s">
        <v>150</v>
      </c>
      <c r="G8350" s="77" t="s">
        <v>312</v>
      </c>
      <c r="H8350" s="77" t="s">
        <v>174</v>
      </c>
      <c r="I8350" s="86">
        <v>41849</v>
      </c>
      <c r="J8350" s="78">
        <v>1273</v>
      </c>
    </row>
    <row r="8351" spans="6:10" x14ac:dyDescent="0.25">
      <c r="F8351" s="76" t="s">
        <v>150</v>
      </c>
      <c r="G8351" s="77" t="s">
        <v>312</v>
      </c>
      <c r="H8351" s="77" t="s">
        <v>174</v>
      </c>
      <c r="I8351" s="86">
        <v>41850</v>
      </c>
      <c r="J8351" s="78">
        <v>474</v>
      </c>
    </row>
    <row r="8352" spans="6:10" x14ac:dyDescent="0.25">
      <c r="F8352" s="76" t="s">
        <v>150</v>
      </c>
      <c r="G8352" s="77" t="s">
        <v>312</v>
      </c>
      <c r="H8352" s="77" t="s">
        <v>174</v>
      </c>
      <c r="I8352" s="86">
        <v>41851</v>
      </c>
      <c r="J8352" s="78">
        <v>1170</v>
      </c>
    </row>
    <row r="8353" spans="6:10" x14ac:dyDescent="0.25">
      <c r="F8353" s="76" t="s">
        <v>150</v>
      </c>
      <c r="G8353" s="77" t="s">
        <v>312</v>
      </c>
      <c r="H8353" s="77" t="s">
        <v>174</v>
      </c>
      <c r="I8353" s="86">
        <v>41852</v>
      </c>
      <c r="J8353" s="78">
        <v>733</v>
      </c>
    </row>
    <row r="8354" spans="6:10" x14ac:dyDescent="0.25">
      <c r="F8354" s="76" t="s">
        <v>150</v>
      </c>
      <c r="G8354" s="77" t="s">
        <v>312</v>
      </c>
      <c r="H8354" s="77" t="s">
        <v>174</v>
      </c>
      <c r="I8354" s="86">
        <v>41855</v>
      </c>
      <c r="J8354" s="78">
        <v>853</v>
      </c>
    </row>
    <row r="8355" spans="6:10" x14ac:dyDescent="0.25">
      <c r="F8355" s="76" t="s">
        <v>150</v>
      </c>
      <c r="G8355" s="77" t="s">
        <v>312</v>
      </c>
      <c r="H8355" s="77" t="s">
        <v>174</v>
      </c>
      <c r="I8355" s="86">
        <v>41856</v>
      </c>
      <c r="J8355" s="78">
        <v>895</v>
      </c>
    </row>
    <row r="8356" spans="6:10" x14ac:dyDescent="0.25">
      <c r="F8356" s="76" t="s">
        <v>150</v>
      </c>
      <c r="G8356" s="77" t="s">
        <v>312</v>
      </c>
      <c r="H8356" s="77" t="s">
        <v>174</v>
      </c>
      <c r="I8356" s="86">
        <v>41857</v>
      </c>
      <c r="J8356" s="78">
        <v>963</v>
      </c>
    </row>
    <row r="8357" spans="6:10" x14ac:dyDescent="0.25">
      <c r="F8357" s="76" t="s">
        <v>150</v>
      </c>
      <c r="G8357" s="77" t="s">
        <v>312</v>
      </c>
      <c r="H8357" s="77" t="s">
        <v>174</v>
      </c>
      <c r="I8357" s="86">
        <v>41858</v>
      </c>
      <c r="J8357" s="78">
        <v>547</v>
      </c>
    </row>
    <row r="8358" spans="6:10" x14ac:dyDescent="0.25">
      <c r="F8358" s="76" t="s">
        <v>150</v>
      </c>
      <c r="G8358" s="77" t="s">
        <v>312</v>
      </c>
      <c r="H8358" s="77" t="s">
        <v>174</v>
      </c>
      <c r="I8358" s="86">
        <v>41859</v>
      </c>
      <c r="J8358" s="78">
        <v>867</v>
      </c>
    </row>
    <row r="8359" spans="6:10" x14ac:dyDescent="0.25">
      <c r="F8359" s="76" t="s">
        <v>150</v>
      </c>
      <c r="G8359" s="77" t="s">
        <v>312</v>
      </c>
      <c r="H8359" s="77" t="s">
        <v>174</v>
      </c>
      <c r="I8359" s="86">
        <v>41862</v>
      </c>
      <c r="J8359" s="78">
        <v>1143</v>
      </c>
    </row>
    <row r="8360" spans="6:10" x14ac:dyDescent="0.25">
      <c r="F8360" s="76" t="s">
        <v>150</v>
      </c>
      <c r="G8360" s="77" t="s">
        <v>312</v>
      </c>
      <c r="H8360" s="77" t="s">
        <v>174</v>
      </c>
      <c r="I8360" s="86">
        <v>41863</v>
      </c>
      <c r="J8360" s="78">
        <v>611</v>
      </c>
    </row>
    <row r="8361" spans="6:10" x14ac:dyDescent="0.25">
      <c r="F8361" s="76" t="s">
        <v>150</v>
      </c>
      <c r="G8361" s="77" t="s">
        <v>312</v>
      </c>
      <c r="H8361" s="77" t="s">
        <v>174</v>
      </c>
      <c r="I8361" s="86">
        <v>41864</v>
      </c>
      <c r="J8361" s="78">
        <v>1197</v>
      </c>
    </row>
    <row r="8362" spans="6:10" x14ac:dyDescent="0.25">
      <c r="F8362" s="76" t="s">
        <v>150</v>
      </c>
      <c r="G8362" s="77" t="s">
        <v>312</v>
      </c>
      <c r="H8362" s="77" t="s">
        <v>174</v>
      </c>
      <c r="I8362" s="86">
        <v>41865</v>
      </c>
      <c r="J8362" s="78">
        <v>582</v>
      </c>
    </row>
    <row r="8363" spans="6:10" x14ac:dyDescent="0.25">
      <c r="F8363" s="76" t="s">
        <v>150</v>
      </c>
      <c r="G8363" s="77" t="s">
        <v>312</v>
      </c>
      <c r="H8363" s="77" t="s">
        <v>174</v>
      </c>
      <c r="I8363" s="86">
        <v>41866</v>
      </c>
      <c r="J8363" s="78">
        <v>1121</v>
      </c>
    </row>
    <row r="8364" spans="6:10" x14ac:dyDescent="0.25">
      <c r="F8364" s="76" t="s">
        <v>150</v>
      </c>
      <c r="G8364" s="77" t="s">
        <v>312</v>
      </c>
      <c r="H8364" s="77" t="s">
        <v>174</v>
      </c>
      <c r="I8364" s="86">
        <v>41869</v>
      </c>
      <c r="J8364" s="78">
        <v>534</v>
      </c>
    </row>
    <row r="8365" spans="6:10" x14ac:dyDescent="0.25">
      <c r="F8365" s="76" t="s">
        <v>150</v>
      </c>
      <c r="G8365" s="77" t="s">
        <v>312</v>
      </c>
      <c r="H8365" s="77" t="s">
        <v>174</v>
      </c>
      <c r="I8365" s="86">
        <v>41871</v>
      </c>
      <c r="J8365" s="78">
        <v>1331</v>
      </c>
    </row>
    <row r="8366" spans="6:10" x14ac:dyDescent="0.25">
      <c r="F8366" s="76" t="s">
        <v>150</v>
      </c>
      <c r="G8366" s="77" t="s">
        <v>312</v>
      </c>
      <c r="H8366" s="77" t="s">
        <v>174</v>
      </c>
      <c r="I8366" s="86">
        <v>41963</v>
      </c>
      <c r="J8366" s="78">
        <v>1377</v>
      </c>
    </row>
    <row r="8367" spans="6:10" x14ac:dyDescent="0.25">
      <c r="F8367" s="76" t="s">
        <v>150</v>
      </c>
      <c r="G8367" s="77" t="s">
        <v>312</v>
      </c>
      <c r="H8367" s="77" t="s">
        <v>174</v>
      </c>
      <c r="I8367" s="86">
        <v>41967</v>
      </c>
      <c r="J8367" s="78">
        <v>911</v>
      </c>
    </row>
    <row r="8368" spans="6:10" x14ac:dyDescent="0.25">
      <c r="F8368" s="76" t="s">
        <v>150</v>
      </c>
      <c r="G8368" s="77" t="s">
        <v>312</v>
      </c>
      <c r="H8368" s="77" t="s">
        <v>174</v>
      </c>
      <c r="I8368" s="86">
        <v>41968</v>
      </c>
      <c r="J8368" s="78">
        <v>605</v>
      </c>
    </row>
    <row r="8369" spans="6:10" x14ac:dyDescent="0.25">
      <c r="F8369" s="76" t="s">
        <v>150</v>
      </c>
      <c r="G8369" s="77" t="s">
        <v>312</v>
      </c>
      <c r="H8369" s="77" t="s">
        <v>174</v>
      </c>
      <c r="I8369" s="86">
        <v>41969</v>
      </c>
      <c r="J8369" s="78">
        <v>940</v>
      </c>
    </row>
    <row r="8370" spans="6:10" x14ac:dyDescent="0.25">
      <c r="F8370" s="76" t="s">
        <v>150</v>
      </c>
      <c r="G8370" s="77" t="s">
        <v>312</v>
      </c>
      <c r="H8370" s="77" t="s">
        <v>174</v>
      </c>
      <c r="I8370" s="86">
        <v>41971</v>
      </c>
      <c r="J8370" s="78">
        <v>1580</v>
      </c>
    </row>
    <row r="8371" spans="6:10" x14ac:dyDescent="0.25">
      <c r="F8371" s="76" t="s">
        <v>150</v>
      </c>
      <c r="G8371" s="77" t="s">
        <v>312</v>
      </c>
      <c r="H8371" s="77" t="s">
        <v>174</v>
      </c>
      <c r="I8371" s="86">
        <v>41974</v>
      </c>
      <c r="J8371" s="78">
        <v>1336</v>
      </c>
    </row>
    <row r="8372" spans="6:10" x14ac:dyDescent="0.25">
      <c r="F8372" s="76" t="s">
        <v>150</v>
      </c>
      <c r="G8372" s="77" t="s">
        <v>312</v>
      </c>
      <c r="H8372" s="77" t="s">
        <v>174</v>
      </c>
      <c r="I8372" s="86">
        <v>41976</v>
      </c>
      <c r="J8372" s="78">
        <v>1349</v>
      </c>
    </row>
    <row r="8373" spans="6:10" x14ac:dyDescent="0.25">
      <c r="F8373" s="76" t="s">
        <v>150</v>
      </c>
      <c r="G8373" s="77" t="s">
        <v>312</v>
      </c>
      <c r="H8373" s="77" t="s">
        <v>174</v>
      </c>
      <c r="I8373" s="86">
        <v>41977</v>
      </c>
      <c r="J8373" s="78">
        <v>857</v>
      </c>
    </row>
    <row r="8374" spans="6:10" x14ac:dyDescent="0.25">
      <c r="F8374" s="76" t="s">
        <v>150</v>
      </c>
      <c r="G8374" s="77" t="s">
        <v>312</v>
      </c>
      <c r="H8374" s="77" t="s">
        <v>174</v>
      </c>
      <c r="I8374" s="86">
        <v>41978</v>
      </c>
      <c r="J8374" s="78">
        <v>884</v>
      </c>
    </row>
    <row r="8375" spans="6:10" x14ac:dyDescent="0.25">
      <c r="F8375" s="76" t="s">
        <v>150</v>
      </c>
      <c r="G8375" s="77" t="s">
        <v>312</v>
      </c>
      <c r="H8375" s="77" t="s">
        <v>174</v>
      </c>
      <c r="I8375" s="86">
        <v>41979</v>
      </c>
      <c r="J8375" s="78">
        <v>746</v>
      </c>
    </row>
    <row r="8376" spans="6:10" x14ac:dyDescent="0.25">
      <c r="F8376" s="76" t="s">
        <v>150</v>
      </c>
      <c r="G8376" s="77" t="s">
        <v>312</v>
      </c>
      <c r="H8376" s="77" t="s">
        <v>174</v>
      </c>
      <c r="I8376" s="86">
        <v>41996</v>
      </c>
      <c r="J8376" s="78">
        <v>1210</v>
      </c>
    </row>
    <row r="8377" spans="6:10" x14ac:dyDescent="0.25">
      <c r="F8377" s="76" t="s">
        <v>150</v>
      </c>
      <c r="G8377" s="77" t="s">
        <v>312</v>
      </c>
      <c r="H8377" s="77" t="s">
        <v>174</v>
      </c>
      <c r="I8377" s="86">
        <v>41998</v>
      </c>
      <c r="J8377" s="78">
        <v>1169</v>
      </c>
    </row>
    <row r="8378" spans="6:10" x14ac:dyDescent="0.25">
      <c r="F8378" s="76" t="s">
        <v>150</v>
      </c>
      <c r="G8378" s="77" t="s">
        <v>312</v>
      </c>
      <c r="H8378" s="77" t="s">
        <v>174</v>
      </c>
      <c r="I8378" s="86">
        <v>41999</v>
      </c>
      <c r="J8378" s="78">
        <v>1208</v>
      </c>
    </row>
    <row r="8379" spans="6:10" x14ac:dyDescent="0.25">
      <c r="F8379" s="76" t="s">
        <v>150</v>
      </c>
      <c r="G8379" s="77" t="s">
        <v>313</v>
      </c>
      <c r="H8379" s="77" t="s">
        <v>174</v>
      </c>
      <c r="I8379" s="86">
        <v>41638</v>
      </c>
      <c r="J8379" s="78">
        <v>1030</v>
      </c>
    </row>
    <row r="8380" spans="6:10" x14ac:dyDescent="0.25">
      <c r="F8380" s="76" t="s">
        <v>150</v>
      </c>
      <c r="G8380" s="77" t="s">
        <v>313</v>
      </c>
      <c r="H8380" s="77" t="s">
        <v>174</v>
      </c>
      <c r="I8380" s="86">
        <v>41639</v>
      </c>
      <c r="J8380" s="78">
        <v>1111</v>
      </c>
    </row>
    <row r="8381" spans="6:10" x14ac:dyDescent="0.25">
      <c r="F8381" s="76" t="s">
        <v>150</v>
      </c>
      <c r="G8381" s="77" t="s">
        <v>313</v>
      </c>
      <c r="H8381" s="77" t="s">
        <v>174</v>
      </c>
      <c r="I8381" s="86">
        <v>41640</v>
      </c>
      <c r="J8381" s="78">
        <v>424</v>
      </c>
    </row>
    <row r="8382" spans="6:10" x14ac:dyDescent="0.25">
      <c r="F8382" s="76" t="s">
        <v>150</v>
      </c>
      <c r="G8382" s="77" t="s">
        <v>313</v>
      </c>
      <c r="H8382" s="77" t="s">
        <v>174</v>
      </c>
      <c r="I8382" s="86">
        <v>41641</v>
      </c>
      <c r="J8382" s="78">
        <v>921</v>
      </c>
    </row>
    <row r="8383" spans="6:10" x14ac:dyDescent="0.25">
      <c r="F8383" s="76" t="s">
        <v>150</v>
      </c>
      <c r="G8383" s="77" t="s">
        <v>313</v>
      </c>
      <c r="H8383" s="77" t="s">
        <v>174</v>
      </c>
      <c r="I8383" s="86">
        <v>41645</v>
      </c>
      <c r="J8383" s="78">
        <v>1531</v>
      </c>
    </row>
    <row r="8384" spans="6:10" x14ac:dyDescent="0.25">
      <c r="F8384" s="76" t="s">
        <v>150</v>
      </c>
      <c r="G8384" s="77" t="s">
        <v>313</v>
      </c>
      <c r="H8384" s="77" t="s">
        <v>174</v>
      </c>
      <c r="I8384" s="86">
        <v>41647</v>
      </c>
      <c r="J8384" s="78">
        <v>1448</v>
      </c>
    </row>
    <row r="8385" spans="6:10" x14ac:dyDescent="0.25">
      <c r="F8385" s="76" t="s">
        <v>150</v>
      </c>
      <c r="G8385" s="77" t="s">
        <v>313</v>
      </c>
      <c r="H8385" s="77" t="s">
        <v>174</v>
      </c>
      <c r="I8385" s="86">
        <v>41647</v>
      </c>
      <c r="J8385" s="78">
        <v>1685</v>
      </c>
    </row>
    <row r="8386" spans="6:10" x14ac:dyDescent="0.25">
      <c r="F8386" s="76" t="s">
        <v>150</v>
      </c>
      <c r="G8386" s="77" t="s">
        <v>313</v>
      </c>
      <c r="H8386" s="77" t="s">
        <v>174</v>
      </c>
      <c r="I8386" s="86">
        <v>41650</v>
      </c>
      <c r="J8386" s="78">
        <v>1381</v>
      </c>
    </row>
    <row r="8387" spans="6:10" x14ac:dyDescent="0.25">
      <c r="F8387" s="76" t="s">
        <v>150</v>
      </c>
      <c r="G8387" s="77" t="s">
        <v>313</v>
      </c>
      <c r="H8387" s="77" t="s">
        <v>174</v>
      </c>
      <c r="I8387" s="86">
        <v>41652</v>
      </c>
      <c r="J8387" s="78">
        <v>1107</v>
      </c>
    </row>
    <row r="8388" spans="6:10" x14ac:dyDescent="0.25">
      <c r="F8388" s="76" t="s">
        <v>150</v>
      </c>
      <c r="G8388" s="77" t="s">
        <v>313</v>
      </c>
      <c r="H8388" s="77" t="s">
        <v>174</v>
      </c>
      <c r="I8388" s="86">
        <v>41790</v>
      </c>
      <c r="J8388" s="78">
        <v>809</v>
      </c>
    </row>
    <row r="8389" spans="6:10" x14ac:dyDescent="0.25">
      <c r="F8389" s="76" t="s">
        <v>150</v>
      </c>
      <c r="G8389" s="77" t="s">
        <v>313</v>
      </c>
      <c r="H8389" s="77" t="s">
        <v>174</v>
      </c>
      <c r="I8389" s="86">
        <v>41792</v>
      </c>
      <c r="J8389" s="78">
        <v>834</v>
      </c>
    </row>
    <row r="8390" spans="6:10" x14ac:dyDescent="0.25">
      <c r="F8390" s="76" t="s">
        <v>150</v>
      </c>
      <c r="G8390" s="77" t="s">
        <v>313</v>
      </c>
      <c r="H8390" s="77" t="s">
        <v>174</v>
      </c>
      <c r="I8390" s="86">
        <v>41793</v>
      </c>
      <c r="J8390" s="78">
        <v>643</v>
      </c>
    </row>
    <row r="8391" spans="6:10" x14ac:dyDescent="0.25">
      <c r="F8391" s="76" t="s">
        <v>150</v>
      </c>
      <c r="G8391" s="77" t="s">
        <v>313</v>
      </c>
      <c r="H8391" s="77" t="s">
        <v>174</v>
      </c>
      <c r="I8391" s="86">
        <v>41794</v>
      </c>
      <c r="J8391" s="78">
        <v>1383</v>
      </c>
    </row>
    <row r="8392" spans="6:10" x14ac:dyDescent="0.25">
      <c r="F8392" s="76" t="s">
        <v>150</v>
      </c>
      <c r="G8392" s="77" t="s">
        <v>313</v>
      </c>
      <c r="H8392" s="77" t="s">
        <v>174</v>
      </c>
      <c r="I8392" s="86">
        <v>41796</v>
      </c>
      <c r="J8392" s="78">
        <v>1758</v>
      </c>
    </row>
    <row r="8393" spans="6:10" x14ac:dyDescent="0.25">
      <c r="F8393" s="76" t="s">
        <v>150</v>
      </c>
      <c r="G8393" s="77" t="s">
        <v>313</v>
      </c>
      <c r="H8393" s="77" t="s">
        <v>174</v>
      </c>
      <c r="I8393" s="86">
        <v>41799</v>
      </c>
      <c r="J8393" s="78">
        <v>602</v>
      </c>
    </row>
    <row r="8394" spans="6:10" x14ac:dyDescent="0.25">
      <c r="F8394" s="76" t="s">
        <v>150</v>
      </c>
      <c r="G8394" s="77" t="s">
        <v>313</v>
      </c>
      <c r="H8394" s="77" t="s">
        <v>174</v>
      </c>
      <c r="I8394" s="86">
        <v>41800</v>
      </c>
      <c r="J8394" s="78">
        <v>1243</v>
      </c>
    </row>
    <row r="8395" spans="6:10" x14ac:dyDescent="0.25">
      <c r="F8395" s="76" t="s">
        <v>150</v>
      </c>
      <c r="G8395" s="77" t="s">
        <v>313</v>
      </c>
      <c r="H8395" s="77" t="s">
        <v>174</v>
      </c>
      <c r="I8395" s="86">
        <v>41801</v>
      </c>
      <c r="J8395" s="78">
        <v>904</v>
      </c>
    </row>
    <row r="8396" spans="6:10" x14ac:dyDescent="0.25">
      <c r="F8396" s="76" t="s">
        <v>150</v>
      </c>
      <c r="G8396" s="77" t="s">
        <v>313</v>
      </c>
      <c r="H8396" s="77" t="s">
        <v>174</v>
      </c>
      <c r="I8396" s="86">
        <v>41802</v>
      </c>
      <c r="J8396" s="78">
        <v>927</v>
      </c>
    </row>
    <row r="8397" spans="6:10" x14ac:dyDescent="0.25">
      <c r="F8397" s="76" t="s">
        <v>150</v>
      </c>
      <c r="G8397" s="77" t="s">
        <v>313</v>
      </c>
      <c r="H8397" s="77" t="s">
        <v>174</v>
      </c>
      <c r="I8397" s="86">
        <v>41805</v>
      </c>
      <c r="J8397" s="78">
        <v>1256</v>
      </c>
    </row>
    <row r="8398" spans="6:10" x14ac:dyDescent="0.25">
      <c r="F8398" s="76" t="s">
        <v>150</v>
      </c>
      <c r="G8398" s="77" t="s">
        <v>313</v>
      </c>
      <c r="H8398" s="77" t="s">
        <v>174</v>
      </c>
      <c r="I8398" s="86">
        <v>41806</v>
      </c>
      <c r="J8398" s="78">
        <v>808</v>
      </c>
    </row>
    <row r="8399" spans="6:10" x14ac:dyDescent="0.25">
      <c r="F8399" s="76" t="s">
        <v>150</v>
      </c>
      <c r="G8399" s="77" t="s">
        <v>313</v>
      </c>
      <c r="H8399" s="77" t="s">
        <v>174</v>
      </c>
      <c r="I8399" s="86">
        <v>41812</v>
      </c>
      <c r="J8399" s="78">
        <v>652</v>
      </c>
    </row>
    <row r="8400" spans="6:10" x14ac:dyDescent="0.25">
      <c r="F8400" s="76" t="s">
        <v>150</v>
      </c>
      <c r="G8400" s="77" t="s">
        <v>313</v>
      </c>
      <c r="H8400" s="77" t="s">
        <v>174</v>
      </c>
      <c r="I8400" s="86">
        <v>41813</v>
      </c>
      <c r="J8400" s="78">
        <v>718</v>
      </c>
    </row>
    <row r="8401" spans="6:10" x14ac:dyDescent="0.25">
      <c r="F8401" s="76" t="s">
        <v>150</v>
      </c>
      <c r="G8401" s="77" t="s">
        <v>313</v>
      </c>
      <c r="H8401" s="77" t="s">
        <v>174</v>
      </c>
      <c r="I8401" s="86">
        <v>41815</v>
      </c>
      <c r="J8401" s="78">
        <v>943</v>
      </c>
    </row>
    <row r="8402" spans="6:10" x14ac:dyDescent="0.25">
      <c r="F8402" s="76" t="s">
        <v>150</v>
      </c>
      <c r="G8402" s="77" t="s">
        <v>313</v>
      </c>
      <c r="H8402" s="77" t="s">
        <v>174</v>
      </c>
      <c r="I8402" s="86">
        <v>41816</v>
      </c>
      <c r="J8402" s="78">
        <v>1178</v>
      </c>
    </row>
    <row r="8403" spans="6:10" x14ac:dyDescent="0.25">
      <c r="F8403" s="76" t="s">
        <v>150</v>
      </c>
      <c r="G8403" s="77" t="s">
        <v>313</v>
      </c>
      <c r="H8403" s="77" t="s">
        <v>174</v>
      </c>
      <c r="I8403" s="86">
        <v>41820</v>
      </c>
      <c r="J8403" s="78">
        <v>879</v>
      </c>
    </row>
    <row r="8404" spans="6:10" x14ac:dyDescent="0.25">
      <c r="F8404" s="76" t="s">
        <v>150</v>
      </c>
      <c r="G8404" s="77" t="s">
        <v>313</v>
      </c>
      <c r="H8404" s="77" t="s">
        <v>174</v>
      </c>
      <c r="I8404" s="86">
        <v>41821</v>
      </c>
      <c r="J8404" s="78">
        <v>1226</v>
      </c>
    </row>
    <row r="8405" spans="6:10" x14ac:dyDescent="0.25">
      <c r="F8405" s="76" t="s">
        <v>150</v>
      </c>
      <c r="G8405" s="77" t="s">
        <v>313</v>
      </c>
      <c r="H8405" s="77" t="s">
        <v>174</v>
      </c>
      <c r="I8405" s="86">
        <v>41823</v>
      </c>
      <c r="J8405" s="78">
        <v>1362</v>
      </c>
    </row>
    <row r="8406" spans="6:10" x14ac:dyDescent="0.25">
      <c r="F8406" s="76" t="s">
        <v>150</v>
      </c>
      <c r="G8406" s="77" t="s">
        <v>313</v>
      </c>
      <c r="H8406" s="77" t="s">
        <v>174</v>
      </c>
      <c r="I8406" s="86">
        <v>41824</v>
      </c>
      <c r="J8406" s="78">
        <v>669</v>
      </c>
    </row>
    <row r="8407" spans="6:10" x14ac:dyDescent="0.25">
      <c r="F8407" s="76" t="s">
        <v>150</v>
      </c>
      <c r="G8407" s="77" t="s">
        <v>313</v>
      </c>
      <c r="H8407" s="77" t="s">
        <v>174</v>
      </c>
      <c r="I8407" s="86">
        <v>41827</v>
      </c>
      <c r="J8407" s="78">
        <v>498</v>
      </c>
    </row>
    <row r="8408" spans="6:10" x14ac:dyDescent="0.25">
      <c r="F8408" s="76" t="s">
        <v>150</v>
      </c>
      <c r="G8408" s="77" t="s">
        <v>313</v>
      </c>
      <c r="H8408" s="77" t="s">
        <v>174</v>
      </c>
      <c r="I8408" s="86">
        <v>41828</v>
      </c>
      <c r="J8408" s="78">
        <v>1303</v>
      </c>
    </row>
    <row r="8409" spans="6:10" x14ac:dyDescent="0.25">
      <c r="F8409" s="76" t="s">
        <v>150</v>
      </c>
      <c r="G8409" s="77" t="s">
        <v>313</v>
      </c>
      <c r="H8409" s="77" t="s">
        <v>174</v>
      </c>
      <c r="I8409" s="86">
        <v>41829</v>
      </c>
      <c r="J8409" s="78">
        <v>483</v>
      </c>
    </row>
    <row r="8410" spans="6:10" x14ac:dyDescent="0.25">
      <c r="F8410" s="76" t="s">
        <v>150</v>
      </c>
      <c r="G8410" s="77" t="s">
        <v>313</v>
      </c>
      <c r="H8410" s="77" t="s">
        <v>174</v>
      </c>
      <c r="I8410" s="86">
        <v>41830</v>
      </c>
      <c r="J8410" s="78">
        <v>867</v>
      </c>
    </row>
    <row r="8411" spans="6:10" x14ac:dyDescent="0.25">
      <c r="F8411" s="76" t="s">
        <v>150</v>
      </c>
      <c r="G8411" s="77" t="s">
        <v>313</v>
      </c>
      <c r="H8411" s="77" t="s">
        <v>174</v>
      </c>
      <c r="I8411" s="86">
        <v>41831</v>
      </c>
      <c r="J8411" s="78">
        <v>838</v>
      </c>
    </row>
    <row r="8412" spans="6:10" x14ac:dyDescent="0.25">
      <c r="F8412" s="76" t="s">
        <v>150</v>
      </c>
      <c r="G8412" s="77" t="s">
        <v>313</v>
      </c>
      <c r="H8412" s="77" t="s">
        <v>174</v>
      </c>
      <c r="I8412" s="86">
        <v>41832</v>
      </c>
      <c r="J8412" s="78">
        <v>989</v>
      </c>
    </row>
    <row r="8413" spans="6:10" x14ac:dyDescent="0.25">
      <c r="F8413" s="76" t="s">
        <v>150</v>
      </c>
      <c r="G8413" s="77" t="s">
        <v>313</v>
      </c>
      <c r="H8413" s="77" t="s">
        <v>174</v>
      </c>
      <c r="I8413" s="86">
        <v>41920</v>
      </c>
      <c r="J8413" s="78">
        <v>1318</v>
      </c>
    </row>
    <row r="8414" spans="6:10" x14ac:dyDescent="0.25">
      <c r="F8414" s="76" t="s">
        <v>150</v>
      </c>
      <c r="G8414" s="77" t="s">
        <v>313</v>
      </c>
      <c r="H8414" s="77" t="s">
        <v>174</v>
      </c>
      <c r="I8414" s="86">
        <v>41922</v>
      </c>
      <c r="J8414" s="78">
        <v>962</v>
      </c>
    </row>
    <row r="8415" spans="6:10" x14ac:dyDescent="0.25">
      <c r="F8415" s="76" t="s">
        <v>150</v>
      </c>
      <c r="G8415" s="77" t="s">
        <v>313</v>
      </c>
      <c r="H8415" s="77" t="s">
        <v>174</v>
      </c>
      <c r="I8415" s="86">
        <v>41924</v>
      </c>
      <c r="J8415" s="78">
        <v>408</v>
      </c>
    </row>
    <row r="8416" spans="6:10" x14ac:dyDescent="0.25">
      <c r="F8416" s="76" t="s">
        <v>150</v>
      </c>
      <c r="G8416" s="77" t="s">
        <v>313</v>
      </c>
      <c r="H8416" s="77" t="s">
        <v>174</v>
      </c>
      <c r="I8416" s="86">
        <v>41926</v>
      </c>
      <c r="J8416" s="78">
        <v>1146</v>
      </c>
    </row>
    <row r="8417" spans="6:10" x14ac:dyDescent="0.25">
      <c r="F8417" s="76" t="s">
        <v>150</v>
      </c>
      <c r="G8417" s="77" t="s">
        <v>313</v>
      </c>
      <c r="H8417" s="77" t="s">
        <v>174</v>
      </c>
      <c r="I8417" s="86">
        <v>41927</v>
      </c>
      <c r="J8417" s="78">
        <v>879</v>
      </c>
    </row>
    <row r="8418" spans="6:10" x14ac:dyDescent="0.25">
      <c r="F8418" s="76" t="s">
        <v>150</v>
      </c>
      <c r="G8418" s="77" t="s">
        <v>313</v>
      </c>
      <c r="H8418" s="77" t="s">
        <v>174</v>
      </c>
      <c r="I8418" s="86">
        <v>41929</v>
      </c>
      <c r="J8418" s="78">
        <v>1463</v>
      </c>
    </row>
    <row r="8419" spans="6:10" x14ac:dyDescent="0.25">
      <c r="F8419" s="76" t="s">
        <v>150</v>
      </c>
      <c r="G8419" s="77" t="s">
        <v>313</v>
      </c>
      <c r="H8419" s="77" t="s">
        <v>174</v>
      </c>
      <c r="I8419" s="86">
        <v>41931</v>
      </c>
      <c r="J8419" s="78">
        <v>1043</v>
      </c>
    </row>
    <row r="8420" spans="6:10" x14ac:dyDescent="0.25">
      <c r="F8420" s="76" t="s">
        <v>150</v>
      </c>
      <c r="G8420" s="77" t="s">
        <v>313</v>
      </c>
      <c r="H8420" s="77" t="s">
        <v>174</v>
      </c>
      <c r="I8420" s="86">
        <v>41933</v>
      </c>
      <c r="J8420" s="78">
        <v>861</v>
      </c>
    </row>
    <row r="8421" spans="6:10" x14ac:dyDescent="0.25">
      <c r="F8421" s="76" t="s">
        <v>150</v>
      </c>
      <c r="G8421" s="77" t="s">
        <v>313</v>
      </c>
      <c r="H8421" s="77" t="s">
        <v>174</v>
      </c>
      <c r="I8421" s="86">
        <v>41935</v>
      </c>
      <c r="J8421" s="78">
        <v>981</v>
      </c>
    </row>
    <row r="8422" spans="6:10" x14ac:dyDescent="0.25">
      <c r="F8422" s="76" t="s">
        <v>150</v>
      </c>
      <c r="G8422" s="77" t="s">
        <v>313</v>
      </c>
      <c r="H8422" s="77" t="s">
        <v>174</v>
      </c>
      <c r="I8422" s="86">
        <v>41939</v>
      </c>
      <c r="J8422" s="78">
        <v>1206</v>
      </c>
    </row>
    <row r="8423" spans="6:10" x14ac:dyDescent="0.25">
      <c r="F8423" s="76" t="s">
        <v>150</v>
      </c>
      <c r="G8423" s="77" t="s">
        <v>313</v>
      </c>
      <c r="H8423" s="77" t="s">
        <v>174</v>
      </c>
      <c r="I8423" s="86">
        <v>41941</v>
      </c>
      <c r="J8423" s="78">
        <v>1128</v>
      </c>
    </row>
    <row r="8424" spans="6:10" x14ac:dyDescent="0.25">
      <c r="F8424" s="76" t="s">
        <v>150</v>
      </c>
      <c r="G8424" s="77" t="s">
        <v>313</v>
      </c>
      <c r="H8424" s="77" t="s">
        <v>174</v>
      </c>
      <c r="I8424" s="86">
        <v>41943</v>
      </c>
      <c r="J8424" s="78">
        <v>890</v>
      </c>
    </row>
    <row r="8425" spans="6:10" x14ac:dyDescent="0.25">
      <c r="F8425" s="76" t="s">
        <v>150</v>
      </c>
      <c r="G8425" s="77" t="s">
        <v>313</v>
      </c>
      <c r="H8425" s="77" t="s">
        <v>174</v>
      </c>
      <c r="I8425" s="86">
        <v>41946</v>
      </c>
      <c r="J8425" s="78">
        <v>1047</v>
      </c>
    </row>
    <row r="8426" spans="6:10" x14ac:dyDescent="0.25">
      <c r="F8426" s="76" t="s">
        <v>150</v>
      </c>
      <c r="G8426" s="77" t="s">
        <v>313</v>
      </c>
      <c r="H8426" s="77" t="s">
        <v>174</v>
      </c>
      <c r="I8426" s="86">
        <v>41949</v>
      </c>
      <c r="J8426" s="78">
        <v>1011</v>
      </c>
    </row>
    <row r="8427" spans="6:10" x14ac:dyDescent="0.25">
      <c r="F8427" s="76" t="s">
        <v>150</v>
      </c>
      <c r="G8427" s="77" t="s">
        <v>313</v>
      </c>
      <c r="H8427" s="77" t="s">
        <v>174</v>
      </c>
      <c r="I8427" s="86">
        <v>41953</v>
      </c>
      <c r="J8427" s="78">
        <v>994</v>
      </c>
    </row>
    <row r="8428" spans="6:10" x14ac:dyDescent="0.25">
      <c r="F8428" s="76" t="s">
        <v>150</v>
      </c>
      <c r="G8428" s="77" t="s">
        <v>313</v>
      </c>
      <c r="H8428" s="77" t="s">
        <v>174</v>
      </c>
      <c r="I8428" s="86">
        <v>41955</v>
      </c>
      <c r="J8428" s="78">
        <v>1036</v>
      </c>
    </row>
    <row r="8429" spans="6:10" x14ac:dyDescent="0.25">
      <c r="F8429" s="76" t="s">
        <v>150</v>
      </c>
      <c r="G8429" s="77" t="s">
        <v>313</v>
      </c>
      <c r="H8429" s="77" t="s">
        <v>174</v>
      </c>
      <c r="I8429" s="86">
        <v>41957</v>
      </c>
      <c r="J8429" s="78">
        <v>1299</v>
      </c>
    </row>
    <row r="8430" spans="6:10" x14ac:dyDescent="0.25">
      <c r="F8430" s="76" t="s">
        <v>150</v>
      </c>
      <c r="G8430" s="77" t="s">
        <v>313</v>
      </c>
      <c r="H8430" s="77" t="s">
        <v>174</v>
      </c>
      <c r="I8430" s="86">
        <v>41960</v>
      </c>
      <c r="J8430" s="78">
        <v>1615</v>
      </c>
    </row>
    <row r="8431" spans="6:10" x14ac:dyDescent="0.25">
      <c r="F8431" s="76" t="s">
        <v>150</v>
      </c>
      <c r="G8431" s="77" t="s">
        <v>313</v>
      </c>
      <c r="H8431" s="77" t="s">
        <v>174</v>
      </c>
      <c r="I8431" s="86">
        <v>41962</v>
      </c>
      <c r="J8431" s="78">
        <v>936</v>
      </c>
    </row>
    <row r="8432" spans="6:10" x14ac:dyDescent="0.25">
      <c r="F8432" s="76" t="s">
        <v>150</v>
      </c>
      <c r="G8432" s="77" t="s">
        <v>313</v>
      </c>
      <c r="H8432" s="77" t="s">
        <v>174</v>
      </c>
      <c r="I8432" s="86">
        <v>41963</v>
      </c>
      <c r="J8432" s="78">
        <v>422</v>
      </c>
    </row>
    <row r="8433" spans="6:10" x14ac:dyDescent="0.25">
      <c r="F8433" s="76" t="s">
        <v>150</v>
      </c>
      <c r="G8433" s="77" t="s">
        <v>313</v>
      </c>
      <c r="H8433" s="77" t="s">
        <v>174</v>
      </c>
      <c r="I8433" s="86">
        <v>41964</v>
      </c>
      <c r="J8433" s="78">
        <v>1272</v>
      </c>
    </row>
    <row r="8434" spans="6:10" x14ac:dyDescent="0.25">
      <c r="F8434" s="76" t="s">
        <v>150</v>
      </c>
      <c r="G8434" s="77" t="s">
        <v>313</v>
      </c>
      <c r="H8434" s="77" t="s">
        <v>174</v>
      </c>
      <c r="I8434" s="86">
        <v>41967</v>
      </c>
      <c r="J8434" s="78">
        <v>405</v>
      </c>
    </row>
    <row r="8435" spans="6:10" x14ac:dyDescent="0.25">
      <c r="F8435" s="76" t="s">
        <v>150</v>
      </c>
      <c r="G8435" s="77" t="s">
        <v>313</v>
      </c>
      <c r="H8435" s="77" t="s">
        <v>174</v>
      </c>
      <c r="I8435" s="86">
        <v>41968</v>
      </c>
      <c r="J8435" s="78">
        <v>1009</v>
      </c>
    </row>
    <row r="8436" spans="6:10" x14ac:dyDescent="0.25">
      <c r="F8436" s="76" t="s">
        <v>150</v>
      </c>
      <c r="G8436" s="77" t="s">
        <v>313</v>
      </c>
      <c r="H8436" s="77" t="s">
        <v>174</v>
      </c>
      <c r="I8436" s="86">
        <v>41970</v>
      </c>
      <c r="J8436" s="78">
        <v>1152</v>
      </c>
    </row>
    <row r="8437" spans="6:10" x14ac:dyDescent="0.25">
      <c r="F8437" s="76" t="s">
        <v>150</v>
      </c>
      <c r="G8437" s="77" t="s">
        <v>313</v>
      </c>
      <c r="H8437" s="77" t="s">
        <v>174</v>
      </c>
      <c r="I8437" s="86">
        <v>41971</v>
      </c>
      <c r="J8437" s="78">
        <v>718</v>
      </c>
    </row>
    <row r="8438" spans="6:10" x14ac:dyDescent="0.25">
      <c r="F8438" s="76" t="s">
        <v>150</v>
      </c>
      <c r="G8438" s="77" t="s">
        <v>313</v>
      </c>
      <c r="H8438" s="77" t="s">
        <v>174</v>
      </c>
      <c r="I8438" s="86">
        <v>41977</v>
      </c>
      <c r="J8438" s="78">
        <v>1237</v>
      </c>
    </row>
    <row r="8439" spans="6:10" x14ac:dyDescent="0.25">
      <c r="F8439" s="76" t="s">
        <v>150</v>
      </c>
      <c r="G8439" s="77" t="s">
        <v>313</v>
      </c>
      <c r="H8439" s="77" t="s">
        <v>174</v>
      </c>
      <c r="I8439" s="86">
        <v>41978</v>
      </c>
      <c r="J8439" s="78">
        <v>603</v>
      </c>
    </row>
    <row r="8440" spans="6:10" x14ac:dyDescent="0.25">
      <c r="F8440" s="76" t="s">
        <v>150</v>
      </c>
      <c r="G8440" s="77" t="s">
        <v>313</v>
      </c>
      <c r="H8440" s="77" t="s">
        <v>174</v>
      </c>
      <c r="I8440" s="86">
        <v>41979</v>
      </c>
      <c r="J8440" s="78">
        <v>367</v>
      </c>
    </row>
    <row r="8441" spans="6:10" x14ac:dyDescent="0.25">
      <c r="F8441" s="76" t="s">
        <v>150</v>
      </c>
      <c r="G8441" s="77" t="s">
        <v>313</v>
      </c>
      <c r="H8441" s="77" t="s">
        <v>174</v>
      </c>
      <c r="I8441" s="86">
        <v>41980</v>
      </c>
      <c r="J8441" s="78">
        <v>835</v>
      </c>
    </row>
    <row r="8442" spans="6:10" x14ac:dyDescent="0.25">
      <c r="F8442" s="76" t="s">
        <v>150</v>
      </c>
      <c r="G8442" s="77" t="s">
        <v>313</v>
      </c>
      <c r="H8442" s="77" t="s">
        <v>174</v>
      </c>
      <c r="I8442" s="86">
        <v>41981</v>
      </c>
      <c r="J8442" s="78">
        <v>820</v>
      </c>
    </row>
    <row r="8443" spans="6:10" x14ac:dyDescent="0.25">
      <c r="F8443" s="76" t="s">
        <v>150</v>
      </c>
      <c r="G8443" s="77" t="s">
        <v>313</v>
      </c>
      <c r="H8443" s="77" t="s">
        <v>174</v>
      </c>
      <c r="I8443" s="86">
        <v>41982</v>
      </c>
      <c r="J8443" s="78">
        <v>1025</v>
      </c>
    </row>
    <row r="8444" spans="6:10" x14ac:dyDescent="0.25">
      <c r="F8444" s="76" t="s">
        <v>150</v>
      </c>
      <c r="G8444" s="77" t="s">
        <v>313</v>
      </c>
      <c r="H8444" s="77" t="s">
        <v>174</v>
      </c>
      <c r="I8444" s="86">
        <v>41983</v>
      </c>
      <c r="J8444" s="78">
        <v>303</v>
      </c>
    </row>
    <row r="8445" spans="6:10" x14ac:dyDescent="0.25">
      <c r="F8445" s="76" t="s">
        <v>150</v>
      </c>
      <c r="G8445" s="77" t="s">
        <v>313</v>
      </c>
      <c r="H8445" s="77" t="s">
        <v>174</v>
      </c>
      <c r="I8445" s="86">
        <v>41984</v>
      </c>
      <c r="J8445" s="78">
        <v>1116</v>
      </c>
    </row>
    <row r="8446" spans="6:10" x14ac:dyDescent="0.25">
      <c r="F8446" s="76" t="s">
        <v>150</v>
      </c>
      <c r="G8446" s="77" t="s">
        <v>313</v>
      </c>
      <c r="H8446" s="77" t="s">
        <v>174</v>
      </c>
      <c r="I8446" s="86">
        <v>41984</v>
      </c>
      <c r="J8446" s="78">
        <v>1228</v>
      </c>
    </row>
    <row r="8447" spans="6:10" x14ac:dyDescent="0.25">
      <c r="F8447" s="76" t="s">
        <v>150</v>
      </c>
      <c r="G8447" s="77" t="s">
        <v>313</v>
      </c>
      <c r="H8447" s="77" t="s">
        <v>174</v>
      </c>
      <c r="I8447" s="86">
        <v>41987</v>
      </c>
      <c r="J8447" s="78">
        <v>1025</v>
      </c>
    </row>
    <row r="8448" spans="6:10" x14ac:dyDescent="0.25">
      <c r="F8448" s="76" t="s">
        <v>150</v>
      </c>
      <c r="G8448" s="77" t="s">
        <v>313</v>
      </c>
      <c r="H8448" s="77" t="s">
        <v>174</v>
      </c>
      <c r="I8448" s="86">
        <v>41989</v>
      </c>
      <c r="J8448" s="78">
        <v>1421</v>
      </c>
    </row>
    <row r="8449" spans="6:10" x14ac:dyDescent="0.25">
      <c r="F8449" s="76" t="s">
        <v>150</v>
      </c>
      <c r="G8449" s="77" t="s">
        <v>313</v>
      </c>
      <c r="H8449" s="77" t="s">
        <v>174</v>
      </c>
      <c r="I8449" s="86">
        <v>41990</v>
      </c>
      <c r="J8449" s="78">
        <v>912</v>
      </c>
    </row>
    <row r="8450" spans="6:10" x14ac:dyDescent="0.25">
      <c r="F8450" s="76" t="s">
        <v>150</v>
      </c>
      <c r="G8450" s="77" t="s">
        <v>313</v>
      </c>
      <c r="H8450" s="77" t="s">
        <v>174</v>
      </c>
      <c r="I8450" s="86">
        <v>41991</v>
      </c>
      <c r="J8450" s="78">
        <v>550</v>
      </c>
    </row>
    <row r="8451" spans="6:10" x14ac:dyDescent="0.25">
      <c r="F8451" s="76" t="s">
        <v>150</v>
      </c>
      <c r="G8451" s="77" t="s">
        <v>313</v>
      </c>
      <c r="H8451" s="77" t="s">
        <v>174</v>
      </c>
      <c r="I8451" s="86">
        <v>41996</v>
      </c>
      <c r="J8451" s="78">
        <v>969</v>
      </c>
    </row>
    <row r="8452" spans="6:10" x14ac:dyDescent="0.25">
      <c r="F8452" s="76" t="s">
        <v>150</v>
      </c>
      <c r="G8452" s="77" t="s">
        <v>313</v>
      </c>
      <c r="H8452" s="77" t="s">
        <v>174</v>
      </c>
      <c r="I8452" s="86">
        <v>41999</v>
      </c>
      <c r="J8452" s="78">
        <v>1023</v>
      </c>
    </row>
    <row r="8453" spans="6:10" x14ac:dyDescent="0.25">
      <c r="F8453" s="76" t="s">
        <v>150</v>
      </c>
      <c r="G8453" s="77" t="s">
        <v>313</v>
      </c>
      <c r="H8453" s="77" t="s">
        <v>174</v>
      </c>
      <c r="I8453" s="86">
        <v>42002</v>
      </c>
      <c r="J8453" s="78">
        <v>1645</v>
      </c>
    </row>
    <row r="8454" spans="6:10" x14ac:dyDescent="0.25">
      <c r="F8454" s="76" t="s">
        <v>150</v>
      </c>
      <c r="G8454" s="77" t="s">
        <v>314</v>
      </c>
      <c r="H8454" s="77" t="s">
        <v>174</v>
      </c>
      <c r="I8454" s="86">
        <v>41638</v>
      </c>
      <c r="J8454" s="78">
        <v>484</v>
      </c>
    </row>
    <row r="8455" spans="6:10" x14ac:dyDescent="0.25">
      <c r="F8455" s="76" t="s">
        <v>150</v>
      </c>
      <c r="G8455" s="77" t="s">
        <v>314</v>
      </c>
      <c r="H8455" s="77" t="s">
        <v>174</v>
      </c>
      <c r="I8455" s="86">
        <v>41640</v>
      </c>
      <c r="J8455" s="78">
        <v>1168</v>
      </c>
    </row>
    <row r="8456" spans="6:10" x14ac:dyDescent="0.25">
      <c r="F8456" s="76" t="s">
        <v>150</v>
      </c>
      <c r="G8456" s="77" t="s">
        <v>314</v>
      </c>
      <c r="H8456" s="77" t="s">
        <v>174</v>
      </c>
      <c r="I8456" s="86">
        <v>41642</v>
      </c>
      <c r="J8456" s="78">
        <v>1185</v>
      </c>
    </row>
    <row r="8457" spans="6:10" x14ac:dyDescent="0.25">
      <c r="F8457" s="76" t="s">
        <v>150</v>
      </c>
      <c r="G8457" s="77" t="s">
        <v>314</v>
      </c>
      <c r="H8457" s="77" t="s">
        <v>174</v>
      </c>
      <c r="I8457" s="86">
        <v>41643</v>
      </c>
      <c r="J8457" s="78">
        <v>1081</v>
      </c>
    </row>
    <row r="8458" spans="6:10" x14ac:dyDescent="0.25">
      <c r="F8458" s="76" t="s">
        <v>150</v>
      </c>
      <c r="G8458" s="77" t="s">
        <v>314</v>
      </c>
      <c r="H8458" s="77" t="s">
        <v>174</v>
      </c>
      <c r="I8458" s="86">
        <v>41644</v>
      </c>
      <c r="J8458" s="78">
        <v>895</v>
      </c>
    </row>
    <row r="8459" spans="6:10" x14ac:dyDescent="0.25">
      <c r="F8459" s="76" t="s">
        <v>150</v>
      </c>
      <c r="G8459" s="77" t="s">
        <v>314</v>
      </c>
      <c r="H8459" s="77" t="s">
        <v>174</v>
      </c>
      <c r="I8459" s="86">
        <v>41645</v>
      </c>
      <c r="J8459" s="78">
        <v>749</v>
      </c>
    </row>
    <row r="8460" spans="6:10" x14ac:dyDescent="0.25">
      <c r="F8460" s="76" t="s">
        <v>150</v>
      </c>
      <c r="G8460" s="77" t="s">
        <v>314</v>
      </c>
      <c r="H8460" s="77" t="s">
        <v>174</v>
      </c>
      <c r="I8460" s="86">
        <v>41646</v>
      </c>
      <c r="J8460" s="78">
        <v>790</v>
      </c>
    </row>
    <row r="8461" spans="6:10" x14ac:dyDescent="0.25">
      <c r="F8461" s="76" t="s">
        <v>150</v>
      </c>
      <c r="G8461" s="77" t="s">
        <v>314</v>
      </c>
      <c r="H8461" s="77" t="s">
        <v>174</v>
      </c>
      <c r="I8461" s="86">
        <v>41647</v>
      </c>
      <c r="J8461" s="78">
        <v>1203</v>
      </c>
    </row>
    <row r="8462" spans="6:10" x14ac:dyDescent="0.25">
      <c r="F8462" s="76" t="s">
        <v>150</v>
      </c>
      <c r="G8462" s="77" t="s">
        <v>314</v>
      </c>
      <c r="H8462" s="77" t="s">
        <v>174</v>
      </c>
      <c r="I8462" s="86">
        <v>41648</v>
      </c>
      <c r="J8462" s="78">
        <v>321</v>
      </c>
    </row>
    <row r="8463" spans="6:10" x14ac:dyDescent="0.25">
      <c r="F8463" s="76" t="s">
        <v>150</v>
      </c>
      <c r="G8463" s="77" t="s">
        <v>314</v>
      </c>
      <c r="H8463" s="77" t="s">
        <v>174</v>
      </c>
      <c r="I8463" s="86">
        <v>41652</v>
      </c>
      <c r="J8463" s="78">
        <v>1300</v>
      </c>
    </row>
    <row r="8464" spans="6:10" x14ac:dyDescent="0.25">
      <c r="F8464" s="76" t="s">
        <v>150</v>
      </c>
      <c r="G8464" s="77" t="s">
        <v>314</v>
      </c>
      <c r="H8464" s="77" t="s">
        <v>174</v>
      </c>
      <c r="I8464" s="86">
        <v>41653</v>
      </c>
      <c r="J8464" s="78">
        <v>368</v>
      </c>
    </row>
    <row r="8465" spans="6:10" x14ac:dyDescent="0.25">
      <c r="F8465" s="76" t="s">
        <v>150</v>
      </c>
      <c r="G8465" s="77" t="s">
        <v>314</v>
      </c>
      <c r="H8465" s="77" t="s">
        <v>174</v>
      </c>
      <c r="I8465" s="86">
        <v>41655</v>
      </c>
      <c r="J8465" s="78">
        <v>1074</v>
      </c>
    </row>
    <row r="8466" spans="6:10" x14ac:dyDescent="0.25">
      <c r="F8466" s="76" t="s">
        <v>150</v>
      </c>
      <c r="G8466" s="77" t="s">
        <v>314</v>
      </c>
      <c r="H8466" s="77" t="s">
        <v>174</v>
      </c>
      <c r="I8466" s="86">
        <v>41684</v>
      </c>
      <c r="J8466" s="78">
        <v>477</v>
      </c>
    </row>
    <row r="8467" spans="6:10" x14ac:dyDescent="0.25">
      <c r="F8467" s="76" t="s">
        <v>150</v>
      </c>
      <c r="G8467" s="77" t="s">
        <v>314</v>
      </c>
      <c r="H8467" s="77" t="s">
        <v>174</v>
      </c>
      <c r="I8467" s="86">
        <v>41687</v>
      </c>
      <c r="J8467" s="78">
        <v>1232</v>
      </c>
    </row>
    <row r="8468" spans="6:10" x14ac:dyDescent="0.25">
      <c r="F8468" s="76" t="s">
        <v>150</v>
      </c>
      <c r="G8468" s="77" t="s">
        <v>314</v>
      </c>
      <c r="H8468" s="77" t="s">
        <v>174</v>
      </c>
      <c r="I8468" s="86">
        <v>41688</v>
      </c>
      <c r="J8468" s="78">
        <v>1001</v>
      </c>
    </row>
    <row r="8469" spans="6:10" x14ac:dyDescent="0.25">
      <c r="F8469" s="76" t="s">
        <v>150</v>
      </c>
      <c r="G8469" s="77" t="s">
        <v>314</v>
      </c>
      <c r="H8469" s="77" t="s">
        <v>174</v>
      </c>
      <c r="I8469" s="86">
        <v>41689</v>
      </c>
      <c r="J8469" s="78">
        <v>580</v>
      </c>
    </row>
    <row r="8470" spans="6:10" x14ac:dyDescent="0.25">
      <c r="F8470" s="76" t="s">
        <v>150</v>
      </c>
      <c r="G8470" s="77" t="s">
        <v>314</v>
      </c>
      <c r="H8470" s="77" t="s">
        <v>174</v>
      </c>
      <c r="I8470" s="86">
        <v>41690</v>
      </c>
      <c r="J8470" s="78">
        <v>539</v>
      </c>
    </row>
    <row r="8471" spans="6:10" x14ac:dyDescent="0.25">
      <c r="F8471" s="76" t="s">
        <v>150</v>
      </c>
      <c r="G8471" s="77" t="s">
        <v>314</v>
      </c>
      <c r="H8471" s="77" t="s">
        <v>174</v>
      </c>
      <c r="I8471" s="86">
        <v>41691</v>
      </c>
      <c r="J8471" s="78">
        <v>559</v>
      </c>
    </row>
    <row r="8472" spans="6:10" x14ac:dyDescent="0.25">
      <c r="F8472" s="76" t="s">
        <v>150</v>
      </c>
      <c r="G8472" s="77" t="s">
        <v>314</v>
      </c>
      <c r="H8472" s="77" t="s">
        <v>174</v>
      </c>
      <c r="I8472" s="86">
        <v>41692</v>
      </c>
      <c r="J8472" s="78">
        <v>945</v>
      </c>
    </row>
    <row r="8473" spans="6:10" x14ac:dyDescent="0.25">
      <c r="F8473" s="76" t="s">
        <v>150</v>
      </c>
      <c r="G8473" s="77" t="s">
        <v>314</v>
      </c>
      <c r="H8473" s="77" t="s">
        <v>174</v>
      </c>
      <c r="I8473" s="86">
        <v>41693</v>
      </c>
      <c r="J8473" s="78">
        <v>583</v>
      </c>
    </row>
    <row r="8474" spans="6:10" x14ac:dyDescent="0.25">
      <c r="F8474" s="76" t="s">
        <v>150</v>
      </c>
      <c r="G8474" s="77" t="s">
        <v>314</v>
      </c>
      <c r="H8474" s="77" t="s">
        <v>174</v>
      </c>
      <c r="I8474" s="86">
        <v>41694</v>
      </c>
      <c r="J8474" s="78">
        <v>752</v>
      </c>
    </row>
    <row r="8475" spans="6:10" x14ac:dyDescent="0.25">
      <c r="F8475" s="76" t="s">
        <v>150</v>
      </c>
      <c r="G8475" s="77" t="s">
        <v>314</v>
      </c>
      <c r="H8475" s="77" t="s">
        <v>174</v>
      </c>
      <c r="I8475" s="86">
        <v>41695</v>
      </c>
      <c r="J8475" s="78">
        <v>355</v>
      </c>
    </row>
    <row r="8476" spans="6:10" x14ac:dyDescent="0.25">
      <c r="F8476" s="76" t="s">
        <v>150</v>
      </c>
      <c r="G8476" s="77" t="s">
        <v>314</v>
      </c>
      <c r="H8476" s="77" t="s">
        <v>174</v>
      </c>
      <c r="I8476" s="86">
        <v>41696</v>
      </c>
      <c r="J8476" s="78">
        <v>741</v>
      </c>
    </row>
    <row r="8477" spans="6:10" x14ac:dyDescent="0.25">
      <c r="F8477" s="76" t="s">
        <v>150</v>
      </c>
      <c r="G8477" s="77" t="s">
        <v>314</v>
      </c>
      <c r="H8477" s="77" t="s">
        <v>174</v>
      </c>
      <c r="I8477" s="86">
        <v>41697</v>
      </c>
      <c r="J8477" s="78">
        <v>864</v>
      </c>
    </row>
    <row r="8478" spans="6:10" x14ac:dyDescent="0.25">
      <c r="F8478" s="76" t="s">
        <v>150</v>
      </c>
      <c r="G8478" s="77" t="s">
        <v>314</v>
      </c>
      <c r="H8478" s="77" t="s">
        <v>174</v>
      </c>
      <c r="I8478" s="86">
        <v>41698</v>
      </c>
      <c r="J8478" s="78">
        <v>955</v>
      </c>
    </row>
    <row r="8479" spans="6:10" x14ac:dyDescent="0.25">
      <c r="F8479" s="76" t="s">
        <v>150</v>
      </c>
      <c r="G8479" s="77" t="s">
        <v>314</v>
      </c>
      <c r="H8479" s="77" t="s">
        <v>174</v>
      </c>
      <c r="I8479" s="86">
        <v>41699</v>
      </c>
      <c r="J8479" s="78">
        <v>1088</v>
      </c>
    </row>
    <row r="8480" spans="6:10" x14ac:dyDescent="0.25">
      <c r="F8480" s="76" t="s">
        <v>150</v>
      </c>
      <c r="G8480" s="77" t="s">
        <v>314</v>
      </c>
      <c r="H8480" s="77" t="s">
        <v>174</v>
      </c>
      <c r="I8480" s="86">
        <v>41700</v>
      </c>
      <c r="J8480" s="78">
        <v>926</v>
      </c>
    </row>
    <row r="8481" spans="6:10" x14ac:dyDescent="0.25">
      <c r="F8481" s="76" t="s">
        <v>150</v>
      </c>
      <c r="G8481" s="77" t="s">
        <v>314</v>
      </c>
      <c r="H8481" s="77" t="s">
        <v>174</v>
      </c>
      <c r="I8481" s="86">
        <v>41701</v>
      </c>
      <c r="J8481" s="78">
        <v>1458</v>
      </c>
    </row>
    <row r="8482" spans="6:10" x14ac:dyDescent="0.25">
      <c r="F8482" s="76" t="s">
        <v>150</v>
      </c>
      <c r="G8482" s="77" t="s">
        <v>314</v>
      </c>
      <c r="H8482" s="77" t="s">
        <v>174</v>
      </c>
      <c r="I8482" s="86">
        <v>41702</v>
      </c>
      <c r="J8482" s="78">
        <v>745</v>
      </c>
    </row>
    <row r="8483" spans="6:10" x14ac:dyDescent="0.25">
      <c r="F8483" s="76" t="s">
        <v>150</v>
      </c>
      <c r="G8483" s="77" t="s">
        <v>314</v>
      </c>
      <c r="H8483" s="77" t="s">
        <v>174</v>
      </c>
      <c r="I8483" s="86">
        <v>41703</v>
      </c>
      <c r="J8483" s="78">
        <v>1430</v>
      </c>
    </row>
    <row r="8484" spans="6:10" x14ac:dyDescent="0.25">
      <c r="F8484" s="76" t="s">
        <v>150</v>
      </c>
      <c r="G8484" s="77" t="s">
        <v>314</v>
      </c>
      <c r="H8484" s="77" t="s">
        <v>174</v>
      </c>
      <c r="I8484" s="86">
        <v>41704</v>
      </c>
      <c r="J8484" s="78">
        <v>535</v>
      </c>
    </row>
    <row r="8485" spans="6:10" x14ac:dyDescent="0.25">
      <c r="F8485" s="76" t="s">
        <v>150</v>
      </c>
      <c r="G8485" s="77" t="s">
        <v>314</v>
      </c>
      <c r="H8485" s="77" t="s">
        <v>174</v>
      </c>
      <c r="I8485" s="86">
        <v>41705</v>
      </c>
      <c r="J8485" s="78">
        <v>1285</v>
      </c>
    </row>
    <row r="8486" spans="6:10" x14ac:dyDescent="0.25">
      <c r="F8486" s="76" t="s">
        <v>150</v>
      </c>
      <c r="G8486" s="77" t="s">
        <v>314</v>
      </c>
      <c r="H8486" s="77" t="s">
        <v>174</v>
      </c>
      <c r="I8486" s="86">
        <v>41708</v>
      </c>
      <c r="J8486" s="78">
        <v>399</v>
      </c>
    </row>
    <row r="8487" spans="6:10" x14ac:dyDescent="0.25">
      <c r="F8487" s="76" t="s">
        <v>150</v>
      </c>
      <c r="G8487" s="77" t="s">
        <v>314</v>
      </c>
      <c r="H8487" s="77" t="s">
        <v>174</v>
      </c>
      <c r="I8487" s="86">
        <v>41709</v>
      </c>
      <c r="J8487" s="78">
        <v>608</v>
      </c>
    </row>
    <row r="8488" spans="6:10" x14ac:dyDescent="0.25">
      <c r="F8488" s="76" t="s">
        <v>150</v>
      </c>
      <c r="G8488" s="77" t="s">
        <v>314</v>
      </c>
      <c r="H8488" s="77" t="s">
        <v>174</v>
      </c>
      <c r="I8488" s="86">
        <v>41710</v>
      </c>
      <c r="J8488" s="78">
        <v>1430</v>
      </c>
    </row>
    <row r="8489" spans="6:10" x14ac:dyDescent="0.25">
      <c r="F8489" s="76" t="s">
        <v>150</v>
      </c>
      <c r="G8489" s="77" t="s">
        <v>314</v>
      </c>
      <c r="H8489" s="77" t="s">
        <v>174</v>
      </c>
      <c r="I8489" s="86">
        <v>41711</v>
      </c>
      <c r="J8489" s="78">
        <v>525</v>
      </c>
    </row>
    <row r="8490" spans="6:10" x14ac:dyDescent="0.25">
      <c r="F8490" s="76" t="s">
        <v>150</v>
      </c>
      <c r="G8490" s="77" t="s">
        <v>314</v>
      </c>
      <c r="H8490" s="77" t="s">
        <v>174</v>
      </c>
      <c r="I8490" s="86">
        <v>41712</v>
      </c>
      <c r="J8490" s="78">
        <v>1286</v>
      </c>
    </row>
    <row r="8491" spans="6:10" x14ac:dyDescent="0.25">
      <c r="F8491" s="76" t="s">
        <v>150</v>
      </c>
      <c r="G8491" s="77" t="s">
        <v>314</v>
      </c>
      <c r="H8491" s="77" t="s">
        <v>174</v>
      </c>
      <c r="I8491" s="86">
        <v>41715</v>
      </c>
      <c r="J8491" s="78">
        <v>439</v>
      </c>
    </row>
    <row r="8492" spans="6:10" x14ac:dyDescent="0.25">
      <c r="F8492" s="76" t="s">
        <v>150</v>
      </c>
      <c r="G8492" s="77" t="s">
        <v>314</v>
      </c>
      <c r="H8492" s="77" t="s">
        <v>174</v>
      </c>
      <c r="I8492" s="86">
        <v>41716</v>
      </c>
      <c r="J8492" s="78">
        <v>1175</v>
      </c>
    </row>
    <row r="8493" spans="6:10" x14ac:dyDescent="0.25">
      <c r="F8493" s="76" t="s">
        <v>150</v>
      </c>
      <c r="G8493" s="77" t="s">
        <v>314</v>
      </c>
      <c r="H8493" s="77" t="s">
        <v>174</v>
      </c>
      <c r="I8493" s="86">
        <v>41717</v>
      </c>
      <c r="J8493" s="78">
        <v>514</v>
      </c>
    </row>
    <row r="8494" spans="6:10" x14ac:dyDescent="0.25">
      <c r="F8494" s="76" t="s">
        <v>150</v>
      </c>
      <c r="G8494" s="77" t="s">
        <v>314</v>
      </c>
      <c r="H8494" s="77" t="s">
        <v>174</v>
      </c>
      <c r="I8494" s="86">
        <v>41718</v>
      </c>
      <c r="J8494" s="78">
        <v>1360</v>
      </c>
    </row>
    <row r="8495" spans="6:10" x14ac:dyDescent="0.25">
      <c r="F8495" s="76" t="s">
        <v>150</v>
      </c>
      <c r="G8495" s="77" t="s">
        <v>314</v>
      </c>
      <c r="H8495" s="77" t="s">
        <v>174</v>
      </c>
      <c r="I8495" s="86">
        <v>41719</v>
      </c>
      <c r="J8495" s="78">
        <v>376</v>
      </c>
    </row>
    <row r="8496" spans="6:10" x14ac:dyDescent="0.25">
      <c r="F8496" s="76" t="s">
        <v>150</v>
      </c>
      <c r="G8496" s="77" t="s">
        <v>314</v>
      </c>
      <c r="H8496" s="77" t="s">
        <v>174</v>
      </c>
      <c r="I8496" s="86">
        <v>41721</v>
      </c>
      <c r="J8496" s="78">
        <v>668</v>
      </c>
    </row>
    <row r="8497" spans="6:10" x14ac:dyDescent="0.25">
      <c r="F8497" s="76" t="s">
        <v>150</v>
      </c>
      <c r="G8497" s="77" t="s">
        <v>314</v>
      </c>
      <c r="H8497" s="77" t="s">
        <v>174</v>
      </c>
      <c r="I8497" s="86">
        <v>41726</v>
      </c>
      <c r="J8497" s="78">
        <v>799</v>
      </c>
    </row>
    <row r="8498" spans="6:10" x14ac:dyDescent="0.25">
      <c r="F8498" s="76" t="s">
        <v>150</v>
      </c>
      <c r="G8498" s="77" t="s">
        <v>314</v>
      </c>
      <c r="H8498" s="77" t="s">
        <v>174</v>
      </c>
      <c r="I8498" s="86">
        <v>41729</v>
      </c>
      <c r="J8498" s="78">
        <v>546</v>
      </c>
    </row>
    <row r="8499" spans="6:10" x14ac:dyDescent="0.25">
      <c r="F8499" s="76" t="s">
        <v>150</v>
      </c>
      <c r="G8499" s="77" t="s">
        <v>314</v>
      </c>
      <c r="H8499" s="77" t="s">
        <v>174</v>
      </c>
      <c r="I8499" s="86">
        <v>41730</v>
      </c>
      <c r="J8499" s="78">
        <v>620</v>
      </c>
    </row>
    <row r="8500" spans="6:10" x14ac:dyDescent="0.25">
      <c r="F8500" s="76" t="s">
        <v>150</v>
      </c>
      <c r="G8500" s="77" t="s">
        <v>314</v>
      </c>
      <c r="H8500" s="77" t="s">
        <v>174</v>
      </c>
      <c r="I8500" s="86">
        <v>41732</v>
      </c>
      <c r="J8500" s="78">
        <v>915</v>
      </c>
    </row>
    <row r="8501" spans="6:10" x14ac:dyDescent="0.25">
      <c r="F8501" s="76" t="s">
        <v>150</v>
      </c>
      <c r="G8501" s="77" t="s">
        <v>314</v>
      </c>
      <c r="H8501" s="77" t="s">
        <v>174</v>
      </c>
      <c r="I8501" s="86">
        <v>41733</v>
      </c>
      <c r="J8501" s="78">
        <v>546</v>
      </c>
    </row>
    <row r="8502" spans="6:10" x14ac:dyDescent="0.25">
      <c r="F8502" s="76" t="s">
        <v>150</v>
      </c>
      <c r="G8502" s="77" t="s">
        <v>314</v>
      </c>
      <c r="H8502" s="77" t="s">
        <v>174</v>
      </c>
      <c r="I8502" s="86">
        <v>41736</v>
      </c>
      <c r="J8502" s="78">
        <v>1057</v>
      </c>
    </row>
    <row r="8503" spans="6:10" x14ac:dyDescent="0.25">
      <c r="F8503" s="76" t="s">
        <v>150</v>
      </c>
      <c r="G8503" s="77" t="s">
        <v>314</v>
      </c>
      <c r="H8503" s="77" t="s">
        <v>174</v>
      </c>
      <c r="I8503" s="86">
        <v>41737</v>
      </c>
      <c r="J8503" s="78">
        <v>997</v>
      </c>
    </row>
    <row r="8504" spans="6:10" x14ac:dyDescent="0.25">
      <c r="F8504" s="76" t="s">
        <v>150</v>
      </c>
      <c r="G8504" s="77" t="s">
        <v>314</v>
      </c>
      <c r="H8504" s="77" t="s">
        <v>174</v>
      </c>
      <c r="I8504" s="86">
        <v>41738</v>
      </c>
      <c r="J8504" s="78">
        <v>485</v>
      </c>
    </row>
    <row r="8505" spans="6:10" x14ac:dyDescent="0.25">
      <c r="F8505" s="76" t="s">
        <v>150</v>
      </c>
      <c r="G8505" s="77" t="s">
        <v>314</v>
      </c>
      <c r="H8505" s="77" t="s">
        <v>174</v>
      </c>
      <c r="I8505" s="86">
        <v>41739</v>
      </c>
      <c r="J8505" s="78">
        <v>581</v>
      </c>
    </row>
    <row r="8506" spans="6:10" x14ac:dyDescent="0.25">
      <c r="F8506" s="76" t="s">
        <v>150</v>
      </c>
      <c r="G8506" s="77" t="s">
        <v>314</v>
      </c>
      <c r="H8506" s="77" t="s">
        <v>174</v>
      </c>
      <c r="I8506" s="86">
        <v>41740</v>
      </c>
      <c r="J8506" s="78">
        <v>938</v>
      </c>
    </row>
    <row r="8507" spans="6:10" x14ac:dyDescent="0.25">
      <c r="F8507" s="76" t="s">
        <v>150</v>
      </c>
      <c r="G8507" s="77" t="s">
        <v>314</v>
      </c>
      <c r="H8507" s="77" t="s">
        <v>174</v>
      </c>
      <c r="I8507" s="86">
        <v>41741</v>
      </c>
      <c r="J8507" s="78">
        <v>639</v>
      </c>
    </row>
    <row r="8508" spans="6:10" x14ac:dyDescent="0.25">
      <c r="F8508" s="76" t="s">
        <v>150</v>
      </c>
      <c r="G8508" s="77" t="s">
        <v>314</v>
      </c>
      <c r="H8508" s="77" t="s">
        <v>174</v>
      </c>
      <c r="I8508" s="86">
        <v>41742</v>
      </c>
      <c r="J8508" s="78">
        <v>734</v>
      </c>
    </row>
    <row r="8509" spans="6:10" x14ac:dyDescent="0.25">
      <c r="F8509" s="76" t="s">
        <v>150</v>
      </c>
      <c r="G8509" s="77" t="s">
        <v>314</v>
      </c>
      <c r="H8509" s="77" t="s">
        <v>174</v>
      </c>
      <c r="I8509" s="86">
        <v>41743</v>
      </c>
      <c r="J8509" s="78">
        <v>197</v>
      </c>
    </row>
    <row r="8510" spans="6:10" x14ac:dyDescent="0.25">
      <c r="F8510" s="76" t="s">
        <v>150</v>
      </c>
      <c r="G8510" s="77" t="s">
        <v>314</v>
      </c>
      <c r="H8510" s="77" t="s">
        <v>174</v>
      </c>
      <c r="I8510" s="86">
        <v>41743</v>
      </c>
      <c r="J8510" s="78">
        <v>771</v>
      </c>
    </row>
    <row r="8511" spans="6:10" x14ac:dyDescent="0.25">
      <c r="F8511" s="76" t="s">
        <v>150</v>
      </c>
      <c r="G8511" s="77" t="s">
        <v>314</v>
      </c>
      <c r="H8511" s="77" t="s">
        <v>174</v>
      </c>
      <c r="I8511" s="86">
        <v>41745</v>
      </c>
      <c r="J8511" s="78">
        <v>1098</v>
      </c>
    </row>
    <row r="8512" spans="6:10" x14ac:dyDescent="0.25">
      <c r="F8512" s="76" t="s">
        <v>150</v>
      </c>
      <c r="G8512" s="77" t="s">
        <v>314</v>
      </c>
      <c r="H8512" s="77" t="s">
        <v>174</v>
      </c>
      <c r="I8512" s="86">
        <v>41746</v>
      </c>
      <c r="J8512" s="78">
        <v>367</v>
      </c>
    </row>
    <row r="8513" spans="6:10" x14ac:dyDescent="0.25">
      <c r="F8513" s="76" t="s">
        <v>150</v>
      </c>
      <c r="G8513" s="77" t="s">
        <v>314</v>
      </c>
      <c r="H8513" s="77" t="s">
        <v>174</v>
      </c>
      <c r="I8513" s="86">
        <v>41747</v>
      </c>
      <c r="J8513" s="78">
        <v>511</v>
      </c>
    </row>
    <row r="8514" spans="6:10" x14ac:dyDescent="0.25">
      <c r="F8514" s="76" t="s">
        <v>150</v>
      </c>
      <c r="G8514" s="77" t="s">
        <v>314</v>
      </c>
      <c r="H8514" s="77" t="s">
        <v>174</v>
      </c>
      <c r="I8514" s="86">
        <v>41748</v>
      </c>
      <c r="J8514" s="78">
        <v>543</v>
      </c>
    </row>
    <row r="8515" spans="6:10" x14ac:dyDescent="0.25">
      <c r="F8515" s="76" t="s">
        <v>150</v>
      </c>
      <c r="G8515" s="77" t="s">
        <v>314</v>
      </c>
      <c r="H8515" s="77" t="s">
        <v>174</v>
      </c>
      <c r="I8515" s="86">
        <v>41749</v>
      </c>
      <c r="J8515" s="78">
        <v>1040</v>
      </c>
    </row>
    <row r="8516" spans="6:10" x14ac:dyDescent="0.25">
      <c r="F8516" s="76" t="s">
        <v>150</v>
      </c>
      <c r="G8516" s="77" t="s">
        <v>314</v>
      </c>
      <c r="H8516" s="77" t="s">
        <v>174</v>
      </c>
      <c r="I8516" s="86">
        <v>41750</v>
      </c>
      <c r="J8516" s="78">
        <v>825</v>
      </c>
    </row>
    <row r="8517" spans="6:10" x14ac:dyDescent="0.25">
      <c r="F8517" s="76" t="s">
        <v>150</v>
      </c>
      <c r="G8517" s="77" t="s">
        <v>314</v>
      </c>
      <c r="H8517" s="77" t="s">
        <v>174</v>
      </c>
      <c r="I8517" s="86">
        <v>41752</v>
      </c>
      <c r="J8517" s="78">
        <v>898</v>
      </c>
    </row>
    <row r="8518" spans="6:10" x14ac:dyDescent="0.25">
      <c r="F8518" s="76" t="s">
        <v>150</v>
      </c>
      <c r="G8518" s="77" t="s">
        <v>314</v>
      </c>
      <c r="H8518" s="77" t="s">
        <v>174</v>
      </c>
      <c r="I8518" s="86">
        <v>41753</v>
      </c>
      <c r="J8518" s="78">
        <v>598</v>
      </c>
    </row>
    <row r="8519" spans="6:10" x14ac:dyDescent="0.25">
      <c r="F8519" s="76" t="s">
        <v>150</v>
      </c>
      <c r="G8519" s="77" t="s">
        <v>314</v>
      </c>
      <c r="H8519" s="77" t="s">
        <v>174</v>
      </c>
      <c r="I8519" s="86">
        <v>41754</v>
      </c>
      <c r="J8519" s="78">
        <v>917</v>
      </c>
    </row>
    <row r="8520" spans="6:10" x14ac:dyDescent="0.25">
      <c r="F8520" s="76" t="s">
        <v>150</v>
      </c>
      <c r="G8520" s="77" t="s">
        <v>314</v>
      </c>
      <c r="H8520" s="77" t="s">
        <v>174</v>
      </c>
      <c r="I8520" s="86">
        <v>41757</v>
      </c>
      <c r="J8520" s="78">
        <v>1092</v>
      </c>
    </row>
    <row r="8521" spans="6:10" x14ac:dyDescent="0.25">
      <c r="F8521" s="76" t="s">
        <v>150</v>
      </c>
      <c r="G8521" s="77" t="s">
        <v>314</v>
      </c>
      <c r="H8521" s="77" t="s">
        <v>174</v>
      </c>
      <c r="I8521" s="86">
        <v>41758</v>
      </c>
      <c r="J8521" s="78">
        <v>480</v>
      </c>
    </row>
    <row r="8522" spans="6:10" x14ac:dyDescent="0.25">
      <c r="F8522" s="76" t="s">
        <v>150</v>
      </c>
      <c r="G8522" s="77" t="s">
        <v>314</v>
      </c>
      <c r="H8522" s="77" t="s">
        <v>174</v>
      </c>
      <c r="I8522" s="86">
        <v>41759</v>
      </c>
      <c r="J8522" s="78">
        <v>1257</v>
      </c>
    </row>
    <row r="8523" spans="6:10" x14ac:dyDescent="0.25">
      <c r="F8523" s="76" t="s">
        <v>150</v>
      </c>
      <c r="G8523" s="77" t="s">
        <v>314</v>
      </c>
      <c r="H8523" s="77" t="s">
        <v>174</v>
      </c>
      <c r="I8523" s="86">
        <v>41764</v>
      </c>
      <c r="J8523" s="78">
        <v>870</v>
      </c>
    </row>
    <row r="8524" spans="6:10" x14ac:dyDescent="0.25">
      <c r="F8524" s="76" t="s">
        <v>150</v>
      </c>
      <c r="G8524" s="77" t="s">
        <v>314</v>
      </c>
      <c r="H8524" s="77" t="s">
        <v>174</v>
      </c>
      <c r="I8524" s="86">
        <v>41765</v>
      </c>
      <c r="J8524" s="78">
        <v>1080</v>
      </c>
    </row>
    <row r="8525" spans="6:10" x14ac:dyDescent="0.25">
      <c r="F8525" s="76" t="s">
        <v>150</v>
      </c>
      <c r="G8525" s="77" t="s">
        <v>314</v>
      </c>
      <c r="H8525" s="77" t="s">
        <v>174</v>
      </c>
      <c r="I8525" s="86">
        <v>41766</v>
      </c>
      <c r="J8525" s="78">
        <v>864</v>
      </c>
    </row>
    <row r="8526" spans="6:10" x14ac:dyDescent="0.25">
      <c r="F8526" s="76" t="s">
        <v>150</v>
      </c>
      <c r="G8526" s="77" t="s">
        <v>314</v>
      </c>
      <c r="H8526" s="77" t="s">
        <v>174</v>
      </c>
      <c r="I8526" s="86">
        <v>41956</v>
      </c>
      <c r="J8526" s="78">
        <v>354</v>
      </c>
    </row>
    <row r="8527" spans="6:10" x14ac:dyDescent="0.25">
      <c r="F8527" s="76" t="s">
        <v>150</v>
      </c>
      <c r="G8527" s="77" t="s">
        <v>314</v>
      </c>
      <c r="H8527" s="77" t="s">
        <v>174</v>
      </c>
      <c r="I8527" s="86">
        <v>41960</v>
      </c>
      <c r="J8527" s="78">
        <v>907</v>
      </c>
    </row>
    <row r="8528" spans="6:10" x14ac:dyDescent="0.25">
      <c r="F8528" s="76" t="s">
        <v>150</v>
      </c>
      <c r="G8528" s="77" t="s">
        <v>314</v>
      </c>
      <c r="H8528" s="77" t="s">
        <v>174</v>
      </c>
      <c r="I8528" s="86">
        <v>41962</v>
      </c>
      <c r="J8528" s="78">
        <v>1053</v>
      </c>
    </row>
    <row r="8529" spans="6:10" x14ac:dyDescent="0.25">
      <c r="F8529" s="76" t="s">
        <v>150</v>
      </c>
      <c r="G8529" s="77" t="s">
        <v>314</v>
      </c>
      <c r="H8529" s="77" t="s">
        <v>174</v>
      </c>
      <c r="I8529" s="86">
        <v>41964</v>
      </c>
      <c r="J8529" s="78">
        <v>850</v>
      </c>
    </row>
    <row r="8530" spans="6:10" x14ac:dyDescent="0.25">
      <c r="F8530" s="76" t="s">
        <v>150</v>
      </c>
      <c r="G8530" s="77" t="s">
        <v>314</v>
      </c>
      <c r="H8530" s="77" t="s">
        <v>174</v>
      </c>
      <c r="I8530" s="86">
        <v>41965</v>
      </c>
      <c r="J8530" s="78">
        <v>382</v>
      </c>
    </row>
    <row r="8531" spans="6:10" x14ac:dyDescent="0.25">
      <c r="F8531" s="76" t="s">
        <v>150</v>
      </c>
      <c r="G8531" s="77" t="s">
        <v>314</v>
      </c>
      <c r="H8531" s="77" t="s">
        <v>174</v>
      </c>
      <c r="I8531" s="86">
        <v>41966</v>
      </c>
      <c r="J8531" s="78">
        <v>1189</v>
      </c>
    </row>
    <row r="8532" spans="6:10" x14ac:dyDescent="0.25">
      <c r="F8532" s="76" t="s">
        <v>150</v>
      </c>
      <c r="G8532" s="77" t="s">
        <v>314</v>
      </c>
      <c r="H8532" s="77" t="s">
        <v>174</v>
      </c>
      <c r="I8532" s="86">
        <v>41967</v>
      </c>
      <c r="J8532" s="78">
        <v>1311</v>
      </c>
    </row>
    <row r="8533" spans="6:10" x14ac:dyDescent="0.25">
      <c r="F8533" s="76" t="s">
        <v>150</v>
      </c>
      <c r="G8533" s="77" t="s">
        <v>314</v>
      </c>
      <c r="H8533" s="77" t="s">
        <v>174</v>
      </c>
      <c r="I8533" s="86">
        <v>41968</v>
      </c>
      <c r="J8533" s="78">
        <v>309</v>
      </c>
    </row>
    <row r="8534" spans="6:10" x14ac:dyDescent="0.25">
      <c r="F8534" s="76" t="s">
        <v>150</v>
      </c>
      <c r="G8534" s="77" t="s">
        <v>314</v>
      </c>
      <c r="H8534" s="77" t="s">
        <v>174</v>
      </c>
      <c r="I8534" s="86">
        <v>41969</v>
      </c>
      <c r="J8534" s="78">
        <v>913</v>
      </c>
    </row>
    <row r="8535" spans="6:10" x14ac:dyDescent="0.25">
      <c r="F8535" s="76" t="s">
        <v>150</v>
      </c>
      <c r="G8535" s="77" t="s">
        <v>314</v>
      </c>
      <c r="H8535" s="77" t="s">
        <v>174</v>
      </c>
      <c r="I8535" s="86">
        <v>41970</v>
      </c>
      <c r="J8535" s="78">
        <v>615</v>
      </c>
    </row>
    <row r="8536" spans="6:10" x14ac:dyDescent="0.25">
      <c r="F8536" s="76" t="s">
        <v>150</v>
      </c>
      <c r="G8536" s="77" t="s">
        <v>314</v>
      </c>
      <c r="H8536" s="77" t="s">
        <v>174</v>
      </c>
      <c r="I8536" s="86">
        <v>41971</v>
      </c>
      <c r="J8536" s="78">
        <v>966</v>
      </c>
    </row>
    <row r="8537" spans="6:10" x14ac:dyDescent="0.25">
      <c r="F8537" s="76" t="s">
        <v>150</v>
      </c>
      <c r="G8537" s="77" t="s">
        <v>314</v>
      </c>
      <c r="H8537" s="77" t="s">
        <v>174</v>
      </c>
      <c r="I8537" s="86">
        <v>41972</v>
      </c>
      <c r="J8537" s="78">
        <v>526</v>
      </c>
    </row>
    <row r="8538" spans="6:10" x14ac:dyDescent="0.25">
      <c r="F8538" s="76" t="s">
        <v>150</v>
      </c>
      <c r="G8538" s="77" t="s">
        <v>314</v>
      </c>
      <c r="H8538" s="77" t="s">
        <v>174</v>
      </c>
      <c r="I8538" s="86">
        <v>41973</v>
      </c>
      <c r="J8538" s="78">
        <v>515</v>
      </c>
    </row>
    <row r="8539" spans="6:10" x14ac:dyDescent="0.25">
      <c r="F8539" s="76" t="s">
        <v>150</v>
      </c>
      <c r="G8539" s="77" t="s">
        <v>314</v>
      </c>
      <c r="H8539" s="77" t="s">
        <v>174</v>
      </c>
      <c r="I8539" s="86">
        <v>41974</v>
      </c>
      <c r="J8539" s="78">
        <v>733</v>
      </c>
    </row>
    <row r="8540" spans="6:10" x14ac:dyDescent="0.25">
      <c r="F8540" s="76" t="s">
        <v>150</v>
      </c>
      <c r="G8540" s="77" t="s">
        <v>314</v>
      </c>
      <c r="H8540" s="77" t="s">
        <v>174</v>
      </c>
      <c r="I8540" s="86">
        <v>41975</v>
      </c>
      <c r="J8540" s="78">
        <v>568</v>
      </c>
    </row>
    <row r="8541" spans="6:10" x14ac:dyDescent="0.25">
      <c r="F8541" s="76" t="s">
        <v>150</v>
      </c>
      <c r="G8541" s="77" t="s">
        <v>314</v>
      </c>
      <c r="H8541" s="77" t="s">
        <v>174</v>
      </c>
      <c r="I8541" s="86">
        <v>41977</v>
      </c>
      <c r="J8541" s="78">
        <v>1502</v>
      </c>
    </row>
    <row r="8542" spans="6:10" x14ac:dyDescent="0.25">
      <c r="F8542" s="76" t="s">
        <v>150</v>
      </c>
      <c r="G8542" s="77" t="s">
        <v>314</v>
      </c>
      <c r="H8542" s="77" t="s">
        <v>174</v>
      </c>
      <c r="I8542" s="86">
        <v>41979</v>
      </c>
      <c r="J8542" s="78">
        <v>918</v>
      </c>
    </row>
    <row r="8543" spans="6:10" x14ac:dyDescent="0.25">
      <c r="F8543" s="76" t="s">
        <v>150</v>
      </c>
      <c r="G8543" s="77" t="s">
        <v>314</v>
      </c>
      <c r="H8543" s="77" t="s">
        <v>174</v>
      </c>
      <c r="I8543" s="86">
        <v>41981</v>
      </c>
      <c r="J8543" s="78">
        <v>1164</v>
      </c>
    </row>
    <row r="8544" spans="6:10" x14ac:dyDescent="0.25">
      <c r="F8544" s="76" t="s">
        <v>150</v>
      </c>
      <c r="G8544" s="77" t="s">
        <v>314</v>
      </c>
      <c r="H8544" s="77" t="s">
        <v>174</v>
      </c>
      <c r="I8544" s="86">
        <v>41982</v>
      </c>
      <c r="J8544" s="78">
        <v>731</v>
      </c>
    </row>
    <row r="8545" spans="6:10" x14ac:dyDescent="0.25">
      <c r="F8545" s="76" t="s">
        <v>150</v>
      </c>
      <c r="G8545" s="77" t="s">
        <v>314</v>
      </c>
      <c r="H8545" s="77" t="s">
        <v>174</v>
      </c>
      <c r="I8545" s="86">
        <v>41985</v>
      </c>
      <c r="J8545" s="78">
        <v>1070</v>
      </c>
    </row>
    <row r="8546" spans="6:10" x14ac:dyDescent="0.25">
      <c r="F8546" s="76" t="s">
        <v>150</v>
      </c>
      <c r="G8546" s="77" t="s">
        <v>314</v>
      </c>
      <c r="H8546" s="77" t="s">
        <v>174</v>
      </c>
      <c r="I8546" s="86">
        <v>41986</v>
      </c>
      <c r="J8546" s="78">
        <v>420</v>
      </c>
    </row>
    <row r="8547" spans="6:10" x14ac:dyDescent="0.25">
      <c r="F8547" s="76" t="s">
        <v>150</v>
      </c>
      <c r="G8547" s="77" t="s">
        <v>314</v>
      </c>
      <c r="H8547" s="77" t="s">
        <v>174</v>
      </c>
      <c r="I8547" s="86">
        <v>41987</v>
      </c>
      <c r="J8547" s="78">
        <v>577</v>
      </c>
    </row>
    <row r="8548" spans="6:10" x14ac:dyDescent="0.25">
      <c r="F8548" s="76" t="s">
        <v>150</v>
      </c>
      <c r="G8548" s="77" t="s">
        <v>314</v>
      </c>
      <c r="H8548" s="77" t="s">
        <v>174</v>
      </c>
      <c r="I8548" s="86">
        <v>41988</v>
      </c>
      <c r="J8548" s="78">
        <v>1177</v>
      </c>
    </row>
    <row r="8549" spans="6:10" x14ac:dyDescent="0.25">
      <c r="F8549" s="76" t="s">
        <v>150</v>
      </c>
      <c r="G8549" s="77" t="s">
        <v>314</v>
      </c>
      <c r="H8549" s="77" t="s">
        <v>174</v>
      </c>
      <c r="I8549" s="86">
        <v>41989</v>
      </c>
      <c r="J8549" s="78">
        <v>616</v>
      </c>
    </row>
    <row r="8550" spans="6:10" x14ac:dyDescent="0.25">
      <c r="F8550" s="76" t="s">
        <v>150</v>
      </c>
      <c r="G8550" s="77" t="s">
        <v>314</v>
      </c>
      <c r="H8550" s="77" t="s">
        <v>174</v>
      </c>
      <c r="I8550" s="86">
        <v>41992</v>
      </c>
      <c r="J8550" s="78">
        <v>1463</v>
      </c>
    </row>
    <row r="8551" spans="6:10" x14ac:dyDescent="0.25">
      <c r="F8551" s="76" t="s">
        <v>150</v>
      </c>
      <c r="G8551" s="77" t="s">
        <v>314</v>
      </c>
      <c r="H8551" s="77" t="s">
        <v>174</v>
      </c>
      <c r="I8551" s="86">
        <v>41993</v>
      </c>
      <c r="J8551" s="78">
        <v>327</v>
      </c>
    </row>
    <row r="8552" spans="6:10" x14ac:dyDescent="0.25">
      <c r="F8552" s="76" t="s">
        <v>150</v>
      </c>
      <c r="G8552" s="77" t="s">
        <v>315</v>
      </c>
      <c r="H8552" s="77" t="s">
        <v>174</v>
      </c>
      <c r="I8552" s="86">
        <v>41635</v>
      </c>
      <c r="J8552" s="78">
        <v>960</v>
      </c>
    </row>
    <row r="8553" spans="6:10" x14ac:dyDescent="0.25">
      <c r="F8553" s="76" t="s">
        <v>150</v>
      </c>
      <c r="G8553" s="77" t="s">
        <v>315</v>
      </c>
      <c r="H8553" s="77" t="s">
        <v>174</v>
      </c>
      <c r="I8553" s="86">
        <v>41638</v>
      </c>
      <c r="J8553" s="78">
        <v>531</v>
      </c>
    </row>
    <row r="8554" spans="6:10" x14ac:dyDescent="0.25">
      <c r="F8554" s="76" t="s">
        <v>150</v>
      </c>
      <c r="G8554" s="77" t="s">
        <v>315</v>
      </c>
      <c r="H8554" s="77" t="s">
        <v>174</v>
      </c>
      <c r="I8554" s="86">
        <v>41639</v>
      </c>
      <c r="J8554" s="78">
        <v>1297</v>
      </c>
    </row>
    <row r="8555" spans="6:10" x14ac:dyDescent="0.25">
      <c r="F8555" s="76" t="s">
        <v>150</v>
      </c>
      <c r="G8555" s="77" t="s">
        <v>315</v>
      </c>
      <c r="H8555" s="77" t="s">
        <v>174</v>
      </c>
      <c r="I8555" s="86">
        <v>41641</v>
      </c>
      <c r="J8555" s="78">
        <v>1046</v>
      </c>
    </row>
    <row r="8556" spans="6:10" x14ac:dyDescent="0.25">
      <c r="F8556" s="76" t="s">
        <v>150</v>
      </c>
      <c r="G8556" s="77" t="s">
        <v>315</v>
      </c>
      <c r="H8556" s="77" t="s">
        <v>174</v>
      </c>
      <c r="I8556" s="86">
        <v>41642</v>
      </c>
      <c r="J8556" s="78">
        <v>1085</v>
      </c>
    </row>
    <row r="8557" spans="6:10" x14ac:dyDescent="0.25">
      <c r="F8557" s="76" t="s">
        <v>150</v>
      </c>
      <c r="G8557" s="77" t="s">
        <v>315</v>
      </c>
      <c r="H8557" s="77" t="s">
        <v>174</v>
      </c>
      <c r="I8557" s="86">
        <v>41644</v>
      </c>
      <c r="J8557" s="78">
        <v>1578</v>
      </c>
    </row>
    <row r="8558" spans="6:10" x14ac:dyDescent="0.25">
      <c r="F8558" s="76" t="s">
        <v>150</v>
      </c>
      <c r="G8558" s="77" t="s">
        <v>315</v>
      </c>
      <c r="H8558" s="77" t="s">
        <v>174</v>
      </c>
      <c r="I8558" s="86">
        <v>41645</v>
      </c>
      <c r="J8558" s="78">
        <v>819</v>
      </c>
    </row>
    <row r="8559" spans="6:10" x14ac:dyDescent="0.25">
      <c r="F8559" s="76" t="s">
        <v>150</v>
      </c>
      <c r="G8559" s="77" t="s">
        <v>315</v>
      </c>
      <c r="H8559" s="77" t="s">
        <v>174</v>
      </c>
      <c r="I8559" s="86">
        <v>41646</v>
      </c>
      <c r="J8559" s="78">
        <v>734</v>
      </c>
    </row>
    <row r="8560" spans="6:10" x14ac:dyDescent="0.25">
      <c r="F8560" s="76" t="s">
        <v>150</v>
      </c>
      <c r="G8560" s="77" t="s">
        <v>315</v>
      </c>
      <c r="H8560" s="77" t="s">
        <v>174</v>
      </c>
      <c r="I8560" s="86">
        <v>41648</v>
      </c>
      <c r="J8560" s="78">
        <v>1147</v>
      </c>
    </row>
    <row r="8561" spans="6:10" x14ac:dyDescent="0.25">
      <c r="F8561" s="76" t="s">
        <v>150</v>
      </c>
      <c r="G8561" s="77" t="s">
        <v>315</v>
      </c>
      <c r="H8561" s="77" t="s">
        <v>174</v>
      </c>
      <c r="I8561" s="86">
        <v>41654</v>
      </c>
      <c r="J8561" s="78">
        <v>814</v>
      </c>
    </row>
    <row r="8562" spans="6:10" x14ac:dyDescent="0.25">
      <c r="F8562" s="76" t="s">
        <v>150</v>
      </c>
      <c r="G8562" s="77" t="s">
        <v>315</v>
      </c>
      <c r="H8562" s="77" t="s">
        <v>174</v>
      </c>
      <c r="I8562" s="86">
        <v>41655</v>
      </c>
      <c r="J8562" s="78">
        <v>780</v>
      </c>
    </row>
    <row r="8563" spans="6:10" x14ac:dyDescent="0.25">
      <c r="F8563" s="76" t="s">
        <v>150</v>
      </c>
      <c r="G8563" s="77" t="s">
        <v>315</v>
      </c>
      <c r="H8563" s="77" t="s">
        <v>174</v>
      </c>
      <c r="I8563" s="86">
        <v>41657</v>
      </c>
      <c r="J8563" s="78">
        <v>979</v>
      </c>
    </row>
    <row r="8564" spans="6:10" x14ac:dyDescent="0.25">
      <c r="F8564" s="76" t="s">
        <v>150</v>
      </c>
      <c r="G8564" s="77" t="s">
        <v>315</v>
      </c>
      <c r="H8564" s="77" t="s">
        <v>174</v>
      </c>
      <c r="I8564" s="86">
        <v>41658</v>
      </c>
      <c r="J8564" s="78">
        <v>702</v>
      </c>
    </row>
    <row r="8565" spans="6:10" x14ac:dyDescent="0.25">
      <c r="F8565" s="76" t="s">
        <v>150</v>
      </c>
      <c r="G8565" s="77" t="s">
        <v>315</v>
      </c>
      <c r="H8565" s="77" t="s">
        <v>174</v>
      </c>
      <c r="I8565" s="86">
        <v>41659</v>
      </c>
      <c r="J8565" s="78">
        <v>978</v>
      </c>
    </row>
    <row r="8566" spans="6:10" x14ac:dyDescent="0.25">
      <c r="F8566" s="76" t="s">
        <v>150</v>
      </c>
      <c r="G8566" s="77" t="s">
        <v>315</v>
      </c>
      <c r="H8566" s="77" t="s">
        <v>174</v>
      </c>
      <c r="I8566" s="86">
        <v>41660</v>
      </c>
      <c r="J8566" s="78">
        <v>752</v>
      </c>
    </row>
    <row r="8567" spans="6:10" x14ac:dyDescent="0.25">
      <c r="F8567" s="76" t="s">
        <v>150</v>
      </c>
      <c r="G8567" s="77" t="s">
        <v>315</v>
      </c>
      <c r="H8567" s="77" t="s">
        <v>174</v>
      </c>
      <c r="I8567" s="86">
        <v>41662</v>
      </c>
      <c r="J8567" s="78">
        <v>1288</v>
      </c>
    </row>
    <row r="8568" spans="6:10" x14ac:dyDescent="0.25">
      <c r="F8568" s="76" t="s">
        <v>150</v>
      </c>
      <c r="G8568" s="77" t="s">
        <v>315</v>
      </c>
      <c r="H8568" s="77" t="s">
        <v>174</v>
      </c>
      <c r="I8568" s="86">
        <v>41663</v>
      </c>
      <c r="J8568" s="78">
        <v>784</v>
      </c>
    </row>
    <row r="8569" spans="6:10" x14ac:dyDescent="0.25">
      <c r="F8569" s="76" t="s">
        <v>150</v>
      </c>
      <c r="G8569" s="77" t="s">
        <v>315</v>
      </c>
      <c r="H8569" s="77" t="s">
        <v>174</v>
      </c>
      <c r="I8569" s="86">
        <v>41666</v>
      </c>
      <c r="J8569" s="78">
        <v>1292</v>
      </c>
    </row>
    <row r="8570" spans="6:10" x14ac:dyDescent="0.25">
      <c r="F8570" s="76" t="s">
        <v>150</v>
      </c>
      <c r="G8570" s="77" t="s">
        <v>315</v>
      </c>
      <c r="H8570" s="77" t="s">
        <v>174</v>
      </c>
      <c r="I8570" s="86">
        <v>41667</v>
      </c>
      <c r="J8570" s="78">
        <v>667</v>
      </c>
    </row>
    <row r="8571" spans="6:10" x14ac:dyDescent="0.25">
      <c r="F8571" s="76" t="s">
        <v>150</v>
      </c>
      <c r="G8571" s="77" t="s">
        <v>315</v>
      </c>
      <c r="H8571" s="77" t="s">
        <v>174</v>
      </c>
      <c r="I8571" s="86">
        <v>41698</v>
      </c>
      <c r="J8571" s="78">
        <v>393</v>
      </c>
    </row>
    <row r="8572" spans="6:10" x14ac:dyDescent="0.25">
      <c r="F8572" s="76" t="s">
        <v>150</v>
      </c>
      <c r="G8572" s="77" t="s">
        <v>315</v>
      </c>
      <c r="H8572" s="77" t="s">
        <v>174</v>
      </c>
      <c r="I8572" s="86">
        <v>41701</v>
      </c>
      <c r="J8572" s="78">
        <v>980</v>
      </c>
    </row>
    <row r="8573" spans="6:10" x14ac:dyDescent="0.25">
      <c r="F8573" s="76" t="s">
        <v>150</v>
      </c>
      <c r="G8573" s="77" t="s">
        <v>315</v>
      </c>
      <c r="H8573" s="77" t="s">
        <v>174</v>
      </c>
      <c r="I8573" s="86">
        <v>41703</v>
      </c>
      <c r="J8573" s="78">
        <v>1382</v>
      </c>
    </row>
    <row r="8574" spans="6:10" x14ac:dyDescent="0.25">
      <c r="F8574" s="76" t="s">
        <v>150</v>
      </c>
      <c r="G8574" s="77" t="s">
        <v>315</v>
      </c>
      <c r="H8574" s="77" t="s">
        <v>174</v>
      </c>
      <c r="I8574" s="86">
        <v>41705</v>
      </c>
      <c r="J8574" s="78">
        <v>1137</v>
      </c>
    </row>
    <row r="8575" spans="6:10" x14ac:dyDescent="0.25">
      <c r="F8575" s="76" t="s">
        <v>150</v>
      </c>
      <c r="G8575" s="77" t="s">
        <v>315</v>
      </c>
      <c r="H8575" s="77" t="s">
        <v>174</v>
      </c>
      <c r="I8575" s="86">
        <v>41706</v>
      </c>
      <c r="J8575" s="78">
        <v>411</v>
      </c>
    </row>
    <row r="8576" spans="6:10" x14ac:dyDescent="0.25">
      <c r="F8576" s="76" t="s">
        <v>150</v>
      </c>
      <c r="G8576" s="77" t="s">
        <v>315</v>
      </c>
      <c r="H8576" s="77" t="s">
        <v>174</v>
      </c>
      <c r="I8576" s="86">
        <v>41707</v>
      </c>
      <c r="J8576" s="78">
        <v>517</v>
      </c>
    </row>
    <row r="8577" spans="6:10" x14ac:dyDescent="0.25">
      <c r="F8577" s="76" t="s">
        <v>150</v>
      </c>
      <c r="G8577" s="77" t="s">
        <v>315</v>
      </c>
      <c r="H8577" s="77" t="s">
        <v>174</v>
      </c>
      <c r="I8577" s="86">
        <v>41708</v>
      </c>
      <c r="J8577" s="78">
        <v>656</v>
      </c>
    </row>
    <row r="8578" spans="6:10" x14ac:dyDescent="0.25">
      <c r="F8578" s="76" t="s">
        <v>150</v>
      </c>
      <c r="G8578" s="77" t="s">
        <v>315</v>
      </c>
      <c r="H8578" s="77" t="s">
        <v>174</v>
      </c>
      <c r="I8578" s="86">
        <v>41709</v>
      </c>
      <c r="J8578" s="78">
        <v>487</v>
      </c>
    </row>
    <row r="8579" spans="6:10" x14ac:dyDescent="0.25">
      <c r="F8579" s="76" t="s">
        <v>150</v>
      </c>
      <c r="G8579" s="77" t="s">
        <v>315</v>
      </c>
      <c r="H8579" s="77" t="s">
        <v>174</v>
      </c>
      <c r="I8579" s="86">
        <v>41710</v>
      </c>
      <c r="J8579" s="78">
        <v>546</v>
      </c>
    </row>
    <row r="8580" spans="6:10" x14ac:dyDescent="0.25">
      <c r="F8580" s="76" t="s">
        <v>150</v>
      </c>
      <c r="G8580" s="77" t="s">
        <v>315</v>
      </c>
      <c r="H8580" s="77" t="s">
        <v>174</v>
      </c>
      <c r="I8580" s="86">
        <v>41711</v>
      </c>
      <c r="J8580" s="78">
        <v>1174</v>
      </c>
    </row>
    <row r="8581" spans="6:10" x14ac:dyDescent="0.25">
      <c r="F8581" s="76" t="s">
        <v>150</v>
      </c>
      <c r="G8581" s="77" t="s">
        <v>315</v>
      </c>
      <c r="H8581" s="77" t="s">
        <v>174</v>
      </c>
      <c r="I8581" s="86">
        <v>41712</v>
      </c>
      <c r="J8581" s="78">
        <v>562</v>
      </c>
    </row>
    <row r="8582" spans="6:10" x14ac:dyDescent="0.25">
      <c r="F8582" s="76" t="s">
        <v>150</v>
      </c>
      <c r="G8582" s="77" t="s">
        <v>315</v>
      </c>
      <c r="H8582" s="77" t="s">
        <v>174</v>
      </c>
      <c r="I8582" s="86">
        <v>41714</v>
      </c>
      <c r="J8582" s="78">
        <v>1132</v>
      </c>
    </row>
    <row r="8583" spans="6:10" x14ac:dyDescent="0.25">
      <c r="F8583" s="76" t="s">
        <v>150</v>
      </c>
      <c r="G8583" s="77" t="s">
        <v>315</v>
      </c>
      <c r="H8583" s="77" t="s">
        <v>174</v>
      </c>
      <c r="I8583" s="86">
        <v>41715</v>
      </c>
      <c r="J8583" s="78">
        <v>606</v>
      </c>
    </row>
    <row r="8584" spans="6:10" x14ac:dyDescent="0.25">
      <c r="F8584" s="76" t="s">
        <v>150</v>
      </c>
      <c r="G8584" s="77" t="s">
        <v>315</v>
      </c>
      <c r="H8584" s="77" t="s">
        <v>174</v>
      </c>
      <c r="I8584" s="86">
        <v>41716</v>
      </c>
      <c r="J8584" s="78">
        <v>662</v>
      </c>
    </row>
    <row r="8585" spans="6:10" x14ac:dyDescent="0.25">
      <c r="F8585" s="76" t="s">
        <v>150</v>
      </c>
      <c r="G8585" s="77" t="s">
        <v>315</v>
      </c>
      <c r="H8585" s="77" t="s">
        <v>174</v>
      </c>
      <c r="I8585" s="86">
        <v>41717</v>
      </c>
      <c r="J8585" s="78">
        <v>986</v>
      </c>
    </row>
    <row r="8586" spans="6:10" x14ac:dyDescent="0.25">
      <c r="F8586" s="76" t="s">
        <v>150</v>
      </c>
      <c r="G8586" s="77" t="s">
        <v>315</v>
      </c>
      <c r="H8586" s="77" t="s">
        <v>174</v>
      </c>
      <c r="I8586" s="86">
        <v>41718</v>
      </c>
      <c r="J8586" s="78">
        <v>544</v>
      </c>
    </row>
    <row r="8587" spans="6:10" x14ac:dyDescent="0.25">
      <c r="F8587" s="76" t="s">
        <v>150</v>
      </c>
      <c r="G8587" s="77" t="s">
        <v>315</v>
      </c>
      <c r="H8587" s="77" t="s">
        <v>174</v>
      </c>
      <c r="I8587" s="86">
        <v>41719</v>
      </c>
      <c r="J8587" s="78">
        <v>542</v>
      </c>
    </row>
    <row r="8588" spans="6:10" x14ac:dyDescent="0.25">
      <c r="F8588" s="76" t="s">
        <v>150</v>
      </c>
      <c r="G8588" s="77" t="s">
        <v>315</v>
      </c>
      <c r="H8588" s="77" t="s">
        <v>174</v>
      </c>
      <c r="I8588" s="86">
        <v>41720</v>
      </c>
      <c r="J8588" s="78">
        <v>632</v>
      </c>
    </row>
    <row r="8589" spans="6:10" x14ac:dyDescent="0.25">
      <c r="F8589" s="76" t="s">
        <v>150</v>
      </c>
      <c r="G8589" s="77" t="s">
        <v>315</v>
      </c>
      <c r="H8589" s="77" t="s">
        <v>174</v>
      </c>
      <c r="I8589" s="86">
        <v>41721</v>
      </c>
      <c r="J8589" s="78">
        <v>854</v>
      </c>
    </row>
    <row r="8590" spans="6:10" x14ac:dyDescent="0.25">
      <c r="F8590" s="76" t="s">
        <v>150</v>
      </c>
      <c r="G8590" s="77" t="s">
        <v>315</v>
      </c>
      <c r="H8590" s="77" t="s">
        <v>174</v>
      </c>
      <c r="I8590" s="86">
        <v>41722</v>
      </c>
      <c r="J8590" s="78">
        <v>849</v>
      </c>
    </row>
    <row r="8591" spans="6:10" x14ac:dyDescent="0.25">
      <c r="F8591" s="76" t="s">
        <v>150</v>
      </c>
      <c r="G8591" s="77" t="s">
        <v>315</v>
      </c>
      <c r="H8591" s="77" t="s">
        <v>174</v>
      </c>
      <c r="I8591" s="86">
        <v>41723</v>
      </c>
      <c r="J8591" s="78">
        <v>1133</v>
      </c>
    </row>
    <row r="8592" spans="6:10" x14ac:dyDescent="0.25">
      <c r="F8592" s="76" t="s">
        <v>150</v>
      </c>
      <c r="G8592" s="77" t="s">
        <v>315</v>
      </c>
      <c r="H8592" s="77" t="s">
        <v>174</v>
      </c>
      <c r="I8592" s="86">
        <v>41724</v>
      </c>
      <c r="J8592" s="78">
        <v>604</v>
      </c>
    </row>
    <row r="8593" spans="6:10" x14ac:dyDescent="0.25">
      <c r="F8593" s="76" t="s">
        <v>150</v>
      </c>
      <c r="G8593" s="77" t="s">
        <v>315</v>
      </c>
      <c r="H8593" s="77" t="s">
        <v>174</v>
      </c>
      <c r="I8593" s="86">
        <v>41725</v>
      </c>
      <c r="J8593" s="78">
        <v>1230</v>
      </c>
    </row>
    <row r="8594" spans="6:10" x14ac:dyDescent="0.25">
      <c r="F8594" s="76" t="s">
        <v>150</v>
      </c>
      <c r="G8594" s="77" t="s">
        <v>315</v>
      </c>
      <c r="H8594" s="77" t="s">
        <v>174</v>
      </c>
      <c r="I8594" s="86">
        <v>41729</v>
      </c>
      <c r="J8594" s="78">
        <v>1601</v>
      </c>
    </row>
    <row r="8595" spans="6:10" x14ac:dyDescent="0.25">
      <c r="F8595" s="76" t="s">
        <v>150</v>
      </c>
      <c r="G8595" s="77" t="s">
        <v>315</v>
      </c>
      <c r="H8595" s="77" t="s">
        <v>174</v>
      </c>
      <c r="I8595" s="86">
        <v>41730</v>
      </c>
      <c r="J8595" s="78">
        <v>350</v>
      </c>
    </row>
    <row r="8596" spans="6:10" x14ac:dyDescent="0.25">
      <c r="F8596" s="76" t="s">
        <v>150</v>
      </c>
      <c r="G8596" s="77" t="s">
        <v>315</v>
      </c>
      <c r="H8596" s="77" t="s">
        <v>174</v>
      </c>
      <c r="I8596" s="86">
        <v>41731</v>
      </c>
      <c r="J8596" s="78">
        <v>1145</v>
      </c>
    </row>
    <row r="8597" spans="6:10" x14ac:dyDescent="0.25">
      <c r="F8597" s="76" t="s">
        <v>150</v>
      </c>
      <c r="G8597" s="77" t="s">
        <v>315</v>
      </c>
      <c r="H8597" s="77" t="s">
        <v>174</v>
      </c>
      <c r="I8597" s="86">
        <v>41732</v>
      </c>
      <c r="J8597" s="78">
        <v>686</v>
      </c>
    </row>
    <row r="8598" spans="6:10" x14ac:dyDescent="0.25">
      <c r="F8598" s="76" t="s">
        <v>150</v>
      </c>
      <c r="G8598" s="77" t="s">
        <v>315</v>
      </c>
      <c r="H8598" s="77" t="s">
        <v>174</v>
      </c>
      <c r="I8598" s="86">
        <v>41733</v>
      </c>
      <c r="J8598" s="78">
        <v>1123</v>
      </c>
    </row>
    <row r="8599" spans="6:10" x14ac:dyDescent="0.25">
      <c r="F8599" s="76" t="s">
        <v>150</v>
      </c>
      <c r="G8599" s="77" t="s">
        <v>315</v>
      </c>
      <c r="H8599" s="77" t="s">
        <v>174</v>
      </c>
      <c r="I8599" s="86">
        <v>41736</v>
      </c>
      <c r="J8599" s="78">
        <v>368</v>
      </c>
    </row>
    <row r="8600" spans="6:10" x14ac:dyDescent="0.25">
      <c r="F8600" s="76" t="s">
        <v>150</v>
      </c>
      <c r="G8600" s="77" t="s">
        <v>315</v>
      </c>
      <c r="H8600" s="77" t="s">
        <v>174</v>
      </c>
      <c r="I8600" s="86">
        <v>41737</v>
      </c>
      <c r="J8600" s="78">
        <v>1180</v>
      </c>
    </row>
    <row r="8601" spans="6:10" x14ac:dyDescent="0.25">
      <c r="F8601" s="76" t="s">
        <v>150</v>
      </c>
      <c r="G8601" s="77" t="s">
        <v>315</v>
      </c>
      <c r="H8601" s="77" t="s">
        <v>174</v>
      </c>
      <c r="I8601" s="86">
        <v>41738</v>
      </c>
      <c r="J8601" s="78">
        <v>543</v>
      </c>
    </row>
    <row r="8602" spans="6:10" x14ac:dyDescent="0.25">
      <c r="F8602" s="76" t="s">
        <v>150</v>
      </c>
      <c r="G8602" s="77" t="s">
        <v>315</v>
      </c>
      <c r="H8602" s="77" t="s">
        <v>174</v>
      </c>
      <c r="I8602" s="86">
        <v>41740</v>
      </c>
      <c r="J8602" s="78">
        <v>381</v>
      </c>
    </row>
    <row r="8603" spans="6:10" x14ac:dyDescent="0.25">
      <c r="F8603" s="76" t="s">
        <v>150</v>
      </c>
      <c r="G8603" s="77" t="s">
        <v>315</v>
      </c>
      <c r="H8603" s="77" t="s">
        <v>174</v>
      </c>
      <c r="I8603" s="86">
        <v>41743</v>
      </c>
      <c r="J8603" s="78">
        <v>1272</v>
      </c>
    </row>
    <row r="8604" spans="6:10" x14ac:dyDescent="0.25">
      <c r="F8604" s="76" t="s">
        <v>150</v>
      </c>
      <c r="G8604" s="77" t="s">
        <v>315</v>
      </c>
      <c r="H8604" s="77" t="s">
        <v>174</v>
      </c>
      <c r="I8604" s="86">
        <v>41744</v>
      </c>
      <c r="J8604" s="78">
        <v>477</v>
      </c>
    </row>
    <row r="8605" spans="6:10" x14ac:dyDescent="0.25">
      <c r="F8605" s="76" t="s">
        <v>150</v>
      </c>
      <c r="G8605" s="77" t="s">
        <v>315</v>
      </c>
      <c r="H8605" s="77" t="s">
        <v>174</v>
      </c>
      <c r="I8605" s="86">
        <v>41746</v>
      </c>
      <c r="J8605" s="78">
        <v>974</v>
      </c>
    </row>
    <row r="8606" spans="6:10" x14ac:dyDescent="0.25">
      <c r="F8606" s="76" t="s">
        <v>150</v>
      </c>
      <c r="G8606" s="77" t="s">
        <v>315</v>
      </c>
      <c r="H8606" s="77" t="s">
        <v>174</v>
      </c>
      <c r="I8606" s="86">
        <v>41764</v>
      </c>
      <c r="J8606" s="78">
        <v>1250</v>
      </c>
    </row>
    <row r="8607" spans="6:10" x14ac:dyDescent="0.25">
      <c r="F8607" s="76" t="s">
        <v>150</v>
      </c>
      <c r="G8607" s="77" t="s">
        <v>315</v>
      </c>
      <c r="H8607" s="77" t="s">
        <v>174</v>
      </c>
      <c r="I8607" s="86">
        <v>41766</v>
      </c>
      <c r="J8607" s="78">
        <v>1030</v>
      </c>
    </row>
    <row r="8608" spans="6:10" x14ac:dyDescent="0.25">
      <c r="F8608" s="76" t="s">
        <v>150</v>
      </c>
      <c r="G8608" s="77" t="s">
        <v>315</v>
      </c>
      <c r="H8608" s="77" t="s">
        <v>174</v>
      </c>
      <c r="I8608" s="86">
        <v>41767</v>
      </c>
      <c r="J8608" s="78">
        <v>392</v>
      </c>
    </row>
    <row r="8609" spans="6:10" x14ac:dyDescent="0.25">
      <c r="F8609" s="76" t="s">
        <v>150</v>
      </c>
      <c r="G8609" s="77" t="s">
        <v>315</v>
      </c>
      <c r="H8609" s="77" t="s">
        <v>174</v>
      </c>
      <c r="I8609" s="86">
        <v>41768</v>
      </c>
      <c r="J8609" s="78">
        <v>637</v>
      </c>
    </row>
    <row r="8610" spans="6:10" x14ac:dyDescent="0.25">
      <c r="F8610" s="76" t="s">
        <v>150</v>
      </c>
      <c r="G8610" s="77" t="s">
        <v>315</v>
      </c>
      <c r="H8610" s="77" t="s">
        <v>174</v>
      </c>
      <c r="I8610" s="86">
        <v>41769</v>
      </c>
      <c r="J8610" s="78">
        <v>823</v>
      </c>
    </row>
    <row r="8611" spans="6:10" x14ac:dyDescent="0.25">
      <c r="F8611" s="76" t="s">
        <v>150</v>
      </c>
      <c r="G8611" s="77" t="s">
        <v>315</v>
      </c>
      <c r="H8611" s="77" t="s">
        <v>174</v>
      </c>
      <c r="I8611" s="86">
        <v>41770</v>
      </c>
      <c r="J8611" s="78">
        <v>667</v>
      </c>
    </row>
    <row r="8612" spans="6:10" x14ac:dyDescent="0.25">
      <c r="F8612" s="76" t="s">
        <v>150</v>
      </c>
      <c r="G8612" s="77" t="s">
        <v>315</v>
      </c>
      <c r="H8612" s="77" t="s">
        <v>174</v>
      </c>
      <c r="I8612" s="86">
        <v>41771</v>
      </c>
      <c r="J8612" s="78">
        <v>398</v>
      </c>
    </row>
    <row r="8613" spans="6:10" x14ac:dyDescent="0.25">
      <c r="F8613" s="76" t="s">
        <v>150</v>
      </c>
      <c r="G8613" s="77" t="s">
        <v>315</v>
      </c>
      <c r="H8613" s="77" t="s">
        <v>174</v>
      </c>
      <c r="I8613" s="86">
        <v>41771</v>
      </c>
      <c r="J8613" s="78">
        <v>840</v>
      </c>
    </row>
    <row r="8614" spans="6:10" x14ac:dyDescent="0.25">
      <c r="F8614" s="76" t="s">
        <v>150</v>
      </c>
      <c r="G8614" s="77" t="s">
        <v>315</v>
      </c>
      <c r="H8614" s="77" t="s">
        <v>174</v>
      </c>
      <c r="I8614" s="86">
        <v>41773</v>
      </c>
      <c r="J8614" s="78">
        <v>734</v>
      </c>
    </row>
    <row r="8615" spans="6:10" x14ac:dyDescent="0.25">
      <c r="F8615" s="76" t="s">
        <v>150</v>
      </c>
      <c r="G8615" s="77" t="s">
        <v>315</v>
      </c>
      <c r="H8615" s="77" t="s">
        <v>174</v>
      </c>
      <c r="I8615" s="86">
        <v>41774</v>
      </c>
      <c r="J8615" s="78">
        <v>946</v>
      </c>
    </row>
    <row r="8616" spans="6:10" x14ac:dyDescent="0.25">
      <c r="F8616" s="76" t="s">
        <v>150</v>
      </c>
      <c r="G8616" s="77" t="s">
        <v>315</v>
      </c>
      <c r="H8616" s="77" t="s">
        <v>174</v>
      </c>
      <c r="I8616" s="86">
        <v>41793</v>
      </c>
      <c r="J8616" s="78">
        <v>186</v>
      </c>
    </row>
    <row r="8617" spans="6:10" x14ac:dyDescent="0.25">
      <c r="F8617" s="76" t="s">
        <v>150</v>
      </c>
      <c r="G8617" s="77" t="s">
        <v>315</v>
      </c>
      <c r="H8617" s="77" t="s">
        <v>174</v>
      </c>
      <c r="I8617" s="86">
        <v>41795</v>
      </c>
      <c r="J8617" s="78">
        <v>989</v>
      </c>
    </row>
    <row r="8618" spans="6:10" x14ac:dyDescent="0.25">
      <c r="F8618" s="76" t="s">
        <v>150</v>
      </c>
      <c r="G8618" s="77" t="s">
        <v>315</v>
      </c>
      <c r="H8618" s="77" t="s">
        <v>174</v>
      </c>
      <c r="I8618" s="86">
        <v>41799</v>
      </c>
      <c r="J8618" s="78">
        <v>1105</v>
      </c>
    </row>
    <row r="8619" spans="6:10" x14ac:dyDescent="0.25">
      <c r="F8619" s="76" t="s">
        <v>150</v>
      </c>
      <c r="G8619" s="77" t="s">
        <v>315</v>
      </c>
      <c r="H8619" s="77" t="s">
        <v>174</v>
      </c>
      <c r="I8619" s="86">
        <v>41801</v>
      </c>
      <c r="J8619" s="78">
        <v>858</v>
      </c>
    </row>
    <row r="8620" spans="6:10" x14ac:dyDescent="0.25">
      <c r="F8620" s="76" t="s">
        <v>150</v>
      </c>
      <c r="G8620" s="77" t="s">
        <v>315</v>
      </c>
      <c r="H8620" s="77" t="s">
        <v>174</v>
      </c>
      <c r="I8620" s="86">
        <v>41810</v>
      </c>
      <c r="J8620" s="78">
        <v>655</v>
      </c>
    </row>
    <row r="8621" spans="6:10" x14ac:dyDescent="0.25">
      <c r="F8621" s="76" t="s">
        <v>150</v>
      </c>
      <c r="G8621" s="77" t="s">
        <v>315</v>
      </c>
      <c r="H8621" s="77" t="s">
        <v>174</v>
      </c>
      <c r="I8621" s="86">
        <v>41810</v>
      </c>
      <c r="J8621" s="78">
        <v>544</v>
      </c>
    </row>
    <row r="8622" spans="6:10" x14ac:dyDescent="0.25">
      <c r="F8622" s="76" t="s">
        <v>150</v>
      </c>
      <c r="G8622" s="77" t="s">
        <v>315</v>
      </c>
      <c r="H8622" s="77" t="s">
        <v>174</v>
      </c>
      <c r="I8622" s="86">
        <v>41811</v>
      </c>
      <c r="J8622" s="78">
        <v>616</v>
      </c>
    </row>
    <row r="8623" spans="6:10" x14ac:dyDescent="0.25">
      <c r="F8623" s="76" t="s">
        <v>150</v>
      </c>
      <c r="G8623" s="77" t="s">
        <v>315</v>
      </c>
      <c r="H8623" s="77" t="s">
        <v>174</v>
      </c>
      <c r="I8623" s="86">
        <v>41812</v>
      </c>
      <c r="J8623" s="78">
        <v>997</v>
      </c>
    </row>
    <row r="8624" spans="6:10" x14ac:dyDescent="0.25">
      <c r="F8624" s="76" t="s">
        <v>150</v>
      </c>
      <c r="G8624" s="77" t="s">
        <v>315</v>
      </c>
      <c r="H8624" s="77" t="s">
        <v>174</v>
      </c>
      <c r="I8624" s="86">
        <v>41813</v>
      </c>
      <c r="J8624" s="78">
        <v>1000</v>
      </c>
    </row>
    <row r="8625" spans="6:10" x14ac:dyDescent="0.25">
      <c r="F8625" s="76" t="s">
        <v>150</v>
      </c>
      <c r="G8625" s="77" t="s">
        <v>315</v>
      </c>
      <c r="H8625" s="77" t="s">
        <v>174</v>
      </c>
      <c r="I8625" s="86">
        <v>41816</v>
      </c>
      <c r="J8625" s="78">
        <v>961</v>
      </c>
    </row>
    <row r="8626" spans="6:10" x14ac:dyDescent="0.25">
      <c r="F8626" s="76" t="s">
        <v>150</v>
      </c>
      <c r="G8626" s="77" t="s">
        <v>315</v>
      </c>
      <c r="H8626" s="77" t="s">
        <v>174</v>
      </c>
      <c r="I8626" s="86">
        <v>41820</v>
      </c>
      <c r="J8626" s="78">
        <v>1110</v>
      </c>
    </row>
    <row r="8627" spans="6:10" x14ac:dyDescent="0.25">
      <c r="F8627" s="76" t="s">
        <v>150</v>
      </c>
      <c r="G8627" s="77" t="s">
        <v>315</v>
      </c>
      <c r="H8627" s="77" t="s">
        <v>174</v>
      </c>
      <c r="I8627" s="86">
        <v>41822</v>
      </c>
      <c r="J8627" s="78">
        <v>730</v>
      </c>
    </row>
    <row r="8628" spans="6:10" x14ac:dyDescent="0.25">
      <c r="F8628" s="76" t="s">
        <v>150</v>
      </c>
      <c r="G8628" s="77" t="s">
        <v>315</v>
      </c>
      <c r="H8628" s="77" t="s">
        <v>174</v>
      </c>
      <c r="I8628" s="86">
        <v>41827</v>
      </c>
      <c r="J8628" s="78">
        <v>1246</v>
      </c>
    </row>
    <row r="8629" spans="6:10" x14ac:dyDescent="0.25">
      <c r="F8629" s="76" t="s">
        <v>150</v>
      </c>
      <c r="G8629" s="77" t="s">
        <v>315</v>
      </c>
      <c r="H8629" s="77" t="s">
        <v>174</v>
      </c>
      <c r="I8629" s="86">
        <v>41828</v>
      </c>
      <c r="J8629" s="78">
        <v>554</v>
      </c>
    </row>
    <row r="8630" spans="6:10" x14ac:dyDescent="0.25">
      <c r="F8630" s="76" t="s">
        <v>150</v>
      </c>
      <c r="G8630" s="77" t="s">
        <v>315</v>
      </c>
      <c r="H8630" s="77" t="s">
        <v>174</v>
      </c>
      <c r="I8630" s="86">
        <v>41830</v>
      </c>
      <c r="J8630" s="78">
        <v>1144</v>
      </c>
    </row>
    <row r="8631" spans="6:10" x14ac:dyDescent="0.25">
      <c r="F8631" s="76" t="s">
        <v>150</v>
      </c>
      <c r="G8631" s="77" t="s">
        <v>315</v>
      </c>
      <c r="H8631" s="77" t="s">
        <v>174</v>
      </c>
      <c r="I8631" s="86">
        <v>41831</v>
      </c>
      <c r="J8631" s="78">
        <v>920</v>
      </c>
    </row>
    <row r="8632" spans="6:10" x14ac:dyDescent="0.25">
      <c r="F8632" s="76" t="s">
        <v>150</v>
      </c>
      <c r="G8632" s="77" t="s">
        <v>315</v>
      </c>
      <c r="H8632" s="77" t="s">
        <v>174</v>
      </c>
      <c r="I8632" s="86">
        <v>41834</v>
      </c>
      <c r="J8632" s="78">
        <v>1310</v>
      </c>
    </row>
    <row r="8633" spans="6:10" x14ac:dyDescent="0.25">
      <c r="F8633" s="76" t="s">
        <v>150</v>
      </c>
      <c r="G8633" s="77" t="s">
        <v>315</v>
      </c>
      <c r="H8633" s="77" t="s">
        <v>174</v>
      </c>
      <c r="I8633" s="86">
        <v>41836</v>
      </c>
      <c r="J8633" s="78">
        <v>1307</v>
      </c>
    </row>
    <row r="8634" spans="6:10" x14ac:dyDescent="0.25">
      <c r="F8634" s="76" t="s">
        <v>150</v>
      </c>
      <c r="G8634" s="77" t="s">
        <v>315</v>
      </c>
      <c r="H8634" s="77" t="s">
        <v>174</v>
      </c>
      <c r="I8634" s="86">
        <v>41837</v>
      </c>
      <c r="J8634" s="78">
        <v>632</v>
      </c>
    </row>
    <row r="8635" spans="6:10" x14ac:dyDescent="0.25">
      <c r="F8635" s="76" t="s">
        <v>150</v>
      </c>
      <c r="G8635" s="77" t="s">
        <v>315</v>
      </c>
      <c r="H8635" s="77" t="s">
        <v>174</v>
      </c>
      <c r="I8635" s="86">
        <v>41838</v>
      </c>
      <c r="J8635" s="78">
        <v>1389</v>
      </c>
    </row>
    <row r="8636" spans="6:10" x14ac:dyDescent="0.25">
      <c r="F8636" s="76" t="s">
        <v>150</v>
      </c>
      <c r="G8636" s="77" t="s">
        <v>315</v>
      </c>
      <c r="H8636" s="77" t="s">
        <v>174</v>
      </c>
      <c r="I8636" s="86">
        <v>41841</v>
      </c>
      <c r="J8636" s="78">
        <v>472</v>
      </c>
    </row>
    <row r="8637" spans="6:10" x14ac:dyDescent="0.25">
      <c r="F8637" s="76" t="s">
        <v>150</v>
      </c>
      <c r="G8637" s="77" t="s">
        <v>315</v>
      </c>
      <c r="H8637" s="77" t="s">
        <v>174</v>
      </c>
      <c r="I8637" s="86">
        <v>41842</v>
      </c>
      <c r="J8637" s="78">
        <v>1097</v>
      </c>
    </row>
    <row r="8638" spans="6:10" x14ac:dyDescent="0.25">
      <c r="F8638" s="76" t="s">
        <v>150</v>
      </c>
      <c r="G8638" s="77" t="s">
        <v>315</v>
      </c>
      <c r="H8638" s="77" t="s">
        <v>174</v>
      </c>
      <c r="I8638" s="86">
        <v>41843</v>
      </c>
      <c r="J8638" s="78">
        <v>1168</v>
      </c>
    </row>
    <row r="8639" spans="6:10" x14ac:dyDescent="0.25">
      <c r="F8639" s="76" t="s">
        <v>150</v>
      </c>
      <c r="G8639" s="77" t="s">
        <v>315</v>
      </c>
      <c r="H8639" s="77" t="s">
        <v>174</v>
      </c>
      <c r="I8639" s="86">
        <v>41844</v>
      </c>
      <c r="J8639" s="78">
        <v>935</v>
      </c>
    </row>
    <row r="8640" spans="6:10" x14ac:dyDescent="0.25">
      <c r="F8640" s="76" t="s">
        <v>150</v>
      </c>
      <c r="G8640" s="77" t="s">
        <v>315</v>
      </c>
      <c r="H8640" s="77" t="s">
        <v>174</v>
      </c>
      <c r="I8640" s="86">
        <v>41845</v>
      </c>
      <c r="J8640" s="78">
        <v>828</v>
      </c>
    </row>
    <row r="8641" spans="6:10" x14ac:dyDescent="0.25">
      <c r="F8641" s="76" t="s">
        <v>150</v>
      </c>
      <c r="G8641" s="77" t="s">
        <v>315</v>
      </c>
      <c r="H8641" s="77" t="s">
        <v>174</v>
      </c>
      <c r="I8641" s="86">
        <v>41865</v>
      </c>
      <c r="J8641" s="78">
        <v>580</v>
      </c>
    </row>
    <row r="8642" spans="6:10" x14ac:dyDescent="0.25">
      <c r="F8642" s="76" t="s">
        <v>150</v>
      </c>
      <c r="G8642" s="77" t="s">
        <v>315</v>
      </c>
      <c r="H8642" s="77" t="s">
        <v>174</v>
      </c>
      <c r="I8642" s="86">
        <v>41866</v>
      </c>
      <c r="J8642" s="78">
        <v>378</v>
      </c>
    </row>
    <row r="8643" spans="6:10" x14ac:dyDescent="0.25">
      <c r="F8643" s="76" t="s">
        <v>150</v>
      </c>
      <c r="G8643" s="77" t="s">
        <v>315</v>
      </c>
      <c r="H8643" s="77" t="s">
        <v>174</v>
      </c>
      <c r="I8643" s="86">
        <v>41869</v>
      </c>
      <c r="J8643" s="78">
        <v>1217</v>
      </c>
    </row>
    <row r="8644" spans="6:10" x14ac:dyDescent="0.25">
      <c r="F8644" s="76" t="s">
        <v>150</v>
      </c>
      <c r="G8644" s="77" t="s">
        <v>315</v>
      </c>
      <c r="H8644" s="77" t="s">
        <v>174</v>
      </c>
      <c r="I8644" s="86">
        <v>41871</v>
      </c>
      <c r="J8644" s="78">
        <v>906</v>
      </c>
    </row>
    <row r="8645" spans="6:10" x14ac:dyDescent="0.25">
      <c r="F8645" s="76" t="s">
        <v>150</v>
      </c>
      <c r="G8645" s="77" t="s">
        <v>315</v>
      </c>
      <c r="H8645" s="77" t="s">
        <v>174</v>
      </c>
      <c r="I8645" s="86">
        <v>41873</v>
      </c>
      <c r="J8645" s="78">
        <v>788</v>
      </c>
    </row>
    <row r="8646" spans="6:10" x14ac:dyDescent="0.25">
      <c r="F8646" s="76" t="s">
        <v>150</v>
      </c>
      <c r="G8646" s="77" t="s">
        <v>315</v>
      </c>
      <c r="H8646" s="77" t="s">
        <v>174</v>
      </c>
      <c r="I8646" s="86">
        <v>41876</v>
      </c>
      <c r="J8646" s="78">
        <v>955</v>
      </c>
    </row>
    <row r="8647" spans="6:10" x14ac:dyDescent="0.25">
      <c r="F8647" s="76" t="s">
        <v>150</v>
      </c>
      <c r="G8647" s="77" t="s">
        <v>315</v>
      </c>
      <c r="H8647" s="77" t="s">
        <v>174</v>
      </c>
      <c r="I8647" s="86">
        <v>41878</v>
      </c>
      <c r="J8647" s="78">
        <v>875</v>
      </c>
    </row>
    <row r="8648" spans="6:10" x14ac:dyDescent="0.25">
      <c r="F8648" s="76" t="s">
        <v>150</v>
      </c>
      <c r="G8648" s="77" t="s">
        <v>315</v>
      </c>
      <c r="H8648" s="77" t="s">
        <v>174</v>
      </c>
      <c r="I8648" s="86">
        <v>41880</v>
      </c>
      <c r="J8648" s="78">
        <v>925</v>
      </c>
    </row>
    <row r="8649" spans="6:10" x14ac:dyDescent="0.25">
      <c r="F8649" s="76" t="s">
        <v>150</v>
      </c>
      <c r="G8649" s="77" t="s">
        <v>315</v>
      </c>
      <c r="H8649" s="77" t="s">
        <v>174</v>
      </c>
      <c r="I8649" s="86">
        <v>41882</v>
      </c>
      <c r="J8649" s="78">
        <v>732</v>
      </c>
    </row>
    <row r="8650" spans="6:10" x14ac:dyDescent="0.25">
      <c r="F8650" s="76" t="s">
        <v>150</v>
      </c>
      <c r="G8650" s="77" t="s">
        <v>315</v>
      </c>
      <c r="H8650" s="77" t="s">
        <v>174</v>
      </c>
      <c r="I8650" s="86">
        <v>41883</v>
      </c>
      <c r="J8650" s="78">
        <v>828</v>
      </c>
    </row>
    <row r="8651" spans="6:10" x14ac:dyDescent="0.25">
      <c r="F8651" s="76" t="s">
        <v>150</v>
      </c>
      <c r="G8651" s="77" t="s">
        <v>315</v>
      </c>
      <c r="H8651" s="77" t="s">
        <v>174</v>
      </c>
      <c r="I8651" s="86">
        <v>41884</v>
      </c>
      <c r="J8651" s="78">
        <v>824</v>
      </c>
    </row>
    <row r="8652" spans="6:10" x14ac:dyDescent="0.25">
      <c r="F8652" s="76" t="s">
        <v>150</v>
      </c>
      <c r="G8652" s="77" t="s">
        <v>315</v>
      </c>
      <c r="H8652" s="77" t="s">
        <v>174</v>
      </c>
      <c r="I8652" s="86">
        <v>41886</v>
      </c>
      <c r="J8652" s="78">
        <v>1275</v>
      </c>
    </row>
    <row r="8653" spans="6:10" x14ac:dyDescent="0.25">
      <c r="F8653" s="76" t="s">
        <v>150</v>
      </c>
      <c r="G8653" s="77" t="s">
        <v>315</v>
      </c>
      <c r="H8653" s="77" t="s">
        <v>174</v>
      </c>
      <c r="I8653" s="86">
        <v>41888</v>
      </c>
      <c r="J8653" s="78">
        <v>992</v>
      </c>
    </row>
    <row r="8654" spans="6:10" x14ac:dyDescent="0.25">
      <c r="F8654" s="76" t="s">
        <v>150</v>
      </c>
      <c r="G8654" s="77" t="s">
        <v>315</v>
      </c>
      <c r="H8654" s="77" t="s">
        <v>174</v>
      </c>
      <c r="I8654" s="86">
        <v>41889</v>
      </c>
      <c r="J8654" s="78">
        <v>1024</v>
      </c>
    </row>
    <row r="8655" spans="6:10" x14ac:dyDescent="0.25">
      <c r="F8655" s="76" t="s">
        <v>150</v>
      </c>
      <c r="G8655" s="77" t="s">
        <v>315</v>
      </c>
      <c r="H8655" s="77" t="s">
        <v>174</v>
      </c>
      <c r="I8655" s="86">
        <v>41890</v>
      </c>
      <c r="J8655" s="78">
        <v>976</v>
      </c>
    </row>
    <row r="8656" spans="6:10" x14ac:dyDescent="0.25">
      <c r="F8656" s="76" t="s">
        <v>150</v>
      </c>
      <c r="G8656" s="77" t="s">
        <v>315</v>
      </c>
      <c r="H8656" s="77" t="s">
        <v>174</v>
      </c>
      <c r="I8656" s="86">
        <v>41892</v>
      </c>
      <c r="J8656" s="78">
        <v>1264</v>
      </c>
    </row>
    <row r="8657" spans="6:10" x14ac:dyDescent="0.25">
      <c r="F8657" s="76" t="s">
        <v>150</v>
      </c>
      <c r="G8657" s="77" t="s">
        <v>315</v>
      </c>
      <c r="H8657" s="77" t="s">
        <v>174</v>
      </c>
      <c r="I8657" s="86">
        <v>41893</v>
      </c>
      <c r="J8657" s="78">
        <v>942</v>
      </c>
    </row>
    <row r="8658" spans="6:10" x14ac:dyDescent="0.25">
      <c r="F8658" s="76" t="s">
        <v>150</v>
      </c>
      <c r="G8658" s="77" t="s">
        <v>315</v>
      </c>
      <c r="H8658" s="77" t="s">
        <v>174</v>
      </c>
      <c r="I8658" s="86">
        <v>41894</v>
      </c>
      <c r="J8658" s="78">
        <v>489</v>
      </c>
    </row>
    <row r="8659" spans="6:10" x14ac:dyDescent="0.25">
      <c r="F8659" s="76" t="s">
        <v>150</v>
      </c>
      <c r="G8659" s="77" t="s">
        <v>315</v>
      </c>
      <c r="H8659" s="77" t="s">
        <v>174</v>
      </c>
      <c r="I8659" s="86">
        <v>41895</v>
      </c>
      <c r="J8659" s="78">
        <v>1136</v>
      </c>
    </row>
    <row r="8660" spans="6:10" x14ac:dyDescent="0.25">
      <c r="F8660" s="76" t="s">
        <v>150</v>
      </c>
      <c r="G8660" s="77" t="s">
        <v>315</v>
      </c>
      <c r="H8660" s="77" t="s">
        <v>174</v>
      </c>
      <c r="I8660" s="86">
        <v>41896</v>
      </c>
      <c r="J8660" s="78">
        <v>1018</v>
      </c>
    </row>
    <row r="8661" spans="6:10" x14ac:dyDescent="0.25">
      <c r="F8661" s="76" t="s">
        <v>150</v>
      </c>
      <c r="G8661" s="77" t="s">
        <v>315</v>
      </c>
      <c r="H8661" s="77" t="s">
        <v>174</v>
      </c>
      <c r="I8661" s="86">
        <v>41897</v>
      </c>
      <c r="J8661" s="78">
        <v>698</v>
      </c>
    </row>
    <row r="8662" spans="6:10" x14ac:dyDescent="0.25">
      <c r="F8662" s="76" t="s">
        <v>150</v>
      </c>
      <c r="G8662" s="77" t="s">
        <v>315</v>
      </c>
      <c r="H8662" s="77" t="s">
        <v>174</v>
      </c>
      <c r="I8662" s="86">
        <v>41898</v>
      </c>
      <c r="J8662" s="78">
        <v>708</v>
      </c>
    </row>
    <row r="8663" spans="6:10" x14ac:dyDescent="0.25">
      <c r="F8663" s="76" t="s">
        <v>150</v>
      </c>
      <c r="G8663" s="77" t="s">
        <v>315</v>
      </c>
      <c r="H8663" s="77" t="s">
        <v>174</v>
      </c>
      <c r="I8663" s="86">
        <v>41899</v>
      </c>
      <c r="J8663" s="78">
        <v>1006</v>
      </c>
    </row>
    <row r="8664" spans="6:10" x14ac:dyDescent="0.25">
      <c r="F8664" s="76" t="s">
        <v>150</v>
      </c>
      <c r="G8664" s="77" t="s">
        <v>315</v>
      </c>
      <c r="H8664" s="77" t="s">
        <v>174</v>
      </c>
      <c r="I8664" s="86">
        <v>41900</v>
      </c>
      <c r="J8664" s="78">
        <v>646</v>
      </c>
    </row>
    <row r="8665" spans="6:10" x14ac:dyDescent="0.25">
      <c r="F8665" s="76" t="s">
        <v>150</v>
      </c>
      <c r="G8665" s="77" t="s">
        <v>315</v>
      </c>
      <c r="H8665" s="77" t="s">
        <v>174</v>
      </c>
      <c r="I8665" s="86">
        <v>41901</v>
      </c>
      <c r="J8665" s="78">
        <v>1006</v>
      </c>
    </row>
    <row r="8666" spans="6:10" x14ac:dyDescent="0.25">
      <c r="F8666" s="76" t="s">
        <v>150</v>
      </c>
      <c r="G8666" s="77" t="s">
        <v>315</v>
      </c>
      <c r="H8666" s="77" t="s">
        <v>174</v>
      </c>
      <c r="I8666" s="86">
        <v>41904</v>
      </c>
      <c r="J8666" s="78">
        <v>629</v>
      </c>
    </row>
    <row r="8667" spans="6:10" x14ac:dyDescent="0.25">
      <c r="F8667" s="76" t="s">
        <v>150</v>
      </c>
      <c r="G8667" s="77" t="s">
        <v>315</v>
      </c>
      <c r="H8667" s="77" t="s">
        <v>174</v>
      </c>
      <c r="I8667" s="86">
        <v>41905</v>
      </c>
      <c r="J8667" s="78">
        <v>888</v>
      </c>
    </row>
    <row r="8668" spans="6:10" x14ac:dyDescent="0.25">
      <c r="F8668" s="76" t="s">
        <v>150</v>
      </c>
      <c r="G8668" s="77" t="s">
        <v>315</v>
      </c>
      <c r="H8668" s="77" t="s">
        <v>174</v>
      </c>
      <c r="I8668" s="86">
        <v>41906</v>
      </c>
      <c r="J8668" s="78">
        <v>987</v>
      </c>
    </row>
    <row r="8669" spans="6:10" x14ac:dyDescent="0.25">
      <c r="F8669" s="76" t="s">
        <v>150</v>
      </c>
      <c r="G8669" s="77" t="s">
        <v>315</v>
      </c>
      <c r="H8669" s="77" t="s">
        <v>174</v>
      </c>
      <c r="I8669" s="86">
        <v>41907</v>
      </c>
      <c r="J8669" s="78">
        <v>997</v>
      </c>
    </row>
    <row r="8670" spans="6:10" x14ac:dyDescent="0.25">
      <c r="F8670" s="76" t="s">
        <v>150</v>
      </c>
      <c r="G8670" s="77" t="s">
        <v>315</v>
      </c>
      <c r="H8670" s="77" t="s">
        <v>174</v>
      </c>
      <c r="I8670" s="86">
        <v>41908</v>
      </c>
      <c r="J8670" s="78">
        <v>462</v>
      </c>
    </row>
    <row r="8671" spans="6:10" x14ac:dyDescent="0.25">
      <c r="F8671" s="76" t="s">
        <v>150</v>
      </c>
      <c r="G8671" s="77" t="s">
        <v>315</v>
      </c>
      <c r="H8671" s="77" t="s">
        <v>174</v>
      </c>
      <c r="I8671" s="86">
        <v>41909</v>
      </c>
      <c r="J8671" s="78">
        <v>1089</v>
      </c>
    </row>
    <row r="8672" spans="6:10" x14ac:dyDescent="0.25">
      <c r="F8672" s="76" t="s">
        <v>150</v>
      </c>
      <c r="G8672" s="77" t="s">
        <v>315</v>
      </c>
      <c r="H8672" s="77" t="s">
        <v>174</v>
      </c>
      <c r="I8672" s="86">
        <v>41910</v>
      </c>
      <c r="J8672" s="78">
        <v>902</v>
      </c>
    </row>
    <row r="8673" spans="6:10" x14ac:dyDescent="0.25">
      <c r="F8673" s="76" t="s">
        <v>150</v>
      </c>
      <c r="G8673" s="77" t="s">
        <v>315</v>
      </c>
      <c r="H8673" s="77" t="s">
        <v>174</v>
      </c>
      <c r="I8673" s="86">
        <v>41911</v>
      </c>
      <c r="J8673" s="78">
        <v>996</v>
      </c>
    </row>
    <row r="8674" spans="6:10" x14ac:dyDescent="0.25">
      <c r="F8674" s="76" t="s">
        <v>150</v>
      </c>
      <c r="G8674" s="77" t="s">
        <v>315</v>
      </c>
      <c r="H8674" s="77" t="s">
        <v>174</v>
      </c>
      <c r="I8674" s="86">
        <v>41912</v>
      </c>
      <c r="J8674" s="78">
        <v>652</v>
      </c>
    </row>
    <row r="8675" spans="6:10" x14ac:dyDescent="0.25">
      <c r="F8675" s="76" t="s">
        <v>150</v>
      </c>
      <c r="G8675" s="77" t="s">
        <v>315</v>
      </c>
      <c r="H8675" s="77" t="s">
        <v>174</v>
      </c>
      <c r="I8675" s="86">
        <v>41913</v>
      </c>
      <c r="J8675" s="78">
        <v>1025</v>
      </c>
    </row>
    <row r="8676" spans="6:10" x14ac:dyDescent="0.25">
      <c r="F8676" s="76" t="s">
        <v>150</v>
      </c>
      <c r="G8676" s="77" t="s">
        <v>315</v>
      </c>
      <c r="H8676" s="77" t="s">
        <v>174</v>
      </c>
      <c r="I8676" s="86">
        <v>41914</v>
      </c>
      <c r="J8676" s="78">
        <v>740</v>
      </c>
    </row>
    <row r="8677" spans="6:10" x14ac:dyDescent="0.25">
      <c r="F8677" s="76" t="s">
        <v>150</v>
      </c>
      <c r="G8677" s="77" t="s">
        <v>315</v>
      </c>
      <c r="H8677" s="77" t="s">
        <v>174</v>
      </c>
      <c r="I8677" s="86">
        <v>41915</v>
      </c>
      <c r="J8677" s="78">
        <v>1025</v>
      </c>
    </row>
    <row r="8678" spans="6:10" x14ac:dyDescent="0.25">
      <c r="F8678" s="76" t="s">
        <v>150</v>
      </c>
      <c r="G8678" s="77" t="s">
        <v>315</v>
      </c>
      <c r="H8678" s="77" t="s">
        <v>174</v>
      </c>
      <c r="I8678" s="86">
        <v>41918</v>
      </c>
      <c r="J8678" s="78">
        <v>677</v>
      </c>
    </row>
    <row r="8679" spans="6:10" x14ac:dyDescent="0.25">
      <c r="F8679" s="76" t="s">
        <v>150</v>
      </c>
      <c r="G8679" s="77" t="s">
        <v>315</v>
      </c>
      <c r="H8679" s="77" t="s">
        <v>174</v>
      </c>
      <c r="I8679" s="86">
        <v>41919</v>
      </c>
      <c r="J8679" s="78">
        <v>1007</v>
      </c>
    </row>
    <row r="8680" spans="6:10" x14ac:dyDescent="0.25">
      <c r="F8680" s="76" t="s">
        <v>150</v>
      </c>
      <c r="G8680" s="77" t="s">
        <v>315</v>
      </c>
      <c r="H8680" s="77" t="s">
        <v>174</v>
      </c>
      <c r="I8680" s="86">
        <v>41920</v>
      </c>
      <c r="J8680" s="78">
        <v>757</v>
      </c>
    </row>
    <row r="8681" spans="6:10" x14ac:dyDescent="0.25">
      <c r="F8681" s="76" t="s">
        <v>150</v>
      </c>
      <c r="G8681" s="77" t="s">
        <v>315</v>
      </c>
      <c r="H8681" s="77" t="s">
        <v>174</v>
      </c>
      <c r="I8681" s="86">
        <v>41921</v>
      </c>
      <c r="J8681" s="78">
        <v>769</v>
      </c>
    </row>
    <row r="8682" spans="6:10" x14ac:dyDescent="0.25">
      <c r="F8682" s="76" t="s">
        <v>150</v>
      </c>
      <c r="G8682" s="77" t="s">
        <v>315</v>
      </c>
      <c r="H8682" s="77" t="s">
        <v>174</v>
      </c>
      <c r="I8682" s="86">
        <v>41922</v>
      </c>
      <c r="J8682" s="78">
        <v>806</v>
      </c>
    </row>
    <row r="8683" spans="6:10" x14ac:dyDescent="0.25">
      <c r="F8683" s="76" t="s">
        <v>150</v>
      </c>
      <c r="G8683" s="77" t="s">
        <v>315</v>
      </c>
      <c r="H8683" s="77" t="s">
        <v>174</v>
      </c>
      <c r="I8683" s="86">
        <v>41923</v>
      </c>
      <c r="J8683" s="78">
        <v>915</v>
      </c>
    </row>
    <row r="8684" spans="6:10" x14ac:dyDescent="0.25">
      <c r="F8684" s="76" t="s">
        <v>150</v>
      </c>
      <c r="G8684" s="77" t="s">
        <v>315</v>
      </c>
      <c r="H8684" s="77" t="s">
        <v>174</v>
      </c>
      <c r="I8684" s="86">
        <v>41923</v>
      </c>
      <c r="J8684" s="78">
        <v>636</v>
      </c>
    </row>
    <row r="8685" spans="6:10" x14ac:dyDescent="0.25">
      <c r="F8685" s="76" t="s">
        <v>150</v>
      </c>
      <c r="G8685" s="77" t="s">
        <v>315</v>
      </c>
      <c r="H8685" s="77" t="s">
        <v>174</v>
      </c>
      <c r="I8685" s="86">
        <v>41961</v>
      </c>
      <c r="J8685" s="78">
        <v>573</v>
      </c>
    </row>
    <row r="8686" spans="6:10" x14ac:dyDescent="0.25">
      <c r="F8686" s="76" t="s">
        <v>150</v>
      </c>
      <c r="G8686" s="77" t="s">
        <v>315</v>
      </c>
      <c r="H8686" s="77" t="s">
        <v>174</v>
      </c>
      <c r="I8686" s="86">
        <v>41963</v>
      </c>
      <c r="J8686" s="78">
        <v>1356</v>
      </c>
    </row>
    <row r="8687" spans="6:10" x14ac:dyDescent="0.25">
      <c r="F8687" s="76" t="s">
        <v>150</v>
      </c>
      <c r="G8687" s="77" t="s">
        <v>315</v>
      </c>
      <c r="H8687" s="77" t="s">
        <v>174</v>
      </c>
      <c r="I8687" s="86">
        <v>41965</v>
      </c>
      <c r="J8687" s="78">
        <v>517</v>
      </c>
    </row>
    <row r="8688" spans="6:10" x14ac:dyDescent="0.25">
      <c r="F8688" s="76" t="s">
        <v>150</v>
      </c>
      <c r="G8688" s="77" t="s">
        <v>315</v>
      </c>
      <c r="H8688" s="77" t="s">
        <v>174</v>
      </c>
      <c r="I8688" s="86">
        <v>41965</v>
      </c>
      <c r="J8688" s="78">
        <v>1323</v>
      </c>
    </row>
    <row r="8689" spans="6:10" x14ac:dyDescent="0.25">
      <c r="F8689" s="76" t="s">
        <v>150</v>
      </c>
      <c r="G8689" s="77" t="s">
        <v>315</v>
      </c>
      <c r="H8689" s="77" t="s">
        <v>174</v>
      </c>
      <c r="I8689" s="86">
        <v>41966</v>
      </c>
      <c r="J8689" s="78">
        <v>777</v>
      </c>
    </row>
    <row r="8690" spans="6:10" x14ac:dyDescent="0.25">
      <c r="F8690" s="76" t="s">
        <v>150</v>
      </c>
      <c r="G8690" s="77" t="s">
        <v>315</v>
      </c>
      <c r="H8690" s="77" t="s">
        <v>174</v>
      </c>
      <c r="I8690" s="86">
        <v>41968</v>
      </c>
      <c r="J8690" s="78">
        <v>848</v>
      </c>
    </row>
    <row r="8691" spans="6:10" x14ac:dyDescent="0.25">
      <c r="F8691" s="76" t="s">
        <v>150</v>
      </c>
      <c r="G8691" s="77" t="s">
        <v>315</v>
      </c>
      <c r="H8691" s="77" t="s">
        <v>174</v>
      </c>
      <c r="I8691" s="86">
        <v>41971</v>
      </c>
      <c r="J8691" s="78">
        <v>1417</v>
      </c>
    </row>
    <row r="8692" spans="6:10" x14ac:dyDescent="0.25">
      <c r="F8692" s="76" t="s">
        <v>150</v>
      </c>
      <c r="G8692" s="77" t="s">
        <v>315</v>
      </c>
      <c r="H8692" s="77" t="s">
        <v>174</v>
      </c>
      <c r="I8692" s="86">
        <v>41974</v>
      </c>
      <c r="J8692" s="78">
        <v>648</v>
      </c>
    </row>
    <row r="8693" spans="6:10" x14ac:dyDescent="0.25">
      <c r="F8693" s="76" t="s">
        <v>150</v>
      </c>
      <c r="G8693" s="77" t="s">
        <v>315</v>
      </c>
      <c r="H8693" s="77" t="s">
        <v>174</v>
      </c>
      <c r="I8693" s="86">
        <v>41975</v>
      </c>
      <c r="J8693" s="78">
        <v>1061</v>
      </c>
    </row>
    <row r="8694" spans="6:10" x14ac:dyDescent="0.25">
      <c r="F8694" s="76" t="s">
        <v>150</v>
      </c>
      <c r="G8694" s="77" t="s">
        <v>315</v>
      </c>
      <c r="H8694" s="77" t="s">
        <v>174</v>
      </c>
      <c r="I8694" s="86">
        <v>41977</v>
      </c>
      <c r="J8694" s="78">
        <v>712</v>
      </c>
    </row>
    <row r="8695" spans="6:10" x14ac:dyDescent="0.25">
      <c r="F8695" s="76" t="s">
        <v>150</v>
      </c>
      <c r="G8695" s="77" t="s">
        <v>315</v>
      </c>
      <c r="H8695" s="77" t="s">
        <v>174</v>
      </c>
      <c r="I8695" s="86">
        <v>41978</v>
      </c>
      <c r="J8695" s="78">
        <v>717</v>
      </c>
    </row>
    <row r="8696" spans="6:10" x14ac:dyDescent="0.25">
      <c r="F8696" s="76" t="s">
        <v>150</v>
      </c>
      <c r="G8696" s="77" t="s">
        <v>315</v>
      </c>
      <c r="H8696" s="77" t="s">
        <v>174</v>
      </c>
      <c r="I8696" s="86">
        <v>41982</v>
      </c>
      <c r="J8696" s="78">
        <v>1126</v>
      </c>
    </row>
    <row r="8697" spans="6:10" x14ac:dyDescent="0.25">
      <c r="F8697" s="76" t="s">
        <v>150</v>
      </c>
      <c r="G8697" s="77" t="s">
        <v>315</v>
      </c>
      <c r="H8697" s="77" t="s">
        <v>174</v>
      </c>
      <c r="I8697" s="86">
        <v>41984</v>
      </c>
      <c r="J8697" s="78">
        <v>1119</v>
      </c>
    </row>
    <row r="8698" spans="6:10" x14ac:dyDescent="0.25">
      <c r="F8698" s="76" t="s">
        <v>150</v>
      </c>
      <c r="G8698" s="77" t="s">
        <v>315</v>
      </c>
      <c r="H8698" s="77" t="s">
        <v>174</v>
      </c>
      <c r="I8698" s="86">
        <v>41988</v>
      </c>
      <c r="J8698" s="78">
        <v>1009</v>
      </c>
    </row>
    <row r="8699" spans="6:10" x14ac:dyDescent="0.25">
      <c r="F8699" s="76" t="s">
        <v>150</v>
      </c>
      <c r="G8699" s="77" t="s">
        <v>315</v>
      </c>
      <c r="H8699" s="77" t="s">
        <v>174</v>
      </c>
      <c r="I8699" s="86">
        <v>41990</v>
      </c>
      <c r="J8699" s="78">
        <v>875</v>
      </c>
    </row>
    <row r="8700" spans="6:10" x14ac:dyDescent="0.25">
      <c r="F8700" s="76" t="s">
        <v>150</v>
      </c>
      <c r="G8700" s="77" t="s">
        <v>315</v>
      </c>
      <c r="H8700" s="77" t="s">
        <v>174</v>
      </c>
      <c r="I8700" s="86">
        <v>41992</v>
      </c>
      <c r="J8700" s="78">
        <v>1326</v>
      </c>
    </row>
    <row r="8701" spans="6:10" x14ac:dyDescent="0.25">
      <c r="F8701" s="76" t="s">
        <v>150</v>
      </c>
      <c r="G8701" s="77" t="s">
        <v>315</v>
      </c>
      <c r="H8701" s="77" t="s">
        <v>174</v>
      </c>
      <c r="I8701" s="86">
        <v>41994</v>
      </c>
      <c r="J8701" s="78">
        <v>1127</v>
      </c>
    </row>
    <row r="8702" spans="6:10" x14ac:dyDescent="0.25">
      <c r="F8702" s="76" t="s">
        <v>150</v>
      </c>
      <c r="G8702" s="77" t="s">
        <v>315</v>
      </c>
      <c r="H8702" s="77" t="s">
        <v>174</v>
      </c>
      <c r="I8702" s="86">
        <v>41995</v>
      </c>
      <c r="J8702" s="78">
        <v>339</v>
      </c>
    </row>
    <row r="8703" spans="6:10" x14ac:dyDescent="0.25">
      <c r="F8703" s="76" t="s">
        <v>150</v>
      </c>
      <c r="G8703" s="77" t="s">
        <v>315</v>
      </c>
      <c r="H8703" s="77" t="s">
        <v>174</v>
      </c>
      <c r="I8703" s="86">
        <v>41996</v>
      </c>
      <c r="J8703" s="78">
        <v>1098</v>
      </c>
    </row>
    <row r="8704" spans="6:10" x14ac:dyDescent="0.25">
      <c r="F8704" s="76" t="s">
        <v>150</v>
      </c>
      <c r="G8704" s="77" t="s">
        <v>315</v>
      </c>
      <c r="H8704" s="77" t="s">
        <v>174</v>
      </c>
      <c r="I8704" s="86">
        <v>41998</v>
      </c>
      <c r="J8704" s="78">
        <v>1261</v>
      </c>
    </row>
    <row r="8705" spans="6:10" x14ac:dyDescent="0.25">
      <c r="F8705" s="76" t="s">
        <v>150</v>
      </c>
      <c r="G8705" s="77" t="s">
        <v>315</v>
      </c>
      <c r="H8705" s="77" t="s">
        <v>174</v>
      </c>
      <c r="I8705" s="86">
        <v>41999</v>
      </c>
      <c r="J8705" s="78">
        <v>779</v>
      </c>
    </row>
    <row r="8706" spans="6:10" x14ac:dyDescent="0.25">
      <c r="F8706" s="76" t="s">
        <v>150</v>
      </c>
      <c r="G8706" s="77" t="s">
        <v>315</v>
      </c>
      <c r="H8706" s="77" t="s">
        <v>174</v>
      </c>
      <c r="I8706" s="86">
        <v>42000</v>
      </c>
      <c r="J8706" s="78">
        <v>855</v>
      </c>
    </row>
    <row r="8707" spans="6:10" x14ac:dyDescent="0.25">
      <c r="F8707" s="76" t="s">
        <v>150</v>
      </c>
      <c r="G8707" s="77" t="s">
        <v>315</v>
      </c>
      <c r="H8707" s="77" t="s">
        <v>174</v>
      </c>
      <c r="I8707" s="86">
        <v>42001</v>
      </c>
      <c r="J8707" s="78">
        <v>597</v>
      </c>
    </row>
    <row r="8708" spans="6:10" x14ac:dyDescent="0.25">
      <c r="F8708" s="76" t="s">
        <v>150</v>
      </c>
      <c r="G8708" s="77" t="s">
        <v>315</v>
      </c>
      <c r="H8708" s="77" t="s">
        <v>174</v>
      </c>
      <c r="I8708" s="86">
        <v>42002</v>
      </c>
      <c r="J8708" s="78">
        <v>1060</v>
      </c>
    </row>
    <row r="8709" spans="6:10" x14ac:dyDescent="0.25">
      <c r="F8709" s="76" t="s">
        <v>150</v>
      </c>
      <c r="G8709" s="77" t="s">
        <v>316</v>
      </c>
      <c r="H8709" s="77" t="s">
        <v>174</v>
      </c>
      <c r="I8709" s="86">
        <v>41638</v>
      </c>
      <c r="J8709" s="78">
        <v>1059</v>
      </c>
    </row>
    <row r="8710" spans="6:10" x14ac:dyDescent="0.25">
      <c r="F8710" s="76" t="s">
        <v>150</v>
      </c>
      <c r="G8710" s="77" t="s">
        <v>316</v>
      </c>
      <c r="H8710" s="77" t="s">
        <v>174</v>
      </c>
      <c r="I8710" s="86">
        <v>41640</v>
      </c>
      <c r="J8710" s="78">
        <v>1090</v>
      </c>
    </row>
    <row r="8711" spans="6:10" x14ac:dyDescent="0.25">
      <c r="F8711" s="76" t="s">
        <v>150</v>
      </c>
      <c r="G8711" s="77" t="s">
        <v>316</v>
      </c>
      <c r="H8711" s="77" t="s">
        <v>174</v>
      </c>
      <c r="I8711" s="86">
        <v>41642</v>
      </c>
      <c r="J8711" s="78">
        <v>1750</v>
      </c>
    </row>
    <row r="8712" spans="6:10" x14ac:dyDescent="0.25">
      <c r="F8712" s="76" t="s">
        <v>150</v>
      </c>
      <c r="G8712" s="77" t="s">
        <v>316</v>
      </c>
      <c r="H8712" s="77" t="s">
        <v>174</v>
      </c>
      <c r="I8712" s="86">
        <v>41643</v>
      </c>
      <c r="J8712" s="78">
        <v>610</v>
      </c>
    </row>
    <row r="8713" spans="6:10" x14ac:dyDescent="0.25">
      <c r="F8713" s="76" t="s">
        <v>150</v>
      </c>
      <c r="G8713" s="77" t="s">
        <v>316</v>
      </c>
      <c r="H8713" s="77" t="s">
        <v>174</v>
      </c>
      <c r="I8713" s="86">
        <v>41645</v>
      </c>
      <c r="J8713" s="78">
        <v>1436</v>
      </c>
    </row>
    <row r="8714" spans="6:10" x14ac:dyDescent="0.25">
      <c r="F8714" s="76" t="s">
        <v>150</v>
      </c>
      <c r="G8714" s="77" t="s">
        <v>316</v>
      </c>
      <c r="H8714" s="77" t="s">
        <v>174</v>
      </c>
      <c r="I8714" s="86">
        <v>41647</v>
      </c>
      <c r="J8714" s="78">
        <v>1656</v>
      </c>
    </row>
    <row r="8715" spans="6:10" x14ac:dyDescent="0.25">
      <c r="F8715" s="76" t="s">
        <v>150</v>
      </c>
      <c r="G8715" s="77" t="s">
        <v>316</v>
      </c>
      <c r="H8715" s="77" t="s">
        <v>174</v>
      </c>
      <c r="I8715" s="86">
        <v>41649</v>
      </c>
      <c r="J8715" s="78">
        <v>1241</v>
      </c>
    </row>
    <row r="8716" spans="6:10" x14ac:dyDescent="0.25">
      <c r="F8716" s="76" t="s">
        <v>150</v>
      </c>
      <c r="G8716" s="77" t="s">
        <v>316</v>
      </c>
      <c r="H8716" s="77" t="s">
        <v>174</v>
      </c>
      <c r="I8716" s="86">
        <v>41655</v>
      </c>
      <c r="J8716" s="78">
        <v>859</v>
      </c>
    </row>
    <row r="8717" spans="6:10" x14ac:dyDescent="0.25">
      <c r="F8717" s="76" t="s">
        <v>150</v>
      </c>
      <c r="G8717" s="77" t="s">
        <v>316</v>
      </c>
      <c r="H8717" s="77" t="s">
        <v>174</v>
      </c>
      <c r="I8717" s="86">
        <v>41659</v>
      </c>
      <c r="J8717" s="78">
        <v>1014</v>
      </c>
    </row>
    <row r="8718" spans="6:10" x14ac:dyDescent="0.25">
      <c r="F8718" s="76" t="s">
        <v>150</v>
      </c>
      <c r="G8718" s="77" t="s">
        <v>316</v>
      </c>
      <c r="H8718" s="77" t="s">
        <v>174</v>
      </c>
      <c r="I8718" s="86">
        <v>41710</v>
      </c>
      <c r="J8718" s="78">
        <v>1685</v>
      </c>
    </row>
    <row r="8719" spans="6:10" x14ac:dyDescent="0.25">
      <c r="F8719" s="76" t="s">
        <v>150</v>
      </c>
      <c r="G8719" s="77" t="s">
        <v>316</v>
      </c>
      <c r="H8719" s="77" t="s">
        <v>174</v>
      </c>
      <c r="I8719" s="86">
        <v>41722</v>
      </c>
      <c r="J8719" s="78">
        <v>677</v>
      </c>
    </row>
    <row r="8720" spans="6:10" x14ac:dyDescent="0.25">
      <c r="F8720" s="76" t="s">
        <v>150</v>
      </c>
      <c r="G8720" s="77" t="s">
        <v>316</v>
      </c>
      <c r="H8720" s="77" t="s">
        <v>174</v>
      </c>
      <c r="I8720" s="86">
        <v>41724</v>
      </c>
      <c r="J8720" s="78">
        <v>973</v>
      </c>
    </row>
    <row r="8721" spans="6:10" x14ac:dyDescent="0.25">
      <c r="F8721" s="76" t="s">
        <v>150</v>
      </c>
      <c r="G8721" s="77" t="s">
        <v>316</v>
      </c>
      <c r="H8721" s="77" t="s">
        <v>174</v>
      </c>
      <c r="I8721" s="86">
        <v>41725</v>
      </c>
      <c r="J8721" s="78">
        <v>1210</v>
      </c>
    </row>
    <row r="8722" spans="6:10" x14ac:dyDescent="0.25">
      <c r="F8722" s="76" t="s">
        <v>150</v>
      </c>
      <c r="G8722" s="77" t="s">
        <v>316</v>
      </c>
      <c r="H8722" s="77" t="s">
        <v>174</v>
      </c>
      <c r="I8722" s="86">
        <v>41727</v>
      </c>
      <c r="J8722" s="78">
        <v>870</v>
      </c>
    </row>
    <row r="8723" spans="6:10" x14ac:dyDescent="0.25">
      <c r="F8723" s="76" t="s">
        <v>150</v>
      </c>
      <c r="G8723" s="77" t="s">
        <v>316</v>
      </c>
      <c r="H8723" s="77" t="s">
        <v>174</v>
      </c>
      <c r="I8723" s="86">
        <v>41728</v>
      </c>
      <c r="J8723" s="78">
        <v>676</v>
      </c>
    </row>
    <row r="8724" spans="6:10" x14ac:dyDescent="0.25">
      <c r="F8724" s="76" t="s">
        <v>150</v>
      </c>
      <c r="G8724" s="77" t="s">
        <v>316</v>
      </c>
      <c r="H8724" s="77" t="s">
        <v>174</v>
      </c>
      <c r="I8724" s="86">
        <v>41729</v>
      </c>
      <c r="J8724" s="78">
        <v>777</v>
      </c>
    </row>
    <row r="8725" spans="6:10" x14ac:dyDescent="0.25">
      <c r="F8725" s="76" t="s">
        <v>150</v>
      </c>
      <c r="G8725" s="77" t="s">
        <v>316</v>
      </c>
      <c r="H8725" s="77" t="s">
        <v>174</v>
      </c>
      <c r="I8725" s="86">
        <v>41730</v>
      </c>
      <c r="J8725" s="78">
        <v>590</v>
      </c>
    </row>
    <row r="8726" spans="6:10" x14ac:dyDescent="0.25">
      <c r="F8726" s="76" t="s">
        <v>150</v>
      </c>
      <c r="G8726" s="77" t="s">
        <v>316</v>
      </c>
      <c r="H8726" s="77" t="s">
        <v>174</v>
      </c>
      <c r="I8726" s="86">
        <v>41731</v>
      </c>
      <c r="J8726" s="78">
        <v>703</v>
      </c>
    </row>
    <row r="8727" spans="6:10" x14ac:dyDescent="0.25">
      <c r="F8727" s="76" t="s">
        <v>150</v>
      </c>
      <c r="G8727" s="77" t="s">
        <v>316</v>
      </c>
      <c r="H8727" s="77" t="s">
        <v>174</v>
      </c>
      <c r="I8727" s="86">
        <v>41741</v>
      </c>
      <c r="J8727" s="78">
        <v>1127</v>
      </c>
    </row>
    <row r="8728" spans="6:10" x14ac:dyDescent="0.25">
      <c r="F8728" s="76" t="s">
        <v>150</v>
      </c>
      <c r="G8728" s="77" t="s">
        <v>316</v>
      </c>
      <c r="H8728" s="77" t="s">
        <v>174</v>
      </c>
      <c r="I8728" s="86">
        <v>41742</v>
      </c>
      <c r="J8728" s="78">
        <v>641</v>
      </c>
    </row>
    <row r="8729" spans="6:10" x14ac:dyDescent="0.25">
      <c r="F8729" s="76" t="s">
        <v>150</v>
      </c>
      <c r="G8729" s="77" t="s">
        <v>316</v>
      </c>
      <c r="H8729" s="77" t="s">
        <v>174</v>
      </c>
      <c r="I8729" s="86">
        <v>41743</v>
      </c>
      <c r="J8729" s="78">
        <v>597</v>
      </c>
    </row>
    <row r="8730" spans="6:10" x14ac:dyDescent="0.25">
      <c r="F8730" s="76" t="s">
        <v>150</v>
      </c>
      <c r="G8730" s="77" t="s">
        <v>316</v>
      </c>
      <c r="H8730" s="77" t="s">
        <v>174</v>
      </c>
      <c r="I8730" s="86">
        <v>41745</v>
      </c>
      <c r="J8730" s="78">
        <v>1129</v>
      </c>
    </row>
    <row r="8731" spans="6:10" x14ac:dyDescent="0.25">
      <c r="F8731" s="76" t="s">
        <v>150</v>
      </c>
      <c r="G8731" s="77" t="s">
        <v>316</v>
      </c>
      <c r="H8731" s="77" t="s">
        <v>174</v>
      </c>
      <c r="I8731" s="86">
        <v>41748</v>
      </c>
      <c r="J8731" s="78">
        <v>1138</v>
      </c>
    </row>
    <row r="8732" spans="6:10" x14ac:dyDescent="0.25">
      <c r="F8732" s="76" t="s">
        <v>150</v>
      </c>
      <c r="G8732" s="77" t="s">
        <v>316</v>
      </c>
      <c r="H8732" s="77" t="s">
        <v>174</v>
      </c>
      <c r="I8732" s="86">
        <v>41750</v>
      </c>
      <c r="J8732" s="78">
        <v>895</v>
      </c>
    </row>
    <row r="8733" spans="6:10" x14ac:dyDescent="0.25">
      <c r="F8733" s="76" t="s">
        <v>150</v>
      </c>
      <c r="G8733" s="77" t="s">
        <v>316</v>
      </c>
      <c r="H8733" s="77" t="s">
        <v>174</v>
      </c>
      <c r="I8733" s="86">
        <v>41751</v>
      </c>
      <c r="J8733" s="78">
        <v>546</v>
      </c>
    </row>
    <row r="8734" spans="6:10" x14ac:dyDescent="0.25">
      <c r="F8734" s="76" t="s">
        <v>150</v>
      </c>
      <c r="G8734" s="77" t="s">
        <v>316</v>
      </c>
      <c r="H8734" s="77" t="s">
        <v>174</v>
      </c>
      <c r="I8734" s="86">
        <v>41753</v>
      </c>
      <c r="J8734" s="78">
        <v>946</v>
      </c>
    </row>
    <row r="8735" spans="6:10" x14ac:dyDescent="0.25">
      <c r="F8735" s="76" t="s">
        <v>150</v>
      </c>
      <c r="G8735" s="77" t="s">
        <v>316</v>
      </c>
      <c r="H8735" s="77" t="s">
        <v>174</v>
      </c>
      <c r="I8735" s="86">
        <v>41808</v>
      </c>
      <c r="J8735" s="78">
        <v>299</v>
      </c>
    </row>
    <row r="8736" spans="6:10" x14ac:dyDescent="0.25">
      <c r="F8736" s="76" t="s">
        <v>150</v>
      </c>
      <c r="G8736" s="77" t="s">
        <v>316</v>
      </c>
      <c r="H8736" s="77" t="s">
        <v>174</v>
      </c>
      <c r="I8736" s="86">
        <v>41810</v>
      </c>
      <c r="J8736" s="78">
        <v>815</v>
      </c>
    </row>
    <row r="8737" spans="6:10" x14ac:dyDescent="0.25">
      <c r="F8737" s="76" t="s">
        <v>150</v>
      </c>
      <c r="G8737" s="77" t="s">
        <v>316</v>
      </c>
      <c r="H8737" s="77" t="s">
        <v>174</v>
      </c>
      <c r="I8737" s="86">
        <v>41813</v>
      </c>
      <c r="J8737" s="78">
        <v>1003</v>
      </c>
    </row>
    <row r="8738" spans="6:10" x14ac:dyDescent="0.25">
      <c r="F8738" s="76" t="s">
        <v>150</v>
      </c>
      <c r="G8738" s="77" t="s">
        <v>316</v>
      </c>
      <c r="H8738" s="77" t="s">
        <v>174</v>
      </c>
      <c r="I8738" s="86">
        <v>41814</v>
      </c>
      <c r="J8738" s="78">
        <v>501</v>
      </c>
    </row>
    <row r="8739" spans="6:10" x14ac:dyDescent="0.25">
      <c r="F8739" s="76" t="s">
        <v>150</v>
      </c>
      <c r="G8739" s="77" t="s">
        <v>316</v>
      </c>
      <c r="H8739" s="77" t="s">
        <v>174</v>
      </c>
      <c r="I8739" s="86">
        <v>41815</v>
      </c>
      <c r="J8739" s="78">
        <v>495</v>
      </c>
    </row>
    <row r="8740" spans="6:10" x14ac:dyDescent="0.25">
      <c r="F8740" s="76" t="s">
        <v>150</v>
      </c>
      <c r="G8740" s="77" t="s">
        <v>316</v>
      </c>
      <c r="H8740" s="77" t="s">
        <v>174</v>
      </c>
      <c r="I8740" s="86">
        <v>41817</v>
      </c>
      <c r="J8740" s="78">
        <v>867</v>
      </c>
    </row>
    <row r="8741" spans="6:10" x14ac:dyDescent="0.25">
      <c r="F8741" s="76" t="s">
        <v>150</v>
      </c>
      <c r="G8741" s="77" t="s">
        <v>316</v>
      </c>
      <c r="H8741" s="77" t="s">
        <v>174</v>
      </c>
      <c r="I8741" s="86">
        <v>41820</v>
      </c>
      <c r="J8741" s="78">
        <v>1079</v>
      </c>
    </row>
    <row r="8742" spans="6:10" x14ac:dyDescent="0.25">
      <c r="F8742" s="76" t="s">
        <v>150</v>
      </c>
      <c r="G8742" s="77" t="s">
        <v>316</v>
      </c>
      <c r="H8742" s="77" t="s">
        <v>174</v>
      </c>
      <c r="I8742" s="86">
        <v>41821</v>
      </c>
      <c r="J8742" s="78">
        <v>463</v>
      </c>
    </row>
    <row r="8743" spans="6:10" x14ac:dyDescent="0.25">
      <c r="F8743" s="76" t="s">
        <v>150</v>
      </c>
      <c r="G8743" s="77" t="s">
        <v>316</v>
      </c>
      <c r="H8743" s="77" t="s">
        <v>174</v>
      </c>
      <c r="I8743" s="86">
        <v>41825</v>
      </c>
      <c r="J8743" s="78">
        <v>873</v>
      </c>
    </row>
    <row r="8744" spans="6:10" x14ac:dyDescent="0.25">
      <c r="F8744" s="76" t="s">
        <v>150</v>
      </c>
      <c r="G8744" s="77" t="s">
        <v>316</v>
      </c>
      <c r="H8744" s="77" t="s">
        <v>174</v>
      </c>
      <c r="I8744" s="86">
        <v>41827</v>
      </c>
      <c r="J8744" s="78">
        <v>1135</v>
      </c>
    </row>
    <row r="8745" spans="6:10" x14ac:dyDescent="0.25">
      <c r="F8745" s="76" t="s">
        <v>150</v>
      </c>
      <c r="G8745" s="77" t="s">
        <v>316</v>
      </c>
      <c r="H8745" s="77" t="s">
        <v>174</v>
      </c>
      <c r="I8745" s="86">
        <v>41829</v>
      </c>
      <c r="J8745" s="78">
        <v>1131</v>
      </c>
    </row>
    <row r="8746" spans="6:10" x14ac:dyDescent="0.25">
      <c r="F8746" s="76" t="s">
        <v>150</v>
      </c>
      <c r="G8746" s="77" t="s">
        <v>316</v>
      </c>
      <c r="H8746" s="77" t="s">
        <v>174</v>
      </c>
      <c r="I8746" s="86">
        <v>41830</v>
      </c>
      <c r="J8746" s="78">
        <v>1042</v>
      </c>
    </row>
    <row r="8747" spans="6:10" x14ac:dyDescent="0.25">
      <c r="F8747" s="76" t="s">
        <v>150</v>
      </c>
      <c r="G8747" s="77" t="s">
        <v>316</v>
      </c>
      <c r="H8747" s="77" t="s">
        <v>174</v>
      </c>
      <c r="I8747" s="86">
        <v>41831</v>
      </c>
      <c r="J8747" s="78">
        <v>536</v>
      </c>
    </row>
    <row r="8748" spans="6:10" x14ac:dyDescent="0.25">
      <c r="F8748" s="76" t="s">
        <v>150</v>
      </c>
      <c r="G8748" s="77" t="s">
        <v>316</v>
      </c>
      <c r="H8748" s="77" t="s">
        <v>174</v>
      </c>
      <c r="I8748" s="86">
        <v>41832</v>
      </c>
      <c r="J8748" s="78">
        <v>839</v>
      </c>
    </row>
    <row r="8749" spans="6:10" x14ac:dyDescent="0.25">
      <c r="F8749" s="76" t="s">
        <v>150</v>
      </c>
      <c r="G8749" s="77" t="s">
        <v>316</v>
      </c>
      <c r="H8749" s="77" t="s">
        <v>174</v>
      </c>
      <c r="I8749" s="86">
        <v>41842</v>
      </c>
      <c r="J8749" s="78">
        <v>1259</v>
      </c>
    </row>
    <row r="8750" spans="6:10" x14ac:dyDescent="0.25">
      <c r="F8750" s="76" t="s">
        <v>150</v>
      </c>
      <c r="G8750" s="77" t="s">
        <v>316</v>
      </c>
      <c r="H8750" s="77" t="s">
        <v>174</v>
      </c>
      <c r="I8750" s="86">
        <v>41843</v>
      </c>
      <c r="J8750" s="78">
        <v>1153</v>
      </c>
    </row>
    <row r="8751" spans="6:10" x14ac:dyDescent="0.25">
      <c r="F8751" s="76" t="s">
        <v>150</v>
      </c>
      <c r="G8751" s="77" t="s">
        <v>316</v>
      </c>
      <c r="H8751" s="77" t="s">
        <v>174</v>
      </c>
      <c r="I8751" s="86">
        <v>41844</v>
      </c>
      <c r="J8751" s="78">
        <v>643</v>
      </c>
    </row>
    <row r="8752" spans="6:10" x14ac:dyDescent="0.25">
      <c r="F8752" s="76" t="s">
        <v>150</v>
      </c>
      <c r="G8752" s="77" t="s">
        <v>316</v>
      </c>
      <c r="H8752" s="77" t="s">
        <v>174</v>
      </c>
      <c r="I8752" s="86">
        <v>41845</v>
      </c>
      <c r="J8752" s="78">
        <v>720</v>
      </c>
    </row>
    <row r="8753" spans="6:10" x14ac:dyDescent="0.25">
      <c r="F8753" s="76" t="s">
        <v>150</v>
      </c>
      <c r="G8753" s="77" t="s">
        <v>316</v>
      </c>
      <c r="H8753" s="77" t="s">
        <v>174</v>
      </c>
      <c r="I8753" s="86">
        <v>41846</v>
      </c>
      <c r="J8753" s="78">
        <v>624</v>
      </c>
    </row>
    <row r="8754" spans="6:10" x14ac:dyDescent="0.25">
      <c r="F8754" s="76" t="s">
        <v>150</v>
      </c>
      <c r="G8754" s="77" t="s">
        <v>316</v>
      </c>
      <c r="H8754" s="77" t="s">
        <v>174</v>
      </c>
      <c r="I8754" s="86">
        <v>41849</v>
      </c>
      <c r="J8754" s="78">
        <v>1316</v>
      </c>
    </row>
    <row r="8755" spans="6:10" x14ac:dyDescent="0.25">
      <c r="F8755" s="76" t="s">
        <v>150</v>
      </c>
      <c r="G8755" s="77" t="s">
        <v>316</v>
      </c>
      <c r="H8755" s="77" t="s">
        <v>174</v>
      </c>
      <c r="I8755" s="86">
        <v>41850</v>
      </c>
      <c r="J8755" s="78">
        <v>912</v>
      </c>
    </row>
    <row r="8756" spans="6:10" x14ac:dyDescent="0.25">
      <c r="F8756" s="76" t="s">
        <v>150</v>
      </c>
      <c r="G8756" s="77" t="s">
        <v>316</v>
      </c>
      <c r="H8756" s="77" t="s">
        <v>174</v>
      </c>
      <c r="I8756" s="86">
        <v>41856</v>
      </c>
      <c r="J8756" s="78">
        <v>1571</v>
      </c>
    </row>
    <row r="8757" spans="6:10" x14ac:dyDescent="0.25">
      <c r="F8757" s="76" t="s">
        <v>150</v>
      </c>
      <c r="G8757" s="77" t="s">
        <v>316</v>
      </c>
      <c r="H8757" s="77" t="s">
        <v>174</v>
      </c>
      <c r="I8757" s="86">
        <v>41858</v>
      </c>
      <c r="J8757" s="78">
        <v>882</v>
      </c>
    </row>
    <row r="8758" spans="6:10" x14ac:dyDescent="0.25">
      <c r="F8758" s="76" t="s">
        <v>150</v>
      </c>
      <c r="G8758" s="77" t="s">
        <v>316</v>
      </c>
      <c r="H8758" s="77" t="s">
        <v>174</v>
      </c>
      <c r="I8758" s="86">
        <v>41859</v>
      </c>
      <c r="J8758" s="78">
        <v>927</v>
      </c>
    </row>
    <row r="8759" spans="6:10" x14ac:dyDescent="0.25">
      <c r="F8759" s="76" t="s">
        <v>150</v>
      </c>
      <c r="G8759" s="77" t="s">
        <v>316</v>
      </c>
      <c r="H8759" s="77" t="s">
        <v>174</v>
      </c>
      <c r="I8759" s="86">
        <v>41873</v>
      </c>
      <c r="J8759" s="78">
        <v>885</v>
      </c>
    </row>
    <row r="8760" spans="6:10" x14ac:dyDescent="0.25">
      <c r="F8760" s="76" t="s">
        <v>150</v>
      </c>
      <c r="G8760" s="77" t="s">
        <v>316</v>
      </c>
      <c r="H8760" s="77" t="s">
        <v>174</v>
      </c>
      <c r="I8760" s="86">
        <v>41877</v>
      </c>
      <c r="J8760" s="78">
        <v>903</v>
      </c>
    </row>
    <row r="8761" spans="6:10" x14ac:dyDescent="0.25">
      <c r="F8761" s="76" t="s">
        <v>150</v>
      </c>
      <c r="G8761" s="77" t="s">
        <v>316</v>
      </c>
      <c r="H8761" s="77" t="s">
        <v>174</v>
      </c>
      <c r="I8761" s="86">
        <v>41879</v>
      </c>
      <c r="J8761" s="78">
        <v>1211</v>
      </c>
    </row>
    <row r="8762" spans="6:10" x14ac:dyDescent="0.25">
      <c r="F8762" s="76" t="s">
        <v>150</v>
      </c>
      <c r="G8762" s="77" t="s">
        <v>316</v>
      </c>
      <c r="H8762" s="77" t="s">
        <v>174</v>
      </c>
      <c r="I8762" s="86">
        <v>41885</v>
      </c>
      <c r="J8762" s="78">
        <v>1699</v>
      </c>
    </row>
    <row r="8763" spans="6:10" x14ac:dyDescent="0.25">
      <c r="F8763" s="76" t="s">
        <v>150</v>
      </c>
      <c r="G8763" s="77" t="s">
        <v>316</v>
      </c>
      <c r="H8763" s="77" t="s">
        <v>174</v>
      </c>
      <c r="I8763" s="86">
        <v>41886</v>
      </c>
      <c r="J8763" s="78">
        <v>517</v>
      </c>
    </row>
    <row r="8764" spans="6:10" x14ac:dyDescent="0.25">
      <c r="F8764" s="76" t="s">
        <v>150</v>
      </c>
      <c r="G8764" s="77" t="s">
        <v>316</v>
      </c>
      <c r="H8764" s="77" t="s">
        <v>174</v>
      </c>
      <c r="I8764" s="86">
        <v>41887</v>
      </c>
      <c r="J8764" s="78">
        <v>1201</v>
      </c>
    </row>
    <row r="8765" spans="6:10" x14ac:dyDescent="0.25">
      <c r="F8765" s="76" t="s">
        <v>150</v>
      </c>
      <c r="G8765" s="77" t="s">
        <v>316</v>
      </c>
      <c r="H8765" s="77" t="s">
        <v>174</v>
      </c>
      <c r="I8765" s="86">
        <v>41889</v>
      </c>
      <c r="J8765" s="78">
        <v>958</v>
      </c>
    </row>
    <row r="8766" spans="6:10" x14ac:dyDescent="0.25">
      <c r="F8766" s="76" t="s">
        <v>150</v>
      </c>
      <c r="G8766" s="77" t="s">
        <v>316</v>
      </c>
      <c r="H8766" s="77" t="s">
        <v>174</v>
      </c>
      <c r="I8766" s="86">
        <v>41890</v>
      </c>
      <c r="J8766" s="78">
        <v>973</v>
      </c>
    </row>
    <row r="8767" spans="6:10" x14ac:dyDescent="0.25">
      <c r="F8767" s="76" t="s">
        <v>150</v>
      </c>
      <c r="G8767" s="77" t="s">
        <v>316</v>
      </c>
      <c r="H8767" s="77" t="s">
        <v>174</v>
      </c>
      <c r="I8767" s="86">
        <v>41891</v>
      </c>
      <c r="J8767" s="78">
        <v>643</v>
      </c>
    </row>
    <row r="8768" spans="6:10" x14ac:dyDescent="0.25">
      <c r="F8768" s="76" t="s">
        <v>150</v>
      </c>
      <c r="G8768" s="77" t="s">
        <v>316</v>
      </c>
      <c r="H8768" s="77" t="s">
        <v>174</v>
      </c>
      <c r="I8768" s="86">
        <v>41892</v>
      </c>
      <c r="J8768" s="78">
        <v>1113</v>
      </c>
    </row>
    <row r="8769" spans="6:10" x14ac:dyDescent="0.25">
      <c r="F8769" s="76" t="s">
        <v>150</v>
      </c>
      <c r="G8769" s="77" t="s">
        <v>316</v>
      </c>
      <c r="H8769" s="77" t="s">
        <v>174</v>
      </c>
      <c r="I8769" s="86">
        <v>41893</v>
      </c>
      <c r="J8769" s="78">
        <v>506</v>
      </c>
    </row>
    <row r="8770" spans="6:10" x14ac:dyDescent="0.25">
      <c r="F8770" s="76" t="s">
        <v>150</v>
      </c>
      <c r="G8770" s="77" t="s">
        <v>316</v>
      </c>
      <c r="H8770" s="77" t="s">
        <v>174</v>
      </c>
      <c r="I8770" s="86">
        <v>41894</v>
      </c>
      <c r="J8770" s="78">
        <v>1286</v>
      </c>
    </row>
    <row r="8771" spans="6:10" x14ac:dyDescent="0.25">
      <c r="F8771" s="76" t="s">
        <v>150</v>
      </c>
      <c r="G8771" s="77" t="s">
        <v>316</v>
      </c>
      <c r="H8771" s="77" t="s">
        <v>174</v>
      </c>
      <c r="I8771" s="86">
        <v>41899</v>
      </c>
      <c r="J8771" s="78">
        <v>715</v>
      </c>
    </row>
    <row r="8772" spans="6:10" x14ac:dyDescent="0.25">
      <c r="F8772" s="76" t="s">
        <v>150</v>
      </c>
      <c r="G8772" s="77" t="s">
        <v>316</v>
      </c>
      <c r="H8772" s="77" t="s">
        <v>174</v>
      </c>
      <c r="I8772" s="86">
        <v>41902</v>
      </c>
      <c r="J8772" s="78">
        <v>1114</v>
      </c>
    </row>
    <row r="8773" spans="6:10" x14ac:dyDescent="0.25">
      <c r="F8773" s="76" t="s">
        <v>150</v>
      </c>
      <c r="G8773" s="77" t="s">
        <v>316</v>
      </c>
      <c r="H8773" s="77" t="s">
        <v>174</v>
      </c>
      <c r="I8773" s="86">
        <v>41904</v>
      </c>
      <c r="J8773" s="78">
        <v>1446</v>
      </c>
    </row>
    <row r="8774" spans="6:10" x14ac:dyDescent="0.25">
      <c r="F8774" s="76" t="s">
        <v>150</v>
      </c>
      <c r="G8774" s="77" t="s">
        <v>316</v>
      </c>
      <c r="H8774" s="77" t="s">
        <v>174</v>
      </c>
      <c r="I8774" s="86">
        <v>41905</v>
      </c>
      <c r="J8774" s="78">
        <v>494</v>
      </c>
    </row>
    <row r="8775" spans="6:10" x14ac:dyDescent="0.25">
      <c r="F8775" s="76" t="s">
        <v>150</v>
      </c>
      <c r="G8775" s="77" t="s">
        <v>316</v>
      </c>
      <c r="H8775" s="77" t="s">
        <v>174</v>
      </c>
      <c r="I8775" s="86">
        <v>41906</v>
      </c>
      <c r="J8775" s="78">
        <v>574</v>
      </c>
    </row>
    <row r="8776" spans="6:10" x14ac:dyDescent="0.25">
      <c r="F8776" s="76" t="s">
        <v>150</v>
      </c>
      <c r="G8776" s="77" t="s">
        <v>316</v>
      </c>
      <c r="H8776" s="77" t="s">
        <v>174</v>
      </c>
      <c r="I8776" s="86">
        <v>41907</v>
      </c>
      <c r="J8776" s="78">
        <v>1112</v>
      </c>
    </row>
    <row r="8777" spans="6:10" x14ac:dyDescent="0.25">
      <c r="F8777" s="76" t="s">
        <v>150</v>
      </c>
      <c r="G8777" s="77" t="s">
        <v>316</v>
      </c>
      <c r="H8777" s="77" t="s">
        <v>174</v>
      </c>
      <c r="I8777" s="86">
        <v>41909</v>
      </c>
      <c r="J8777" s="78">
        <v>1010</v>
      </c>
    </row>
    <row r="8778" spans="6:10" x14ac:dyDescent="0.25">
      <c r="F8778" s="76" t="s">
        <v>150</v>
      </c>
      <c r="G8778" s="77" t="s">
        <v>316</v>
      </c>
      <c r="H8778" s="77" t="s">
        <v>174</v>
      </c>
      <c r="I8778" s="86">
        <v>41910</v>
      </c>
      <c r="J8778" s="78">
        <v>668</v>
      </c>
    </row>
    <row r="8779" spans="6:10" x14ac:dyDescent="0.25">
      <c r="F8779" s="76" t="s">
        <v>150</v>
      </c>
      <c r="G8779" s="77" t="s">
        <v>316</v>
      </c>
      <c r="H8779" s="77" t="s">
        <v>174</v>
      </c>
      <c r="I8779" s="86">
        <v>41911</v>
      </c>
      <c r="J8779" s="78">
        <v>1208</v>
      </c>
    </row>
    <row r="8780" spans="6:10" x14ac:dyDescent="0.25">
      <c r="F8780" s="76" t="s">
        <v>150</v>
      </c>
      <c r="G8780" s="77" t="s">
        <v>316</v>
      </c>
      <c r="H8780" s="77" t="s">
        <v>174</v>
      </c>
      <c r="I8780" s="86">
        <v>41912</v>
      </c>
      <c r="J8780" s="78">
        <v>631</v>
      </c>
    </row>
    <row r="8781" spans="6:10" x14ac:dyDescent="0.25">
      <c r="F8781" s="76" t="s">
        <v>150</v>
      </c>
      <c r="G8781" s="77" t="s">
        <v>316</v>
      </c>
      <c r="H8781" s="77" t="s">
        <v>174</v>
      </c>
      <c r="I8781" s="86">
        <v>41913</v>
      </c>
      <c r="J8781" s="78">
        <v>893</v>
      </c>
    </row>
    <row r="8782" spans="6:10" x14ac:dyDescent="0.25">
      <c r="F8782" s="76" t="s">
        <v>150</v>
      </c>
      <c r="G8782" s="77" t="s">
        <v>316</v>
      </c>
      <c r="H8782" s="77" t="s">
        <v>174</v>
      </c>
      <c r="I8782" s="86">
        <v>41914</v>
      </c>
      <c r="J8782" s="78">
        <v>599</v>
      </c>
    </row>
    <row r="8783" spans="6:10" x14ac:dyDescent="0.25">
      <c r="F8783" s="76" t="s">
        <v>150</v>
      </c>
      <c r="G8783" s="77" t="s">
        <v>316</v>
      </c>
      <c r="H8783" s="77" t="s">
        <v>174</v>
      </c>
      <c r="I8783" s="86">
        <v>41915</v>
      </c>
      <c r="J8783" s="78">
        <v>1168</v>
      </c>
    </row>
    <row r="8784" spans="6:10" x14ac:dyDescent="0.25">
      <c r="F8784" s="76" t="s">
        <v>150</v>
      </c>
      <c r="G8784" s="77" t="s">
        <v>316</v>
      </c>
      <c r="H8784" s="77" t="s">
        <v>174</v>
      </c>
      <c r="I8784" s="86">
        <v>41917</v>
      </c>
      <c r="J8784" s="78">
        <v>821</v>
      </c>
    </row>
    <row r="8785" spans="6:10" x14ac:dyDescent="0.25">
      <c r="F8785" s="76" t="s">
        <v>150</v>
      </c>
      <c r="G8785" s="77" t="s">
        <v>316</v>
      </c>
      <c r="H8785" s="77" t="s">
        <v>174</v>
      </c>
      <c r="I8785" s="86">
        <v>41918</v>
      </c>
      <c r="J8785" s="78">
        <v>452</v>
      </c>
    </row>
    <row r="8786" spans="6:10" x14ac:dyDescent="0.25">
      <c r="F8786" s="76" t="s">
        <v>150</v>
      </c>
      <c r="G8786" s="77" t="s">
        <v>316</v>
      </c>
      <c r="H8786" s="77" t="s">
        <v>174</v>
      </c>
      <c r="I8786" s="86">
        <v>41919</v>
      </c>
      <c r="J8786" s="78">
        <v>1073</v>
      </c>
    </row>
    <row r="8787" spans="6:10" x14ac:dyDescent="0.25">
      <c r="F8787" s="76" t="s">
        <v>150</v>
      </c>
      <c r="G8787" s="77" t="s">
        <v>316</v>
      </c>
      <c r="H8787" s="77" t="s">
        <v>174</v>
      </c>
      <c r="I8787" s="86">
        <v>41921</v>
      </c>
      <c r="J8787" s="78">
        <v>1045</v>
      </c>
    </row>
    <row r="8788" spans="6:10" x14ac:dyDescent="0.25">
      <c r="F8788" s="76" t="s">
        <v>150</v>
      </c>
      <c r="G8788" s="77" t="s">
        <v>316</v>
      </c>
      <c r="H8788" s="77" t="s">
        <v>174</v>
      </c>
      <c r="I8788" s="86">
        <v>41922</v>
      </c>
      <c r="J8788" s="78">
        <v>929</v>
      </c>
    </row>
    <row r="8789" spans="6:10" x14ac:dyDescent="0.25">
      <c r="F8789" s="76" t="s">
        <v>150</v>
      </c>
      <c r="G8789" s="77" t="s">
        <v>316</v>
      </c>
      <c r="H8789" s="77" t="s">
        <v>174</v>
      </c>
      <c r="I8789" s="86">
        <v>41923</v>
      </c>
      <c r="J8789" s="78">
        <v>649</v>
      </c>
    </row>
    <row r="8790" spans="6:10" x14ac:dyDescent="0.25">
      <c r="F8790" s="76" t="s">
        <v>150</v>
      </c>
      <c r="G8790" s="77" t="s">
        <v>316</v>
      </c>
      <c r="H8790" s="77" t="s">
        <v>174</v>
      </c>
      <c r="I8790" s="86">
        <v>41924</v>
      </c>
      <c r="J8790" s="78">
        <v>694</v>
      </c>
    </row>
    <row r="8791" spans="6:10" x14ac:dyDescent="0.25">
      <c r="F8791" s="76" t="s">
        <v>150</v>
      </c>
      <c r="G8791" s="77" t="s">
        <v>316</v>
      </c>
      <c r="H8791" s="77" t="s">
        <v>174</v>
      </c>
      <c r="I8791" s="86">
        <v>41925</v>
      </c>
      <c r="J8791" s="78">
        <v>1027</v>
      </c>
    </row>
    <row r="8792" spans="6:10" x14ac:dyDescent="0.25">
      <c r="F8792" s="76" t="s">
        <v>150</v>
      </c>
      <c r="G8792" s="77" t="s">
        <v>316</v>
      </c>
      <c r="H8792" s="77" t="s">
        <v>174</v>
      </c>
      <c r="I8792" s="86">
        <v>41927</v>
      </c>
      <c r="J8792" s="78">
        <v>1014</v>
      </c>
    </row>
    <row r="8793" spans="6:10" x14ac:dyDescent="0.25">
      <c r="F8793" s="76" t="s">
        <v>150</v>
      </c>
      <c r="G8793" s="77" t="s">
        <v>316</v>
      </c>
      <c r="H8793" s="77" t="s">
        <v>174</v>
      </c>
      <c r="I8793" s="86">
        <v>41928</v>
      </c>
      <c r="J8793" s="78">
        <v>1050</v>
      </c>
    </row>
    <row r="8794" spans="6:10" x14ac:dyDescent="0.25">
      <c r="F8794" s="76" t="s">
        <v>150</v>
      </c>
      <c r="G8794" s="77" t="s">
        <v>316</v>
      </c>
      <c r="H8794" s="77" t="s">
        <v>174</v>
      </c>
      <c r="I8794" s="86">
        <v>41931</v>
      </c>
      <c r="J8794" s="78">
        <v>1113</v>
      </c>
    </row>
    <row r="8795" spans="6:10" x14ac:dyDescent="0.25">
      <c r="F8795" s="76" t="s">
        <v>150</v>
      </c>
      <c r="G8795" s="77" t="s">
        <v>316</v>
      </c>
      <c r="H8795" s="77" t="s">
        <v>174</v>
      </c>
      <c r="I8795" s="86">
        <v>41932</v>
      </c>
      <c r="J8795" s="78">
        <v>720</v>
      </c>
    </row>
    <row r="8796" spans="6:10" x14ac:dyDescent="0.25">
      <c r="F8796" s="76" t="s">
        <v>150</v>
      </c>
      <c r="G8796" s="77" t="s">
        <v>316</v>
      </c>
      <c r="H8796" s="77" t="s">
        <v>174</v>
      </c>
      <c r="I8796" s="86">
        <v>41934</v>
      </c>
      <c r="J8796" s="78">
        <v>1207</v>
      </c>
    </row>
    <row r="8797" spans="6:10" x14ac:dyDescent="0.25">
      <c r="F8797" s="76" t="s">
        <v>150</v>
      </c>
      <c r="G8797" s="77" t="s">
        <v>316</v>
      </c>
      <c r="H8797" s="77" t="s">
        <v>174</v>
      </c>
      <c r="I8797" s="86">
        <v>41936</v>
      </c>
      <c r="J8797" s="78">
        <v>940</v>
      </c>
    </row>
    <row r="8798" spans="6:10" x14ac:dyDescent="0.25">
      <c r="F8798" s="76" t="s">
        <v>150</v>
      </c>
      <c r="G8798" s="77" t="s">
        <v>316</v>
      </c>
      <c r="H8798" s="77" t="s">
        <v>174</v>
      </c>
      <c r="I8798" s="86">
        <v>41937</v>
      </c>
      <c r="J8798" s="78">
        <v>615</v>
      </c>
    </row>
    <row r="8799" spans="6:10" x14ac:dyDescent="0.25">
      <c r="F8799" s="76" t="s">
        <v>150</v>
      </c>
      <c r="G8799" s="77" t="s">
        <v>316</v>
      </c>
      <c r="H8799" s="77" t="s">
        <v>174</v>
      </c>
      <c r="I8799" s="86">
        <v>41938</v>
      </c>
      <c r="J8799" s="78">
        <v>434</v>
      </c>
    </row>
    <row r="8800" spans="6:10" x14ac:dyDescent="0.25">
      <c r="F8800" s="76" t="s">
        <v>150</v>
      </c>
      <c r="G8800" s="77" t="s">
        <v>316</v>
      </c>
      <c r="H8800" s="77" t="s">
        <v>174</v>
      </c>
      <c r="I8800" s="86">
        <v>41940</v>
      </c>
      <c r="J8800" s="78">
        <v>1650</v>
      </c>
    </row>
    <row r="8801" spans="6:10" x14ac:dyDescent="0.25">
      <c r="F8801" s="76" t="s">
        <v>150</v>
      </c>
      <c r="G8801" s="77" t="s">
        <v>316</v>
      </c>
      <c r="H8801" s="77" t="s">
        <v>174</v>
      </c>
      <c r="I8801" s="86">
        <v>41942</v>
      </c>
      <c r="J8801" s="78">
        <v>855</v>
      </c>
    </row>
    <row r="8802" spans="6:10" x14ac:dyDescent="0.25">
      <c r="F8802" s="76" t="s">
        <v>150</v>
      </c>
      <c r="G8802" s="77" t="s">
        <v>316</v>
      </c>
      <c r="H8802" s="77" t="s">
        <v>174</v>
      </c>
      <c r="I8802" s="86">
        <v>41943</v>
      </c>
      <c r="J8802" s="78">
        <v>462</v>
      </c>
    </row>
    <row r="8803" spans="6:10" x14ac:dyDescent="0.25">
      <c r="F8803" s="76" t="s">
        <v>150</v>
      </c>
      <c r="G8803" s="77" t="s">
        <v>316</v>
      </c>
      <c r="H8803" s="77" t="s">
        <v>174</v>
      </c>
      <c r="I8803" s="86">
        <v>41943</v>
      </c>
      <c r="J8803" s="78">
        <v>738</v>
      </c>
    </row>
    <row r="8804" spans="6:10" x14ac:dyDescent="0.25">
      <c r="F8804" s="76" t="s">
        <v>150</v>
      </c>
      <c r="G8804" s="77" t="s">
        <v>316</v>
      </c>
      <c r="H8804" s="77" t="s">
        <v>174</v>
      </c>
      <c r="I8804" s="86">
        <v>41945</v>
      </c>
      <c r="J8804" s="78">
        <v>767</v>
      </c>
    </row>
    <row r="8805" spans="6:10" x14ac:dyDescent="0.25">
      <c r="F8805" s="76" t="s">
        <v>150</v>
      </c>
      <c r="G8805" s="77" t="s">
        <v>316</v>
      </c>
      <c r="H8805" s="77" t="s">
        <v>174</v>
      </c>
      <c r="I8805" s="86">
        <v>41946</v>
      </c>
      <c r="J8805" s="78">
        <v>1121</v>
      </c>
    </row>
    <row r="8806" spans="6:10" x14ac:dyDescent="0.25">
      <c r="F8806" s="76" t="s">
        <v>150</v>
      </c>
      <c r="G8806" s="77" t="s">
        <v>316</v>
      </c>
      <c r="H8806" s="77" t="s">
        <v>174</v>
      </c>
      <c r="I8806" s="86">
        <v>41947</v>
      </c>
      <c r="J8806" s="78">
        <v>503</v>
      </c>
    </row>
    <row r="8807" spans="6:10" x14ac:dyDescent="0.25">
      <c r="F8807" s="76" t="s">
        <v>150</v>
      </c>
      <c r="G8807" s="77" t="s">
        <v>316</v>
      </c>
      <c r="H8807" s="77" t="s">
        <v>174</v>
      </c>
      <c r="I8807" s="86">
        <v>41949</v>
      </c>
      <c r="J8807" s="78">
        <v>1293</v>
      </c>
    </row>
    <row r="8808" spans="6:10" x14ac:dyDescent="0.25">
      <c r="F8808" s="76" t="s">
        <v>150</v>
      </c>
      <c r="G8808" s="77" t="s">
        <v>316</v>
      </c>
      <c r="H8808" s="77" t="s">
        <v>174</v>
      </c>
      <c r="I8808" s="86">
        <v>41951</v>
      </c>
      <c r="J8808" s="78">
        <v>1050</v>
      </c>
    </row>
    <row r="8809" spans="6:10" x14ac:dyDescent="0.25">
      <c r="F8809" s="76" t="s">
        <v>150</v>
      </c>
      <c r="G8809" s="77" t="s">
        <v>316</v>
      </c>
      <c r="H8809" s="77" t="s">
        <v>174</v>
      </c>
      <c r="I8809" s="86">
        <v>41952</v>
      </c>
      <c r="J8809" s="78">
        <v>494</v>
      </c>
    </row>
    <row r="8810" spans="6:10" x14ac:dyDescent="0.25">
      <c r="F8810" s="76" t="s">
        <v>150</v>
      </c>
      <c r="G8810" s="77" t="s">
        <v>316</v>
      </c>
      <c r="H8810" s="77" t="s">
        <v>174</v>
      </c>
      <c r="I8810" s="86">
        <v>41953</v>
      </c>
      <c r="J8810" s="78">
        <v>1059</v>
      </c>
    </row>
    <row r="8811" spans="6:10" x14ac:dyDescent="0.25">
      <c r="F8811" s="76" t="s">
        <v>150</v>
      </c>
      <c r="G8811" s="77" t="s">
        <v>316</v>
      </c>
      <c r="H8811" s="77" t="s">
        <v>174</v>
      </c>
      <c r="I8811" s="86">
        <v>41955</v>
      </c>
      <c r="J8811" s="78">
        <v>925</v>
      </c>
    </row>
    <row r="8812" spans="6:10" x14ac:dyDescent="0.25">
      <c r="F8812" s="76" t="s">
        <v>150</v>
      </c>
      <c r="G8812" s="77" t="s">
        <v>316</v>
      </c>
      <c r="H8812" s="77" t="s">
        <v>174</v>
      </c>
      <c r="I8812" s="86">
        <v>41957</v>
      </c>
      <c r="J8812" s="78">
        <v>849</v>
      </c>
    </row>
    <row r="8813" spans="6:10" x14ac:dyDescent="0.25">
      <c r="F8813" s="76" t="s">
        <v>150</v>
      </c>
      <c r="G8813" s="77" t="s">
        <v>316</v>
      </c>
      <c r="H8813" s="77" t="s">
        <v>174</v>
      </c>
      <c r="I8813" s="86">
        <v>41958</v>
      </c>
      <c r="J8813" s="78">
        <v>846</v>
      </c>
    </row>
    <row r="8814" spans="6:10" x14ac:dyDescent="0.25">
      <c r="F8814" s="76" t="s">
        <v>150</v>
      </c>
      <c r="G8814" s="77" t="s">
        <v>316</v>
      </c>
      <c r="H8814" s="77" t="s">
        <v>174</v>
      </c>
      <c r="I8814" s="86">
        <v>41959</v>
      </c>
      <c r="J8814" s="78">
        <v>731</v>
      </c>
    </row>
    <row r="8815" spans="6:10" x14ac:dyDescent="0.25">
      <c r="F8815" s="76" t="s">
        <v>150</v>
      </c>
      <c r="G8815" s="77" t="s">
        <v>316</v>
      </c>
      <c r="H8815" s="77" t="s">
        <v>174</v>
      </c>
      <c r="I8815" s="86">
        <v>41960</v>
      </c>
      <c r="J8815" s="78">
        <v>1177</v>
      </c>
    </row>
    <row r="8816" spans="6:10" x14ac:dyDescent="0.25">
      <c r="F8816" s="76" t="s">
        <v>150</v>
      </c>
      <c r="G8816" s="77" t="s">
        <v>316</v>
      </c>
      <c r="H8816" s="77" t="s">
        <v>174</v>
      </c>
      <c r="I8816" s="86">
        <v>41961</v>
      </c>
      <c r="J8816" s="78">
        <v>537</v>
      </c>
    </row>
    <row r="8817" spans="6:10" x14ac:dyDescent="0.25">
      <c r="F8817" s="76" t="s">
        <v>150</v>
      </c>
      <c r="G8817" s="77" t="s">
        <v>316</v>
      </c>
      <c r="H8817" s="77" t="s">
        <v>174</v>
      </c>
      <c r="I8817" s="86">
        <v>41962</v>
      </c>
      <c r="J8817" s="78">
        <v>1225</v>
      </c>
    </row>
    <row r="8818" spans="6:10" x14ac:dyDescent="0.25">
      <c r="F8818" s="76" t="s">
        <v>150</v>
      </c>
      <c r="G8818" s="77" t="s">
        <v>316</v>
      </c>
      <c r="H8818" s="77" t="s">
        <v>174</v>
      </c>
      <c r="I8818" s="86">
        <v>41963</v>
      </c>
      <c r="J8818" s="78">
        <v>504</v>
      </c>
    </row>
    <row r="8819" spans="6:10" x14ac:dyDescent="0.25">
      <c r="F8819" s="76" t="s">
        <v>150</v>
      </c>
      <c r="G8819" s="77" t="s">
        <v>316</v>
      </c>
      <c r="H8819" s="77" t="s">
        <v>174</v>
      </c>
      <c r="I8819" s="86">
        <v>41975</v>
      </c>
      <c r="J8819" s="78">
        <v>858</v>
      </c>
    </row>
    <row r="8820" spans="6:10" x14ac:dyDescent="0.25">
      <c r="F8820" s="76" t="s">
        <v>150</v>
      </c>
      <c r="G8820" s="77" t="s">
        <v>316</v>
      </c>
      <c r="H8820" s="77" t="s">
        <v>174</v>
      </c>
      <c r="I8820" s="86">
        <v>41976</v>
      </c>
      <c r="J8820" s="78">
        <v>602</v>
      </c>
    </row>
    <row r="8821" spans="6:10" x14ac:dyDescent="0.25">
      <c r="F8821" s="76" t="s">
        <v>150</v>
      </c>
      <c r="G8821" s="77" t="s">
        <v>316</v>
      </c>
      <c r="H8821" s="77" t="s">
        <v>174</v>
      </c>
      <c r="I8821" s="86">
        <v>41977</v>
      </c>
      <c r="J8821" s="78">
        <v>471</v>
      </c>
    </row>
    <row r="8822" spans="6:10" x14ac:dyDescent="0.25">
      <c r="F8822" s="76" t="s">
        <v>150</v>
      </c>
      <c r="G8822" s="77" t="s">
        <v>316</v>
      </c>
      <c r="H8822" s="77" t="s">
        <v>174</v>
      </c>
      <c r="I8822" s="86">
        <v>41978</v>
      </c>
      <c r="J8822" s="78">
        <v>596</v>
      </c>
    </row>
    <row r="8823" spans="6:10" x14ac:dyDescent="0.25">
      <c r="F8823" s="76" t="s">
        <v>150</v>
      </c>
      <c r="G8823" s="77" t="s">
        <v>316</v>
      </c>
      <c r="H8823" s="77" t="s">
        <v>174</v>
      </c>
      <c r="I8823" s="86">
        <v>41979</v>
      </c>
      <c r="J8823" s="78">
        <v>858</v>
      </c>
    </row>
    <row r="8824" spans="6:10" x14ac:dyDescent="0.25">
      <c r="F8824" s="76" t="s">
        <v>150</v>
      </c>
      <c r="G8824" s="77" t="s">
        <v>316</v>
      </c>
      <c r="H8824" s="77" t="s">
        <v>174</v>
      </c>
      <c r="I8824" s="86">
        <v>41980</v>
      </c>
      <c r="J8824" s="78">
        <v>1098</v>
      </c>
    </row>
    <row r="8825" spans="6:10" x14ac:dyDescent="0.25">
      <c r="F8825" s="76" t="s">
        <v>150</v>
      </c>
      <c r="G8825" s="77" t="s">
        <v>316</v>
      </c>
      <c r="H8825" s="77" t="s">
        <v>174</v>
      </c>
      <c r="I8825" s="86">
        <v>41981</v>
      </c>
      <c r="J8825" s="78">
        <v>871</v>
      </c>
    </row>
    <row r="8826" spans="6:10" x14ac:dyDescent="0.25">
      <c r="F8826" s="76" t="s">
        <v>150</v>
      </c>
      <c r="G8826" s="77" t="s">
        <v>316</v>
      </c>
      <c r="H8826" s="77" t="s">
        <v>174</v>
      </c>
      <c r="I8826" s="86">
        <v>41983</v>
      </c>
      <c r="J8826" s="78">
        <v>1457</v>
      </c>
    </row>
    <row r="8827" spans="6:10" x14ac:dyDescent="0.25">
      <c r="F8827" s="76" t="s">
        <v>150</v>
      </c>
      <c r="G8827" s="77" t="s">
        <v>316</v>
      </c>
      <c r="H8827" s="77" t="s">
        <v>174</v>
      </c>
      <c r="I8827" s="86">
        <v>41985</v>
      </c>
      <c r="J8827" s="78">
        <v>948</v>
      </c>
    </row>
    <row r="8828" spans="6:10" x14ac:dyDescent="0.25">
      <c r="F8828" s="76" t="s">
        <v>150</v>
      </c>
      <c r="G8828" s="77" t="s">
        <v>316</v>
      </c>
      <c r="H8828" s="77" t="s">
        <v>174</v>
      </c>
      <c r="I8828" s="86">
        <v>41986</v>
      </c>
      <c r="J8828" s="78">
        <v>535</v>
      </c>
    </row>
    <row r="8829" spans="6:10" x14ac:dyDescent="0.25">
      <c r="F8829" s="76" t="s">
        <v>150</v>
      </c>
      <c r="G8829" s="77" t="s">
        <v>317</v>
      </c>
      <c r="H8829" s="77" t="s">
        <v>174</v>
      </c>
      <c r="I8829" s="86">
        <v>41635</v>
      </c>
      <c r="J8829" s="78">
        <v>450</v>
      </c>
    </row>
    <row r="8830" spans="6:10" x14ac:dyDescent="0.25">
      <c r="F8830" s="76" t="s">
        <v>150</v>
      </c>
      <c r="G8830" s="77" t="s">
        <v>317</v>
      </c>
      <c r="H8830" s="77" t="s">
        <v>174</v>
      </c>
      <c r="I8830" s="86">
        <v>41636</v>
      </c>
      <c r="J8830" s="78">
        <v>884</v>
      </c>
    </row>
    <row r="8831" spans="6:10" x14ac:dyDescent="0.25">
      <c r="F8831" s="76" t="s">
        <v>150</v>
      </c>
      <c r="G8831" s="77" t="s">
        <v>317</v>
      </c>
      <c r="H8831" s="77" t="s">
        <v>174</v>
      </c>
      <c r="I8831" s="86">
        <v>41637</v>
      </c>
      <c r="J8831" s="78">
        <v>587</v>
      </c>
    </row>
    <row r="8832" spans="6:10" x14ac:dyDescent="0.25">
      <c r="F8832" s="76" t="s">
        <v>150</v>
      </c>
      <c r="G8832" s="77" t="s">
        <v>317</v>
      </c>
      <c r="H8832" s="77" t="s">
        <v>174</v>
      </c>
      <c r="I8832" s="86">
        <v>41638</v>
      </c>
      <c r="J8832" s="78">
        <v>1416</v>
      </c>
    </row>
    <row r="8833" spans="6:10" x14ac:dyDescent="0.25">
      <c r="F8833" s="76" t="s">
        <v>150</v>
      </c>
      <c r="G8833" s="77" t="s">
        <v>317</v>
      </c>
      <c r="H8833" s="77" t="s">
        <v>174</v>
      </c>
      <c r="I8833" s="86">
        <v>41639</v>
      </c>
      <c r="J8833" s="78">
        <v>375</v>
      </c>
    </row>
    <row r="8834" spans="6:10" x14ac:dyDescent="0.25">
      <c r="F8834" s="76" t="s">
        <v>150</v>
      </c>
      <c r="G8834" s="77" t="s">
        <v>317</v>
      </c>
      <c r="H8834" s="77" t="s">
        <v>174</v>
      </c>
      <c r="I8834" s="86">
        <v>41644</v>
      </c>
      <c r="J8834" s="78">
        <v>1487</v>
      </c>
    </row>
    <row r="8835" spans="6:10" x14ac:dyDescent="0.25">
      <c r="F8835" s="76" t="s">
        <v>150</v>
      </c>
      <c r="G8835" s="77" t="s">
        <v>317</v>
      </c>
      <c r="H8835" s="77" t="s">
        <v>174</v>
      </c>
      <c r="I8835" s="86">
        <v>41646</v>
      </c>
      <c r="J8835" s="78">
        <v>1338</v>
      </c>
    </row>
    <row r="8836" spans="6:10" x14ac:dyDescent="0.25">
      <c r="F8836" s="76" t="s">
        <v>150</v>
      </c>
      <c r="G8836" s="77" t="s">
        <v>317</v>
      </c>
      <c r="H8836" s="77" t="s">
        <v>174</v>
      </c>
      <c r="I8836" s="86">
        <v>41646</v>
      </c>
      <c r="J8836" s="78">
        <v>123</v>
      </c>
    </row>
    <row r="8837" spans="6:10" x14ac:dyDescent="0.25">
      <c r="F8837" s="76" t="s">
        <v>150</v>
      </c>
      <c r="G8837" s="77" t="s">
        <v>317</v>
      </c>
      <c r="H8837" s="77" t="s">
        <v>174</v>
      </c>
      <c r="I8837" s="86">
        <v>41648</v>
      </c>
      <c r="J8837" s="78">
        <v>1181</v>
      </c>
    </row>
    <row r="8838" spans="6:10" x14ac:dyDescent="0.25">
      <c r="F8838" s="76" t="s">
        <v>150</v>
      </c>
      <c r="G8838" s="77" t="s">
        <v>317</v>
      </c>
      <c r="H8838" s="77" t="s">
        <v>174</v>
      </c>
      <c r="I8838" s="86">
        <v>41662</v>
      </c>
      <c r="J8838" s="78">
        <v>1119</v>
      </c>
    </row>
    <row r="8839" spans="6:10" x14ac:dyDescent="0.25">
      <c r="F8839" s="76" t="s">
        <v>150</v>
      </c>
      <c r="G8839" s="77" t="s">
        <v>317</v>
      </c>
      <c r="H8839" s="77" t="s">
        <v>174</v>
      </c>
      <c r="I8839" s="86">
        <v>41666</v>
      </c>
      <c r="J8839" s="78">
        <v>955</v>
      </c>
    </row>
    <row r="8840" spans="6:10" x14ac:dyDescent="0.25">
      <c r="F8840" s="76" t="s">
        <v>150</v>
      </c>
      <c r="G8840" s="77" t="s">
        <v>317</v>
      </c>
      <c r="H8840" s="77" t="s">
        <v>174</v>
      </c>
      <c r="I8840" s="86">
        <v>41668</v>
      </c>
      <c r="J8840" s="78">
        <v>1392</v>
      </c>
    </row>
    <row r="8841" spans="6:10" x14ac:dyDescent="0.25">
      <c r="F8841" s="76" t="s">
        <v>150</v>
      </c>
      <c r="G8841" s="77" t="s">
        <v>317</v>
      </c>
      <c r="H8841" s="77" t="s">
        <v>174</v>
      </c>
      <c r="I8841" s="86">
        <v>41669</v>
      </c>
      <c r="J8841" s="78">
        <v>619</v>
      </c>
    </row>
    <row r="8842" spans="6:10" x14ac:dyDescent="0.25">
      <c r="F8842" s="76" t="s">
        <v>150</v>
      </c>
      <c r="G8842" s="77" t="s">
        <v>317</v>
      </c>
      <c r="H8842" s="77" t="s">
        <v>174</v>
      </c>
      <c r="I8842" s="86">
        <v>41673</v>
      </c>
      <c r="J8842" s="78">
        <v>919</v>
      </c>
    </row>
    <row r="8843" spans="6:10" x14ac:dyDescent="0.25">
      <c r="F8843" s="76" t="s">
        <v>150</v>
      </c>
      <c r="G8843" s="77" t="s">
        <v>317</v>
      </c>
      <c r="H8843" s="77" t="s">
        <v>174</v>
      </c>
      <c r="I8843" s="86">
        <v>41673</v>
      </c>
      <c r="J8843" s="78">
        <v>189</v>
      </c>
    </row>
    <row r="8844" spans="6:10" x14ac:dyDescent="0.25">
      <c r="F8844" s="76" t="s">
        <v>150</v>
      </c>
      <c r="G8844" s="77" t="s">
        <v>317</v>
      </c>
      <c r="H8844" s="77" t="s">
        <v>174</v>
      </c>
      <c r="I8844" s="86">
        <v>41676</v>
      </c>
      <c r="J8844" s="78">
        <v>861</v>
      </c>
    </row>
    <row r="8845" spans="6:10" x14ac:dyDescent="0.25">
      <c r="F8845" s="76" t="s">
        <v>150</v>
      </c>
      <c r="G8845" s="77" t="s">
        <v>317</v>
      </c>
      <c r="H8845" s="77" t="s">
        <v>174</v>
      </c>
      <c r="I8845" s="86">
        <v>41680</v>
      </c>
      <c r="J8845" s="78">
        <v>1296</v>
      </c>
    </row>
    <row r="8846" spans="6:10" x14ac:dyDescent="0.25">
      <c r="F8846" s="76" t="s">
        <v>150</v>
      </c>
      <c r="G8846" s="77" t="s">
        <v>317</v>
      </c>
      <c r="H8846" s="77" t="s">
        <v>174</v>
      </c>
      <c r="I8846" s="86">
        <v>41682</v>
      </c>
      <c r="J8846" s="78">
        <v>1240</v>
      </c>
    </row>
    <row r="8847" spans="6:10" x14ac:dyDescent="0.25">
      <c r="F8847" s="76" t="s">
        <v>150</v>
      </c>
      <c r="G8847" s="77" t="s">
        <v>317</v>
      </c>
      <c r="H8847" s="77" t="s">
        <v>174</v>
      </c>
      <c r="I8847" s="86">
        <v>41686</v>
      </c>
      <c r="J8847" s="78">
        <v>1195</v>
      </c>
    </row>
    <row r="8848" spans="6:10" x14ac:dyDescent="0.25">
      <c r="F8848" s="76" t="s">
        <v>150</v>
      </c>
      <c r="G8848" s="77" t="s">
        <v>317</v>
      </c>
      <c r="H8848" s="77" t="s">
        <v>174</v>
      </c>
      <c r="I8848" s="86">
        <v>41688</v>
      </c>
      <c r="J8848" s="78">
        <v>761</v>
      </c>
    </row>
    <row r="8849" spans="6:10" x14ac:dyDescent="0.25">
      <c r="F8849" s="76" t="s">
        <v>150</v>
      </c>
      <c r="G8849" s="77" t="s">
        <v>317</v>
      </c>
      <c r="H8849" s="77" t="s">
        <v>174</v>
      </c>
      <c r="I8849" s="86">
        <v>41689</v>
      </c>
      <c r="J8849" s="78">
        <v>562</v>
      </c>
    </row>
    <row r="8850" spans="6:10" x14ac:dyDescent="0.25">
      <c r="F8850" s="76" t="s">
        <v>150</v>
      </c>
      <c r="G8850" s="77" t="s">
        <v>317</v>
      </c>
      <c r="H8850" s="77" t="s">
        <v>174</v>
      </c>
      <c r="I8850" s="86">
        <v>41690</v>
      </c>
      <c r="J8850" s="78">
        <v>641</v>
      </c>
    </row>
    <row r="8851" spans="6:10" x14ac:dyDescent="0.25">
      <c r="F8851" s="76" t="s">
        <v>150</v>
      </c>
      <c r="G8851" s="77" t="s">
        <v>317</v>
      </c>
      <c r="H8851" s="77" t="s">
        <v>174</v>
      </c>
      <c r="I8851" s="86">
        <v>41691</v>
      </c>
      <c r="J8851" s="78">
        <v>553</v>
      </c>
    </row>
    <row r="8852" spans="6:10" x14ac:dyDescent="0.25">
      <c r="F8852" s="76" t="s">
        <v>150</v>
      </c>
      <c r="G8852" s="77" t="s">
        <v>317</v>
      </c>
      <c r="H8852" s="77" t="s">
        <v>174</v>
      </c>
      <c r="I8852" s="86">
        <v>41693</v>
      </c>
      <c r="J8852" s="78">
        <v>951</v>
      </c>
    </row>
    <row r="8853" spans="6:10" x14ac:dyDescent="0.25">
      <c r="F8853" s="76" t="s">
        <v>150</v>
      </c>
      <c r="G8853" s="77" t="s">
        <v>317</v>
      </c>
      <c r="H8853" s="77" t="s">
        <v>174</v>
      </c>
      <c r="I8853" s="86">
        <v>41695</v>
      </c>
      <c r="J8853" s="78">
        <v>1257</v>
      </c>
    </row>
    <row r="8854" spans="6:10" x14ac:dyDescent="0.25">
      <c r="F8854" s="76" t="s">
        <v>150</v>
      </c>
      <c r="G8854" s="77" t="s">
        <v>317</v>
      </c>
      <c r="H8854" s="77" t="s">
        <v>174</v>
      </c>
      <c r="I8854" s="86">
        <v>41697</v>
      </c>
      <c r="J8854" s="78">
        <v>1050</v>
      </c>
    </row>
    <row r="8855" spans="6:10" x14ac:dyDescent="0.25">
      <c r="F8855" s="76" t="s">
        <v>150</v>
      </c>
      <c r="G8855" s="77" t="s">
        <v>317</v>
      </c>
      <c r="H8855" s="77" t="s">
        <v>174</v>
      </c>
      <c r="I8855" s="86">
        <v>41701</v>
      </c>
      <c r="J8855" s="78">
        <v>1006</v>
      </c>
    </row>
    <row r="8856" spans="6:10" x14ac:dyDescent="0.25">
      <c r="F8856" s="76" t="s">
        <v>150</v>
      </c>
      <c r="G8856" s="77" t="s">
        <v>317</v>
      </c>
      <c r="H8856" s="77" t="s">
        <v>174</v>
      </c>
      <c r="I8856" s="86">
        <v>41701</v>
      </c>
      <c r="J8856" s="78">
        <v>264</v>
      </c>
    </row>
    <row r="8857" spans="6:10" x14ac:dyDescent="0.25">
      <c r="F8857" s="76" t="s">
        <v>150</v>
      </c>
      <c r="G8857" s="77" t="s">
        <v>317</v>
      </c>
      <c r="H8857" s="77" t="s">
        <v>174</v>
      </c>
      <c r="I8857" s="86">
        <v>41703</v>
      </c>
      <c r="J8857" s="78">
        <v>935</v>
      </c>
    </row>
    <row r="8858" spans="6:10" x14ac:dyDescent="0.25">
      <c r="F8858" s="76" t="s">
        <v>150</v>
      </c>
      <c r="G8858" s="77" t="s">
        <v>317</v>
      </c>
      <c r="H8858" s="77" t="s">
        <v>174</v>
      </c>
      <c r="I8858" s="86">
        <v>41705</v>
      </c>
      <c r="J8858" s="78">
        <v>912</v>
      </c>
    </row>
    <row r="8859" spans="6:10" x14ac:dyDescent="0.25">
      <c r="F8859" s="76" t="s">
        <v>150</v>
      </c>
      <c r="G8859" s="77" t="s">
        <v>317</v>
      </c>
      <c r="H8859" s="77" t="s">
        <v>174</v>
      </c>
      <c r="I8859" s="86">
        <v>41707</v>
      </c>
      <c r="J8859" s="78">
        <v>1013</v>
      </c>
    </row>
    <row r="8860" spans="6:10" x14ac:dyDescent="0.25">
      <c r="F8860" s="76" t="s">
        <v>150</v>
      </c>
      <c r="G8860" s="77" t="s">
        <v>317</v>
      </c>
      <c r="H8860" s="77" t="s">
        <v>174</v>
      </c>
      <c r="I8860" s="86">
        <v>41709</v>
      </c>
      <c r="J8860" s="78">
        <v>1041</v>
      </c>
    </row>
    <row r="8861" spans="6:10" x14ac:dyDescent="0.25">
      <c r="F8861" s="76" t="s">
        <v>150</v>
      </c>
      <c r="G8861" s="77" t="s">
        <v>317</v>
      </c>
      <c r="H8861" s="77" t="s">
        <v>174</v>
      </c>
      <c r="I8861" s="86">
        <v>41711</v>
      </c>
      <c r="J8861" s="78">
        <v>909</v>
      </c>
    </row>
    <row r="8862" spans="6:10" x14ac:dyDescent="0.25">
      <c r="F8862" s="76" t="s">
        <v>150</v>
      </c>
      <c r="G8862" s="77" t="s">
        <v>317</v>
      </c>
      <c r="H8862" s="77" t="s">
        <v>174</v>
      </c>
      <c r="I8862" s="86">
        <v>41715</v>
      </c>
      <c r="J8862" s="78">
        <v>852</v>
      </c>
    </row>
    <row r="8863" spans="6:10" x14ac:dyDescent="0.25">
      <c r="F8863" s="76" t="s">
        <v>150</v>
      </c>
      <c r="G8863" s="77" t="s">
        <v>317</v>
      </c>
      <c r="H8863" s="77" t="s">
        <v>174</v>
      </c>
      <c r="I8863" s="86">
        <v>41717</v>
      </c>
      <c r="J8863" s="78">
        <v>818</v>
      </c>
    </row>
    <row r="8864" spans="6:10" x14ac:dyDescent="0.25">
      <c r="F8864" s="76" t="s">
        <v>150</v>
      </c>
      <c r="G8864" s="77" t="s">
        <v>317</v>
      </c>
      <c r="H8864" s="77" t="s">
        <v>174</v>
      </c>
      <c r="I8864" s="86">
        <v>41719</v>
      </c>
      <c r="J8864" s="78">
        <v>796</v>
      </c>
    </row>
    <row r="8865" spans="6:10" x14ac:dyDescent="0.25">
      <c r="F8865" s="76" t="s">
        <v>150</v>
      </c>
      <c r="G8865" s="77" t="s">
        <v>317</v>
      </c>
      <c r="H8865" s="77" t="s">
        <v>174</v>
      </c>
      <c r="I8865" s="86">
        <v>41722</v>
      </c>
      <c r="J8865" s="78">
        <v>820</v>
      </c>
    </row>
    <row r="8866" spans="6:10" x14ac:dyDescent="0.25">
      <c r="F8866" s="76" t="s">
        <v>150</v>
      </c>
      <c r="G8866" s="77" t="s">
        <v>317</v>
      </c>
      <c r="H8866" s="77" t="s">
        <v>174</v>
      </c>
      <c r="I8866" s="86">
        <v>41724</v>
      </c>
      <c r="J8866" s="78">
        <v>777</v>
      </c>
    </row>
    <row r="8867" spans="6:10" x14ac:dyDescent="0.25">
      <c r="F8867" s="76" t="s">
        <v>150</v>
      </c>
      <c r="G8867" s="77" t="s">
        <v>317</v>
      </c>
      <c r="H8867" s="77" t="s">
        <v>174</v>
      </c>
      <c r="I8867" s="86">
        <v>41726</v>
      </c>
      <c r="J8867" s="78">
        <v>934</v>
      </c>
    </row>
    <row r="8868" spans="6:10" x14ac:dyDescent="0.25">
      <c r="F8868" s="76" t="s">
        <v>150</v>
      </c>
      <c r="G8868" s="77" t="s">
        <v>317</v>
      </c>
      <c r="H8868" s="77" t="s">
        <v>174</v>
      </c>
      <c r="I8868" s="86">
        <v>41729</v>
      </c>
      <c r="J8868" s="78">
        <v>888</v>
      </c>
    </row>
    <row r="8869" spans="6:10" x14ac:dyDescent="0.25">
      <c r="F8869" s="76" t="s">
        <v>150</v>
      </c>
      <c r="G8869" s="77" t="s">
        <v>317</v>
      </c>
      <c r="H8869" s="77" t="s">
        <v>174</v>
      </c>
      <c r="I8869" s="86">
        <v>41747</v>
      </c>
      <c r="J8869" s="78">
        <v>766</v>
      </c>
    </row>
    <row r="8870" spans="6:10" x14ac:dyDescent="0.25">
      <c r="F8870" s="76" t="s">
        <v>150</v>
      </c>
      <c r="G8870" s="77" t="s">
        <v>317</v>
      </c>
      <c r="H8870" s="77" t="s">
        <v>174</v>
      </c>
      <c r="I8870" s="86">
        <v>41750</v>
      </c>
      <c r="J8870" s="78">
        <v>1166</v>
      </c>
    </row>
    <row r="8871" spans="6:10" x14ac:dyDescent="0.25">
      <c r="F8871" s="76" t="s">
        <v>150</v>
      </c>
      <c r="G8871" s="77" t="s">
        <v>317</v>
      </c>
      <c r="H8871" s="77" t="s">
        <v>174</v>
      </c>
      <c r="I8871" s="86">
        <v>41751</v>
      </c>
      <c r="J8871" s="78">
        <v>807</v>
      </c>
    </row>
    <row r="8872" spans="6:10" x14ac:dyDescent="0.25">
      <c r="F8872" s="76" t="s">
        <v>150</v>
      </c>
      <c r="G8872" s="77" t="s">
        <v>317</v>
      </c>
      <c r="H8872" s="77" t="s">
        <v>174</v>
      </c>
      <c r="I8872" s="86">
        <v>41752</v>
      </c>
      <c r="J8872" s="78">
        <v>556</v>
      </c>
    </row>
    <row r="8873" spans="6:10" x14ac:dyDescent="0.25">
      <c r="F8873" s="76" t="s">
        <v>150</v>
      </c>
      <c r="G8873" s="77" t="s">
        <v>317</v>
      </c>
      <c r="H8873" s="77" t="s">
        <v>174</v>
      </c>
      <c r="I8873" s="86">
        <v>41753</v>
      </c>
      <c r="J8873" s="78">
        <v>1122</v>
      </c>
    </row>
    <row r="8874" spans="6:10" x14ac:dyDescent="0.25">
      <c r="F8874" s="76" t="s">
        <v>150</v>
      </c>
      <c r="G8874" s="77" t="s">
        <v>317</v>
      </c>
      <c r="H8874" s="77" t="s">
        <v>174</v>
      </c>
      <c r="I8874" s="86">
        <v>41754</v>
      </c>
      <c r="J8874" s="78">
        <v>479</v>
      </c>
    </row>
    <row r="8875" spans="6:10" x14ac:dyDescent="0.25">
      <c r="F8875" s="76" t="s">
        <v>150</v>
      </c>
      <c r="G8875" s="77" t="s">
        <v>317</v>
      </c>
      <c r="H8875" s="77" t="s">
        <v>174</v>
      </c>
      <c r="I8875" s="86">
        <v>41755</v>
      </c>
      <c r="J8875" s="78">
        <v>501</v>
      </c>
    </row>
    <row r="8876" spans="6:10" x14ac:dyDescent="0.25">
      <c r="F8876" s="76" t="s">
        <v>150</v>
      </c>
      <c r="G8876" s="77" t="s">
        <v>317</v>
      </c>
      <c r="H8876" s="77" t="s">
        <v>174</v>
      </c>
      <c r="I8876" s="86">
        <v>41756</v>
      </c>
      <c r="J8876" s="78">
        <v>748</v>
      </c>
    </row>
    <row r="8877" spans="6:10" x14ac:dyDescent="0.25">
      <c r="F8877" s="76" t="s">
        <v>150</v>
      </c>
      <c r="G8877" s="77" t="s">
        <v>317</v>
      </c>
      <c r="H8877" s="77" t="s">
        <v>174</v>
      </c>
      <c r="I8877" s="86">
        <v>41757</v>
      </c>
      <c r="J8877" s="78">
        <v>1109</v>
      </c>
    </row>
    <row r="8878" spans="6:10" x14ac:dyDescent="0.25">
      <c r="F8878" s="76" t="s">
        <v>150</v>
      </c>
      <c r="G8878" s="77" t="s">
        <v>317</v>
      </c>
      <c r="H8878" s="77" t="s">
        <v>174</v>
      </c>
      <c r="I8878" s="86">
        <v>41758</v>
      </c>
      <c r="J8878" s="78">
        <v>1008</v>
      </c>
    </row>
    <row r="8879" spans="6:10" x14ac:dyDescent="0.25">
      <c r="F8879" s="76" t="s">
        <v>150</v>
      </c>
      <c r="G8879" s="77" t="s">
        <v>317</v>
      </c>
      <c r="H8879" s="77" t="s">
        <v>174</v>
      </c>
      <c r="I8879" s="86">
        <v>41759</v>
      </c>
      <c r="J8879" s="78">
        <v>460</v>
      </c>
    </row>
    <row r="8880" spans="6:10" x14ac:dyDescent="0.25">
      <c r="F8880" s="76" t="s">
        <v>150</v>
      </c>
      <c r="G8880" s="77" t="s">
        <v>317</v>
      </c>
      <c r="H8880" s="77" t="s">
        <v>174</v>
      </c>
      <c r="I8880" s="86">
        <v>41760</v>
      </c>
      <c r="J8880" s="78">
        <v>1166</v>
      </c>
    </row>
    <row r="8881" spans="6:10" x14ac:dyDescent="0.25">
      <c r="F8881" s="76" t="s">
        <v>150</v>
      </c>
      <c r="G8881" s="77" t="s">
        <v>317</v>
      </c>
      <c r="H8881" s="77" t="s">
        <v>174</v>
      </c>
      <c r="I8881" s="86">
        <v>41761</v>
      </c>
      <c r="J8881" s="78">
        <v>423</v>
      </c>
    </row>
    <row r="8882" spans="6:10" x14ac:dyDescent="0.25">
      <c r="F8882" s="76" t="s">
        <v>150</v>
      </c>
      <c r="G8882" s="77" t="s">
        <v>317</v>
      </c>
      <c r="H8882" s="77" t="s">
        <v>174</v>
      </c>
      <c r="I8882" s="86">
        <v>41764</v>
      </c>
      <c r="J8882" s="78">
        <v>1260</v>
      </c>
    </row>
    <row r="8883" spans="6:10" x14ac:dyDescent="0.25">
      <c r="F8883" s="76" t="s">
        <v>150</v>
      </c>
      <c r="G8883" s="77" t="s">
        <v>317</v>
      </c>
      <c r="H8883" s="77" t="s">
        <v>174</v>
      </c>
      <c r="I8883" s="86">
        <v>41764</v>
      </c>
      <c r="J8883" s="78">
        <v>1111</v>
      </c>
    </row>
    <row r="8884" spans="6:10" x14ac:dyDescent="0.25">
      <c r="F8884" s="76" t="s">
        <v>150</v>
      </c>
      <c r="G8884" s="77" t="s">
        <v>317</v>
      </c>
      <c r="H8884" s="77" t="s">
        <v>174</v>
      </c>
      <c r="I8884" s="86">
        <v>41765</v>
      </c>
      <c r="J8884" s="78">
        <v>494</v>
      </c>
    </row>
    <row r="8885" spans="6:10" x14ac:dyDescent="0.25">
      <c r="F8885" s="76" t="s">
        <v>150</v>
      </c>
      <c r="G8885" s="77" t="s">
        <v>317</v>
      </c>
      <c r="H8885" s="77" t="s">
        <v>174</v>
      </c>
      <c r="I8885" s="86">
        <v>41766</v>
      </c>
      <c r="J8885" s="78">
        <v>811</v>
      </c>
    </row>
    <row r="8886" spans="6:10" x14ac:dyDescent="0.25">
      <c r="F8886" s="76" t="s">
        <v>150</v>
      </c>
      <c r="G8886" s="77" t="s">
        <v>317</v>
      </c>
      <c r="H8886" s="77" t="s">
        <v>174</v>
      </c>
      <c r="I8886" s="86">
        <v>41768</v>
      </c>
      <c r="J8886" s="78">
        <v>1036</v>
      </c>
    </row>
    <row r="8887" spans="6:10" x14ac:dyDescent="0.25">
      <c r="F8887" s="76" t="s">
        <v>150</v>
      </c>
      <c r="G8887" s="77" t="s">
        <v>317</v>
      </c>
      <c r="H8887" s="77" t="s">
        <v>174</v>
      </c>
      <c r="I8887" s="86">
        <v>41772</v>
      </c>
      <c r="J8887" s="78">
        <v>965</v>
      </c>
    </row>
    <row r="8888" spans="6:10" x14ac:dyDescent="0.25">
      <c r="F8888" s="76" t="s">
        <v>150</v>
      </c>
      <c r="G8888" s="77" t="s">
        <v>317</v>
      </c>
      <c r="H8888" s="77" t="s">
        <v>174</v>
      </c>
      <c r="I8888" s="86">
        <v>41773</v>
      </c>
      <c r="J8888" s="78">
        <v>966</v>
      </c>
    </row>
    <row r="8889" spans="6:10" x14ac:dyDescent="0.25">
      <c r="F8889" s="76" t="s">
        <v>150</v>
      </c>
      <c r="G8889" s="77" t="s">
        <v>317</v>
      </c>
      <c r="H8889" s="77" t="s">
        <v>174</v>
      </c>
      <c r="I8889" s="86">
        <v>41787</v>
      </c>
      <c r="J8889" s="78">
        <v>1210</v>
      </c>
    </row>
    <row r="8890" spans="6:10" x14ac:dyDescent="0.25">
      <c r="F8890" s="76" t="s">
        <v>150</v>
      </c>
      <c r="G8890" s="77" t="s">
        <v>317</v>
      </c>
      <c r="H8890" s="77" t="s">
        <v>174</v>
      </c>
      <c r="I8890" s="86">
        <v>41788</v>
      </c>
      <c r="J8890" s="78">
        <v>485</v>
      </c>
    </row>
    <row r="8891" spans="6:10" x14ac:dyDescent="0.25">
      <c r="F8891" s="76" t="s">
        <v>150</v>
      </c>
      <c r="G8891" s="77" t="s">
        <v>317</v>
      </c>
      <c r="H8891" s="77" t="s">
        <v>174</v>
      </c>
      <c r="I8891" s="86">
        <v>41790</v>
      </c>
      <c r="J8891" s="78">
        <v>1313</v>
      </c>
    </row>
    <row r="8892" spans="6:10" x14ac:dyDescent="0.25">
      <c r="F8892" s="76" t="s">
        <v>150</v>
      </c>
      <c r="G8892" s="77" t="s">
        <v>317</v>
      </c>
      <c r="H8892" s="77" t="s">
        <v>174</v>
      </c>
      <c r="I8892" s="86">
        <v>41792</v>
      </c>
      <c r="J8892" s="78">
        <v>1197</v>
      </c>
    </row>
    <row r="8893" spans="6:10" x14ac:dyDescent="0.25">
      <c r="F8893" s="76" t="s">
        <v>150</v>
      </c>
      <c r="G8893" s="77" t="s">
        <v>317</v>
      </c>
      <c r="H8893" s="77" t="s">
        <v>174</v>
      </c>
      <c r="I8893" s="86">
        <v>41799</v>
      </c>
      <c r="J8893" s="78">
        <v>874</v>
      </c>
    </row>
    <row r="8894" spans="6:10" x14ac:dyDescent="0.25">
      <c r="F8894" s="76" t="s">
        <v>150</v>
      </c>
      <c r="G8894" s="77" t="s">
        <v>317</v>
      </c>
      <c r="H8894" s="77" t="s">
        <v>174</v>
      </c>
      <c r="I8894" s="86">
        <v>41801</v>
      </c>
      <c r="J8894" s="78">
        <v>1165</v>
      </c>
    </row>
    <row r="8895" spans="6:10" x14ac:dyDescent="0.25">
      <c r="F8895" s="76" t="s">
        <v>150</v>
      </c>
      <c r="G8895" s="77" t="s">
        <v>317</v>
      </c>
      <c r="H8895" s="77" t="s">
        <v>174</v>
      </c>
      <c r="I8895" s="86">
        <v>41802</v>
      </c>
      <c r="J8895" s="78">
        <v>745</v>
      </c>
    </row>
    <row r="8896" spans="6:10" x14ac:dyDescent="0.25">
      <c r="F8896" s="76" t="s">
        <v>150</v>
      </c>
      <c r="G8896" s="77" t="s">
        <v>317</v>
      </c>
      <c r="H8896" s="77" t="s">
        <v>174</v>
      </c>
      <c r="I8896" s="86">
        <v>41803</v>
      </c>
      <c r="J8896" s="78">
        <v>788</v>
      </c>
    </row>
    <row r="8897" spans="6:10" x14ac:dyDescent="0.25">
      <c r="F8897" s="76" t="s">
        <v>150</v>
      </c>
      <c r="G8897" s="77" t="s">
        <v>317</v>
      </c>
      <c r="H8897" s="77" t="s">
        <v>174</v>
      </c>
      <c r="I8897" s="86">
        <v>41804</v>
      </c>
      <c r="J8897" s="78">
        <v>1230</v>
      </c>
    </row>
    <row r="8898" spans="6:10" x14ac:dyDescent="0.25">
      <c r="F8898" s="76" t="s">
        <v>150</v>
      </c>
      <c r="G8898" s="77" t="s">
        <v>317</v>
      </c>
      <c r="H8898" s="77" t="s">
        <v>174</v>
      </c>
      <c r="I8898" s="86">
        <v>41805</v>
      </c>
      <c r="J8898" s="78">
        <v>806</v>
      </c>
    </row>
    <row r="8899" spans="6:10" x14ac:dyDescent="0.25">
      <c r="F8899" s="76" t="s">
        <v>150</v>
      </c>
      <c r="G8899" s="77" t="s">
        <v>317</v>
      </c>
      <c r="H8899" s="77" t="s">
        <v>174</v>
      </c>
      <c r="I8899" s="86">
        <v>41806</v>
      </c>
      <c r="J8899" s="78">
        <v>280</v>
      </c>
    </row>
    <row r="8900" spans="6:10" x14ac:dyDescent="0.25">
      <c r="F8900" s="76" t="s">
        <v>150</v>
      </c>
      <c r="G8900" s="77" t="s">
        <v>317</v>
      </c>
      <c r="H8900" s="77" t="s">
        <v>174</v>
      </c>
      <c r="I8900" s="86">
        <v>41806</v>
      </c>
      <c r="J8900" s="78">
        <v>1207</v>
      </c>
    </row>
    <row r="8901" spans="6:10" x14ac:dyDescent="0.25">
      <c r="F8901" s="76" t="s">
        <v>150</v>
      </c>
      <c r="G8901" s="77" t="s">
        <v>317</v>
      </c>
      <c r="H8901" s="77" t="s">
        <v>174</v>
      </c>
      <c r="I8901" s="86">
        <v>41808</v>
      </c>
      <c r="J8901" s="78">
        <v>1010</v>
      </c>
    </row>
    <row r="8902" spans="6:10" x14ac:dyDescent="0.25">
      <c r="F8902" s="76" t="s">
        <v>150</v>
      </c>
      <c r="G8902" s="77" t="s">
        <v>317</v>
      </c>
      <c r="H8902" s="77" t="s">
        <v>174</v>
      </c>
      <c r="I8902" s="86">
        <v>41809</v>
      </c>
      <c r="J8902" s="78">
        <v>911</v>
      </c>
    </row>
    <row r="8903" spans="6:10" x14ac:dyDescent="0.25">
      <c r="F8903" s="76" t="s">
        <v>150</v>
      </c>
      <c r="G8903" s="77" t="s">
        <v>317</v>
      </c>
      <c r="H8903" s="77" t="s">
        <v>174</v>
      </c>
      <c r="I8903" s="86">
        <v>41811</v>
      </c>
      <c r="J8903" s="78">
        <v>1051</v>
      </c>
    </row>
    <row r="8904" spans="6:10" x14ac:dyDescent="0.25">
      <c r="F8904" s="76" t="s">
        <v>150</v>
      </c>
      <c r="G8904" s="77" t="s">
        <v>317</v>
      </c>
      <c r="H8904" s="77" t="s">
        <v>174</v>
      </c>
      <c r="I8904" s="86">
        <v>41816</v>
      </c>
      <c r="J8904" s="78">
        <v>912</v>
      </c>
    </row>
    <row r="8905" spans="6:10" x14ac:dyDescent="0.25">
      <c r="F8905" s="76" t="s">
        <v>150</v>
      </c>
      <c r="G8905" s="77" t="s">
        <v>317</v>
      </c>
      <c r="H8905" s="77" t="s">
        <v>174</v>
      </c>
      <c r="I8905" s="86">
        <v>41817</v>
      </c>
      <c r="J8905" s="78">
        <v>744</v>
      </c>
    </row>
    <row r="8906" spans="6:10" x14ac:dyDescent="0.25">
      <c r="F8906" s="76" t="s">
        <v>150</v>
      </c>
      <c r="G8906" s="77" t="s">
        <v>317</v>
      </c>
      <c r="H8906" s="77" t="s">
        <v>174</v>
      </c>
      <c r="I8906" s="86">
        <v>41818</v>
      </c>
      <c r="J8906" s="78">
        <v>893</v>
      </c>
    </row>
    <row r="8907" spans="6:10" x14ac:dyDescent="0.25">
      <c r="F8907" s="76" t="s">
        <v>150</v>
      </c>
      <c r="G8907" s="77" t="s">
        <v>317</v>
      </c>
      <c r="H8907" s="77" t="s">
        <v>174</v>
      </c>
      <c r="I8907" s="86">
        <v>41821</v>
      </c>
      <c r="J8907" s="78">
        <v>1017</v>
      </c>
    </row>
    <row r="8908" spans="6:10" x14ac:dyDescent="0.25">
      <c r="F8908" s="76" t="s">
        <v>150</v>
      </c>
      <c r="G8908" s="77" t="s">
        <v>317</v>
      </c>
      <c r="H8908" s="77" t="s">
        <v>174</v>
      </c>
      <c r="I8908" s="86">
        <v>41822</v>
      </c>
      <c r="J8908" s="78">
        <v>1029</v>
      </c>
    </row>
    <row r="8909" spans="6:10" x14ac:dyDescent="0.25">
      <c r="F8909" s="76" t="s">
        <v>150</v>
      </c>
      <c r="G8909" s="77" t="s">
        <v>317</v>
      </c>
      <c r="H8909" s="77" t="s">
        <v>174</v>
      </c>
      <c r="I8909" s="86">
        <v>41823</v>
      </c>
      <c r="J8909" s="78">
        <v>576</v>
      </c>
    </row>
    <row r="8910" spans="6:10" x14ac:dyDescent="0.25">
      <c r="F8910" s="76" t="s">
        <v>150</v>
      </c>
      <c r="G8910" s="77" t="s">
        <v>317</v>
      </c>
      <c r="H8910" s="77" t="s">
        <v>174</v>
      </c>
      <c r="I8910" s="86">
        <v>41824</v>
      </c>
      <c r="J8910" s="78">
        <v>907</v>
      </c>
    </row>
    <row r="8911" spans="6:10" x14ac:dyDescent="0.25">
      <c r="F8911" s="76" t="s">
        <v>150</v>
      </c>
      <c r="G8911" s="77" t="s">
        <v>317</v>
      </c>
      <c r="H8911" s="77" t="s">
        <v>174</v>
      </c>
      <c r="I8911" s="86">
        <v>41825</v>
      </c>
      <c r="J8911" s="78">
        <v>761</v>
      </c>
    </row>
    <row r="8912" spans="6:10" x14ac:dyDescent="0.25">
      <c r="F8912" s="76" t="s">
        <v>150</v>
      </c>
      <c r="G8912" s="77" t="s">
        <v>317</v>
      </c>
      <c r="H8912" s="77" t="s">
        <v>174</v>
      </c>
      <c r="I8912" s="86">
        <v>41826</v>
      </c>
      <c r="J8912" s="78">
        <v>1219</v>
      </c>
    </row>
    <row r="8913" spans="6:10" x14ac:dyDescent="0.25">
      <c r="F8913" s="76" t="s">
        <v>150</v>
      </c>
      <c r="G8913" s="77" t="s">
        <v>317</v>
      </c>
      <c r="H8913" s="77" t="s">
        <v>174</v>
      </c>
      <c r="I8913" s="86">
        <v>41827</v>
      </c>
      <c r="J8913" s="78">
        <v>798</v>
      </c>
    </row>
    <row r="8914" spans="6:10" x14ac:dyDescent="0.25">
      <c r="F8914" s="76" t="s">
        <v>150</v>
      </c>
      <c r="G8914" s="77" t="s">
        <v>317</v>
      </c>
      <c r="H8914" s="77" t="s">
        <v>174</v>
      </c>
      <c r="I8914" s="86">
        <v>41828</v>
      </c>
      <c r="J8914" s="78">
        <v>466</v>
      </c>
    </row>
    <row r="8915" spans="6:10" x14ac:dyDescent="0.25">
      <c r="F8915" s="76" t="s">
        <v>150</v>
      </c>
      <c r="G8915" s="77" t="s">
        <v>317</v>
      </c>
      <c r="H8915" s="77" t="s">
        <v>174</v>
      </c>
      <c r="I8915" s="86">
        <v>41829</v>
      </c>
      <c r="J8915" s="78">
        <v>527</v>
      </c>
    </row>
    <row r="8916" spans="6:10" x14ac:dyDescent="0.25">
      <c r="F8916" s="76" t="s">
        <v>150</v>
      </c>
      <c r="G8916" s="77" t="s">
        <v>317</v>
      </c>
      <c r="H8916" s="77" t="s">
        <v>174</v>
      </c>
      <c r="I8916" s="86">
        <v>41830</v>
      </c>
      <c r="J8916" s="78">
        <v>540</v>
      </c>
    </row>
    <row r="8917" spans="6:10" x14ac:dyDescent="0.25">
      <c r="F8917" s="76" t="s">
        <v>150</v>
      </c>
      <c r="G8917" s="77" t="s">
        <v>317</v>
      </c>
      <c r="H8917" s="77" t="s">
        <v>174</v>
      </c>
      <c r="I8917" s="86">
        <v>41831</v>
      </c>
      <c r="J8917" s="78">
        <v>904</v>
      </c>
    </row>
    <row r="8918" spans="6:10" x14ac:dyDescent="0.25">
      <c r="F8918" s="76" t="s">
        <v>150</v>
      </c>
      <c r="G8918" s="77" t="s">
        <v>317</v>
      </c>
      <c r="H8918" s="77" t="s">
        <v>174</v>
      </c>
      <c r="I8918" s="86">
        <v>41832</v>
      </c>
      <c r="J8918" s="78">
        <v>992</v>
      </c>
    </row>
    <row r="8919" spans="6:10" x14ac:dyDescent="0.25">
      <c r="F8919" s="76" t="s">
        <v>150</v>
      </c>
      <c r="G8919" s="77" t="s">
        <v>317</v>
      </c>
      <c r="H8919" s="77" t="s">
        <v>174</v>
      </c>
      <c r="I8919" s="86">
        <v>41833</v>
      </c>
      <c r="J8919" s="78">
        <v>788</v>
      </c>
    </row>
    <row r="8920" spans="6:10" x14ac:dyDescent="0.25">
      <c r="F8920" s="76" t="s">
        <v>150</v>
      </c>
      <c r="G8920" s="77" t="s">
        <v>317</v>
      </c>
      <c r="H8920" s="77" t="s">
        <v>174</v>
      </c>
      <c r="I8920" s="86">
        <v>41834</v>
      </c>
      <c r="J8920" s="78">
        <v>859</v>
      </c>
    </row>
    <row r="8921" spans="6:10" x14ac:dyDescent="0.25">
      <c r="F8921" s="76" t="s">
        <v>150</v>
      </c>
      <c r="G8921" s="77" t="s">
        <v>317</v>
      </c>
      <c r="H8921" s="77" t="s">
        <v>174</v>
      </c>
      <c r="I8921" s="86">
        <v>41864</v>
      </c>
      <c r="J8921" s="78">
        <v>822</v>
      </c>
    </row>
    <row r="8922" spans="6:10" x14ac:dyDescent="0.25">
      <c r="F8922" s="76" t="s">
        <v>150</v>
      </c>
      <c r="G8922" s="77" t="s">
        <v>317</v>
      </c>
      <c r="H8922" s="77" t="s">
        <v>174</v>
      </c>
      <c r="I8922" s="86">
        <v>41865</v>
      </c>
      <c r="J8922" s="78">
        <v>580</v>
      </c>
    </row>
    <row r="8923" spans="6:10" x14ac:dyDescent="0.25">
      <c r="F8923" s="76" t="s">
        <v>150</v>
      </c>
      <c r="G8923" s="77" t="s">
        <v>317</v>
      </c>
      <c r="H8923" s="77" t="s">
        <v>174</v>
      </c>
      <c r="I8923" s="86">
        <v>41866</v>
      </c>
      <c r="J8923" s="78">
        <v>923</v>
      </c>
    </row>
    <row r="8924" spans="6:10" x14ac:dyDescent="0.25">
      <c r="F8924" s="76" t="s">
        <v>150</v>
      </c>
      <c r="G8924" s="77" t="s">
        <v>317</v>
      </c>
      <c r="H8924" s="77" t="s">
        <v>174</v>
      </c>
      <c r="I8924" s="86">
        <v>41870</v>
      </c>
      <c r="J8924" s="78">
        <v>1027</v>
      </c>
    </row>
    <row r="8925" spans="6:10" x14ac:dyDescent="0.25">
      <c r="F8925" s="76" t="s">
        <v>150</v>
      </c>
      <c r="G8925" s="77" t="s">
        <v>317</v>
      </c>
      <c r="H8925" s="77" t="s">
        <v>174</v>
      </c>
      <c r="I8925" s="86">
        <v>41871</v>
      </c>
      <c r="J8925" s="78">
        <v>844</v>
      </c>
    </row>
    <row r="8926" spans="6:10" x14ac:dyDescent="0.25">
      <c r="F8926" s="76" t="s">
        <v>150</v>
      </c>
      <c r="G8926" s="77" t="s">
        <v>317</v>
      </c>
      <c r="H8926" s="77" t="s">
        <v>174</v>
      </c>
      <c r="I8926" s="86">
        <v>41872</v>
      </c>
      <c r="J8926" s="78">
        <v>1262</v>
      </c>
    </row>
    <row r="8927" spans="6:10" x14ac:dyDescent="0.25">
      <c r="F8927" s="76" t="s">
        <v>150</v>
      </c>
      <c r="G8927" s="77" t="s">
        <v>317</v>
      </c>
      <c r="H8927" s="77" t="s">
        <v>174</v>
      </c>
      <c r="I8927" s="86">
        <v>41873</v>
      </c>
      <c r="J8927" s="78">
        <v>1014</v>
      </c>
    </row>
    <row r="8928" spans="6:10" x14ac:dyDescent="0.25">
      <c r="F8928" s="76" t="s">
        <v>150</v>
      </c>
      <c r="G8928" s="77" t="s">
        <v>317</v>
      </c>
      <c r="H8928" s="77" t="s">
        <v>174</v>
      </c>
      <c r="I8928" s="86">
        <v>41876</v>
      </c>
      <c r="J8928" s="78">
        <v>491</v>
      </c>
    </row>
    <row r="8929" spans="6:10" x14ac:dyDescent="0.25">
      <c r="F8929" s="76" t="s">
        <v>150</v>
      </c>
      <c r="G8929" s="77" t="s">
        <v>317</v>
      </c>
      <c r="H8929" s="77" t="s">
        <v>174</v>
      </c>
      <c r="I8929" s="86">
        <v>41877</v>
      </c>
      <c r="J8929" s="78">
        <v>1284</v>
      </c>
    </row>
    <row r="8930" spans="6:10" x14ac:dyDescent="0.25">
      <c r="F8930" s="76" t="s">
        <v>150</v>
      </c>
      <c r="G8930" s="77" t="s">
        <v>317</v>
      </c>
      <c r="H8930" s="77" t="s">
        <v>174</v>
      </c>
      <c r="I8930" s="86">
        <v>41878</v>
      </c>
      <c r="J8930" s="78">
        <v>519</v>
      </c>
    </row>
    <row r="8931" spans="6:10" x14ac:dyDescent="0.25">
      <c r="F8931" s="76" t="s">
        <v>150</v>
      </c>
      <c r="G8931" s="77" t="s">
        <v>317</v>
      </c>
      <c r="H8931" s="77" t="s">
        <v>174</v>
      </c>
      <c r="I8931" s="86">
        <v>41885</v>
      </c>
      <c r="J8931" s="78">
        <v>1069</v>
      </c>
    </row>
    <row r="8932" spans="6:10" x14ac:dyDescent="0.25">
      <c r="F8932" s="76" t="s">
        <v>150</v>
      </c>
      <c r="G8932" s="77" t="s">
        <v>317</v>
      </c>
      <c r="H8932" s="77" t="s">
        <v>174</v>
      </c>
      <c r="I8932" s="86">
        <v>41885</v>
      </c>
      <c r="J8932" s="78">
        <v>231</v>
      </c>
    </row>
    <row r="8933" spans="6:10" x14ac:dyDescent="0.25">
      <c r="F8933" s="76" t="s">
        <v>150</v>
      </c>
      <c r="G8933" s="77" t="s">
        <v>317</v>
      </c>
      <c r="H8933" s="77" t="s">
        <v>174</v>
      </c>
      <c r="I8933" s="86">
        <v>41887</v>
      </c>
      <c r="J8933" s="78">
        <v>1065</v>
      </c>
    </row>
    <row r="8934" spans="6:10" x14ac:dyDescent="0.25">
      <c r="F8934" s="76" t="s">
        <v>150</v>
      </c>
      <c r="G8934" s="77" t="s">
        <v>317</v>
      </c>
      <c r="H8934" s="77" t="s">
        <v>174</v>
      </c>
      <c r="I8934" s="86">
        <v>41889</v>
      </c>
      <c r="J8934" s="78">
        <v>1147</v>
      </c>
    </row>
    <row r="8935" spans="6:10" x14ac:dyDescent="0.25">
      <c r="F8935" s="76" t="s">
        <v>150</v>
      </c>
      <c r="G8935" s="77" t="s">
        <v>317</v>
      </c>
      <c r="H8935" s="77" t="s">
        <v>174</v>
      </c>
      <c r="I8935" s="86">
        <v>41891</v>
      </c>
      <c r="J8935" s="78">
        <v>981</v>
      </c>
    </row>
    <row r="8936" spans="6:10" x14ac:dyDescent="0.25">
      <c r="F8936" s="76" t="s">
        <v>150</v>
      </c>
      <c r="G8936" s="77" t="s">
        <v>317</v>
      </c>
      <c r="H8936" s="77" t="s">
        <v>174</v>
      </c>
      <c r="I8936" s="86">
        <v>41892</v>
      </c>
      <c r="J8936" s="78">
        <v>1001</v>
      </c>
    </row>
    <row r="8937" spans="6:10" x14ac:dyDescent="0.25">
      <c r="F8937" s="76" t="s">
        <v>150</v>
      </c>
      <c r="G8937" s="77" t="s">
        <v>317</v>
      </c>
      <c r="H8937" s="77" t="s">
        <v>174</v>
      </c>
      <c r="I8937" s="86">
        <v>41894</v>
      </c>
      <c r="J8937" s="78">
        <v>921</v>
      </c>
    </row>
    <row r="8938" spans="6:10" x14ac:dyDescent="0.25">
      <c r="F8938" s="76" t="s">
        <v>150</v>
      </c>
      <c r="G8938" s="77" t="s">
        <v>317</v>
      </c>
      <c r="H8938" s="77" t="s">
        <v>174</v>
      </c>
      <c r="I8938" s="86">
        <v>41895</v>
      </c>
      <c r="J8938" s="78">
        <v>508</v>
      </c>
    </row>
    <row r="8939" spans="6:10" x14ac:dyDescent="0.25">
      <c r="F8939" s="76" t="s">
        <v>150</v>
      </c>
      <c r="G8939" s="77" t="s">
        <v>317</v>
      </c>
      <c r="H8939" s="77" t="s">
        <v>174</v>
      </c>
      <c r="I8939" s="86">
        <v>41896</v>
      </c>
      <c r="J8939" s="78">
        <v>869</v>
      </c>
    </row>
    <row r="8940" spans="6:10" x14ac:dyDescent="0.25">
      <c r="F8940" s="76" t="s">
        <v>150</v>
      </c>
      <c r="G8940" s="77" t="s">
        <v>317</v>
      </c>
      <c r="H8940" s="77" t="s">
        <v>174</v>
      </c>
      <c r="I8940" s="86">
        <v>41898</v>
      </c>
      <c r="J8940" s="78">
        <v>1687</v>
      </c>
    </row>
    <row r="8941" spans="6:10" x14ac:dyDescent="0.25">
      <c r="F8941" s="76" t="s">
        <v>150</v>
      </c>
      <c r="G8941" s="77" t="s">
        <v>317</v>
      </c>
      <c r="H8941" s="77" t="s">
        <v>174</v>
      </c>
      <c r="I8941" s="86">
        <v>41900</v>
      </c>
      <c r="J8941" s="78">
        <v>876</v>
      </c>
    </row>
    <row r="8942" spans="6:10" x14ac:dyDescent="0.25">
      <c r="F8942" s="76" t="s">
        <v>150</v>
      </c>
      <c r="G8942" s="77" t="s">
        <v>317</v>
      </c>
      <c r="H8942" s="77" t="s">
        <v>174</v>
      </c>
      <c r="I8942" s="86">
        <v>41901</v>
      </c>
      <c r="J8942" s="78">
        <v>1016</v>
      </c>
    </row>
    <row r="8943" spans="6:10" x14ac:dyDescent="0.25">
      <c r="F8943" s="76" t="s">
        <v>150</v>
      </c>
      <c r="G8943" s="77" t="s">
        <v>317</v>
      </c>
      <c r="H8943" s="77" t="s">
        <v>174</v>
      </c>
      <c r="I8943" s="86">
        <v>41902</v>
      </c>
      <c r="J8943" s="78">
        <v>742</v>
      </c>
    </row>
    <row r="8944" spans="6:10" x14ac:dyDescent="0.25">
      <c r="F8944" s="76" t="s">
        <v>150</v>
      </c>
      <c r="G8944" s="77" t="s">
        <v>317</v>
      </c>
      <c r="H8944" s="77" t="s">
        <v>174</v>
      </c>
      <c r="I8944" s="86">
        <v>41904</v>
      </c>
      <c r="J8944" s="78">
        <v>906</v>
      </c>
    </row>
    <row r="8945" spans="6:10" x14ac:dyDescent="0.25">
      <c r="F8945" s="76" t="s">
        <v>150</v>
      </c>
      <c r="G8945" s="77" t="s">
        <v>317</v>
      </c>
      <c r="H8945" s="77" t="s">
        <v>174</v>
      </c>
      <c r="I8945" s="86">
        <v>41905</v>
      </c>
      <c r="J8945" s="78">
        <v>1311</v>
      </c>
    </row>
    <row r="8946" spans="6:10" x14ac:dyDescent="0.25">
      <c r="F8946" s="76" t="s">
        <v>150</v>
      </c>
      <c r="G8946" s="77" t="s">
        <v>317</v>
      </c>
      <c r="H8946" s="77" t="s">
        <v>174</v>
      </c>
      <c r="I8946" s="86">
        <v>41907</v>
      </c>
      <c r="J8946" s="78">
        <v>868</v>
      </c>
    </row>
    <row r="8947" spans="6:10" x14ac:dyDescent="0.25">
      <c r="F8947" s="76" t="s">
        <v>150</v>
      </c>
      <c r="G8947" s="77" t="s">
        <v>317</v>
      </c>
      <c r="H8947" s="77" t="s">
        <v>174</v>
      </c>
      <c r="I8947" s="86">
        <v>41908</v>
      </c>
      <c r="J8947" s="78">
        <v>1250</v>
      </c>
    </row>
    <row r="8948" spans="6:10" x14ac:dyDescent="0.25">
      <c r="F8948" s="76" t="s">
        <v>150</v>
      </c>
      <c r="G8948" s="77" t="s">
        <v>317</v>
      </c>
      <c r="H8948" s="77" t="s">
        <v>174</v>
      </c>
      <c r="I8948" s="86">
        <v>41910</v>
      </c>
      <c r="J8948" s="78">
        <v>464</v>
      </c>
    </row>
    <row r="8949" spans="6:10" x14ac:dyDescent="0.25">
      <c r="F8949" s="76" t="s">
        <v>150</v>
      </c>
      <c r="G8949" s="77" t="s">
        <v>317</v>
      </c>
      <c r="H8949" s="77" t="s">
        <v>174</v>
      </c>
      <c r="I8949" s="86">
        <v>41911</v>
      </c>
      <c r="J8949" s="78">
        <v>413</v>
      </c>
    </row>
    <row r="8950" spans="6:10" x14ac:dyDescent="0.25">
      <c r="F8950" s="76" t="s">
        <v>150</v>
      </c>
      <c r="G8950" s="77" t="s">
        <v>317</v>
      </c>
      <c r="H8950" s="77" t="s">
        <v>174</v>
      </c>
      <c r="I8950" s="86">
        <v>41912</v>
      </c>
      <c r="J8950" s="78">
        <v>1346</v>
      </c>
    </row>
    <row r="8951" spans="6:10" x14ac:dyDescent="0.25">
      <c r="F8951" s="76" t="s">
        <v>150</v>
      </c>
      <c r="G8951" s="77" t="s">
        <v>317</v>
      </c>
      <c r="H8951" s="77" t="s">
        <v>174</v>
      </c>
      <c r="I8951" s="86">
        <v>41914</v>
      </c>
      <c r="J8951" s="78">
        <v>1481</v>
      </c>
    </row>
    <row r="8952" spans="6:10" x14ac:dyDescent="0.25">
      <c r="F8952" s="76" t="s">
        <v>150</v>
      </c>
      <c r="G8952" s="77" t="s">
        <v>317</v>
      </c>
      <c r="H8952" s="77" t="s">
        <v>174</v>
      </c>
      <c r="I8952" s="86">
        <v>41915</v>
      </c>
      <c r="J8952" s="78">
        <v>662</v>
      </c>
    </row>
    <row r="8953" spans="6:10" x14ac:dyDescent="0.25">
      <c r="F8953" s="76" t="s">
        <v>150</v>
      </c>
      <c r="G8953" s="77" t="s">
        <v>317</v>
      </c>
      <c r="H8953" s="77" t="s">
        <v>174</v>
      </c>
      <c r="I8953" s="86">
        <v>41917</v>
      </c>
      <c r="J8953" s="78">
        <v>618</v>
      </c>
    </row>
    <row r="8954" spans="6:10" x14ac:dyDescent="0.25">
      <c r="F8954" s="76" t="s">
        <v>150</v>
      </c>
      <c r="G8954" s="77" t="s">
        <v>317</v>
      </c>
      <c r="H8954" s="77" t="s">
        <v>174</v>
      </c>
      <c r="I8954" s="86">
        <v>41918</v>
      </c>
      <c r="J8954" s="78">
        <v>1101</v>
      </c>
    </row>
    <row r="8955" spans="6:10" x14ac:dyDescent="0.25">
      <c r="F8955" s="76" t="s">
        <v>150</v>
      </c>
      <c r="G8955" s="77" t="s">
        <v>317</v>
      </c>
      <c r="H8955" s="77" t="s">
        <v>174</v>
      </c>
      <c r="I8955" s="86">
        <v>41919</v>
      </c>
      <c r="J8955" s="78">
        <v>570</v>
      </c>
    </row>
    <row r="8956" spans="6:10" x14ac:dyDescent="0.25">
      <c r="F8956" s="76" t="s">
        <v>150</v>
      </c>
      <c r="G8956" s="77" t="s">
        <v>317</v>
      </c>
      <c r="H8956" s="77" t="s">
        <v>174</v>
      </c>
      <c r="I8956" s="86">
        <v>41920</v>
      </c>
      <c r="J8956" s="78">
        <v>1251</v>
      </c>
    </row>
    <row r="8957" spans="6:10" x14ac:dyDescent="0.25">
      <c r="F8957" s="76" t="s">
        <v>150</v>
      </c>
      <c r="G8957" s="77" t="s">
        <v>317</v>
      </c>
      <c r="H8957" s="77" t="s">
        <v>174</v>
      </c>
      <c r="I8957" s="86">
        <v>41922</v>
      </c>
      <c r="J8957" s="78">
        <v>1301</v>
      </c>
    </row>
    <row r="8958" spans="6:10" x14ac:dyDescent="0.25">
      <c r="F8958" s="76" t="s">
        <v>150</v>
      </c>
      <c r="G8958" s="77" t="s">
        <v>317</v>
      </c>
      <c r="H8958" s="77" t="s">
        <v>174</v>
      </c>
      <c r="I8958" s="86">
        <v>41924</v>
      </c>
      <c r="J8958" s="78">
        <v>1336</v>
      </c>
    </row>
    <row r="8959" spans="6:10" x14ac:dyDescent="0.25">
      <c r="F8959" s="76" t="s">
        <v>150</v>
      </c>
      <c r="G8959" s="77" t="s">
        <v>317</v>
      </c>
      <c r="H8959" s="77" t="s">
        <v>174</v>
      </c>
      <c r="I8959" s="86">
        <v>41925</v>
      </c>
      <c r="J8959" s="78">
        <v>1171</v>
      </c>
    </row>
    <row r="8960" spans="6:10" x14ac:dyDescent="0.25">
      <c r="F8960" s="76" t="s">
        <v>150</v>
      </c>
      <c r="G8960" s="77" t="s">
        <v>317</v>
      </c>
      <c r="H8960" s="77" t="s">
        <v>174</v>
      </c>
      <c r="I8960" s="86">
        <v>41926</v>
      </c>
      <c r="J8960" s="78">
        <v>490</v>
      </c>
    </row>
    <row r="8961" spans="6:10" x14ac:dyDescent="0.25">
      <c r="F8961" s="76" t="s">
        <v>150</v>
      </c>
      <c r="G8961" s="77" t="s">
        <v>317</v>
      </c>
      <c r="H8961" s="77" t="s">
        <v>174</v>
      </c>
      <c r="I8961" s="86">
        <v>41927</v>
      </c>
      <c r="J8961" s="78">
        <v>1016</v>
      </c>
    </row>
    <row r="8962" spans="6:10" x14ac:dyDescent="0.25">
      <c r="F8962" s="76" t="s">
        <v>150</v>
      </c>
      <c r="G8962" s="77" t="s">
        <v>317</v>
      </c>
      <c r="H8962" s="77" t="s">
        <v>174</v>
      </c>
      <c r="I8962" s="86">
        <v>41928</v>
      </c>
      <c r="J8962" s="78">
        <v>615</v>
      </c>
    </row>
    <row r="8963" spans="6:10" x14ac:dyDescent="0.25">
      <c r="F8963" s="76" t="s">
        <v>150</v>
      </c>
      <c r="G8963" s="77" t="s">
        <v>317</v>
      </c>
      <c r="H8963" s="77" t="s">
        <v>174</v>
      </c>
      <c r="I8963" s="86">
        <v>41929</v>
      </c>
      <c r="J8963" s="78">
        <v>551</v>
      </c>
    </row>
    <row r="8964" spans="6:10" x14ac:dyDescent="0.25">
      <c r="F8964" s="76" t="s">
        <v>150</v>
      </c>
      <c r="G8964" s="77" t="s">
        <v>317</v>
      </c>
      <c r="H8964" s="77" t="s">
        <v>174</v>
      </c>
      <c r="I8964" s="86">
        <v>41930</v>
      </c>
      <c r="J8964" s="78">
        <v>862</v>
      </c>
    </row>
    <row r="8965" spans="6:10" x14ac:dyDescent="0.25">
      <c r="F8965" s="76" t="s">
        <v>150</v>
      </c>
      <c r="G8965" s="77" t="s">
        <v>317</v>
      </c>
      <c r="H8965" s="77" t="s">
        <v>174</v>
      </c>
      <c r="I8965" s="86">
        <v>41931</v>
      </c>
      <c r="J8965" s="78">
        <v>770</v>
      </c>
    </row>
    <row r="8966" spans="6:10" x14ac:dyDescent="0.25">
      <c r="F8966" s="76" t="s">
        <v>150</v>
      </c>
      <c r="G8966" s="77" t="s">
        <v>317</v>
      </c>
      <c r="H8966" s="77" t="s">
        <v>174</v>
      </c>
      <c r="I8966" s="86">
        <v>41932</v>
      </c>
      <c r="J8966" s="78">
        <v>814</v>
      </c>
    </row>
    <row r="8967" spans="6:10" x14ac:dyDescent="0.25">
      <c r="F8967" s="76" t="s">
        <v>150</v>
      </c>
      <c r="G8967" s="77" t="s">
        <v>317</v>
      </c>
      <c r="H8967" s="77" t="s">
        <v>174</v>
      </c>
      <c r="I8967" s="86">
        <v>41933</v>
      </c>
      <c r="J8967" s="78">
        <v>410</v>
      </c>
    </row>
    <row r="8968" spans="6:10" x14ac:dyDescent="0.25">
      <c r="F8968" s="76" t="s">
        <v>150</v>
      </c>
      <c r="G8968" s="77" t="s">
        <v>317</v>
      </c>
      <c r="H8968" s="77" t="s">
        <v>174</v>
      </c>
      <c r="I8968" s="86">
        <v>41934</v>
      </c>
      <c r="J8968" s="78">
        <v>460</v>
      </c>
    </row>
    <row r="8969" spans="6:10" x14ac:dyDescent="0.25">
      <c r="F8969" s="76" t="s">
        <v>150</v>
      </c>
      <c r="G8969" s="77" t="s">
        <v>317</v>
      </c>
      <c r="H8969" s="77" t="s">
        <v>174</v>
      </c>
      <c r="I8969" s="86">
        <v>41935</v>
      </c>
      <c r="J8969" s="78">
        <v>1035</v>
      </c>
    </row>
    <row r="8970" spans="6:10" x14ac:dyDescent="0.25">
      <c r="F8970" s="76" t="s">
        <v>150</v>
      </c>
      <c r="G8970" s="77" t="s">
        <v>317</v>
      </c>
      <c r="H8970" s="77" t="s">
        <v>174</v>
      </c>
      <c r="I8970" s="86">
        <v>41939</v>
      </c>
      <c r="J8970" s="78">
        <v>1065</v>
      </c>
    </row>
    <row r="8971" spans="6:10" x14ac:dyDescent="0.25">
      <c r="F8971" s="76" t="s">
        <v>150</v>
      </c>
      <c r="G8971" s="77" t="s">
        <v>317</v>
      </c>
      <c r="H8971" s="77" t="s">
        <v>174</v>
      </c>
      <c r="I8971" s="86">
        <v>41940</v>
      </c>
      <c r="J8971" s="78">
        <v>744</v>
      </c>
    </row>
    <row r="8972" spans="6:10" x14ac:dyDescent="0.25">
      <c r="F8972" s="76" t="s">
        <v>150</v>
      </c>
      <c r="G8972" s="77" t="s">
        <v>317</v>
      </c>
      <c r="H8972" s="77" t="s">
        <v>174</v>
      </c>
      <c r="I8972" s="86">
        <v>41942</v>
      </c>
      <c r="J8972" s="78">
        <v>910</v>
      </c>
    </row>
    <row r="8973" spans="6:10" x14ac:dyDescent="0.25">
      <c r="F8973" s="76" t="s">
        <v>150</v>
      </c>
      <c r="G8973" s="77" t="s">
        <v>317</v>
      </c>
      <c r="H8973" s="77" t="s">
        <v>174</v>
      </c>
      <c r="I8973" s="86">
        <v>41943</v>
      </c>
      <c r="J8973" s="78">
        <v>1046</v>
      </c>
    </row>
    <row r="8974" spans="6:10" x14ac:dyDescent="0.25">
      <c r="F8974" s="76" t="s">
        <v>150</v>
      </c>
      <c r="G8974" s="77" t="s">
        <v>317</v>
      </c>
      <c r="H8974" s="77" t="s">
        <v>174</v>
      </c>
      <c r="I8974" s="86">
        <v>41944</v>
      </c>
      <c r="J8974" s="78">
        <v>358</v>
      </c>
    </row>
    <row r="8975" spans="6:10" x14ac:dyDescent="0.25">
      <c r="F8975" s="76" t="s">
        <v>150</v>
      </c>
      <c r="G8975" s="77" t="s">
        <v>317</v>
      </c>
      <c r="H8975" s="77" t="s">
        <v>174</v>
      </c>
      <c r="I8975" s="86">
        <v>41945</v>
      </c>
      <c r="J8975" s="78">
        <v>757</v>
      </c>
    </row>
    <row r="8976" spans="6:10" x14ac:dyDescent="0.25">
      <c r="F8976" s="76" t="s">
        <v>150</v>
      </c>
      <c r="G8976" s="77" t="s">
        <v>317</v>
      </c>
      <c r="H8976" s="77" t="s">
        <v>174</v>
      </c>
      <c r="I8976" s="86">
        <v>41946</v>
      </c>
      <c r="J8976" s="78">
        <v>608</v>
      </c>
    </row>
    <row r="8977" spans="6:10" x14ac:dyDescent="0.25">
      <c r="F8977" s="76" t="s">
        <v>150</v>
      </c>
      <c r="G8977" s="77" t="s">
        <v>317</v>
      </c>
      <c r="H8977" s="77" t="s">
        <v>174</v>
      </c>
      <c r="I8977" s="86">
        <v>41948</v>
      </c>
      <c r="J8977" s="78">
        <v>1459</v>
      </c>
    </row>
    <row r="8978" spans="6:10" x14ac:dyDescent="0.25">
      <c r="F8978" s="76" t="s">
        <v>150</v>
      </c>
      <c r="G8978" s="77" t="s">
        <v>317</v>
      </c>
      <c r="H8978" s="77" t="s">
        <v>174</v>
      </c>
      <c r="I8978" s="86">
        <v>41949</v>
      </c>
      <c r="J8978" s="78">
        <v>479</v>
      </c>
    </row>
    <row r="8979" spans="6:10" x14ac:dyDescent="0.25">
      <c r="F8979" s="76" t="s">
        <v>150</v>
      </c>
      <c r="G8979" s="77" t="s">
        <v>317</v>
      </c>
      <c r="H8979" s="77" t="s">
        <v>174</v>
      </c>
      <c r="I8979" s="86">
        <v>41955</v>
      </c>
      <c r="J8979" s="78">
        <v>632</v>
      </c>
    </row>
    <row r="8980" spans="6:10" x14ac:dyDescent="0.25">
      <c r="F8980" s="76" t="s">
        <v>150</v>
      </c>
      <c r="G8980" s="77" t="s">
        <v>317</v>
      </c>
      <c r="H8980" s="77" t="s">
        <v>174</v>
      </c>
      <c r="I8980" s="86">
        <v>41956</v>
      </c>
      <c r="J8980" s="78">
        <v>523</v>
      </c>
    </row>
    <row r="8981" spans="6:10" x14ac:dyDescent="0.25">
      <c r="F8981" s="76" t="s">
        <v>150</v>
      </c>
      <c r="G8981" s="77" t="s">
        <v>317</v>
      </c>
      <c r="H8981" s="77" t="s">
        <v>174</v>
      </c>
      <c r="I8981" s="86">
        <v>41957</v>
      </c>
      <c r="J8981" s="78">
        <v>682</v>
      </c>
    </row>
    <row r="8982" spans="6:10" x14ac:dyDescent="0.25">
      <c r="F8982" s="76" t="s">
        <v>150</v>
      </c>
      <c r="G8982" s="77" t="s">
        <v>317</v>
      </c>
      <c r="H8982" s="77" t="s">
        <v>174</v>
      </c>
      <c r="I8982" s="86">
        <v>41985</v>
      </c>
      <c r="J8982" s="78">
        <v>223</v>
      </c>
    </row>
    <row r="8983" spans="6:10" x14ac:dyDescent="0.25">
      <c r="F8983" s="76" t="s">
        <v>150</v>
      </c>
      <c r="G8983" s="77" t="s">
        <v>317</v>
      </c>
      <c r="H8983" s="77" t="s">
        <v>174</v>
      </c>
      <c r="I8983" s="86">
        <v>41994</v>
      </c>
      <c r="J8983" s="78">
        <v>1519</v>
      </c>
    </row>
    <row r="8984" spans="6:10" x14ac:dyDescent="0.25">
      <c r="F8984" s="76" t="s">
        <v>150</v>
      </c>
      <c r="G8984" s="77" t="s">
        <v>318</v>
      </c>
      <c r="H8984" s="77" t="s">
        <v>174</v>
      </c>
      <c r="I8984" s="86">
        <v>41635</v>
      </c>
      <c r="J8984" s="78">
        <v>1027</v>
      </c>
    </row>
    <row r="8985" spans="6:10" x14ac:dyDescent="0.25">
      <c r="F8985" s="76" t="s">
        <v>150</v>
      </c>
      <c r="G8985" s="77" t="s">
        <v>318</v>
      </c>
      <c r="H8985" s="77" t="s">
        <v>174</v>
      </c>
      <c r="I8985" s="86">
        <v>41636</v>
      </c>
      <c r="J8985" s="78">
        <v>682</v>
      </c>
    </row>
    <row r="8986" spans="6:10" x14ac:dyDescent="0.25">
      <c r="F8986" s="76" t="s">
        <v>150</v>
      </c>
      <c r="G8986" s="77" t="s">
        <v>318</v>
      </c>
      <c r="H8986" s="77" t="s">
        <v>174</v>
      </c>
      <c r="I8986" s="86">
        <v>41637</v>
      </c>
      <c r="J8986" s="78">
        <v>788</v>
      </c>
    </row>
    <row r="8987" spans="6:10" x14ac:dyDescent="0.25">
      <c r="F8987" s="76" t="s">
        <v>150</v>
      </c>
      <c r="G8987" s="77" t="s">
        <v>318</v>
      </c>
      <c r="H8987" s="77" t="s">
        <v>174</v>
      </c>
      <c r="I8987" s="86">
        <v>41638</v>
      </c>
      <c r="J8987" s="78">
        <v>784</v>
      </c>
    </row>
    <row r="8988" spans="6:10" x14ac:dyDescent="0.25">
      <c r="F8988" s="76" t="s">
        <v>150</v>
      </c>
      <c r="G8988" s="77" t="s">
        <v>318</v>
      </c>
      <c r="H8988" s="77" t="s">
        <v>174</v>
      </c>
      <c r="I8988" s="86">
        <v>41640</v>
      </c>
      <c r="J8988" s="78">
        <v>1018</v>
      </c>
    </row>
    <row r="8989" spans="6:10" x14ac:dyDescent="0.25">
      <c r="F8989" s="76" t="s">
        <v>150</v>
      </c>
      <c r="G8989" s="77" t="s">
        <v>318</v>
      </c>
      <c r="H8989" s="77" t="s">
        <v>174</v>
      </c>
      <c r="I8989" s="86">
        <v>41641</v>
      </c>
      <c r="J8989" s="78">
        <v>459</v>
      </c>
    </row>
    <row r="8990" spans="6:10" x14ac:dyDescent="0.25">
      <c r="F8990" s="76" t="s">
        <v>150</v>
      </c>
      <c r="G8990" s="77" t="s">
        <v>318</v>
      </c>
      <c r="H8990" s="77" t="s">
        <v>174</v>
      </c>
      <c r="I8990" s="86">
        <v>41642</v>
      </c>
      <c r="J8990" s="78">
        <v>1268</v>
      </c>
    </row>
    <row r="8991" spans="6:10" x14ac:dyDescent="0.25">
      <c r="F8991" s="76" t="s">
        <v>150</v>
      </c>
      <c r="G8991" s="77" t="s">
        <v>318</v>
      </c>
      <c r="H8991" s="77" t="s">
        <v>174</v>
      </c>
      <c r="I8991" s="86">
        <v>41643</v>
      </c>
      <c r="J8991" s="78">
        <v>1116</v>
      </c>
    </row>
    <row r="8992" spans="6:10" x14ac:dyDescent="0.25">
      <c r="F8992" s="76" t="s">
        <v>150</v>
      </c>
      <c r="G8992" s="77" t="s">
        <v>318</v>
      </c>
      <c r="H8992" s="77" t="s">
        <v>174</v>
      </c>
      <c r="I8992" s="86">
        <v>41645</v>
      </c>
      <c r="J8992" s="78">
        <v>766</v>
      </c>
    </row>
    <row r="8993" spans="6:10" x14ac:dyDescent="0.25">
      <c r="F8993" s="76" t="s">
        <v>150</v>
      </c>
      <c r="G8993" s="77" t="s">
        <v>318</v>
      </c>
      <c r="H8993" s="77" t="s">
        <v>174</v>
      </c>
      <c r="I8993" s="86">
        <v>41646</v>
      </c>
      <c r="J8993" s="78">
        <v>670</v>
      </c>
    </row>
    <row r="8994" spans="6:10" x14ac:dyDescent="0.25">
      <c r="F8994" s="76" t="s">
        <v>150</v>
      </c>
      <c r="G8994" s="77" t="s">
        <v>318</v>
      </c>
      <c r="H8994" s="77" t="s">
        <v>174</v>
      </c>
      <c r="I8994" s="86">
        <v>41647</v>
      </c>
      <c r="J8994" s="78">
        <v>935</v>
      </c>
    </row>
    <row r="8995" spans="6:10" x14ac:dyDescent="0.25">
      <c r="F8995" s="76" t="s">
        <v>150</v>
      </c>
      <c r="G8995" s="77" t="s">
        <v>318</v>
      </c>
      <c r="H8995" s="77" t="s">
        <v>174</v>
      </c>
      <c r="I8995" s="86">
        <v>41648</v>
      </c>
      <c r="J8995" s="78">
        <v>1196</v>
      </c>
    </row>
    <row r="8996" spans="6:10" x14ac:dyDescent="0.25">
      <c r="F8996" s="76" t="s">
        <v>150</v>
      </c>
      <c r="G8996" s="77" t="s">
        <v>318</v>
      </c>
      <c r="H8996" s="77" t="s">
        <v>174</v>
      </c>
      <c r="I8996" s="86">
        <v>41650</v>
      </c>
      <c r="J8996" s="78">
        <v>1177</v>
      </c>
    </row>
    <row r="8997" spans="6:10" x14ac:dyDescent="0.25">
      <c r="F8997" s="76" t="s">
        <v>150</v>
      </c>
      <c r="G8997" s="77" t="s">
        <v>318</v>
      </c>
      <c r="H8997" s="77" t="s">
        <v>174</v>
      </c>
      <c r="I8997" s="86">
        <v>41651</v>
      </c>
      <c r="J8997" s="78">
        <v>770</v>
      </c>
    </row>
    <row r="8998" spans="6:10" x14ac:dyDescent="0.25">
      <c r="F8998" s="76" t="s">
        <v>150</v>
      </c>
      <c r="G8998" s="77" t="s">
        <v>318</v>
      </c>
      <c r="H8998" s="77" t="s">
        <v>174</v>
      </c>
      <c r="I8998" s="86">
        <v>41652</v>
      </c>
      <c r="J8998" s="78">
        <v>1072</v>
      </c>
    </row>
    <row r="8999" spans="6:10" x14ac:dyDescent="0.25">
      <c r="F8999" s="76" t="s">
        <v>150</v>
      </c>
      <c r="G8999" s="77" t="s">
        <v>318</v>
      </c>
      <c r="H8999" s="77" t="s">
        <v>174</v>
      </c>
      <c r="I8999" s="86">
        <v>41654</v>
      </c>
      <c r="J8999" s="78">
        <v>852</v>
      </c>
    </row>
    <row r="9000" spans="6:10" x14ac:dyDescent="0.25">
      <c r="F9000" s="76" t="s">
        <v>150</v>
      </c>
      <c r="G9000" s="77" t="s">
        <v>318</v>
      </c>
      <c r="H9000" s="77" t="s">
        <v>174</v>
      </c>
      <c r="I9000" s="86">
        <v>41655</v>
      </c>
      <c r="J9000" s="78">
        <v>832</v>
      </c>
    </row>
    <row r="9001" spans="6:10" x14ac:dyDescent="0.25">
      <c r="F9001" s="76" t="s">
        <v>150</v>
      </c>
      <c r="G9001" s="77" t="s">
        <v>318</v>
      </c>
      <c r="H9001" s="77" t="s">
        <v>174</v>
      </c>
      <c r="I9001" s="86">
        <v>41656</v>
      </c>
      <c r="J9001" s="78">
        <v>1028</v>
      </c>
    </row>
    <row r="9002" spans="6:10" x14ac:dyDescent="0.25">
      <c r="F9002" s="76" t="s">
        <v>150</v>
      </c>
      <c r="G9002" s="77" t="s">
        <v>318</v>
      </c>
      <c r="H9002" s="77" t="s">
        <v>174</v>
      </c>
      <c r="I9002" s="86">
        <v>41657</v>
      </c>
      <c r="J9002" s="78">
        <v>628</v>
      </c>
    </row>
    <row r="9003" spans="6:10" x14ac:dyDescent="0.25">
      <c r="F9003" s="76" t="s">
        <v>150</v>
      </c>
      <c r="G9003" s="77" t="s">
        <v>318</v>
      </c>
      <c r="H9003" s="77" t="s">
        <v>174</v>
      </c>
      <c r="I9003" s="86">
        <v>41658</v>
      </c>
      <c r="J9003" s="78">
        <v>822</v>
      </c>
    </row>
    <row r="9004" spans="6:10" x14ac:dyDescent="0.25">
      <c r="F9004" s="76" t="s">
        <v>150</v>
      </c>
      <c r="G9004" s="77" t="s">
        <v>318</v>
      </c>
      <c r="H9004" s="77" t="s">
        <v>174</v>
      </c>
      <c r="I9004" s="86">
        <v>41661</v>
      </c>
      <c r="J9004" s="78">
        <v>1265</v>
      </c>
    </row>
    <row r="9005" spans="6:10" x14ac:dyDescent="0.25">
      <c r="F9005" s="76" t="s">
        <v>150</v>
      </c>
      <c r="G9005" s="77" t="s">
        <v>318</v>
      </c>
      <c r="H9005" s="77" t="s">
        <v>174</v>
      </c>
      <c r="I9005" s="86">
        <v>41662</v>
      </c>
      <c r="J9005" s="78">
        <v>1459</v>
      </c>
    </row>
    <row r="9006" spans="6:10" x14ac:dyDescent="0.25">
      <c r="F9006" s="76" t="s">
        <v>150</v>
      </c>
      <c r="G9006" s="77" t="s">
        <v>318</v>
      </c>
      <c r="H9006" s="77" t="s">
        <v>174</v>
      </c>
      <c r="I9006" s="86">
        <v>41663</v>
      </c>
      <c r="J9006" s="78">
        <v>1024</v>
      </c>
    </row>
    <row r="9007" spans="6:10" x14ac:dyDescent="0.25">
      <c r="F9007" s="76" t="s">
        <v>150</v>
      </c>
      <c r="G9007" s="77" t="s">
        <v>318</v>
      </c>
      <c r="H9007" s="77" t="s">
        <v>174</v>
      </c>
      <c r="I9007" s="86">
        <v>41664</v>
      </c>
      <c r="J9007" s="78">
        <v>668</v>
      </c>
    </row>
    <row r="9008" spans="6:10" x14ac:dyDescent="0.25">
      <c r="F9008" s="76" t="s">
        <v>150</v>
      </c>
      <c r="G9008" s="77" t="s">
        <v>318</v>
      </c>
      <c r="H9008" s="77" t="s">
        <v>174</v>
      </c>
      <c r="I9008" s="86">
        <v>41665</v>
      </c>
      <c r="J9008" s="78">
        <v>935</v>
      </c>
    </row>
    <row r="9009" spans="6:10" x14ac:dyDescent="0.25">
      <c r="F9009" s="76" t="s">
        <v>150</v>
      </c>
      <c r="G9009" s="77" t="s">
        <v>318</v>
      </c>
      <c r="H9009" s="77" t="s">
        <v>174</v>
      </c>
      <c r="I9009" s="86">
        <v>41666</v>
      </c>
      <c r="J9009" s="78">
        <v>462</v>
      </c>
    </row>
    <row r="9010" spans="6:10" x14ac:dyDescent="0.25">
      <c r="F9010" s="76" t="s">
        <v>150</v>
      </c>
      <c r="G9010" s="77" t="s">
        <v>318</v>
      </c>
      <c r="H9010" s="77" t="s">
        <v>174</v>
      </c>
      <c r="I9010" s="86">
        <v>41669</v>
      </c>
      <c r="J9010" s="78">
        <v>169</v>
      </c>
    </row>
    <row r="9011" spans="6:10" x14ac:dyDescent="0.25">
      <c r="F9011" s="76" t="s">
        <v>150</v>
      </c>
      <c r="G9011" s="77" t="s">
        <v>318</v>
      </c>
      <c r="H9011" s="77" t="s">
        <v>174</v>
      </c>
      <c r="I9011" s="86">
        <v>41669</v>
      </c>
      <c r="J9011" s="78">
        <v>1068</v>
      </c>
    </row>
    <row r="9012" spans="6:10" x14ac:dyDescent="0.25">
      <c r="F9012" s="76" t="s">
        <v>150</v>
      </c>
      <c r="G9012" s="77" t="s">
        <v>318</v>
      </c>
      <c r="H9012" s="77" t="s">
        <v>174</v>
      </c>
      <c r="I9012" s="86">
        <v>41671</v>
      </c>
      <c r="J9012" s="78">
        <v>1067</v>
      </c>
    </row>
    <row r="9013" spans="6:10" x14ac:dyDescent="0.25">
      <c r="F9013" s="76" t="s">
        <v>150</v>
      </c>
      <c r="G9013" s="77" t="s">
        <v>318</v>
      </c>
      <c r="H9013" s="77" t="s">
        <v>174</v>
      </c>
      <c r="I9013" s="86">
        <v>41672</v>
      </c>
      <c r="J9013" s="78">
        <v>903</v>
      </c>
    </row>
    <row r="9014" spans="6:10" x14ac:dyDescent="0.25">
      <c r="F9014" s="76" t="s">
        <v>150</v>
      </c>
      <c r="G9014" s="77" t="s">
        <v>318</v>
      </c>
      <c r="H9014" s="77" t="s">
        <v>174</v>
      </c>
      <c r="I9014" s="86">
        <v>41674</v>
      </c>
      <c r="J9014" s="78">
        <v>1227</v>
      </c>
    </row>
    <row r="9015" spans="6:10" x14ac:dyDescent="0.25">
      <c r="F9015" s="76" t="s">
        <v>150</v>
      </c>
      <c r="G9015" s="77" t="s">
        <v>318</v>
      </c>
      <c r="H9015" s="77" t="s">
        <v>174</v>
      </c>
      <c r="I9015" s="86">
        <v>41675</v>
      </c>
      <c r="J9015" s="78">
        <v>880</v>
      </c>
    </row>
    <row r="9016" spans="6:10" x14ac:dyDescent="0.25">
      <c r="F9016" s="76" t="s">
        <v>150</v>
      </c>
      <c r="G9016" s="77" t="s">
        <v>318</v>
      </c>
      <c r="H9016" s="77" t="s">
        <v>174</v>
      </c>
      <c r="I9016" s="86">
        <v>41676</v>
      </c>
      <c r="J9016" s="78">
        <v>1291</v>
      </c>
    </row>
    <row r="9017" spans="6:10" x14ac:dyDescent="0.25">
      <c r="F9017" s="76" t="s">
        <v>150</v>
      </c>
      <c r="G9017" s="77" t="s">
        <v>318</v>
      </c>
      <c r="H9017" s="77" t="s">
        <v>174</v>
      </c>
      <c r="I9017" s="86">
        <v>41677</v>
      </c>
      <c r="J9017" s="78">
        <v>618</v>
      </c>
    </row>
    <row r="9018" spans="6:10" x14ac:dyDescent="0.25">
      <c r="F9018" s="76" t="s">
        <v>150</v>
      </c>
      <c r="G9018" s="77" t="s">
        <v>318</v>
      </c>
      <c r="H9018" s="77" t="s">
        <v>174</v>
      </c>
      <c r="I9018" s="86">
        <v>41679</v>
      </c>
      <c r="J9018" s="78">
        <v>723</v>
      </c>
    </row>
    <row r="9019" spans="6:10" x14ac:dyDescent="0.25">
      <c r="F9019" s="76" t="s">
        <v>150</v>
      </c>
      <c r="G9019" s="77" t="s">
        <v>318</v>
      </c>
      <c r="H9019" s="77" t="s">
        <v>174</v>
      </c>
      <c r="I9019" s="86">
        <v>41680</v>
      </c>
      <c r="J9019" s="78">
        <v>647</v>
      </c>
    </row>
    <row r="9020" spans="6:10" x14ac:dyDescent="0.25">
      <c r="F9020" s="76" t="s">
        <v>150</v>
      </c>
      <c r="G9020" s="77" t="s">
        <v>318</v>
      </c>
      <c r="H9020" s="77" t="s">
        <v>174</v>
      </c>
      <c r="I9020" s="86">
        <v>41681</v>
      </c>
      <c r="J9020" s="78">
        <v>1137</v>
      </c>
    </row>
    <row r="9021" spans="6:10" x14ac:dyDescent="0.25">
      <c r="F9021" s="76" t="s">
        <v>150</v>
      </c>
      <c r="G9021" s="77" t="s">
        <v>318</v>
      </c>
      <c r="H9021" s="77" t="s">
        <v>174</v>
      </c>
      <c r="I9021" s="86">
        <v>41682</v>
      </c>
      <c r="J9021" s="78">
        <v>886</v>
      </c>
    </row>
    <row r="9022" spans="6:10" x14ac:dyDescent="0.25">
      <c r="F9022" s="76" t="s">
        <v>150</v>
      </c>
      <c r="G9022" s="77" t="s">
        <v>318</v>
      </c>
      <c r="H9022" s="77" t="s">
        <v>174</v>
      </c>
      <c r="I9022" s="86">
        <v>41683</v>
      </c>
      <c r="J9022" s="78">
        <v>1151</v>
      </c>
    </row>
    <row r="9023" spans="6:10" x14ac:dyDescent="0.25">
      <c r="F9023" s="76" t="s">
        <v>150</v>
      </c>
      <c r="G9023" s="77" t="s">
        <v>318</v>
      </c>
      <c r="H9023" s="77" t="s">
        <v>174</v>
      </c>
      <c r="I9023" s="86">
        <v>41684</v>
      </c>
      <c r="J9023" s="78">
        <v>1274</v>
      </c>
    </row>
    <row r="9024" spans="6:10" x14ac:dyDescent="0.25">
      <c r="F9024" s="76" t="s">
        <v>150</v>
      </c>
      <c r="G9024" s="77" t="s">
        <v>318</v>
      </c>
      <c r="H9024" s="77" t="s">
        <v>174</v>
      </c>
      <c r="I9024" s="86">
        <v>41685</v>
      </c>
      <c r="J9024" s="78">
        <v>318</v>
      </c>
    </row>
    <row r="9025" spans="6:10" x14ac:dyDescent="0.25">
      <c r="F9025" s="76" t="s">
        <v>150</v>
      </c>
      <c r="G9025" s="77" t="s">
        <v>318</v>
      </c>
      <c r="H9025" s="77" t="s">
        <v>174</v>
      </c>
      <c r="I9025" s="86">
        <v>41705</v>
      </c>
      <c r="J9025" s="78">
        <v>335</v>
      </c>
    </row>
    <row r="9026" spans="6:10" x14ac:dyDescent="0.25">
      <c r="F9026" s="76" t="s">
        <v>150</v>
      </c>
      <c r="G9026" s="77" t="s">
        <v>318</v>
      </c>
      <c r="H9026" s="77" t="s">
        <v>174</v>
      </c>
      <c r="I9026" s="86">
        <v>41708</v>
      </c>
      <c r="J9026" s="78">
        <v>483</v>
      </c>
    </row>
    <row r="9027" spans="6:10" x14ac:dyDescent="0.25">
      <c r="F9027" s="76" t="s">
        <v>150</v>
      </c>
      <c r="G9027" s="77" t="s">
        <v>318</v>
      </c>
      <c r="H9027" s="77" t="s">
        <v>174</v>
      </c>
      <c r="I9027" s="86">
        <v>41730</v>
      </c>
      <c r="J9027" s="78">
        <v>851</v>
      </c>
    </row>
    <row r="9028" spans="6:10" x14ac:dyDescent="0.25">
      <c r="F9028" s="76" t="s">
        <v>150</v>
      </c>
      <c r="G9028" s="77" t="s">
        <v>318</v>
      </c>
      <c r="H9028" s="77" t="s">
        <v>174</v>
      </c>
      <c r="I9028" s="86">
        <v>41731</v>
      </c>
      <c r="J9028" s="78">
        <v>444</v>
      </c>
    </row>
    <row r="9029" spans="6:10" x14ac:dyDescent="0.25">
      <c r="F9029" s="76" t="s">
        <v>150</v>
      </c>
      <c r="G9029" s="77" t="s">
        <v>318</v>
      </c>
      <c r="H9029" s="77" t="s">
        <v>174</v>
      </c>
      <c r="I9029" s="86">
        <v>41732</v>
      </c>
      <c r="J9029" s="78">
        <v>1204</v>
      </c>
    </row>
    <row r="9030" spans="6:10" x14ac:dyDescent="0.25">
      <c r="F9030" s="76" t="s">
        <v>150</v>
      </c>
      <c r="G9030" s="77" t="s">
        <v>318</v>
      </c>
      <c r="H9030" s="77" t="s">
        <v>174</v>
      </c>
      <c r="I9030" s="86">
        <v>41733</v>
      </c>
      <c r="J9030" s="78">
        <v>463</v>
      </c>
    </row>
    <row r="9031" spans="6:10" x14ac:dyDescent="0.25">
      <c r="F9031" s="76" t="s">
        <v>150</v>
      </c>
      <c r="G9031" s="77" t="s">
        <v>318</v>
      </c>
      <c r="H9031" s="77" t="s">
        <v>174</v>
      </c>
      <c r="I9031" s="86">
        <v>41736</v>
      </c>
      <c r="J9031" s="78">
        <v>1057</v>
      </c>
    </row>
    <row r="9032" spans="6:10" x14ac:dyDescent="0.25">
      <c r="F9032" s="76" t="s">
        <v>150</v>
      </c>
      <c r="G9032" s="77" t="s">
        <v>318</v>
      </c>
      <c r="H9032" s="77" t="s">
        <v>174</v>
      </c>
      <c r="I9032" s="86">
        <v>41742</v>
      </c>
      <c r="J9032" s="78">
        <v>1581</v>
      </c>
    </row>
    <row r="9033" spans="6:10" x14ac:dyDescent="0.25">
      <c r="F9033" s="76" t="s">
        <v>150</v>
      </c>
      <c r="G9033" s="77" t="s">
        <v>318</v>
      </c>
      <c r="H9033" s="77" t="s">
        <v>174</v>
      </c>
      <c r="I9033" s="86">
        <v>41744</v>
      </c>
      <c r="J9033" s="78">
        <v>539</v>
      </c>
    </row>
    <row r="9034" spans="6:10" x14ac:dyDescent="0.25">
      <c r="F9034" s="76" t="s">
        <v>150</v>
      </c>
      <c r="G9034" s="77" t="s">
        <v>318</v>
      </c>
      <c r="H9034" s="77" t="s">
        <v>174</v>
      </c>
      <c r="I9034" s="86">
        <v>41745</v>
      </c>
      <c r="J9034" s="78">
        <v>726</v>
      </c>
    </row>
    <row r="9035" spans="6:10" x14ac:dyDescent="0.25">
      <c r="F9035" s="76" t="s">
        <v>150</v>
      </c>
      <c r="G9035" s="77" t="s">
        <v>318</v>
      </c>
      <c r="H9035" s="77" t="s">
        <v>174</v>
      </c>
      <c r="I9035" s="86">
        <v>41746</v>
      </c>
      <c r="J9035" s="78">
        <v>955</v>
      </c>
    </row>
    <row r="9036" spans="6:10" x14ac:dyDescent="0.25">
      <c r="F9036" s="76" t="s">
        <v>150</v>
      </c>
      <c r="G9036" s="77" t="s">
        <v>318</v>
      </c>
      <c r="H9036" s="77" t="s">
        <v>174</v>
      </c>
      <c r="I9036" s="86">
        <v>41748</v>
      </c>
      <c r="J9036" s="78">
        <v>827</v>
      </c>
    </row>
    <row r="9037" spans="6:10" x14ac:dyDescent="0.25">
      <c r="F9037" s="76" t="s">
        <v>150</v>
      </c>
      <c r="G9037" s="77" t="s">
        <v>318</v>
      </c>
      <c r="H9037" s="77" t="s">
        <v>174</v>
      </c>
      <c r="I9037" s="86">
        <v>41749</v>
      </c>
      <c r="J9037" s="78">
        <v>612</v>
      </c>
    </row>
    <row r="9038" spans="6:10" x14ac:dyDescent="0.25">
      <c r="F9038" s="76" t="s">
        <v>150</v>
      </c>
      <c r="G9038" s="77" t="s">
        <v>318</v>
      </c>
      <c r="H9038" s="77" t="s">
        <v>174</v>
      </c>
      <c r="I9038" s="86">
        <v>41751</v>
      </c>
      <c r="J9038" s="78">
        <v>1505</v>
      </c>
    </row>
    <row r="9039" spans="6:10" x14ac:dyDescent="0.25">
      <c r="F9039" s="76" t="s">
        <v>150</v>
      </c>
      <c r="G9039" s="77" t="s">
        <v>318</v>
      </c>
      <c r="H9039" s="77" t="s">
        <v>174</v>
      </c>
      <c r="I9039" s="86">
        <v>41752</v>
      </c>
      <c r="J9039" s="78">
        <v>1195</v>
      </c>
    </row>
    <row r="9040" spans="6:10" x14ac:dyDescent="0.25">
      <c r="F9040" s="76" t="s">
        <v>150</v>
      </c>
      <c r="G9040" s="77" t="s">
        <v>318</v>
      </c>
      <c r="H9040" s="77" t="s">
        <v>174</v>
      </c>
      <c r="I9040" s="86">
        <v>41754</v>
      </c>
      <c r="J9040" s="78">
        <v>1734</v>
      </c>
    </row>
    <row r="9041" spans="6:10" x14ac:dyDescent="0.25">
      <c r="F9041" s="76" t="s">
        <v>150</v>
      </c>
      <c r="G9041" s="77" t="s">
        <v>318</v>
      </c>
      <c r="H9041" s="77" t="s">
        <v>174</v>
      </c>
      <c r="I9041" s="86">
        <v>41757</v>
      </c>
      <c r="J9041" s="78">
        <v>453</v>
      </c>
    </row>
    <row r="9042" spans="6:10" x14ac:dyDescent="0.25">
      <c r="F9042" s="76" t="s">
        <v>150</v>
      </c>
      <c r="G9042" s="77" t="s">
        <v>318</v>
      </c>
      <c r="H9042" s="77" t="s">
        <v>174</v>
      </c>
      <c r="I9042" s="86">
        <v>41795</v>
      </c>
      <c r="J9042" s="78">
        <v>1420</v>
      </c>
    </row>
    <row r="9043" spans="6:10" x14ac:dyDescent="0.25">
      <c r="F9043" s="76" t="s">
        <v>150</v>
      </c>
      <c r="G9043" s="77" t="s">
        <v>318</v>
      </c>
      <c r="H9043" s="77" t="s">
        <v>174</v>
      </c>
      <c r="I9043" s="86">
        <v>41796</v>
      </c>
      <c r="J9043" s="78">
        <v>450</v>
      </c>
    </row>
    <row r="9044" spans="6:10" x14ac:dyDescent="0.25">
      <c r="F9044" s="76" t="s">
        <v>150</v>
      </c>
      <c r="G9044" s="77" t="s">
        <v>318</v>
      </c>
      <c r="H9044" s="77" t="s">
        <v>174</v>
      </c>
      <c r="I9044" s="86">
        <v>41799</v>
      </c>
      <c r="J9044" s="78">
        <v>1162</v>
      </c>
    </row>
    <row r="9045" spans="6:10" x14ac:dyDescent="0.25">
      <c r="F9045" s="76" t="s">
        <v>150</v>
      </c>
      <c r="G9045" s="77" t="s">
        <v>318</v>
      </c>
      <c r="H9045" s="77" t="s">
        <v>174</v>
      </c>
      <c r="I9045" s="86">
        <v>41800</v>
      </c>
      <c r="J9045" s="78">
        <v>431</v>
      </c>
    </row>
    <row r="9046" spans="6:10" x14ac:dyDescent="0.25">
      <c r="F9046" s="76" t="s">
        <v>150</v>
      </c>
      <c r="G9046" s="77" t="s">
        <v>318</v>
      </c>
      <c r="H9046" s="77" t="s">
        <v>174</v>
      </c>
      <c r="I9046" s="86">
        <v>41802</v>
      </c>
      <c r="J9046" s="78">
        <v>1378</v>
      </c>
    </row>
    <row r="9047" spans="6:10" x14ac:dyDescent="0.25">
      <c r="F9047" s="76" t="s">
        <v>150</v>
      </c>
      <c r="G9047" s="77" t="s">
        <v>318</v>
      </c>
      <c r="H9047" s="77" t="s">
        <v>174</v>
      </c>
      <c r="I9047" s="86">
        <v>41803</v>
      </c>
      <c r="J9047" s="78">
        <v>1284</v>
      </c>
    </row>
    <row r="9048" spans="6:10" x14ac:dyDescent="0.25">
      <c r="F9048" s="76" t="s">
        <v>150</v>
      </c>
      <c r="G9048" s="77" t="s">
        <v>318</v>
      </c>
      <c r="H9048" s="77" t="s">
        <v>174</v>
      </c>
      <c r="I9048" s="86">
        <v>41806</v>
      </c>
      <c r="J9048" s="78">
        <v>496</v>
      </c>
    </row>
    <row r="9049" spans="6:10" x14ac:dyDescent="0.25">
      <c r="F9049" s="76" t="s">
        <v>150</v>
      </c>
      <c r="G9049" s="77" t="s">
        <v>318</v>
      </c>
      <c r="H9049" s="77" t="s">
        <v>174</v>
      </c>
      <c r="I9049" s="86">
        <v>41807</v>
      </c>
      <c r="J9049" s="78">
        <v>1281</v>
      </c>
    </row>
    <row r="9050" spans="6:10" x14ac:dyDescent="0.25">
      <c r="F9050" s="76" t="s">
        <v>150</v>
      </c>
      <c r="G9050" s="77" t="s">
        <v>318</v>
      </c>
      <c r="H9050" s="77" t="s">
        <v>174</v>
      </c>
      <c r="I9050" s="86">
        <v>41809</v>
      </c>
      <c r="J9050" s="78">
        <v>1957</v>
      </c>
    </row>
    <row r="9051" spans="6:10" x14ac:dyDescent="0.25">
      <c r="F9051" s="76" t="s">
        <v>150</v>
      </c>
      <c r="G9051" s="77" t="s">
        <v>318</v>
      </c>
      <c r="H9051" s="77" t="s">
        <v>174</v>
      </c>
      <c r="I9051" s="86">
        <v>41810</v>
      </c>
      <c r="J9051" s="78">
        <v>403</v>
      </c>
    </row>
    <row r="9052" spans="6:10" x14ac:dyDescent="0.25">
      <c r="F9052" s="76" t="s">
        <v>150</v>
      </c>
      <c r="G9052" s="77" t="s">
        <v>318</v>
      </c>
      <c r="H9052" s="77" t="s">
        <v>174</v>
      </c>
      <c r="I9052" s="86">
        <v>41813</v>
      </c>
      <c r="J9052" s="78">
        <v>1287</v>
      </c>
    </row>
    <row r="9053" spans="6:10" x14ac:dyDescent="0.25">
      <c r="F9053" s="76" t="s">
        <v>150</v>
      </c>
      <c r="G9053" s="77" t="s">
        <v>318</v>
      </c>
      <c r="H9053" s="77" t="s">
        <v>174</v>
      </c>
      <c r="I9053" s="86">
        <v>41814</v>
      </c>
      <c r="J9053" s="78">
        <v>466</v>
      </c>
    </row>
    <row r="9054" spans="6:10" x14ac:dyDescent="0.25">
      <c r="F9054" s="76" t="s">
        <v>150</v>
      </c>
      <c r="G9054" s="77" t="s">
        <v>318</v>
      </c>
      <c r="H9054" s="77" t="s">
        <v>174</v>
      </c>
      <c r="I9054" s="86">
        <v>41815</v>
      </c>
      <c r="J9054" s="78">
        <v>1196</v>
      </c>
    </row>
    <row r="9055" spans="6:10" x14ac:dyDescent="0.25">
      <c r="F9055" s="76" t="s">
        <v>150</v>
      </c>
      <c r="G9055" s="77" t="s">
        <v>318</v>
      </c>
      <c r="H9055" s="77" t="s">
        <v>174</v>
      </c>
      <c r="I9055" s="86">
        <v>41816</v>
      </c>
      <c r="J9055" s="78">
        <v>610</v>
      </c>
    </row>
    <row r="9056" spans="6:10" x14ac:dyDescent="0.25">
      <c r="F9056" s="76" t="s">
        <v>150</v>
      </c>
      <c r="G9056" s="77" t="s">
        <v>318</v>
      </c>
      <c r="H9056" s="77" t="s">
        <v>174</v>
      </c>
      <c r="I9056" s="86">
        <v>41817</v>
      </c>
      <c r="J9056" s="78">
        <v>813</v>
      </c>
    </row>
    <row r="9057" spans="6:10" x14ac:dyDescent="0.25">
      <c r="F9057" s="76" t="s">
        <v>150</v>
      </c>
      <c r="G9057" s="77" t="s">
        <v>318</v>
      </c>
      <c r="H9057" s="77" t="s">
        <v>174</v>
      </c>
      <c r="I9057" s="86">
        <v>41818</v>
      </c>
      <c r="J9057" s="78">
        <v>876</v>
      </c>
    </row>
    <row r="9058" spans="6:10" x14ac:dyDescent="0.25">
      <c r="F9058" s="76" t="s">
        <v>150</v>
      </c>
      <c r="G9058" s="77" t="s">
        <v>318</v>
      </c>
      <c r="H9058" s="77" t="s">
        <v>174</v>
      </c>
      <c r="I9058" s="86">
        <v>41819</v>
      </c>
      <c r="J9058" s="78">
        <v>769</v>
      </c>
    </row>
    <row r="9059" spans="6:10" x14ac:dyDescent="0.25">
      <c r="F9059" s="76" t="s">
        <v>150</v>
      </c>
      <c r="G9059" s="77" t="s">
        <v>318</v>
      </c>
      <c r="H9059" s="77" t="s">
        <v>174</v>
      </c>
      <c r="I9059" s="86">
        <v>41820</v>
      </c>
      <c r="J9059" s="78">
        <v>850</v>
      </c>
    </row>
    <row r="9060" spans="6:10" x14ac:dyDescent="0.25">
      <c r="F9060" s="76" t="s">
        <v>150</v>
      </c>
      <c r="G9060" s="77" t="s">
        <v>318</v>
      </c>
      <c r="H9060" s="77" t="s">
        <v>174</v>
      </c>
      <c r="I9060" s="86">
        <v>41822</v>
      </c>
      <c r="J9060" s="78">
        <v>676</v>
      </c>
    </row>
    <row r="9061" spans="6:10" x14ac:dyDescent="0.25">
      <c r="F9061" s="76" t="s">
        <v>150</v>
      </c>
      <c r="G9061" s="77" t="s">
        <v>318</v>
      </c>
      <c r="H9061" s="77" t="s">
        <v>174</v>
      </c>
      <c r="I9061" s="86">
        <v>41823</v>
      </c>
      <c r="J9061" s="78">
        <v>715</v>
      </c>
    </row>
    <row r="9062" spans="6:10" x14ac:dyDescent="0.25">
      <c r="F9062" s="76" t="s">
        <v>150</v>
      </c>
      <c r="G9062" s="77" t="s">
        <v>318</v>
      </c>
      <c r="H9062" s="77" t="s">
        <v>174</v>
      </c>
      <c r="I9062" s="86">
        <v>41825</v>
      </c>
      <c r="J9062" s="78">
        <v>518</v>
      </c>
    </row>
    <row r="9063" spans="6:10" x14ac:dyDescent="0.25">
      <c r="F9063" s="76" t="s">
        <v>150</v>
      </c>
      <c r="G9063" s="77" t="s">
        <v>318</v>
      </c>
      <c r="H9063" s="77" t="s">
        <v>174</v>
      </c>
      <c r="I9063" s="86">
        <v>41826</v>
      </c>
      <c r="J9063" s="78">
        <v>581</v>
      </c>
    </row>
    <row r="9064" spans="6:10" x14ac:dyDescent="0.25">
      <c r="F9064" s="76" t="s">
        <v>150</v>
      </c>
      <c r="G9064" s="77" t="s">
        <v>318</v>
      </c>
      <c r="H9064" s="77" t="s">
        <v>174</v>
      </c>
      <c r="I9064" s="86">
        <v>41828</v>
      </c>
      <c r="J9064" s="78">
        <v>983</v>
      </c>
    </row>
    <row r="9065" spans="6:10" x14ac:dyDescent="0.25">
      <c r="F9065" s="76" t="s">
        <v>150</v>
      </c>
      <c r="G9065" s="77" t="s">
        <v>318</v>
      </c>
      <c r="H9065" s="77" t="s">
        <v>174</v>
      </c>
      <c r="I9065" s="86">
        <v>41829</v>
      </c>
      <c r="J9065" s="78">
        <v>1319</v>
      </c>
    </row>
    <row r="9066" spans="6:10" x14ac:dyDescent="0.25">
      <c r="F9066" s="76" t="s">
        <v>150</v>
      </c>
      <c r="G9066" s="77" t="s">
        <v>318</v>
      </c>
      <c r="H9066" s="77" t="s">
        <v>174</v>
      </c>
      <c r="I9066" s="86">
        <v>41830</v>
      </c>
      <c r="J9066" s="78">
        <v>728</v>
      </c>
    </row>
    <row r="9067" spans="6:10" x14ac:dyDescent="0.25">
      <c r="F9067" s="76" t="s">
        <v>150</v>
      </c>
      <c r="G9067" s="77" t="s">
        <v>318</v>
      </c>
      <c r="H9067" s="77" t="s">
        <v>174</v>
      </c>
      <c r="I9067" s="86">
        <v>41830</v>
      </c>
      <c r="J9067" s="78">
        <v>434</v>
      </c>
    </row>
    <row r="9068" spans="6:10" x14ac:dyDescent="0.25">
      <c r="F9068" s="76" t="s">
        <v>150</v>
      </c>
      <c r="G9068" s="77" t="s">
        <v>318</v>
      </c>
      <c r="H9068" s="77" t="s">
        <v>174</v>
      </c>
      <c r="I9068" s="86">
        <v>41832</v>
      </c>
      <c r="J9068" s="78">
        <v>1035</v>
      </c>
    </row>
    <row r="9069" spans="6:10" x14ac:dyDescent="0.25">
      <c r="F9069" s="76" t="s">
        <v>150</v>
      </c>
      <c r="G9069" s="77" t="s">
        <v>318</v>
      </c>
      <c r="H9069" s="77" t="s">
        <v>174</v>
      </c>
      <c r="I9069" s="86">
        <v>41834</v>
      </c>
      <c r="J9069" s="78">
        <v>507</v>
      </c>
    </row>
    <row r="9070" spans="6:10" x14ac:dyDescent="0.25">
      <c r="F9070" s="76" t="s">
        <v>150</v>
      </c>
      <c r="G9070" s="77" t="s">
        <v>318</v>
      </c>
      <c r="H9070" s="77" t="s">
        <v>174</v>
      </c>
      <c r="I9070" s="86">
        <v>41835</v>
      </c>
      <c r="J9070" s="78">
        <v>1225</v>
      </c>
    </row>
    <row r="9071" spans="6:10" x14ac:dyDescent="0.25">
      <c r="F9071" s="76" t="s">
        <v>150</v>
      </c>
      <c r="G9071" s="77" t="s">
        <v>318</v>
      </c>
      <c r="H9071" s="77" t="s">
        <v>174</v>
      </c>
      <c r="I9071" s="86">
        <v>41837</v>
      </c>
      <c r="J9071" s="78">
        <v>1102</v>
      </c>
    </row>
    <row r="9072" spans="6:10" x14ac:dyDescent="0.25">
      <c r="F9072" s="76" t="s">
        <v>150</v>
      </c>
      <c r="G9072" s="77" t="s">
        <v>318</v>
      </c>
      <c r="H9072" s="77" t="s">
        <v>174</v>
      </c>
      <c r="I9072" s="86">
        <v>41838</v>
      </c>
      <c r="J9072" s="78">
        <v>1131</v>
      </c>
    </row>
    <row r="9073" spans="5:10" x14ac:dyDescent="0.25">
      <c r="F9073" s="76" t="s">
        <v>150</v>
      </c>
      <c r="G9073" s="77" t="s">
        <v>318</v>
      </c>
      <c r="H9073" s="77" t="s">
        <v>174</v>
      </c>
      <c r="I9073" s="86">
        <v>41841</v>
      </c>
      <c r="J9073" s="78">
        <v>593</v>
      </c>
    </row>
    <row r="9074" spans="5:10" x14ac:dyDescent="0.25">
      <c r="E9074" s="100"/>
      <c r="F9074" s="76" t="s">
        <v>150</v>
      </c>
      <c r="G9074" s="77" t="s">
        <v>318</v>
      </c>
      <c r="H9074" s="77" t="s">
        <v>174</v>
      </c>
      <c r="I9074" s="86">
        <v>41928</v>
      </c>
      <c r="J9074" s="78">
        <v>1104</v>
      </c>
    </row>
    <row r="9075" spans="5:10" x14ac:dyDescent="0.25">
      <c r="E9075" s="100"/>
      <c r="F9075" s="76" t="s">
        <v>150</v>
      </c>
      <c r="G9075" s="77" t="s">
        <v>318</v>
      </c>
      <c r="H9075" s="77" t="s">
        <v>174</v>
      </c>
      <c r="I9075" s="86">
        <v>41949</v>
      </c>
      <c r="J9075" s="78">
        <v>745</v>
      </c>
    </row>
    <row r="9076" spans="5:10" x14ac:dyDescent="0.25">
      <c r="E9076" s="100"/>
      <c r="F9076" s="76" t="s">
        <v>150</v>
      </c>
      <c r="G9076" s="77" t="s">
        <v>318</v>
      </c>
      <c r="H9076" s="77" t="s">
        <v>174</v>
      </c>
      <c r="I9076" s="86">
        <v>41950</v>
      </c>
      <c r="J9076" s="78">
        <v>780</v>
      </c>
    </row>
    <row r="9077" spans="5:10" x14ac:dyDescent="0.25">
      <c r="E9077" s="100"/>
      <c r="F9077" s="76" t="s">
        <v>150</v>
      </c>
      <c r="G9077" s="77" t="s">
        <v>318</v>
      </c>
      <c r="H9077" s="77" t="s">
        <v>174</v>
      </c>
      <c r="I9077" s="86">
        <v>41953</v>
      </c>
      <c r="J9077" s="78">
        <v>389</v>
      </c>
    </row>
    <row r="9078" spans="5:10" x14ac:dyDescent="0.25">
      <c r="E9078" s="100"/>
      <c r="F9078" s="76" t="s">
        <v>150</v>
      </c>
      <c r="G9078" s="77" t="s">
        <v>318</v>
      </c>
      <c r="H9078" s="77" t="s">
        <v>174</v>
      </c>
      <c r="I9078" s="86">
        <v>41954</v>
      </c>
      <c r="J9078" s="78">
        <v>898</v>
      </c>
    </row>
    <row r="9079" spans="5:10" x14ac:dyDescent="0.25">
      <c r="E9079" s="100"/>
      <c r="F9079" s="76" t="s">
        <v>150</v>
      </c>
      <c r="G9079" s="77" t="s">
        <v>318</v>
      </c>
      <c r="H9079" s="77" t="s">
        <v>174</v>
      </c>
      <c r="I9079" s="86">
        <v>41955</v>
      </c>
      <c r="J9079" s="78">
        <v>428</v>
      </c>
    </row>
    <row r="9080" spans="5:10" x14ac:dyDescent="0.25">
      <c r="E9080" s="100"/>
      <c r="F9080" s="76" t="s">
        <v>150</v>
      </c>
      <c r="G9080" s="77" t="s">
        <v>318</v>
      </c>
      <c r="H9080" s="77" t="s">
        <v>174</v>
      </c>
      <c r="I9080" s="86">
        <v>41956</v>
      </c>
      <c r="J9080" s="78">
        <v>1193</v>
      </c>
    </row>
    <row r="9081" spans="5:10" x14ac:dyDescent="0.25">
      <c r="E9081" s="100"/>
      <c r="F9081" s="76" t="s">
        <v>150</v>
      </c>
      <c r="G9081" s="77" t="s">
        <v>318</v>
      </c>
      <c r="H9081" s="77" t="s">
        <v>174</v>
      </c>
      <c r="I9081" s="86">
        <v>41985</v>
      </c>
      <c r="J9081" s="78">
        <v>1301</v>
      </c>
    </row>
    <row r="9082" spans="5:10" x14ac:dyDescent="0.25">
      <c r="E9082" s="100"/>
      <c r="F9082" s="76" t="s">
        <v>150</v>
      </c>
      <c r="G9082" s="77" t="s">
        <v>318</v>
      </c>
      <c r="H9082" s="77" t="s">
        <v>174</v>
      </c>
      <c r="I9082" s="86">
        <v>41989</v>
      </c>
      <c r="J9082" s="78">
        <v>938</v>
      </c>
    </row>
    <row r="9083" spans="5:10" x14ac:dyDescent="0.25">
      <c r="E9083" s="100"/>
      <c r="F9083" s="76" t="s">
        <v>150</v>
      </c>
      <c r="G9083" s="77" t="s">
        <v>318</v>
      </c>
      <c r="H9083" s="77" t="s">
        <v>174</v>
      </c>
      <c r="I9083" s="86">
        <v>41991</v>
      </c>
      <c r="J9083" s="78">
        <v>1361</v>
      </c>
    </row>
    <row r="9084" spans="5:10" x14ac:dyDescent="0.25">
      <c r="E9084" s="100"/>
      <c r="F9084" s="76" t="s">
        <v>150</v>
      </c>
      <c r="G9084" s="77" t="s">
        <v>318</v>
      </c>
      <c r="H9084" s="77" t="s">
        <v>174</v>
      </c>
      <c r="I9084" s="86">
        <v>41992</v>
      </c>
      <c r="J9084" s="78">
        <v>562</v>
      </c>
    </row>
    <row r="9085" spans="5:10" x14ac:dyDescent="0.25">
      <c r="E9085" s="100"/>
      <c r="F9085" s="76" t="s">
        <v>150</v>
      </c>
      <c r="G9085" s="77" t="s">
        <v>318</v>
      </c>
      <c r="H9085" s="77" t="s">
        <v>174</v>
      </c>
      <c r="I9085" s="86">
        <v>41993</v>
      </c>
      <c r="J9085" s="78">
        <v>884</v>
      </c>
    </row>
    <row r="9086" spans="5:10" x14ac:dyDescent="0.25">
      <c r="E9086" s="100"/>
      <c r="F9086" s="76" t="s">
        <v>150</v>
      </c>
      <c r="G9086" s="77" t="s">
        <v>318</v>
      </c>
      <c r="H9086" s="77" t="s">
        <v>174</v>
      </c>
      <c r="I9086" s="86">
        <v>41994</v>
      </c>
      <c r="J9086" s="78">
        <v>819</v>
      </c>
    </row>
    <row r="9087" spans="5:10" x14ac:dyDescent="0.25">
      <c r="E9087" s="100"/>
      <c r="F9087" s="76" t="s">
        <v>150</v>
      </c>
      <c r="G9087" s="77" t="s">
        <v>318</v>
      </c>
      <c r="H9087" s="77" t="s">
        <v>174</v>
      </c>
      <c r="I9087" s="86">
        <v>41995</v>
      </c>
      <c r="J9087" s="78">
        <v>739</v>
      </c>
    </row>
    <row r="9088" spans="5:10" x14ac:dyDescent="0.25">
      <c r="E9088" s="100"/>
      <c r="F9088" s="76" t="s">
        <v>150</v>
      </c>
      <c r="G9088" s="77" t="s">
        <v>318</v>
      </c>
      <c r="H9088" s="77" t="s">
        <v>174</v>
      </c>
      <c r="I9088" s="86">
        <v>41997</v>
      </c>
      <c r="J9088" s="78">
        <v>1061</v>
      </c>
    </row>
    <row r="9089" spans="5:10" x14ac:dyDescent="0.25">
      <c r="E9089" s="100"/>
      <c r="F9089" s="76" t="s">
        <v>150</v>
      </c>
      <c r="G9089" s="77" t="s">
        <v>318</v>
      </c>
      <c r="H9089" s="77" t="s">
        <v>174</v>
      </c>
      <c r="I9089" s="86">
        <v>41998</v>
      </c>
      <c r="J9089" s="78">
        <v>538</v>
      </c>
    </row>
    <row r="9090" spans="5:10" x14ac:dyDescent="0.25">
      <c r="E9090" s="100"/>
      <c r="F9090" s="76" t="s">
        <v>150</v>
      </c>
      <c r="G9090" s="77" t="s">
        <v>318</v>
      </c>
      <c r="H9090" s="77" t="s">
        <v>174</v>
      </c>
      <c r="I9090" s="86">
        <v>41998</v>
      </c>
      <c r="J9090" s="78">
        <v>758</v>
      </c>
    </row>
    <row r="9091" spans="5:10" x14ac:dyDescent="0.25">
      <c r="E9091" s="100"/>
      <c r="F9091" s="76" t="s">
        <v>150</v>
      </c>
      <c r="G9091" s="77" t="s">
        <v>318</v>
      </c>
      <c r="H9091" s="77" t="s">
        <v>174</v>
      </c>
      <c r="I9091" s="86">
        <v>42001</v>
      </c>
      <c r="J9091" s="78">
        <v>961</v>
      </c>
    </row>
    <row r="9092" spans="5:10" x14ac:dyDescent="0.25">
      <c r="E9092" s="100"/>
      <c r="F9092" s="76" t="s">
        <v>150</v>
      </c>
      <c r="G9092" s="77" t="s">
        <v>318</v>
      </c>
      <c r="H9092" s="77" t="s">
        <v>174</v>
      </c>
      <c r="I9092" s="86">
        <v>42002</v>
      </c>
      <c r="J9092" s="78">
        <v>997</v>
      </c>
    </row>
    <row r="9093" spans="5:10" x14ac:dyDescent="0.25">
      <c r="E9093" s="100"/>
      <c r="F9093" s="76" t="s">
        <v>150</v>
      </c>
      <c r="G9093" s="77" t="s">
        <v>319</v>
      </c>
      <c r="H9093" s="77" t="s">
        <v>174</v>
      </c>
      <c r="I9093" s="86">
        <v>41635</v>
      </c>
      <c r="J9093" s="78">
        <v>755</v>
      </c>
    </row>
    <row r="9094" spans="5:10" x14ac:dyDescent="0.25">
      <c r="E9094" s="100"/>
      <c r="F9094" s="76" t="s">
        <v>150</v>
      </c>
      <c r="G9094" s="77" t="s">
        <v>319</v>
      </c>
      <c r="H9094" s="77" t="s">
        <v>174</v>
      </c>
      <c r="I9094" s="86">
        <v>41636</v>
      </c>
      <c r="J9094" s="78">
        <v>838</v>
      </c>
    </row>
    <row r="9095" spans="5:10" x14ac:dyDescent="0.25">
      <c r="E9095" s="100"/>
      <c r="F9095" s="76" t="s">
        <v>150</v>
      </c>
      <c r="G9095" s="77" t="s">
        <v>319</v>
      </c>
      <c r="H9095" s="77" t="s">
        <v>174</v>
      </c>
      <c r="I9095" s="86">
        <v>41637</v>
      </c>
      <c r="J9095" s="78">
        <v>742</v>
      </c>
    </row>
    <row r="9096" spans="5:10" x14ac:dyDescent="0.25">
      <c r="E9096" s="100"/>
      <c r="F9096" s="76" t="s">
        <v>150</v>
      </c>
      <c r="G9096" s="77" t="s">
        <v>319</v>
      </c>
      <c r="H9096" s="77" t="s">
        <v>174</v>
      </c>
      <c r="I9096" s="86">
        <v>41638</v>
      </c>
      <c r="J9096" s="78">
        <v>725</v>
      </c>
    </row>
    <row r="9097" spans="5:10" x14ac:dyDescent="0.25">
      <c r="E9097" s="100"/>
      <c r="F9097" s="76" t="s">
        <v>150</v>
      </c>
      <c r="G9097" s="77" t="s">
        <v>319</v>
      </c>
      <c r="H9097" s="77" t="s">
        <v>174</v>
      </c>
      <c r="I9097" s="86">
        <v>41639</v>
      </c>
      <c r="J9097" s="78">
        <v>620</v>
      </c>
    </row>
    <row r="9098" spans="5:10" x14ac:dyDescent="0.25">
      <c r="E9098" s="100"/>
      <c r="F9098" s="76" t="s">
        <v>150</v>
      </c>
      <c r="G9098" s="77" t="s">
        <v>319</v>
      </c>
      <c r="H9098" s="77" t="s">
        <v>174</v>
      </c>
      <c r="I9098" s="86">
        <v>41641</v>
      </c>
      <c r="J9098" s="78">
        <v>1116</v>
      </c>
    </row>
    <row r="9099" spans="5:10" x14ac:dyDescent="0.25">
      <c r="E9099" s="100"/>
      <c r="F9099" s="76" t="s">
        <v>150</v>
      </c>
      <c r="G9099" s="77" t="s">
        <v>319</v>
      </c>
      <c r="H9099" s="77" t="s">
        <v>174</v>
      </c>
      <c r="I9099" s="86">
        <v>41642</v>
      </c>
      <c r="J9099" s="78">
        <v>808</v>
      </c>
    </row>
    <row r="9100" spans="5:10" x14ac:dyDescent="0.25">
      <c r="E9100" s="100"/>
      <c r="F9100" s="76" t="s">
        <v>150</v>
      </c>
      <c r="G9100" s="77" t="s">
        <v>319</v>
      </c>
      <c r="H9100" s="77" t="s">
        <v>174</v>
      </c>
      <c r="I9100" s="86">
        <v>41645</v>
      </c>
      <c r="J9100" s="78">
        <v>1046</v>
      </c>
    </row>
    <row r="9101" spans="5:10" x14ac:dyDescent="0.25">
      <c r="E9101" s="100"/>
      <c r="F9101" s="76" t="s">
        <v>150</v>
      </c>
      <c r="G9101" s="77" t="s">
        <v>319</v>
      </c>
      <c r="H9101" s="77" t="s">
        <v>174</v>
      </c>
      <c r="I9101" s="86">
        <v>41646</v>
      </c>
      <c r="J9101" s="78">
        <v>1603</v>
      </c>
    </row>
    <row r="9102" spans="5:10" x14ac:dyDescent="0.25">
      <c r="E9102" s="100"/>
      <c r="F9102" s="76" t="s">
        <v>150</v>
      </c>
      <c r="G9102" s="77" t="s">
        <v>319</v>
      </c>
      <c r="H9102" s="77" t="s">
        <v>174</v>
      </c>
      <c r="I9102" s="86">
        <v>41647</v>
      </c>
      <c r="J9102" s="78">
        <v>1347</v>
      </c>
    </row>
    <row r="9103" spans="5:10" x14ac:dyDescent="0.25">
      <c r="E9103" s="100"/>
      <c r="F9103" s="76" t="s">
        <v>150</v>
      </c>
      <c r="G9103" s="77" t="s">
        <v>319</v>
      </c>
      <c r="H9103" s="77" t="s">
        <v>174</v>
      </c>
      <c r="I9103" s="86">
        <v>41649</v>
      </c>
      <c r="J9103" s="78">
        <v>1052</v>
      </c>
    </row>
    <row r="9104" spans="5:10" x14ac:dyDescent="0.25">
      <c r="E9104" s="100"/>
      <c r="F9104" s="76" t="s">
        <v>150</v>
      </c>
      <c r="G9104" s="77" t="s">
        <v>319</v>
      </c>
      <c r="H9104" s="77" t="s">
        <v>174</v>
      </c>
      <c r="I9104" s="86">
        <v>41649</v>
      </c>
      <c r="J9104" s="78">
        <v>199</v>
      </c>
    </row>
    <row r="9105" spans="5:10" x14ac:dyDescent="0.25">
      <c r="E9105" s="100"/>
      <c r="F9105" s="76" t="s">
        <v>150</v>
      </c>
      <c r="G9105" s="77" t="s">
        <v>319</v>
      </c>
      <c r="H9105" s="77" t="s">
        <v>174</v>
      </c>
      <c r="I9105" s="86">
        <v>41651</v>
      </c>
      <c r="J9105" s="78">
        <v>1151</v>
      </c>
    </row>
    <row r="9106" spans="5:10" x14ac:dyDescent="0.25">
      <c r="E9106" s="100"/>
      <c r="F9106" s="76" t="s">
        <v>150</v>
      </c>
      <c r="G9106" s="77" t="s">
        <v>319</v>
      </c>
      <c r="H9106" s="77" t="s">
        <v>174</v>
      </c>
      <c r="I9106" s="86">
        <v>41653</v>
      </c>
      <c r="J9106" s="78">
        <v>1542</v>
      </c>
    </row>
    <row r="9107" spans="5:10" x14ac:dyDescent="0.25">
      <c r="E9107" s="100"/>
      <c r="F9107" s="76" t="s">
        <v>150</v>
      </c>
      <c r="G9107" s="77" t="s">
        <v>319</v>
      </c>
      <c r="H9107" s="77" t="s">
        <v>174</v>
      </c>
      <c r="I9107" s="86">
        <v>41654</v>
      </c>
      <c r="J9107" s="78">
        <v>447</v>
      </c>
    </row>
    <row r="9108" spans="5:10" x14ac:dyDescent="0.25">
      <c r="E9108" s="100"/>
      <c r="F9108" s="76" t="s">
        <v>150</v>
      </c>
      <c r="G9108" s="77" t="s">
        <v>319</v>
      </c>
      <c r="H9108" s="77" t="s">
        <v>174</v>
      </c>
      <c r="I9108" s="86">
        <v>41656</v>
      </c>
      <c r="J9108" s="78">
        <v>1032</v>
      </c>
    </row>
    <row r="9109" spans="5:10" x14ac:dyDescent="0.25">
      <c r="E9109" s="100"/>
      <c r="F9109" s="76" t="s">
        <v>150</v>
      </c>
      <c r="G9109" s="77" t="s">
        <v>319</v>
      </c>
      <c r="H9109" s="77" t="s">
        <v>174</v>
      </c>
      <c r="I9109" s="86">
        <v>41659</v>
      </c>
      <c r="J9109" s="78">
        <v>791</v>
      </c>
    </row>
    <row r="9110" spans="5:10" x14ac:dyDescent="0.25">
      <c r="E9110" s="100"/>
      <c r="F9110" s="76" t="s">
        <v>150</v>
      </c>
      <c r="G9110" s="77" t="s">
        <v>319</v>
      </c>
      <c r="H9110" s="77" t="s">
        <v>174</v>
      </c>
      <c r="I9110" s="86">
        <v>41660</v>
      </c>
      <c r="J9110" s="78">
        <v>662</v>
      </c>
    </row>
    <row r="9111" spans="5:10" x14ac:dyDescent="0.25">
      <c r="E9111" s="100"/>
      <c r="F9111" s="76" t="s">
        <v>150</v>
      </c>
      <c r="G9111" s="77" t="s">
        <v>319</v>
      </c>
      <c r="H9111" s="77" t="s">
        <v>174</v>
      </c>
      <c r="I9111" s="86">
        <v>41661</v>
      </c>
      <c r="J9111" s="78">
        <v>1254</v>
      </c>
    </row>
    <row r="9112" spans="5:10" x14ac:dyDescent="0.25">
      <c r="E9112" s="100"/>
      <c r="F9112" s="76" t="s">
        <v>150</v>
      </c>
      <c r="G9112" s="77" t="s">
        <v>319</v>
      </c>
      <c r="H9112" s="77" t="s">
        <v>174</v>
      </c>
      <c r="I9112" s="86">
        <v>41662</v>
      </c>
      <c r="J9112" s="78">
        <v>1225</v>
      </c>
    </row>
    <row r="9113" spans="5:10" x14ac:dyDescent="0.25">
      <c r="E9113" s="100"/>
      <c r="F9113" s="76" t="s">
        <v>150</v>
      </c>
      <c r="G9113" s="77" t="s">
        <v>319</v>
      </c>
      <c r="H9113" s="77" t="s">
        <v>174</v>
      </c>
      <c r="I9113" s="86">
        <v>41663</v>
      </c>
      <c r="J9113" s="78">
        <v>726</v>
      </c>
    </row>
    <row r="9114" spans="5:10" x14ac:dyDescent="0.25">
      <c r="E9114" s="100"/>
      <c r="F9114" s="76" t="s">
        <v>150</v>
      </c>
      <c r="G9114" s="77" t="s">
        <v>319</v>
      </c>
      <c r="H9114" s="77" t="s">
        <v>174</v>
      </c>
      <c r="I9114" s="86">
        <v>41666</v>
      </c>
      <c r="J9114" s="78">
        <v>1791</v>
      </c>
    </row>
    <row r="9115" spans="5:10" x14ac:dyDescent="0.25">
      <c r="E9115" s="100"/>
      <c r="F9115" s="76" t="s">
        <v>150</v>
      </c>
      <c r="G9115" s="77" t="s">
        <v>319</v>
      </c>
      <c r="H9115" s="77" t="s">
        <v>174</v>
      </c>
      <c r="I9115" s="86">
        <v>41667</v>
      </c>
      <c r="J9115" s="78">
        <v>545</v>
      </c>
    </row>
    <row r="9116" spans="5:10" x14ac:dyDescent="0.25">
      <c r="E9116" s="100"/>
      <c r="F9116" s="76" t="s">
        <v>150</v>
      </c>
      <c r="G9116" s="77" t="s">
        <v>319</v>
      </c>
      <c r="H9116" s="77" t="s">
        <v>174</v>
      </c>
      <c r="I9116" s="86">
        <v>41668</v>
      </c>
      <c r="J9116" s="78">
        <v>230</v>
      </c>
    </row>
    <row r="9117" spans="5:10" x14ac:dyDescent="0.25">
      <c r="E9117" s="100"/>
      <c r="F9117" s="76" t="s">
        <v>150</v>
      </c>
      <c r="G9117" s="77" t="s">
        <v>319</v>
      </c>
      <c r="H9117" s="77" t="s">
        <v>174</v>
      </c>
      <c r="I9117" s="86">
        <v>41668</v>
      </c>
      <c r="J9117" s="78">
        <v>923</v>
      </c>
    </row>
    <row r="9118" spans="5:10" x14ac:dyDescent="0.25">
      <c r="E9118" s="100"/>
      <c r="F9118" s="76" t="s">
        <v>150</v>
      </c>
      <c r="G9118" s="77" t="s">
        <v>319</v>
      </c>
      <c r="H9118" s="77" t="s">
        <v>174</v>
      </c>
      <c r="I9118" s="86">
        <v>41669</v>
      </c>
      <c r="J9118" s="78">
        <v>474</v>
      </c>
    </row>
    <row r="9119" spans="5:10" x14ac:dyDescent="0.25">
      <c r="E9119" s="100"/>
      <c r="F9119" s="76" t="s">
        <v>150</v>
      </c>
      <c r="G9119" s="77" t="s">
        <v>319</v>
      </c>
      <c r="H9119" s="77" t="s">
        <v>174</v>
      </c>
      <c r="I9119" s="86">
        <v>41670</v>
      </c>
      <c r="J9119" s="78">
        <v>612</v>
      </c>
    </row>
    <row r="9120" spans="5:10" x14ac:dyDescent="0.25">
      <c r="E9120" s="100"/>
      <c r="F9120" s="76" t="s">
        <v>150</v>
      </c>
      <c r="G9120" s="77" t="s">
        <v>319</v>
      </c>
      <c r="H9120" s="77" t="s">
        <v>174</v>
      </c>
      <c r="I9120" s="86">
        <v>41672</v>
      </c>
      <c r="J9120" s="78">
        <v>773</v>
      </c>
    </row>
    <row r="9121" spans="5:10" x14ac:dyDescent="0.25">
      <c r="E9121" s="100"/>
      <c r="F9121" s="76" t="s">
        <v>150</v>
      </c>
      <c r="G9121" s="77" t="s">
        <v>319</v>
      </c>
      <c r="H9121" s="77" t="s">
        <v>174</v>
      </c>
      <c r="I9121" s="86">
        <v>41673</v>
      </c>
      <c r="J9121" s="78">
        <v>227</v>
      </c>
    </row>
    <row r="9122" spans="5:10" x14ac:dyDescent="0.25">
      <c r="E9122" s="100"/>
      <c r="F9122" s="76" t="s">
        <v>150</v>
      </c>
      <c r="G9122" s="77" t="s">
        <v>319</v>
      </c>
      <c r="H9122" s="77" t="s">
        <v>174</v>
      </c>
      <c r="I9122" s="86">
        <v>41673</v>
      </c>
      <c r="J9122" s="78">
        <v>834</v>
      </c>
    </row>
    <row r="9123" spans="5:10" x14ac:dyDescent="0.25">
      <c r="E9123" s="100"/>
      <c r="F9123" s="76" t="s">
        <v>150</v>
      </c>
      <c r="G9123" s="77" t="s">
        <v>319</v>
      </c>
      <c r="H9123" s="77" t="s">
        <v>174</v>
      </c>
      <c r="I9123" s="86">
        <v>41674</v>
      </c>
      <c r="J9123" s="78">
        <v>559</v>
      </c>
    </row>
    <row r="9124" spans="5:10" x14ac:dyDescent="0.25">
      <c r="E9124" s="100"/>
      <c r="F9124" s="76" t="s">
        <v>150</v>
      </c>
      <c r="G9124" s="77" t="s">
        <v>319</v>
      </c>
      <c r="H9124" s="77" t="s">
        <v>174</v>
      </c>
      <c r="I9124" s="86">
        <v>41677</v>
      </c>
      <c r="J9124" s="78">
        <v>753</v>
      </c>
    </row>
    <row r="9125" spans="5:10" x14ac:dyDescent="0.25">
      <c r="E9125" s="100"/>
      <c r="F9125" s="76" t="s">
        <v>150</v>
      </c>
      <c r="G9125" s="77" t="s">
        <v>319</v>
      </c>
      <c r="H9125" s="77" t="s">
        <v>174</v>
      </c>
      <c r="I9125" s="86">
        <v>41678</v>
      </c>
      <c r="J9125" s="78">
        <v>599</v>
      </c>
    </row>
    <row r="9126" spans="5:10" x14ac:dyDescent="0.25">
      <c r="E9126" s="100"/>
      <c r="F9126" s="76" t="s">
        <v>150</v>
      </c>
      <c r="G9126" s="77" t="s">
        <v>319</v>
      </c>
      <c r="H9126" s="77" t="s">
        <v>174</v>
      </c>
      <c r="I9126" s="86">
        <v>41680</v>
      </c>
      <c r="J9126" s="78">
        <v>997</v>
      </c>
    </row>
    <row r="9127" spans="5:10" x14ac:dyDescent="0.25">
      <c r="E9127" s="100"/>
      <c r="F9127" s="76" t="s">
        <v>150</v>
      </c>
      <c r="G9127" s="77" t="s">
        <v>319</v>
      </c>
      <c r="H9127" s="77" t="s">
        <v>174</v>
      </c>
      <c r="I9127" s="86">
        <v>41682</v>
      </c>
      <c r="J9127" s="78">
        <v>1637</v>
      </c>
    </row>
    <row r="9128" spans="5:10" x14ac:dyDescent="0.25">
      <c r="E9128" s="100"/>
      <c r="F9128" s="76" t="s">
        <v>150</v>
      </c>
      <c r="G9128" s="77" t="s">
        <v>319</v>
      </c>
      <c r="H9128" s="77" t="s">
        <v>174</v>
      </c>
      <c r="I9128" s="86">
        <v>41684</v>
      </c>
      <c r="J9128" s="78">
        <v>1368</v>
      </c>
    </row>
    <row r="9129" spans="5:10" x14ac:dyDescent="0.25">
      <c r="E9129" s="100"/>
      <c r="F9129" s="76" t="s">
        <v>150</v>
      </c>
      <c r="G9129" s="77" t="s">
        <v>319</v>
      </c>
      <c r="H9129" s="77" t="s">
        <v>174</v>
      </c>
      <c r="I9129" s="86">
        <v>41685</v>
      </c>
      <c r="J9129" s="78">
        <v>561</v>
      </c>
    </row>
    <row r="9130" spans="5:10" x14ac:dyDescent="0.25">
      <c r="E9130" s="100"/>
      <c r="F9130" s="76" t="s">
        <v>150</v>
      </c>
      <c r="G9130" s="77" t="s">
        <v>319</v>
      </c>
      <c r="H9130" s="77" t="s">
        <v>174</v>
      </c>
      <c r="I9130" s="86">
        <v>41686</v>
      </c>
      <c r="J9130" s="78">
        <v>984</v>
      </c>
    </row>
    <row r="9131" spans="5:10" x14ac:dyDescent="0.25">
      <c r="E9131" s="100"/>
      <c r="F9131" s="76" t="s">
        <v>150</v>
      </c>
      <c r="G9131" s="77" t="s">
        <v>319</v>
      </c>
      <c r="H9131" s="77" t="s">
        <v>174</v>
      </c>
      <c r="I9131" s="86">
        <v>41688</v>
      </c>
      <c r="J9131" s="78">
        <v>888</v>
      </c>
    </row>
    <row r="9132" spans="5:10" x14ac:dyDescent="0.25">
      <c r="E9132" s="100"/>
      <c r="F9132" s="76" t="s">
        <v>150</v>
      </c>
      <c r="G9132" s="77" t="s">
        <v>319</v>
      </c>
      <c r="H9132" s="77" t="s">
        <v>174</v>
      </c>
      <c r="I9132" s="86">
        <v>41690</v>
      </c>
      <c r="J9132" s="78">
        <v>1462</v>
      </c>
    </row>
    <row r="9133" spans="5:10" x14ac:dyDescent="0.25">
      <c r="E9133" s="100"/>
      <c r="F9133" s="76" t="s">
        <v>150</v>
      </c>
      <c r="G9133" s="77" t="s">
        <v>319</v>
      </c>
      <c r="H9133" s="77" t="s">
        <v>174</v>
      </c>
      <c r="I9133" s="86">
        <v>41695</v>
      </c>
      <c r="J9133" s="78">
        <v>840</v>
      </c>
    </row>
    <row r="9134" spans="5:10" x14ac:dyDescent="0.25">
      <c r="E9134" s="100"/>
      <c r="F9134" s="76" t="s">
        <v>150</v>
      </c>
      <c r="G9134" s="77" t="s">
        <v>319</v>
      </c>
      <c r="H9134" s="77" t="s">
        <v>174</v>
      </c>
      <c r="I9134" s="86">
        <v>41697</v>
      </c>
      <c r="J9134" s="78">
        <v>694</v>
      </c>
    </row>
    <row r="9135" spans="5:10" x14ac:dyDescent="0.25">
      <c r="E9135" s="100"/>
      <c r="F9135" s="76" t="s">
        <v>150</v>
      </c>
      <c r="G9135" s="77" t="s">
        <v>319</v>
      </c>
      <c r="H9135" s="77" t="s">
        <v>174</v>
      </c>
      <c r="I9135" s="86">
        <v>41698</v>
      </c>
      <c r="J9135" s="78">
        <v>1598</v>
      </c>
    </row>
    <row r="9136" spans="5:10" x14ac:dyDescent="0.25">
      <c r="E9136" s="100"/>
      <c r="F9136" s="76" t="s">
        <v>150</v>
      </c>
      <c r="G9136" s="77" t="s">
        <v>319</v>
      </c>
      <c r="H9136" s="77" t="s">
        <v>174</v>
      </c>
      <c r="I9136" s="86">
        <v>41700</v>
      </c>
      <c r="J9136" s="78">
        <v>160</v>
      </c>
    </row>
    <row r="9137" spans="5:10" x14ac:dyDescent="0.25">
      <c r="E9137" s="100"/>
      <c r="F9137" s="76" t="s">
        <v>150</v>
      </c>
      <c r="G9137" s="77" t="s">
        <v>319</v>
      </c>
      <c r="H9137" s="77" t="s">
        <v>174</v>
      </c>
      <c r="I9137" s="86">
        <v>41702</v>
      </c>
      <c r="J9137" s="78">
        <v>1023</v>
      </c>
    </row>
    <row r="9138" spans="5:10" x14ac:dyDescent="0.25">
      <c r="E9138" s="100"/>
      <c r="F9138" s="76" t="s">
        <v>150</v>
      </c>
      <c r="G9138" s="77" t="s">
        <v>319</v>
      </c>
      <c r="H9138" s="77" t="s">
        <v>174</v>
      </c>
      <c r="I9138" s="86">
        <v>41703</v>
      </c>
      <c r="J9138" s="78">
        <v>540</v>
      </c>
    </row>
    <row r="9139" spans="5:10" x14ac:dyDescent="0.25">
      <c r="E9139" s="100"/>
      <c r="F9139" s="76" t="s">
        <v>150</v>
      </c>
      <c r="G9139" s="77" t="s">
        <v>319</v>
      </c>
      <c r="H9139" s="77" t="s">
        <v>174</v>
      </c>
      <c r="I9139" s="86">
        <v>41704</v>
      </c>
      <c r="J9139" s="78">
        <v>738</v>
      </c>
    </row>
    <row r="9140" spans="5:10" x14ac:dyDescent="0.25">
      <c r="E9140" s="100"/>
      <c r="F9140" s="76" t="s">
        <v>150</v>
      </c>
      <c r="G9140" s="77" t="s">
        <v>319</v>
      </c>
      <c r="H9140" s="77" t="s">
        <v>174</v>
      </c>
      <c r="I9140" s="86">
        <v>41705</v>
      </c>
      <c r="J9140" s="78">
        <v>1031</v>
      </c>
    </row>
    <row r="9141" spans="5:10" x14ac:dyDescent="0.25">
      <c r="E9141" s="100"/>
      <c r="F9141" s="76" t="s">
        <v>150</v>
      </c>
      <c r="G9141" s="77" t="s">
        <v>319</v>
      </c>
      <c r="H9141" s="77" t="s">
        <v>174</v>
      </c>
      <c r="I9141" s="86">
        <v>41707</v>
      </c>
      <c r="J9141" s="78">
        <v>956</v>
      </c>
    </row>
    <row r="9142" spans="5:10" x14ac:dyDescent="0.25">
      <c r="E9142" s="100"/>
      <c r="F9142" s="76" t="s">
        <v>150</v>
      </c>
      <c r="G9142" s="77" t="s">
        <v>319</v>
      </c>
      <c r="H9142" s="77" t="s">
        <v>174</v>
      </c>
      <c r="I9142" s="86">
        <v>41708</v>
      </c>
      <c r="J9142" s="78">
        <v>714</v>
      </c>
    </row>
    <row r="9143" spans="5:10" x14ac:dyDescent="0.25">
      <c r="E9143" s="100"/>
      <c r="F9143" s="76" t="s">
        <v>150</v>
      </c>
      <c r="G9143" s="77" t="s">
        <v>319</v>
      </c>
      <c r="H9143" s="77" t="s">
        <v>174</v>
      </c>
      <c r="I9143" s="86">
        <v>41709</v>
      </c>
      <c r="J9143" s="78">
        <v>572</v>
      </c>
    </row>
    <row r="9144" spans="5:10" x14ac:dyDescent="0.25">
      <c r="E9144" s="100"/>
      <c r="F9144" s="76" t="s">
        <v>150</v>
      </c>
      <c r="G9144" s="77" t="s">
        <v>319</v>
      </c>
      <c r="H9144" s="77" t="s">
        <v>174</v>
      </c>
      <c r="I9144" s="86">
        <v>41710</v>
      </c>
      <c r="J9144" s="78">
        <v>1057</v>
      </c>
    </row>
    <row r="9145" spans="5:10" x14ac:dyDescent="0.25">
      <c r="E9145" s="100"/>
      <c r="F9145" s="76" t="s">
        <v>150</v>
      </c>
      <c r="G9145" s="77" t="s">
        <v>319</v>
      </c>
      <c r="H9145" s="77" t="s">
        <v>174</v>
      </c>
      <c r="I9145" s="86">
        <v>41711</v>
      </c>
      <c r="J9145" s="78">
        <v>549</v>
      </c>
    </row>
    <row r="9146" spans="5:10" x14ac:dyDescent="0.25">
      <c r="E9146" s="100"/>
      <c r="F9146" s="76" t="s">
        <v>150</v>
      </c>
      <c r="G9146" s="77" t="s">
        <v>319</v>
      </c>
      <c r="H9146" s="77" t="s">
        <v>174</v>
      </c>
      <c r="I9146" s="86">
        <v>41712</v>
      </c>
      <c r="J9146" s="78">
        <v>503</v>
      </c>
    </row>
    <row r="9147" spans="5:10" x14ac:dyDescent="0.25">
      <c r="E9147" s="100"/>
      <c r="F9147" s="76" t="s">
        <v>150</v>
      </c>
      <c r="G9147" s="77" t="s">
        <v>319</v>
      </c>
      <c r="H9147" s="77" t="s">
        <v>174</v>
      </c>
      <c r="I9147" s="86">
        <v>41713</v>
      </c>
      <c r="J9147" s="78">
        <v>852</v>
      </c>
    </row>
    <row r="9148" spans="5:10" x14ac:dyDescent="0.25">
      <c r="E9148" s="100"/>
      <c r="F9148" s="76" t="s">
        <v>150</v>
      </c>
      <c r="G9148" s="77" t="s">
        <v>319</v>
      </c>
      <c r="H9148" s="77" t="s">
        <v>174</v>
      </c>
      <c r="I9148" s="86">
        <v>41714</v>
      </c>
      <c r="J9148" s="78">
        <v>791</v>
      </c>
    </row>
    <row r="9149" spans="5:10" x14ac:dyDescent="0.25">
      <c r="E9149" s="100"/>
      <c r="F9149" s="76" t="s">
        <v>150</v>
      </c>
      <c r="G9149" s="77" t="s">
        <v>319</v>
      </c>
      <c r="H9149" s="77" t="s">
        <v>174</v>
      </c>
      <c r="I9149" s="86">
        <v>41715</v>
      </c>
      <c r="J9149" s="78">
        <v>1285</v>
      </c>
    </row>
    <row r="9150" spans="5:10" x14ac:dyDescent="0.25">
      <c r="E9150" s="100"/>
      <c r="F9150" s="76" t="s">
        <v>150</v>
      </c>
      <c r="G9150" s="77" t="s">
        <v>319</v>
      </c>
      <c r="H9150" s="77" t="s">
        <v>174</v>
      </c>
      <c r="I9150" s="86">
        <v>41717</v>
      </c>
      <c r="J9150" s="78">
        <v>899</v>
      </c>
    </row>
    <row r="9151" spans="5:10" x14ac:dyDescent="0.25">
      <c r="E9151" s="100"/>
      <c r="F9151" s="76" t="s">
        <v>150</v>
      </c>
      <c r="G9151" s="77" t="s">
        <v>319</v>
      </c>
      <c r="H9151" s="77" t="s">
        <v>174</v>
      </c>
      <c r="I9151" s="86">
        <v>41719</v>
      </c>
      <c r="J9151" s="78">
        <v>1555</v>
      </c>
    </row>
    <row r="9152" spans="5:10" x14ac:dyDescent="0.25">
      <c r="E9152" s="100"/>
      <c r="F9152" s="76" t="s">
        <v>150</v>
      </c>
      <c r="G9152" s="77" t="s">
        <v>319</v>
      </c>
      <c r="H9152" s="77" t="s">
        <v>174</v>
      </c>
      <c r="I9152" s="86">
        <v>41729</v>
      </c>
      <c r="J9152" s="78">
        <v>548</v>
      </c>
    </row>
    <row r="9153" spans="5:10" x14ac:dyDescent="0.25">
      <c r="E9153" s="100"/>
      <c r="F9153" s="76" t="s">
        <v>150</v>
      </c>
      <c r="G9153" s="77" t="s">
        <v>319</v>
      </c>
      <c r="H9153" s="77" t="s">
        <v>174</v>
      </c>
      <c r="I9153" s="86">
        <v>41730</v>
      </c>
      <c r="J9153" s="78">
        <v>641</v>
      </c>
    </row>
    <row r="9154" spans="5:10" x14ac:dyDescent="0.25">
      <c r="E9154" s="100"/>
      <c r="F9154" s="76" t="s">
        <v>150</v>
      </c>
      <c r="G9154" s="77" t="s">
        <v>319</v>
      </c>
      <c r="H9154" s="77" t="s">
        <v>174</v>
      </c>
      <c r="I9154" s="86">
        <v>41732</v>
      </c>
      <c r="J9154" s="78">
        <v>971</v>
      </c>
    </row>
    <row r="9155" spans="5:10" x14ac:dyDescent="0.25">
      <c r="F9155" s="76" t="s">
        <v>150</v>
      </c>
      <c r="G9155" s="77" t="s">
        <v>319</v>
      </c>
      <c r="H9155" s="77" t="s">
        <v>174</v>
      </c>
      <c r="I9155" s="86">
        <v>41735</v>
      </c>
      <c r="J9155" s="78">
        <v>548</v>
      </c>
    </row>
    <row r="9156" spans="5:10" x14ac:dyDescent="0.25">
      <c r="F9156" s="76" t="s">
        <v>150</v>
      </c>
      <c r="G9156" s="77" t="s">
        <v>319</v>
      </c>
      <c r="H9156" s="77" t="s">
        <v>174</v>
      </c>
      <c r="I9156" s="86">
        <v>41736</v>
      </c>
      <c r="J9156" s="78">
        <v>715</v>
      </c>
    </row>
    <row r="9157" spans="5:10" x14ac:dyDescent="0.25">
      <c r="F9157" s="76" t="s">
        <v>150</v>
      </c>
      <c r="G9157" s="77" t="s">
        <v>319</v>
      </c>
      <c r="H9157" s="77" t="s">
        <v>174</v>
      </c>
      <c r="I9157" s="86">
        <v>41738</v>
      </c>
      <c r="J9157" s="78">
        <v>917</v>
      </c>
    </row>
    <row r="9158" spans="5:10" x14ac:dyDescent="0.25">
      <c r="F9158" s="76" t="s">
        <v>150</v>
      </c>
      <c r="G9158" s="77" t="s">
        <v>319</v>
      </c>
      <c r="H9158" s="77" t="s">
        <v>174</v>
      </c>
      <c r="I9158" s="86">
        <v>41740</v>
      </c>
      <c r="J9158" s="78">
        <v>712</v>
      </c>
    </row>
    <row r="9159" spans="5:10" x14ac:dyDescent="0.25">
      <c r="F9159" s="76" t="s">
        <v>150</v>
      </c>
      <c r="G9159" s="77" t="s">
        <v>319</v>
      </c>
      <c r="H9159" s="77" t="s">
        <v>174</v>
      </c>
      <c r="I9159" s="86">
        <v>41744</v>
      </c>
      <c r="J9159" s="78">
        <v>323</v>
      </c>
    </row>
    <row r="9160" spans="5:10" x14ac:dyDescent="0.25">
      <c r="F9160" s="76" t="s">
        <v>150</v>
      </c>
      <c r="G9160" s="77" t="s">
        <v>319</v>
      </c>
      <c r="H9160" s="77" t="s">
        <v>174</v>
      </c>
      <c r="I9160" s="86">
        <v>41744</v>
      </c>
      <c r="J9160" s="78">
        <v>1226</v>
      </c>
    </row>
    <row r="9161" spans="5:10" x14ac:dyDescent="0.25">
      <c r="F9161" s="76" t="s">
        <v>150</v>
      </c>
      <c r="G9161" s="77" t="s">
        <v>319</v>
      </c>
      <c r="H9161" s="77" t="s">
        <v>174</v>
      </c>
      <c r="I9161" s="86">
        <v>41746</v>
      </c>
      <c r="J9161" s="78">
        <v>1280</v>
      </c>
    </row>
    <row r="9162" spans="5:10" x14ac:dyDescent="0.25">
      <c r="F9162" s="76" t="s">
        <v>150</v>
      </c>
      <c r="G9162" s="77" t="s">
        <v>319</v>
      </c>
      <c r="H9162" s="77" t="s">
        <v>174</v>
      </c>
      <c r="I9162" s="86">
        <v>41748</v>
      </c>
      <c r="J9162" s="78">
        <v>1171</v>
      </c>
    </row>
    <row r="9163" spans="5:10" x14ac:dyDescent="0.25">
      <c r="F9163" s="76" t="s">
        <v>150</v>
      </c>
      <c r="G9163" s="77" t="s">
        <v>319</v>
      </c>
      <c r="H9163" s="77" t="s">
        <v>174</v>
      </c>
      <c r="I9163" s="86">
        <v>41749</v>
      </c>
      <c r="J9163" s="78">
        <v>851</v>
      </c>
    </row>
    <row r="9164" spans="5:10" x14ac:dyDescent="0.25">
      <c r="F9164" s="76" t="s">
        <v>150</v>
      </c>
      <c r="G9164" s="77" t="s">
        <v>319</v>
      </c>
      <c r="H9164" s="77" t="s">
        <v>174</v>
      </c>
      <c r="I9164" s="86">
        <v>41750</v>
      </c>
      <c r="J9164" s="78">
        <v>690</v>
      </c>
    </row>
    <row r="9165" spans="5:10" x14ac:dyDescent="0.25">
      <c r="F9165" s="76" t="s">
        <v>150</v>
      </c>
      <c r="G9165" s="77" t="s">
        <v>319</v>
      </c>
      <c r="H9165" s="77" t="s">
        <v>174</v>
      </c>
      <c r="I9165" s="86">
        <v>41751</v>
      </c>
      <c r="J9165" s="78">
        <v>551</v>
      </c>
    </row>
    <row r="9166" spans="5:10" x14ac:dyDescent="0.25">
      <c r="F9166" s="76" t="s">
        <v>150</v>
      </c>
      <c r="G9166" s="77" t="s">
        <v>319</v>
      </c>
      <c r="H9166" s="77" t="s">
        <v>174</v>
      </c>
      <c r="I9166" s="86">
        <v>41752</v>
      </c>
      <c r="J9166" s="78">
        <v>1068</v>
      </c>
    </row>
    <row r="9167" spans="5:10" x14ac:dyDescent="0.25">
      <c r="F9167" s="76" t="s">
        <v>150</v>
      </c>
      <c r="G9167" s="77" t="s">
        <v>319</v>
      </c>
      <c r="H9167" s="77" t="s">
        <v>174</v>
      </c>
      <c r="I9167" s="86">
        <v>41754</v>
      </c>
      <c r="J9167" s="78">
        <v>1018</v>
      </c>
    </row>
    <row r="9168" spans="5:10" x14ac:dyDescent="0.25">
      <c r="F9168" s="76" t="s">
        <v>150</v>
      </c>
      <c r="G9168" s="77" t="s">
        <v>319</v>
      </c>
      <c r="H9168" s="77" t="s">
        <v>174</v>
      </c>
      <c r="I9168" s="86">
        <v>41755</v>
      </c>
      <c r="J9168" s="78">
        <v>784</v>
      </c>
    </row>
    <row r="9169" spans="6:10" x14ac:dyDescent="0.25">
      <c r="F9169" s="76" t="s">
        <v>150</v>
      </c>
      <c r="G9169" s="77" t="s">
        <v>319</v>
      </c>
      <c r="H9169" s="77" t="s">
        <v>174</v>
      </c>
      <c r="I9169" s="86">
        <v>41756</v>
      </c>
      <c r="J9169" s="78">
        <v>731</v>
      </c>
    </row>
    <row r="9170" spans="6:10" x14ac:dyDescent="0.25">
      <c r="F9170" s="76" t="s">
        <v>150</v>
      </c>
      <c r="G9170" s="77" t="s">
        <v>319</v>
      </c>
      <c r="H9170" s="77" t="s">
        <v>174</v>
      </c>
      <c r="I9170" s="86">
        <v>41758</v>
      </c>
      <c r="J9170" s="78">
        <v>1410</v>
      </c>
    </row>
    <row r="9171" spans="6:10" x14ac:dyDescent="0.25">
      <c r="F9171" s="76" t="s">
        <v>150</v>
      </c>
      <c r="G9171" s="77" t="s">
        <v>319</v>
      </c>
      <c r="H9171" s="77" t="s">
        <v>174</v>
      </c>
      <c r="I9171" s="86">
        <v>41759</v>
      </c>
      <c r="J9171" s="78">
        <v>524</v>
      </c>
    </row>
    <row r="9172" spans="6:10" x14ac:dyDescent="0.25">
      <c r="F9172" s="76" t="s">
        <v>150</v>
      </c>
      <c r="G9172" s="77" t="s">
        <v>319</v>
      </c>
      <c r="H9172" s="77" t="s">
        <v>174</v>
      </c>
      <c r="I9172" s="86">
        <v>41760</v>
      </c>
      <c r="J9172" s="78">
        <v>937</v>
      </c>
    </row>
    <row r="9173" spans="6:10" x14ac:dyDescent="0.25">
      <c r="F9173" s="76" t="s">
        <v>150</v>
      </c>
      <c r="G9173" s="77" t="s">
        <v>319</v>
      </c>
      <c r="H9173" s="77" t="s">
        <v>174</v>
      </c>
      <c r="I9173" s="86">
        <v>41762</v>
      </c>
      <c r="J9173" s="78">
        <v>953</v>
      </c>
    </row>
    <row r="9174" spans="6:10" x14ac:dyDescent="0.25">
      <c r="F9174" s="76" t="s">
        <v>150</v>
      </c>
      <c r="G9174" s="77" t="s">
        <v>319</v>
      </c>
      <c r="H9174" s="77" t="s">
        <v>174</v>
      </c>
      <c r="I9174" s="86">
        <v>41764</v>
      </c>
      <c r="J9174" s="78">
        <v>1117</v>
      </c>
    </row>
    <row r="9175" spans="6:10" x14ac:dyDescent="0.25">
      <c r="F9175" s="76" t="s">
        <v>150</v>
      </c>
      <c r="G9175" s="77" t="s">
        <v>319</v>
      </c>
      <c r="H9175" s="77" t="s">
        <v>174</v>
      </c>
      <c r="I9175" s="86">
        <v>41765</v>
      </c>
      <c r="J9175" s="78">
        <v>505</v>
      </c>
    </row>
    <row r="9176" spans="6:10" x14ac:dyDescent="0.25">
      <c r="F9176" s="76" t="s">
        <v>150</v>
      </c>
      <c r="G9176" s="77" t="s">
        <v>319</v>
      </c>
      <c r="H9176" s="77" t="s">
        <v>174</v>
      </c>
      <c r="I9176" s="86">
        <v>41777</v>
      </c>
      <c r="J9176" s="78">
        <v>759</v>
      </c>
    </row>
    <row r="9177" spans="6:10" x14ac:dyDescent="0.25">
      <c r="F9177" s="76" t="s">
        <v>150</v>
      </c>
      <c r="G9177" s="77" t="s">
        <v>319</v>
      </c>
      <c r="H9177" s="77" t="s">
        <v>174</v>
      </c>
      <c r="I9177" s="86">
        <v>41779</v>
      </c>
      <c r="J9177" s="78">
        <v>899</v>
      </c>
    </row>
    <row r="9178" spans="6:10" x14ac:dyDescent="0.25">
      <c r="F9178" s="76" t="s">
        <v>150</v>
      </c>
      <c r="G9178" s="77" t="s">
        <v>319</v>
      </c>
      <c r="H9178" s="77" t="s">
        <v>174</v>
      </c>
      <c r="I9178" s="86">
        <v>41794</v>
      </c>
      <c r="J9178" s="78">
        <v>1202</v>
      </c>
    </row>
    <row r="9179" spans="6:10" x14ac:dyDescent="0.25">
      <c r="F9179" s="76" t="s">
        <v>150</v>
      </c>
      <c r="G9179" s="77" t="s">
        <v>319</v>
      </c>
      <c r="H9179" s="77" t="s">
        <v>174</v>
      </c>
      <c r="I9179" s="86">
        <v>41796</v>
      </c>
      <c r="J9179" s="78">
        <v>1022</v>
      </c>
    </row>
    <row r="9180" spans="6:10" x14ac:dyDescent="0.25">
      <c r="F9180" s="76" t="s">
        <v>150</v>
      </c>
      <c r="G9180" s="77" t="s">
        <v>319</v>
      </c>
      <c r="H9180" s="77" t="s">
        <v>174</v>
      </c>
      <c r="I9180" s="86">
        <v>41798</v>
      </c>
      <c r="J9180" s="78">
        <v>1202</v>
      </c>
    </row>
    <row r="9181" spans="6:10" x14ac:dyDescent="0.25">
      <c r="F9181" s="76" t="s">
        <v>150</v>
      </c>
      <c r="G9181" s="77" t="s">
        <v>319</v>
      </c>
      <c r="H9181" s="77" t="s">
        <v>174</v>
      </c>
      <c r="I9181" s="86">
        <v>41800</v>
      </c>
      <c r="J9181" s="78">
        <v>1142</v>
      </c>
    </row>
    <row r="9182" spans="6:10" x14ac:dyDescent="0.25">
      <c r="F9182" s="76" t="s">
        <v>150</v>
      </c>
      <c r="G9182" s="77" t="s">
        <v>319</v>
      </c>
      <c r="H9182" s="77" t="s">
        <v>174</v>
      </c>
      <c r="I9182" s="86">
        <v>41802</v>
      </c>
      <c r="J9182" s="78">
        <v>941</v>
      </c>
    </row>
    <row r="9183" spans="6:10" x14ac:dyDescent="0.25">
      <c r="F9183" s="76" t="s">
        <v>150</v>
      </c>
      <c r="G9183" s="77" t="s">
        <v>319</v>
      </c>
      <c r="H9183" s="77" t="s">
        <v>174</v>
      </c>
      <c r="I9183" s="86">
        <v>41803</v>
      </c>
      <c r="J9183" s="78">
        <v>921</v>
      </c>
    </row>
    <row r="9184" spans="6:10" x14ac:dyDescent="0.25">
      <c r="F9184" s="76" t="s">
        <v>150</v>
      </c>
      <c r="G9184" s="77" t="s">
        <v>319</v>
      </c>
      <c r="H9184" s="77" t="s">
        <v>174</v>
      </c>
      <c r="I9184" s="86">
        <v>41807</v>
      </c>
      <c r="J9184" s="78">
        <v>1323</v>
      </c>
    </row>
    <row r="9185" spans="6:10" x14ac:dyDescent="0.25">
      <c r="F9185" s="76" t="s">
        <v>150</v>
      </c>
      <c r="G9185" s="77" t="s">
        <v>319</v>
      </c>
      <c r="H9185" s="77" t="s">
        <v>174</v>
      </c>
      <c r="I9185" s="86">
        <v>41811</v>
      </c>
      <c r="J9185" s="78">
        <v>1227</v>
      </c>
    </row>
    <row r="9186" spans="6:10" x14ac:dyDescent="0.25">
      <c r="F9186" s="76" t="s">
        <v>150</v>
      </c>
      <c r="G9186" s="77" t="s">
        <v>319</v>
      </c>
      <c r="H9186" s="77" t="s">
        <v>174</v>
      </c>
      <c r="I9186" s="86">
        <v>41813</v>
      </c>
      <c r="J9186" s="78">
        <v>351</v>
      </c>
    </row>
    <row r="9187" spans="6:10" x14ac:dyDescent="0.25">
      <c r="F9187" s="76" t="s">
        <v>150</v>
      </c>
      <c r="G9187" s="77" t="s">
        <v>319</v>
      </c>
      <c r="H9187" s="77" t="s">
        <v>174</v>
      </c>
      <c r="I9187" s="86">
        <v>41816</v>
      </c>
      <c r="J9187" s="78">
        <v>1256</v>
      </c>
    </row>
    <row r="9188" spans="6:10" x14ac:dyDescent="0.25">
      <c r="F9188" s="76" t="s">
        <v>150</v>
      </c>
      <c r="G9188" s="77" t="s">
        <v>319</v>
      </c>
      <c r="H9188" s="77" t="s">
        <v>174</v>
      </c>
      <c r="I9188" s="86">
        <v>41817</v>
      </c>
      <c r="J9188" s="78">
        <v>423</v>
      </c>
    </row>
    <row r="9189" spans="6:10" x14ac:dyDescent="0.25">
      <c r="F9189" s="76" t="s">
        <v>150</v>
      </c>
      <c r="G9189" s="77" t="s">
        <v>319</v>
      </c>
      <c r="H9189" s="77" t="s">
        <v>174</v>
      </c>
      <c r="I9189" s="86">
        <v>41818</v>
      </c>
      <c r="J9189" s="78">
        <v>779</v>
      </c>
    </row>
    <row r="9190" spans="6:10" x14ac:dyDescent="0.25">
      <c r="F9190" s="76" t="s">
        <v>150</v>
      </c>
      <c r="G9190" s="77" t="s">
        <v>319</v>
      </c>
      <c r="H9190" s="77" t="s">
        <v>174</v>
      </c>
      <c r="I9190" s="86">
        <v>41819</v>
      </c>
      <c r="J9190" s="78">
        <v>1132</v>
      </c>
    </row>
    <row r="9191" spans="6:10" x14ac:dyDescent="0.25">
      <c r="F9191" s="76" t="s">
        <v>150</v>
      </c>
      <c r="G9191" s="77" t="s">
        <v>319</v>
      </c>
      <c r="H9191" s="77" t="s">
        <v>174</v>
      </c>
      <c r="I9191" s="86">
        <v>41820</v>
      </c>
      <c r="J9191" s="78">
        <v>881</v>
      </c>
    </row>
    <row r="9192" spans="6:10" x14ac:dyDescent="0.25">
      <c r="F9192" s="76" t="s">
        <v>150</v>
      </c>
      <c r="G9192" s="77" t="s">
        <v>319</v>
      </c>
      <c r="H9192" s="77" t="s">
        <v>174</v>
      </c>
      <c r="I9192" s="86">
        <v>41821</v>
      </c>
      <c r="J9192" s="78">
        <v>1310</v>
      </c>
    </row>
    <row r="9193" spans="6:10" x14ac:dyDescent="0.25">
      <c r="F9193" s="76" t="s">
        <v>150</v>
      </c>
      <c r="G9193" s="77" t="s">
        <v>319</v>
      </c>
      <c r="H9193" s="77" t="s">
        <v>174</v>
      </c>
      <c r="I9193" s="86">
        <v>41822</v>
      </c>
      <c r="J9193" s="78">
        <v>568</v>
      </c>
    </row>
    <row r="9194" spans="6:10" x14ac:dyDescent="0.25">
      <c r="F9194" s="76" t="s">
        <v>150</v>
      </c>
      <c r="G9194" s="77" t="s">
        <v>319</v>
      </c>
      <c r="H9194" s="77" t="s">
        <v>174</v>
      </c>
      <c r="I9194" s="86">
        <v>41823</v>
      </c>
      <c r="J9194" s="78">
        <v>1311</v>
      </c>
    </row>
    <row r="9195" spans="6:10" x14ac:dyDescent="0.25">
      <c r="F9195" s="76" t="s">
        <v>150</v>
      </c>
      <c r="G9195" s="77" t="s">
        <v>319</v>
      </c>
      <c r="H9195" s="77" t="s">
        <v>174</v>
      </c>
      <c r="I9195" s="86">
        <v>41824</v>
      </c>
      <c r="J9195" s="78">
        <v>528</v>
      </c>
    </row>
    <row r="9196" spans="6:10" x14ac:dyDescent="0.25">
      <c r="F9196" s="76" t="s">
        <v>150</v>
      </c>
      <c r="G9196" s="77" t="s">
        <v>319</v>
      </c>
      <c r="H9196" s="77" t="s">
        <v>174</v>
      </c>
      <c r="I9196" s="86">
        <v>41827</v>
      </c>
      <c r="J9196" s="78">
        <v>1516</v>
      </c>
    </row>
    <row r="9197" spans="6:10" x14ac:dyDescent="0.25">
      <c r="F9197" s="76" t="s">
        <v>150</v>
      </c>
      <c r="G9197" s="77" t="s">
        <v>319</v>
      </c>
      <c r="H9197" s="77" t="s">
        <v>174</v>
      </c>
      <c r="I9197" s="86">
        <v>41828</v>
      </c>
      <c r="J9197" s="78">
        <v>367</v>
      </c>
    </row>
    <row r="9198" spans="6:10" x14ac:dyDescent="0.25">
      <c r="F9198" s="76" t="s">
        <v>150</v>
      </c>
      <c r="G9198" s="77" t="s">
        <v>319</v>
      </c>
      <c r="H9198" s="77" t="s">
        <v>174</v>
      </c>
      <c r="I9198" s="86">
        <v>41829</v>
      </c>
      <c r="J9198" s="78">
        <v>1442</v>
      </c>
    </row>
    <row r="9199" spans="6:10" x14ac:dyDescent="0.25">
      <c r="F9199" s="76" t="s">
        <v>150</v>
      </c>
      <c r="G9199" s="77" t="s">
        <v>319</v>
      </c>
      <c r="H9199" s="77" t="s">
        <v>174</v>
      </c>
      <c r="I9199" s="86">
        <v>41830</v>
      </c>
      <c r="J9199" s="78">
        <v>1129</v>
      </c>
    </row>
    <row r="9200" spans="6:10" x14ac:dyDescent="0.25">
      <c r="F9200" s="76" t="s">
        <v>150</v>
      </c>
      <c r="G9200" s="77" t="s">
        <v>319</v>
      </c>
      <c r="H9200" s="77" t="s">
        <v>174</v>
      </c>
      <c r="I9200" s="86">
        <v>41834</v>
      </c>
      <c r="J9200" s="78">
        <v>937</v>
      </c>
    </row>
    <row r="9201" spans="6:10" x14ac:dyDescent="0.25">
      <c r="F9201" s="76" t="s">
        <v>150</v>
      </c>
      <c r="G9201" s="77" t="s">
        <v>319</v>
      </c>
      <c r="H9201" s="77" t="s">
        <v>174</v>
      </c>
      <c r="I9201" s="86">
        <v>41856</v>
      </c>
      <c r="J9201" s="78">
        <v>1059</v>
      </c>
    </row>
    <row r="9202" spans="6:10" x14ac:dyDescent="0.25">
      <c r="F9202" s="76" t="s">
        <v>150</v>
      </c>
      <c r="G9202" s="77" t="s">
        <v>319</v>
      </c>
      <c r="H9202" s="77" t="s">
        <v>174</v>
      </c>
      <c r="I9202" s="86">
        <v>41857</v>
      </c>
      <c r="J9202" s="78">
        <v>476</v>
      </c>
    </row>
    <row r="9203" spans="6:10" x14ac:dyDescent="0.25">
      <c r="F9203" s="76" t="s">
        <v>150</v>
      </c>
      <c r="G9203" s="77" t="s">
        <v>319</v>
      </c>
      <c r="H9203" s="77" t="s">
        <v>174</v>
      </c>
      <c r="I9203" s="86">
        <v>41859</v>
      </c>
      <c r="J9203" s="78">
        <v>883</v>
      </c>
    </row>
    <row r="9204" spans="6:10" x14ac:dyDescent="0.25">
      <c r="F9204" s="76" t="s">
        <v>150</v>
      </c>
      <c r="G9204" s="77" t="s">
        <v>319</v>
      </c>
      <c r="H9204" s="77" t="s">
        <v>174</v>
      </c>
      <c r="I9204" s="86">
        <v>41862</v>
      </c>
      <c r="J9204" s="78">
        <v>807</v>
      </c>
    </row>
    <row r="9205" spans="6:10" x14ac:dyDescent="0.25">
      <c r="F9205" s="76" t="s">
        <v>150</v>
      </c>
      <c r="G9205" s="77" t="s">
        <v>319</v>
      </c>
      <c r="H9205" s="77" t="s">
        <v>174</v>
      </c>
      <c r="I9205" s="86">
        <v>41959</v>
      </c>
      <c r="J9205" s="78">
        <v>1158</v>
      </c>
    </row>
    <row r="9206" spans="6:10" x14ac:dyDescent="0.25">
      <c r="F9206" s="76" t="s">
        <v>150</v>
      </c>
      <c r="G9206" s="77" t="s">
        <v>319</v>
      </c>
      <c r="H9206" s="77" t="s">
        <v>174</v>
      </c>
      <c r="I9206" s="86">
        <v>41961</v>
      </c>
      <c r="J9206" s="78">
        <v>1078</v>
      </c>
    </row>
    <row r="9207" spans="6:10" x14ac:dyDescent="0.25">
      <c r="F9207" s="76" t="s">
        <v>150</v>
      </c>
      <c r="G9207" s="77" t="s">
        <v>319</v>
      </c>
      <c r="H9207" s="77" t="s">
        <v>174</v>
      </c>
      <c r="I9207" s="86">
        <v>41962</v>
      </c>
      <c r="J9207" s="78">
        <v>563</v>
      </c>
    </row>
    <row r="9208" spans="6:10" x14ac:dyDescent="0.25">
      <c r="F9208" s="76" t="s">
        <v>150</v>
      </c>
      <c r="G9208" s="77" t="s">
        <v>319</v>
      </c>
      <c r="H9208" s="77" t="s">
        <v>174</v>
      </c>
      <c r="I9208" s="86">
        <v>41963</v>
      </c>
      <c r="J9208" s="78">
        <v>1238</v>
      </c>
    </row>
    <row r="9209" spans="6:10" x14ac:dyDescent="0.25">
      <c r="F9209" s="76" t="s">
        <v>150</v>
      </c>
      <c r="G9209" s="77" t="s">
        <v>319</v>
      </c>
      <c r="H9209" s="77" t="s">
        <v>174</v>
      </c>
      <c r="I9209" s="86">
        <v>41964</v>
      </c>
      <c r="J9209" s="78">
        <v>637</v>
      </c>
    </row>
    <row r="9210" spans="6:10" x14ac:dyDescent="0.25">
      <c r="F9210" s="76" t="s">
        <v>150</v>
      </c>
      <c r="G9210" s="77" t="s">
        <v>319</v>
      </c>
      <c r="H9210" s="77" t="s">
        <v>174</v>
      </c>
      <c r="I9210" s="86">
        <v>41966</v>
      </c>
      <c r="J9210" s="78">
        <v>511</v>
      </c>
    </row>
    <row r="9211" spans="6:10" x14ac:dyDescent="0.25">
      <c r="F9211" s="76" t="s">
        <v>150</v>
      </c>
      <c r="G9211" s="77" t="s">
        <v>319</v>
      </c>
      <c r="H9211" s="77" t="s">
        <v>174</v>
      </c>
      <c r="I9211" s="86">
        <v>41967</v>
      </c>
      <c r="J9211" s="78">
        <v>700</v>
      </c>
    </row>
    <row r="9212" spans="6:10" x14ac:dyDescent="0.25">
      <c r="F9212" s="76" t="s">
        <v>150</v>
      </c>
      <c r="G9212" s="77" t="s">
        <v>319</v>
      </c>
      <c r="H9212" s="77" t="s">
        <v>174</v>
      </c>
      <c r="I9212" s="86">
        <v>41968</v>
      </c>
      <c r="J9212" s="78">
        <v>498</v>
      </c>
    </row>
    <row r="9213" spans="6:10" x14ac:dyDescent="0.25">
      <c r="F9213" s="76" t="s">
        <v>150</v>
      </c>
      <c r="G9213" s="77" t="s">
        <v>319</v>
      </c>
      <c r="H9213" s="77" t="s">
        <v>174</v>
      </c>
      <c r="I9213" s="86">
        <v>41971</v>
      </c>
      <c r="J9213" s="78">
        <v>1040</v>
      </c>
    </row>
    <row r="9214" spans="6:10" x14ac:dyDescent="0.25">
      <c r="F9214" s="76" t="s">
        <v>150</v>
      </c>
      <c r="G9214" s="77" t="s">
        <v>319</v>
      </c>
      <c r="H9214" s="77" t="s">
        <v>174</v>
      </c>
      <c r="I9214" s="86">
        <v>41973</v>
      </c>
      <c r="J9214" s="78">
        <v>1072</v>
      </c>
    </row>
    <row r="9215" spans="6:10" x14ac:dyDescent="0.25">
      <c r="F9215" s="76" t="s">
        <v>150</v>
      </c>
      <c r="G9215" s="77" t="s">
        <v>319</v>
      </c>
      <c r="H9215" s="77" t="s">
        <v>174</v>
      </c>
      <c r="I9215" s="86">
        <v>41975</v>
      </c>
      <c r="J9215" s="78">
        <v>1109</v>
      </c>
    </row>
    <row r="9216" spans="6:10" x14ac:dyDescent="0.25">
      <c r="F9216" s="76" t="s">
        <v>150</v>
      </c>
      <c r="G9216" s="77" t="s">
        <v>319</v>
      </c>
      <c r="H9216" s="77" t="s">
        <v>174</v>
      </c>
      <c r="I9216" s="86">
        <v>41976</v>
      </c>
      <c r="J9216" s="78">
        <v>900</v>
      </c>
    </row>
    <row r="9217" spans="6:10" x14ac:dyDescent="0.25">
      <c r="F9217" s="76" t="s">
        <v>150</v>
      </c>
      <c r="G9217" s="77" t="s">
        <v>319</v>
      </c>
      <c r="H9217" s="77" t="s">
        <v>174</v>
      </c>
      <c r="I9217" s="86">
        <v>41977</v>
      </c>
      <c r="J9217" s="78">
        <v>1134</v>
      </c>
    </row>
    <row r="9218" spans="6:10" x14ac:dyDescent="0.25">
      <c r="F9218" s="76" t="s">
        <v>150</v>
      </c>
      <c r="G9218" s="77" t="s">
        <v>319</v>
      </c>
      <c r="H9218" s="77" t="s">
        <v>174</v>
      </c>
      <c r="I9218" s="86">
        <v>41978</v>
      </c>
      <c r="J9218" s="78">
        <v>507</v>
      </c>
    </row>
    <row r="9219" spans="6:10" x14ac:dyDescent="0.25">
      <c r="F9219" s="76" t="s">
        <v>150</v>
      </c>
      <c r="G9219" s="77" t="s">
        <v>319</v>
      </c>
      <c r="H9219" s="77" t="s">
        <v>174</v>
      </c>
      <c r="I9219" s="86">
        <v>41981</v>
      </c>
      <c r="J9219" s="78">
        <v>1380</v>
      </c>
    </row>
    <row r="9220" spans="6:10" x14ac:dyDescent="0.25">
      <c r="F9220" s="76" t="s">
        <v>150</v>
      </c>
      <c r="G9220" s="77" t="s">
        <v>319</v>
      </c>
      <c r="H9220" s="77" t="s">
        <v>174</v>
      </c>
      <c r="I9220" s="86">
        <v>41982</v>
      </c>
      <c r="J9220" s="78">
        <v>458</v>
      </c>
    </row>
    <row r="9221" spans="6:10" x14ac:dyDescent="0.25">
      <c r="F9221" s="76" t="s">
        <v>150</v>
      </c>
      <c r="G9221" s="77" t="s">
        <v>319</v>
      </c>
      <c r="H9221" s="77" t="s">
        <v>174</v>
      </c>
      <c r="I9221" s="86">
        <v>41983</v>
      </c>
      <c r="J9221" s="78">
        <v>1292</v>
      </c>
    </row>
    <row r="9222" spans="6:10" x14ac:dyDescent="0.25">
      <c r="F9222" s="76" t="s">
        <v>150</v>
      </c>
      <c r="G9222" s="77" t="s">
        <v>319</v>
      </c>
      <c r="H9222" s="77" t="s">
        <v>174</v>
      </c>
      <c r="I9222" s="86">
        <v>41984</v>
      </c>
      <c r="J9222" s="78">
        <v>921</v>
      </c>
    </row>
    <row r="9223" spans="6:10" x14ac:dyDescent="0.25">
      <c r="F9223" s="76" t="s">
        <v>150</v>
      </c>
      <c r="G9223" s="77" t="s">
        <v>319</v>
      </c>
      <c r="H9223" s="77" t="s">
        <v>174</v>
      </c>
      <c r="I9223" s="86">
        <v>41985</v>
      </c>
      <c r="J9223" s="78">
        <v>425</v>
      </c>
    </row>
    <row r="9224" spans="6:10" x14ac:dyDescent="0.25">
      <c r="F9224" s="76" t="s">
        <v>150</v>
      </c>
      <c r="G9224" s="77" t="s">
        <v>319</v>
      </c>
      <c r="H9224" s="77" t="s">
        <v>174</v>
      </c>
      <c r="I9224" s="86">
        <v>41986</v>
      </c>
      <c r="J9224" s="78">
        <v>966</v>
      </c>
    </row>
    <row r="9225" spans="6:10" x14ac:dyDescent="0.25">
      <c r="F9225" s="76" t="s">
        <v>150</v>
      </c>
      <c r="G9225" s="77" t="s">
        <v>319</v>
      </c>
      <c r="H9225" s="77" t="s">
        <v>174</v>
      </c>
      <c r="I9225" s="86">
        <v>41990</v>
      </c>
      <c r="J9225" s="78">
        <v>872</v>
      </c>
    </row>
    <row r="9226" spans="6:10" x14ac:dyDescent="0.25">
      <c r="F9226" s="76" t="s">
        <v>150</v>
      </c>
      <c r="G9226" s="77" t="s">
        <v>319</v>
      </c>
      <c r="H9226" s="77" t="s">
        <v>174</v>
      </c>
      <c r="I9226" s="86">
        <v>41992</v>
      </c>
      <c r="J9226" s="78">
        <v>1034</v>
      </c>
    </row>
    <row r="9227" spans="6:10" x14ac:dyDescent="0.25">
      <c r="F9227" s="76" t="s">
        <v>150</v>
      </c>
      <c r="G9227" s="77" t="s">
        <v>319</v>
      </c>
      <c r="H9227" s="77" t="s">
        <v>174</v>
      </c>
      <c r="I9227" s="86">
        <v>41995</v>
      </c>
      <c r="J9227" s="78">
        <v>409</v>
      </c>
    </row>
    <row r="9228" spans="6:10" x14ac:dyDescent="0.25">
      <c r="F9228" s="76" t="s">
        <v>150</v>
      </c>
      <c r="G9228" s="77" t="s">
        <v>319</v>
      </c>
      <c r="H9228" s="77" t="s">
        <v>174</v>
      </c>
      <c r="I9228" s="86">
        <v>41996</v>
      </c>
      <c r="J9228" s="78">
        <v>901</v>
      </c>
    </row>
    <row r="9229" spans="6:10" x14ac:dyDescent="0.25">
      <c r="F9229" s="76" t="s">
        <v>150</v>
      </c>
      <c r="G9229" s="77" t="s">
        <v>319</v>
      </c>
      <c r="H9229" s="77" t="s">
        <v>174</v>
      </c>
      <c r="I9229" s="86">
        <v>41997</v>
      </c>
      <c r="J9229" s="78">
        <v>1196</v>
      </c>
    </row>
    <row r="9230" spans="6:10" x14ac:dyDescent="0.25">
      <c r="F9230" s="76" t="s">
        <v>150</v>
      </c>
      <c r="G9230" s="77" t="s">
        <v>319</v>
      </c>
      <c r="H9230" s="77" t="s">
        <v>174</v>
      </c>
      <c r="I9230" s="86">
        <v>41999</v>
      </c>
      <c r="J9230" s="78">
        <v>601</v>
      </c>
    </row>
    <row r="9231" spans="6:10" x14ac:dyDescent="0.25">
      <c r="F9231" s="76" t="s">
        <v>150</v>
      </c>
      <c r="G9231" s="77" t="s">
        <v>320</v>
      </c>
      <c r="H9231" s="77" t="s">
        <v>321</v>
      </c>
      <c r="I9231" s="86">
        <v>41738</v>
      </c>
      <c r="J9231" s="78">
        <v>1598</v>
      </c>
    </row>
    <row r="9232" spans="6:10" x14ac:dyDescent="0.25">
      <c r="F9232" s="76" t="s">
        <v>150</v>
      </c>
      <c r="G9232" s="77" t="s">
        <v>322</v>
      </c>
      <c r="H9232" s="77" t="s">
        <v>321</v>
      </c>
      <c r="I9232" s="86">
        <v>41882</v>
      </c>
      <c r="J9232" s="78">
        <v>1304</v>
      </c>
    </row>
    <row r="9233" spans="6:10" x14ac:dyDescent="0.25">
      <c r="F9233" s="76" t="s">
        <v>150</v>
      </c>
      <c r="G9233" s="77" t="s">
        <v>233</v>
      </c>
      <c r="H9233" s="77" t="s">
        <v>234</v>
      </c>
      <c r="I9233" s="86">
        <v>41642</v>
      </c>
      <c r="J9233" s="78">
        <v>1405</v>
      </c>
    </row>
    <row r="9234" spans="6:10" x14ac:dyDescent="0.25">
      <c r="F9234" s="76" t="s">
        <v>150</v>
      </c>
      <c r="G9234" s="77" t="s">
        <v>233</v>
      </c>
      <c r="H9234" s="77" t="s">
        <v>234</v>
      </c>
      <c r="I9234" s="86">
        <v>41651</v>
      </c>
      <c r="J9234" s="78">
        <v>1506</v>
      </c>
    </row>
    <row r="9235" spans="6:10" x14ac:dyDescent="0.25">
      <c r="F9235" s="76" t="s">
        <v>150</v>
      </c>
      <c r="G9235" s="77" t="s">
        <v>233</v>
      </c>
      <c r="H9235" s="77" t="s">
        <v>234</v>
      </c>
      <c r="I9235" s="86">
        <v>41660</v>
      </c>
      <c r="J9235" s="78">
        <v>1300</v>
      </c>
    </row>
    <row r="9236" spans="6:10" x14ac:dyDescent="0.25">
      <c r="F9236" s="76" t="s">
        <v>150</v>
      </c>
      <c r="G9236" s="77" t="s">
        <v>233</v>
      </c>
      <c r="H9236" s="77" t="s">
        <v>234</v>
      </c>
      <c r="I9236" s="86">
        <v>41669</v>
      </c>
      <c r="J9236" s="78">
        <v>1505</v>
      </c>
    </row>
    <row r="9237" spans="6:10" x14ac:dyDescent="0.25">
      <c r="F9237" s="76" t="s">
        <v>150</v>
      </c>
      <c r="G9237" s="77" t="s">
        <v>233</v>
      </c>
      <c r="H9237" s="77" t="s">
        <v>234</v>
      </c>
      <c r="I9237" s="86">
        <v>41681</v>
      </c>
      <c r="J9237" s="78">
        <v>1503</v>
      </c>
    </row>
    <row r="9238" spans="6:10" x14ac:dyDescent="0.25">
      <c r="F9238" s="76" t="s">
        <v>150</v>
      </c>
      <c r="G9238" s="77" t="s">
        <v>233</v>
      </c>
      <c r="H9238" s="77" t="s">
        <v>234</v>
      </c>
      <c r="I9238" s="86">
        <v>41692</v>
      </c>
      <c r="J9238" s="78">
        <v>1803</v>
      </c>
    </row>
    <row r="9239" spans="6:10" x14ac:dyDescent="0.25">
      <c r="F9239" s="76" t="s">
        <v>150</v>
      </c>
      <c r="G9239" s="77" t="s">
        <v>233</v>
      </c>
      <c r="H9239" s="77" t="s">
        <v>234</v>
      </c>
      <c r="I9239" s="86">
        <v>41956</v>
      </c>
      <c r="J9239" s="78">
        <v>1435</v>
      </c>
    </row>
    <row r="9240" spans="6:10" x14ac:dyDescent="0.25">
      <c r="F9240" s="76" t="s">
        <v>150</v>
      </c>
      <c r="G9240" s="77" t="s">
        <v>235</v>
      </c>
      <c r="H9240" s="77" t="s">
        <v>234</v>
      </c>
      <c r="I9240" s="86">
        <v>41669</v>
      </c>
      <c r="J9240" s="78">
        <v>1226</v>
      </c>
    </row>
    <row r="9241" spans="6:10" x14ac:dyDescent="0.25">
      <c r="F9241" s="76" t="s">
        <v>150</v>
      </c>
      <c r="G9241" s="77" t="s">
        <v>235</v>
      </c>
      <c r="H9241" s="77" t="s">
        <v>234</v>
      </c>
      <c r="I9241" s="86">
        <v>41718</v>
      </c>
      <c r="J9241" s="78">
        <v>1777</v>
      </c>
    </row>
    <row r="9242" spans="6:10" x14ac:dyDescent="0.25">
      <c r="F9242" s="76" t="s">
        <v>150</v>
      </c>
      <c r="G9242" s="77" t="s">
        <v>235</v>
      </c>
      <c r="H9242" s="77" t="s">
        <v>234</v>
      </c>
      <c r="I9242" s="86">
        <v>41724</v>
      </c>
      <c r="J9242" s="78">
        <v>974</v>
      </c>
    </row>
    <row r="9243" spans="6:10" x14ac:dyDescent="0.25">
      <c r="F9243" s="76" t="s">
        <v>150</v>
      </c>
      <c r="G9243" s="77" t="s">
        <v>235</v>
      </c>
      <c r="H9243" s="77" t="s">
        <v>234</v>
      </c>
      <c r="I9243" s="86">
        <v>41734</v>
      </c>
      <c r="J9243" s="78">
        <v>1499</v>
      </c>
    </row>
    <row r="9244" spans="6:10" x14ac:dyDescent="0.25">
      <c r="F9244" s="76" t="s">
        <v>150</v>
      </c>
      <c r="G9244" s="77" t="s">
        <v>235</v>
      </c>
      <c r="H9244" s="77" t="s">
        <v>234</v>
      </c>
      <c r="I9244" s="86">
        <v>41746</v>
      </c>
      <c r="J9244" s="78">
        <v>1835</v>
      </c>
    </row>
    <row r="9245" spans="6:10" x14ac:dyDescent="0.25">
      <c r="F9245" s="76" t="s">
        <v>150</v>
      </c>
      <c r="G9245" s="77" t="s">
        <v>235</v>
      </c>
      <c r="H9245" s="77" t="s">
        <v>234</v>
      </c>
      <c r="I9245" s="86">
        <v>41905</v>
      </c>
      <c r="J9245" s="78">
        <v>1210</v>
      </c>
    </row>
    <row r="9246" spans="6:10" x14ac:dyDescent="0.25">
      <c r="F9246" s="76" t="s">
        <v>150</v>
      </c>
      <c r="G9246" s="77" t="s">
        <v>235</v>
      </c>
      <c r="H9246" s="77" t="s">
        <v>234</v>
      </c>
      <c r="I9246" s="86">
        <v>41919</v>
      </c>
      <c r="J9246" s="78">
        <v>2002</v>
      </c>
    </row>
    <row r="9247" spans="6:10" x14ac:dyDescent="0.25">
      <c r="F9247" s="76" t="s">
        <v>150</v>
      </c>
      <c r="G9247" s="77" t="s">
        <v>236</v>
      </c>
      <c r="H9247" s="77" t="s">
        <v>234</v>
      </c>
      <c r="I9247" s="86">
        <v>41749</v>
      </c>
      <c r="J9247" s="78">
        <v>1602</v>
      </c>
    </row>
    <row r="9248" spans="6:10" x14ac:dyDescent="0.25">
      <c r="F9248" s="76" t="s">
        <v>150</v>
      </c>
      <c r="G9248" s="77" t="s">
        <v>236</v>
      </c>
      <c r="H9248" s="77" t="s">
        <v>234</v>
      </c>
      <c r="I9248" s="86">
        <v>41759</v>
      </c>
      <c r="J9248" s="78">
        <v>1004</v>
      </c>
    </row>
    <row r="9249" spans="6:10" x14ac:dyDescent="0.25">
      <c r="F9249" s="76" t="s">
        <v>150</v>
      </c>
      <c r="G9249" s="77" t="s">
        <v>236</v>
      </c>
      <c r="H9249" s="77" t="s">
        <v>234</v>
      </c>
      <c r="I9249" s="86">
        <v>41929</v>
      </c>
      <c r="J9249" s="78">
        <v>310</v>
      </c>
    </row>
    <row r="9250" spans="6:10" x14ac:dyDescent="0.25">
      <c r="F9250" s="76" t="s">
        <v>150</v>
      </c>
      <c r="G9250" s="77" t="s">
        <v>236</v>
      </c>
      <c r="H9250" s="77" t="s">
        <v>234</v>
      </c>
      <c r="I9250" s="86">
        <v>41937</v>
      </c>
      <c r="J9250" s="78">
        <v>812</v>
      </c>
    </row>
    <row r="9251" spans="6:10" x14ac:dyDescent="0.25">
      <c r="F9251" s="76" t="s">
        <v>150</v>
      </c>
      <c r="G9251" s="77" t="s">
        <v>236</v>
      </c>
      <c r="H9251" s="77" t="s">
        <v>234</v>
      </c>
      <c r="I9251" s="86">
        <v>41940</v>
      </c>
      <c r="J9251" s="78">
        <v>1267</v>
      </c>
    </row>
    <row r="9252" spans="6:10" x14ac:dyDescent="0.25">
      <c r="F9252" s="76" t="s">
        <v>150</v>
      </c>
      <c r="G9252" s="77" t="s">
        <v>236</v>
      </c>
      <c r="H9252" s="77" t="s">
        <v>234</v>
      </c>
      <c r="I9252" s="86">
        <v>41946</v>
      </c>
      <c r="J9252" s="78">
        <v>1414</v>
      </c>
    </row>
    <row r="9253" spans="6:10" x14ac:dyDescent="0.25">
      <c r="F9253" s="76" t="s">
        <v>150</v>
      </c>
      <c r="G9253" s="77" t="s">
        <v>236</v>
      </c>
      <c r="H9253" s="77" t="s">
        <v>234</v>
      </c>
      <c r="I9253" s="86">
        <v>41950</v>
      </c>
      <c r="J9253" s="78">
        <v>984</v>
      </c>
    </row>
    <row r="9254" spans="6:10" x14ac:dyDescent="0.25">
      <c r="F9254" s="76" t="s">
        <v>150</v>
      </c>
      <c r="G9254" s="77" t="s">
        <v>236</v>
      </c>
      <c r="H9254" s="77" t="s">
        <v>234</v>
      </c>
      <c r="I9254" s="86">
        <v>41956</v>
      </c>
      <c r="J9254" s="78">
        <v>1403</v>
      </c>
    </row>
    <row r="9255" spans="6:10" x14ac:dyDescent="0.25">
      <c r="F9255" s="76" t="s">
        <v>150</v>
      </c>
      <c r="G9255" s="77" t="s">
        <v>237</v>
      </c>
      <c r="H9255" s="77" t="s">
        <v>234</v>
      </c>
      <c r="I9255" s="86">
        <v>41705</v>
      </c>
      <c r="J9255" s="78">
        <v>1800</v>
      </c>
    </row>
    <row r="9256" spans="6:10" x14ac:dyDescent="0.25">
      <c r="F9256" s="76" t="s">
        <v>150</v>
      </c>
      <c r="G9256" s="77" t="s">
        <v>237</v>
      </c>
      <c r="H9256" s="77" t="s">
        <v>234</v>
      </c>
      <c r="I9256" s="86">
        <v>41714</v>
      </c>
      <c r="J9256" s="78">
        <v>1378</v>
      </c>
    </row>
    <row r="9257" spans="6:10" x14ac:dyDescent="0.25">
      <c r="F9257" s="76" t="s">
        <v>150</v>
      </c>
      <c r="G9257" s="77" t="s">
        <v>237</v>
      </c>
      <c r="H9257" s="77" t="s">
        <v>234</v>
      </c>
      <c r="I9257" s="86">
        <v>41967</v>
      </c>
      <c r="J9257" s="78">
        <v>1891</v>
      </c>
    </row>
    <row r="9258" spans="6:10" x14ac:dyDescent="0.25">
      <c r="F9258" s="76" t="s">
        <v>150</v>
      </c>
      <c r="G9258" s="77" t="s">
        <v>237</v>
      </c>
      <c r="H9258" s="77" t="s">
        <v>234</v>
      </c>
      <c r="I9258" s="86">
        <v>41981</v>
      </c>
      <c r="J9258" s="78">
        <v>2079</v>
      </c>
    </row>
    <row r="9259" spans="6:10" x14ac:dyDescent="0.25">
      <c r="F9259" s="76"/>
      <c r="G9259" s="77"/>
      <c r="H9259" s="77"/>
      <c r="I9259" s="86" t="s">
        <v>274</v>
      </c>
      <c r="J9259" s="78">
        <f>SUM(J4:J9230)</f>
        <v>12560962</v>
      </c>
    </row>
    <row r="9260" spans="6:10" ht="15.75" thickBot="1" x14ac:dyDescent="0.3">
      <c r="F9260" s="87"/>
      <c r="G9260" s="88"/>
      <c r="H9260" s="88"/>
      <c r="I9260" s="89" t="s">
        <v>323</v>
      </c>
      <c r="J9260" s="125">
        <f>SUM(J9231:J9258)</f>
        <v>39826</v>
      </c>
    </row>
    <row r="9261" spans="6:10" x14ac:dyDescent="0.25">
      <c r="F9261" s="126"/>
      <c r="G9261" s="126"/>
      <c r="H9261" s="126"/>
      <c r="I9261" s="127"/>
      <c r="J9261" s="128"/>
    </row>
    <row r="9262" spans="6:10" x14ac:dyDescent="0.25">
      <c r="F9262" s="6"/>
      <c r="G9262" s="6"/>
      <c r="H9262" s="6"/>
      <c r="I9262" s="118"/>
      <c r="J9262" s="119"/>
    </row>
    <row r="9263" spans="6:10" x14ac:dyDescent="0.25">
      <c r="F9263" s="6"/>
      <c r="G9263" s="6"/>
      <c r="H9263" s="6"/>
      <c r="I9263" s="118"/>
      <c r="J9263" s="119"/>
    </row>
    <row r="9264" spans="6:10" x14ac:dyDescent="0.25">
      <c r="F9264" s="6"/>
      <c r="G9264" s="6"/>
      <c r="H9264" s="6"/>
      <c r="I9264" s="118"/>
      <c r="J9264" s="119"/>
    </row>
    <row r="9265" spans="6:10" x14ac:dyDescent="0.25">
      <c r="F9265" s="6"/>
      <c r="G9265" s="6"/>
      <c r="H9265" s="6"/>
      <c r="I9265" s="118"/>
      <c r="J9265" s="119"/>
    </row>
    <row r="9266" spans="6:10" x14ac:dyDescent="0.25">
      <c r="F9266" s="6"/>
      <c r="G9266" s="6"/>
      <c r="H9266" s="6"/>
      <c r="I9266" s="118"/>
      <c r="J9266" s="119"/>
    </row>
    <row r="9267" spans="6:10" x14ac:dyDescent="0.25">
      <c r="F9267" s="6"/>
      <c r="G9267" s="6"/>
      <c r="H9267" s="6"/>
      <c r="I9267" s="118"/>
      <c r="J9267" s="119"/>
    </row>
    <row r="9268" spans="6:10" x14ac:dyDescent="0.25">
      <c r="F9268" s="6"/>
      <c r="G9268" s="6"/>
      <c r="H9268" s="6"/>
      <c r="I9268" s="118"/>
      <c r="J9268" s="119"/>
    </row>
    <row r="9269" spans="6:10" x14ac:dyDescent="0.25">
      <c r="F9269" s="6"/>
      <c r="G9269" s="6"/>
      <c r="H9269" s="6"/>
      <c r="I9269" s="118"/>
      <c r="J9269" s="119"/>
    </row>
    <row r="9270" spans="6:10" x14ac:dyDescent="0.25">
      <c r="F9270" s="6"/>
      <c r="G9270" s="6"/>
      <c r="H9270" s="6"/>
      <c r="I9270" s="118"/>
      <c r="J9270" s="119"/>
    </row>
    <row r="9271" spans="6:10" x14ac:dyDescent="0.25">
      <c r="F9271" s="6"/>
      <c r="G9271" s="6"/>
      <c r="H9271" s="6"/>
      <c r="I9271" s="118"/>
      <c r="J9271" s="119"/>
    </row>
    <row r="9272" spans="6:10" x14ac:dyDescent="0.25">
      <c r="F9272" s="6"/>
      <c r="G9272" s="6"/>
      <c r="H9272" s="6"/>
      <c r="I9272" s="118"/>
      <c r="J9272" s="119"/>
    </row>
    <row r="9273" spans="6:10" x14ac:dyDescent="0.25">
      <c r="F9273" s="6"/>
      <c r="G9273" s="6"/>
      <c r="H9273" s="6"/>
      <c r="I9273" s="118"/>
      <c r="J9273" s="119"/>
    </row>
    <row r="9274" spans="6:10" x14ac:dyDescent="0.25">
      <c r="F9274" s="6"/>
      <c r="G9274" s="6"/>
      <c r="H9274" s="6"/>
      <c r="I9274" s="118"/>
      <c r="J9274" s="119"/>
    </row>
    <row r="9275" spans="6:10" x14ac:dyDescent="0.25">
      <c r="F9275" s="6"/>
      <c r="G9275" s="6"/>
      <c r="H9275" s="6"/>
      <c r="I9275" s="118"/>
      <c r="J9275" s="119"/>
    </row>
    <row r="9276" spans="6:10" x14ac:dyDescent="0.25">
      <c r="F9276" s="6"/>
      <c r="G9276" s="6"/>
      <c r="H9276" s="6"/>
      <c r="I9276" s="118"/>
      <c r="J9276" s="119"/>
    </row>
    <row r="9277" spans="6:10" x14ac:dyDescent="0.25">
      <c r="F9277" s="6"/>
      <c r="G9277" s="6"/>
      <c r="H9277" s="6"/>
      <c r="I9277" s="118"/>
      <c r="J9277" s="119"/>
    </row>
    <row r="9278" spans="6:10" x14ac:dyDescent="0.25">
      <c r="F9278" s="6"/>
      <c r="G9278" s="6"/>
      <c r="H9278" s="6"/>
      <c r="I9278" s="118"/>
      <c r="J9278" s="119"/>
    </row>
    <row r="9279" spans="6:10" x14ac:dyDescent="0.25">
      <c r="F9279" s="6"/>
      <c r="G9279" s="6"/>
      <c r="H9279" s="6"/>
      <c r="I9279" s="118"/>
      <c r="J9279" s="119"/>
    </row>
    <row r="9280" spans="6:10" x14ac:dyDescent="0.25">
      <c r="F9280" s="6"/>
      <c r="G9280" s="6"/>
      <c r="H9280" s="6"/>
      <c r="I9280" s="118"/>
      <c r="J9280" s="119"/>
    </row>
    <row r="9281" spans="6:10" x14ac:dyDescent="0.25">
      <c r="F9281" s="6"/>
      <c r="G9281" s="6"/>
      <c r="H9281" s="6"/>
      <c r="I9281" s="118"/>
      <c r="J9281" s="119"/>
    </row>
    <row r="9282" spans="6:10" x14ac:dyDescent="0.25">
      <c r="F9282" s="6"/>
      <c r="G9282" s="6"/>
      <c r="H9282" s="6"/>
      <c r="I9282" s="118"/>
      <c r="J9282" s="119"/>
    </row>
    <row r="9283" spans="6:10" x14ac:dyDescent="0.25">
      <c r="F9283" s="6"/>
      <c r="G9283" s="6"/>
      <c r="H9283" s="6"/>
      <c r="I9283" s="118"/>
      <c r="J9283" s="119"/>
    </row>
    <row r="9284" spans="6:10" x14ac:dyDescent="0.25">
      <c r="F9284" s="6"/>
      <c r="G9284" s="6"/>
      <c r="H9284" s="6"/>
      <c r="I9284" s="118"/>
      <c r="J9284" s="119"/>
    </row>
    <row r="9285" spans="6:10" x14ac:dyDescent="0.25">
      <c r="F9285" s="6"/>
      <c r="G9285" s="6"/>
      <c r="H9285" s="6"/>
      <c r="I9285" s="118"/>
      <c r="J9285" s="119"/>
    </row>
    <row r="9286" spans="6:10" x14ac:dyDescent="0.25">
      <c r="F9286" s="6"/>
      <c r="G9286" s="6"/>
      <c r="H9286" s="6"/>
      <c r="I9286" s="118"/>
      <c r="J9286" s="119"/>
    </row>
    <row r="9287" spans="6:10" x14ac:dyDescent="0.25">
      <c r="F9287" s="6"/>
      <c r="G9287" s="6"/>
      <c r="H9287" s="6"/>
      <c r="I9287" s="118"/>
      <c r="J9287" s="119"/>
    </row>
    <row r="9288" spans="6:10" x14ac:dyDescent="0.25">
      <c r="F9288" s="6"/>
      <c r="G9288" s="6"/>
      <c r="H9288" s="6"/>
      <c r="I9288" s="118"/>
      <c r="J9288" s="119"/>
    </row>
    <row r="9289" spans="6:10" x14ac:dyDescent="0.25">
      <c r="F9289" s="6"/>
      <c r="G9289" s="6"/>
      <c r="H9289" s="6"/>
      <c r="I9289" s="118"/>
      <c r="J9289" s="119"/>
    </row>
    <row r="9290" spans="6:10" x14ac:dyDescent="0.25">
      <c r="F9290" s="6"/>
      <c r="G9290" s="6"/>
      <c r="H9290" s="6"/>
      <c r="I9290" s="118"/>
      <c r="J9290" s="119"/>
    </row>
    <row r="9291" spans="6:10" x14ac:dyDescent="0.25">
      <c r="F9291" s="6"/>
      <c r="G9291" s="6"/>
      <c r="H9291" s="6"/>
      <c r="I9291" s="118"/>
      <c r="J9291" s="119"/>
    </row>
    <row r="9292" spans="6:10" x14ac:dyDescent="0.25">
      <c r="F9292" s="6"/>
      <c r="G9292" s="6"/>
      <c r="H9292" s="6"/>
      <c r="I9292" s="118"/>
      <c r="J9292" s="119"/>
    </row>
    <row r="9293" spans="6:10" x14ac:dyDescent="0.25">
      <c r="F9293" s="6"/>
      <c r="G9293" s="6"/>
      <c r="H9293" s="6"/>
      <c r="I9293" s="118"/>
      <c r="J9293" s="119"/>
    </row>
    <row r="9294" spans="6:10" x14ac:dyDescent="0.25">
      <c r="F9294" s="6"/>
      <c r="G9294" s="6"/>
      <c r="H9294" s="6"/>
      <c r="I9294" s="118"/>
      <c r="J9294" s="119"/>
    </row>
    <row r="9295" spans="6:10" x14ac:dyDescent="0.25">
      <c r="F9295" s="6"/>
      <c r="G9295" s="6"/>
      <c r="H9295" s="6"/>
      <c r="I9295" s="118"/>
      <c r="J9295" s="119"/>
    </row>
    <row r="9296" spans="6:10" x14ac:dyDescent="0.25">
      <c r="F9296" s="6"/>
      <c r="G9296" s="6"/>
      <c r="H9296" s="6"/>
      <c r="I9296" s="118"/>
      <c r="J9296" s="119"/>
    </row>
    <row r="9297" spans="6:10" x14ac:dyDescent="0.25">
      <c r="F9297" s="6"/>
      <c r="G9297" s="6"/>
      <c r="H9297" s="6"/>
      <c r="I9297" s="118"/>
      <c r="J9297" s="119"/>
    </row>
    <row r="9298" spans="6:10" x14ac:dyDescent="0.25">
      <c r="F9298" s="6"/>
      <c r="G9298" s="6"/>
      <c r="H9298" s="6"/>
      <c r="I9298" s="118"/>
      <c r="J9298" s="119"/>
    </row>
    <row r="9299" spans="6:10" x14ac:dyDescent="0.25">
      <c r="F9299" s="6"/>
      <c r="G9299" s="6"/>
      <c r="H9299" s="6"/>
      <c r="I9299" s="118"/>
      <c r="J9299" s="119"/>
    </row>
    <row r="9300" spans="6:10" x14ac:dyDescent="0.25">
      <c r="F9300" s="6"/>
      <c r="G9300" s="6"/>
      <c r="H9300" s="6"/>
      <c r="I9300" s="118"/>
      <c r="J9300" s="119"/>
    </row>
    <row r="9301" spans="6:10" x14ac:dyDescent="0.25">
      <c r="F9301" s="6"/>
      <c r="G9301" s="6"/>
      <c r="H9301" s="6"/>
      <c r="I9301" s="118"/>
      <c r="J9301" s="119"/>
    </row>
    <row r="9302" spans="6:10" x14ac:dyDescent="0.25">
      <c r="F9302" s="6"/>
      <c r="G9302" s="6"/>
      <c r="H9302" s="6"/>
      <c r="I9302" s="118"/>
      <c r="J9302" s="119"/>
    </row>
    <row r="9303" spans="6:10" x14ac:dyDescent="0.25">
      <c r="F9303" s="6"/>
      <c r="G9303" s="6"/>
      <c r="H9303" s="6"/>
      <c r="I9303" s="118"/>
      <c r="J9303" s="119"/>
    </row>
    <row r="9304" spans="6:10" x14ac:dyDescent="0.25">
      <c r="F9304" s="6"/>
      <c r="G9304" s="6"/>
      <c r="H9304" s="6"/>
      <c r="I9304" s="118"/>
      <c r="J9304" s="119"/>
    </row>
    <row r="9305" spans="6:10" x14ac:dyDescent="0.25">
      <c r="F9305" s="6"/>
      <c r="G9305" s="6"/>
      <c r="H9305" s="6"/>
      <c r="I9305" s="118"/>
      <c r="J9305" s="119"/>
    </row>
    <row r="9306" spans="6:10" x14ac:dyDescent="0.25">
      <c r="F9306" s="6"/>
      <c r="G9306" s="6"/>
      <c r="H9306" s="6"/>
      <c r="I9306" s="118"/>
      <c r="J9306" s="119"/>
    </row>
    <row r="9307" spans="6:10" x14ac:dyDescent="0.25">
      <c r="F9307" s="6"/>
      <c r="G9307" s="6"/>
      <c r="H9307" s="6"/>
      <c r="I9307" s="118"/>
      <c r="J9307" s="119"/>
    </row>
    <row r="9308" spans="6:10" x14ac:dyDescent="0.25">
      <c r="F9308" s="6"/>
      <c r="G9308" s="6"/>
      <c r="H9308" s="6"/>
      <c r="I9308" s="118"/>
      <c r="J9308" s="119"/>
    </row>
    <row r="9309" spans="6:10" x14ac:dyDescent="0.25">
      <c r="F9309" s="6"/>
      <c r="G9309" s="6"/>
      <c r="H9309" s="6"/>
      <c r="I9309" s="118"/>
      <c r="J9309" s="119"/>
    </row>
    <row r="9310" spans="6:10" x14ac:dyDescent="0.25">
      <c r="F9310" s="6"/>
      <c r="G9310" s="6"/>
      <c r="H9310" s="6"/>
      <c r="I9310" s="118"/>
      <c r="J9310" s="119"/>
    </row>
    <row r="9311" spans="6:10" x14ac:dyDescent="0.25">
      <c r="F9311" s="6"/>
      <c r="G9311" s="6"/>
      <c r="H9311" s="6"/>
      <c r="I9311" s="118"/>
      <c r="J9311" s="119"/>
    </row>
    <row r="9312" spans="6:10" x14ac:dyDescent="0.25">
      <c r="F9312" s="6"/>
      <c r="G9312" s="6"/>
      <c r="H9312" s="6"/>
      <c r="I9312" s="118"/>
      <c r="J9312" s="119"/>
    </row>
    <row r="9313" spans="6:10" x14ac:dyDescent="0.25">
      <c r="F9313" s="6"/>
      <c r="G9313" s="6"/>
      <c r="H9313" s="6"/>
      <c r="I9313" s="118"/>
      <c r="J9313" s="119"/>
    </row>
    <row r="9314" spans="6:10" x14ac:dyDescent="0.25">
      <c r="F9314" s="6"/>
      <c r="G9314" s="6"/>
      <c r="H9314" s="6"/>
      <c r="I9314" s="118"/>
      <c r="J9314" s="119"/>
    </row>
    <row r="9315" spans="6:10" x14ac:dyDescent="0.25">
      <c r="F9315" s="6"/>
      <c r="G9315" s="6"/>
      <c r="H9315" s="6"/>
      <c r="I9315" s="118"/>
      <c r="J9315" s="119"/>
    </row>
    <row r="9316" spans="6:10" x14ac:dyDescent="0.25">
      <c r="F9316" s="6"/>
      <c r="G9316" s="6"/>
      <c r="H9316" s="6"/>
      <c r="I9316" s="118"/>
      <c r="J9316" s="119"/>
    </row>
    <row r="9317" spans="6:10" x14ac:dyDescent="0.25">
      <c r="F9317" s="6"/>
      <c r="G9317" s="6"/>
      <c r="H9317" s="6"/>
      <c r="I9317" s="118"/>
      <c r="J9317" s="119"/>
    </row>
    <row r="9318" spans="6:10" x14ac:dyDescent="0.25">
      <c r="F9318" s="6"/>
      <c r="G9318" s="6"/>
      <c r="H9318" s="6"/>
      <c r="I9318" s="118"/>
      <c r="J9318" s="119"/>
    </row>
    <row r="9319" spans="6:10" x14ac:dyDescent="0.25">
      <c r="F9319" s="6"/>
      <c r="G9319" s="6"/>
      <c r="H9319" s="6"/>
      <c r="I9319" s="118"/>
      <c r="J9319" s="119"/>
    </row>
    <row r="9320" spans="6:10" x14ac:dyDescent="0.25">
      <c r="F9320" s="6"/>
      <c r="G9320" s="6"/>
      <c r="H9320" s="6"/>
      <c r="I9320" s="118"/>
      <c r="J9320" s="119"/>
    </row>
    <row r="9321" spans="6:10" x14ac:dyDescent="0.25">
      <c r="F9321" s="6"/>
      <c r="G9321" s="6"/>
      <c r="H9321" s="6"/>
      <c r="I9321" s="118"/>
      <c r="J9321" s="119"/>
    </row>
    <row r="9322" spans="6:10" x14ac:dyDescent="0.25">
      <c r="F9322" s="6"/>
      <c r="G9322" s="6"/>
      <c r="H9322" s="6"/>
      <c r="I9322" s="118"/>
      <c r="J9322" s="119"/>
    </row>
    <row r="9323" spans="6:10" x14ac:dyDescent="0.25">
      <c r="F9323" s="6"/>
      <c r="G9323" s="6"/>
      <c r="H9323" s="6"/>
      <c r="I9323" s="118"/>
      <c r="J9323" s="119"/>
    </row>
    <row r="9324" spans="6:10" x14ac:dyDescent="0.25">
      <c r="F9324" s="6"/>
      <c r="G9324" s="6"/>
      <c r="H9324" s="6"/>
      <c r="I9324" s="118"/>
      <c r="J9324" s="119"/>
    </row>
    <row r="9325" spans="6:10" x14ac:dyDescent="0.25">
      <c r="F9325" s="6"/>
      <c r="G9325" s="6"/>
      <c r="H9325" s="6"/>
      <c r="I9325" s="118"/>
      <c r="J9325" s="119"/>
    </row>
    <row r="9326" spans="6:10" x14ac:dyDescent="0.25">
      <c r="F9326" s="6"/>
      <c r="G9326" s="6"/>
      <c r="H9326" s="6"/>
      <c r="I9326" s="118"/>
      <c r="J9326" s="119"/>
    </row>
    <row r="9327" spans="6:10" x14ac:dyDescent="0.25">
      <c r="F9327" s="6"/>
      <c r="G9327" s="6"/>
      <c r="H9327" s="6"/>
      <c r="I9327" s="118"/>
      <c r="J9327" s="119"/>
    </row>
    <row r="9328" spans="6:10" x14ac:dyDescent="0.25">
      <c r="F9328" s="6"/>
      <c r="G9328" s="6"/>
      <c r="H9328" s="6"/>
      <c r="I9328" s="118"/>
      <c r="J9328" s="119"/>
    </row>
    <row r="9329" spans="6:10" x14ac:dyDescent="0.25">
      <c r="F9329" s="6"/>
      <c r="G9329" s="6"/>
      <c r="H9329" s="6"/>
      <c r="I9329" s="118"/>
      <c r="J9329" s="119"/>
    </row>
    <row r="9330" spans="6:10" x14ac:dyDescent="0.25">
      <c r="F9330" s="6"/>
      <c r="G9330" s="6"/>
      <c r="H9330" s="6"/>
      <c r="I9330" s="118"/>
      <c r="J9330" s="119"/>
    </row>
    <row r="9331" spans="6:10" x14ac:dyDescent="0.25">
      <c r="F9331" s="6"/>
      <c r="G9331" s="6"/>
      <c r="H9331" s="6"/>
      <c r="I9331" s="118"/>
      <c r="J9331" s="119"/>
    </row>
    <row r="9332" spans="6:10" x14ac:dyDescent="0.25">
      <c r="F9332" s="6"/>
      <c r="G9332" s="6"/>
      <c r="H9332" s="6"/>
      <c r="I9332" s="118"/>
      <c r="J9332" s="119"/>
    </row>
    <row r="9333" spans="6:10" x14ac:dyDescent="0.25">
      <c r="F9333" s="6"/>
      <c r="G9333" s="6"/>
      <c r="H9333" s="6"/>
      <c r="I9333" s="118"/>
      <c r="J9333" s="119"/>
    </row>
    <row r="9334" spans="6:10" x14ac:dyDescent="0.25">
      <c r="F9334" s="6"/>
      <c r="G9334" s="6"/>
      <c r="H9334" s="6"/>
      <c r="I9334" s="118"/>
      <c r="J9334" s="119"/>
    </row>
    <row r="9335" spans="6:10" x14ac:dyDescent="0.25">
      <c r="F9335" s="6"/>
      <c r="G9335" s="6"/>
      <c r="H9335" s="6"/>
      <c r="I9335" s="118"/>
      <c r="J9335" s="119"/>
    </row>
    <row r="9336" spans="6:10" x14ac:dyDescent="0.25">
      <c r="F9336" s="6"/>
      <c r="G9336" s="6"/>
      <c r="H9336" s="6"/>
      <c r="I9336" s="118"/>
      <c r="J9336" s="119"/>
    </row>
    <row r="9337" spans="6:10" x14ac:dyDescent="0.25">
      <c r="F9337" s="6"/>
      <c r="G9337" s="6"/>
      <c r="H9337" s="6"/>
      <c r="I9337" s="118"/>
      <c r="J9337" s="119"/>
    </row>
    <row r="9338" spans="6:10" x14ac:dyDescent="0.25">
      <c r="F9338" s="6"/>
      <c r="G9338" s="6"/>
      <c r="H9338" s="6"/>
      <c r="I9338" s="118"/>
      <c r="J9338" s="119"/>
    </row>
    <row r="9339" spans="6:10" x14ac:dyDescent="0.25">
      <c r="F9339" s="6"/>
      <c r="G9339" s="6"/>
      <c r="H9339" s="6"/>
      <c r="I9339" s="118"/>
      <c r="J9339" s="119"/>
    </row>
    <row r="9340" spans="6:10" x14ac:dyDescent="0.25">
      <c r="F9340" s="6"/>
      <c r="G9340" s="6"/>
      <c r="H9340" s="6"/>
      <c r="I9340" s="118"/>
      <c r="J9340" s="119"/>
    </row>
    <row r="9341" spans="6:10" x14ac:dyDescent="0.25">
      <c r="F9341" s="6"/>
      <c r="G9341" s="6"/>
      <c r="H9341" s="6"/>
      <c r="I9341" s="118"/>
      <c r="J9341" s="119"/>
    </row>
    <row r="9342" spans="6:10" x14ac:dyDescent="0.25">
      <c r="F9342" s="6"/>
      <c r="G9342" s="6"/>
      <c r="H9342" s="6"/>
      <c r="I9342" s="118"/>
      <c r="J9342" s="119"/>
    </row>
    <row r="9343" spans="6:10" x14ac:dyDescent="0.25">
      <c r="F9343" s="6"/>
      <c r="G9343" s="6"/>
      <c r="H9343" s="6"/>
      <c r="I9343" s="118"/>
      <c r="J9343" s="119"/>
    </row>
    <row r="9344" spans="6:10" x14ac:dyDescent="0.25">
      <c r="F9344" s="6"/>
      <c r="G9344" s="6"/>
      <c r="H9344" s="6"/>
      <c r="I9344" s="118"/>
      <c r="J9344" s="119"/>
    </row>
    <row r="9345" spans="6:10" x14ac:dyDescent="0.25">
      <c r="F9345" s="6"/>
      <c r="G9345" s="6"/>
      <c r="H9345" s="6"/>
      <c r="I9345" s="118"/>
      <c r="J9345" s="119"/>
    </row>
    <row r="9346" spans="6:10" x14ac:dyDescent="0.25">
      <c r="F9346" s="6"/>
      <c r="G9346" s="6"/>
      <c r="H9346" s="6"/>
      <c r="I9346" s="118"/>
      <c r="J9346" s="119"/>
    </row>
    <row r="9347" spans="6:10" x14ac:dyDescent="0.25">
      <c r="F9347" s="6"/>
      <c r="G9347" s="6"/>
      <c r="H9347" s="6"/>
      <c r="I9347" s="118"/>
      <c r="J9347" s="119"/>
    </row>
    <row r="9348" spans="6:10" x14ac:dyDescent="0.25">
      <c r="F9348" s="6"/>
      <c r="G9348" s="6"/>
      <c r="H9348" s="6"/>
      <c r="I9348" s="118"/>
      <c r="J9348" s="119"/>
    </row>
    <row r="9349" spans="6:10" x14ac:dyDescent="0.25">
      <c r="F9349" s="6"/>
      <c r="G9349" s="6"/>
      <c r="H9349" s="6"/>
      <c r="I9349" s="118"/>
      <c r="J9349" s="119"/>
    </row>
    <row r="9350" spans="6:10" x14ac:dyDescent="0.25">
      <c r="F9350" s="6"/>
      <c r="G9350" s="6"/>
      <c r="H9350" s="6"/>
      <c r="I9350" s="118"/>
      <c r="J9350" s="119"/>
    </row>
    <row r="9351" spans="6:10" x14ac:dyDescent="0.25">
      <c r="F9351" s="6"/>
      <c r="G9351" s="6"/>
      <c r="H9351" s="6"/>
      <c r="I9351" s="118"/>
      <c r="J9351" s="119"/>
    </row>
    <row r="9352" spans="6:10" x14ac:dyDescent="0.25">
      <c r="F9352" s="6"/>
      <c r="G9352" s="6"/>
      <c r="H9352" s="6"/>
      <c r="I9352" s="118"/>
      <c r="J9352" s="119"/>
    </row>
    <row r="9353" spans="6:10" x14ac:dyDescent="0.25">
      <c r="F9353" s="6"/>
      <c r="G9353" s="6"/>
      <c r="H9353" s="6"/>
      <c r="I9353" s="118"/>
      <c r="J9353" s="119"/>
    </row>
    <row r="9354" spans="6:10" x14ac:dyDescent="0.25">
      <c r="F9354" s="6"/>
      <c r="G9354" s="6"/>
      <c r="H9354" s="6"/>
      <c r="I9354" s="118"/>
      <c r="J9354" s="119"/>
    </row>
    <row r="9355" spans="6:10" x14ac:dyDescent="0.25">
      <c r="F9355" s="6"/>
      <c r="G9355" s="6"/>
      <c r="H9355" s="6"/>
      <c r="I9355" s="118"/>
      <c r="J9355" s="119"/>
    </row>
    <row r="9356" spans="6:10" x14ac:dyDescent="0.25">
      <c r="F9356" s="6"/>
      <c r="G9356" s="6"/>
      <c r="H9356" s="6"/>
      <c r="I9356" s="118"/>
      <c r="J9356" s="119"/>
    </row>
    <row r="9357" spans="6:10" x14ac:dyDescent="0.25">
      <c r="F9357" s="6"/>
      <c r="G9357" s="6"/>
      <c r="H9357" s="6"/>
      <c r="I9357" s="118"/>
      <c r="J9357" s="119"/>
    </row>
    <row r="9358" spans="6:10" x14ac:dyDescent="0.25">
      <c r="F9358" s="6"/>
      <c r="G9358" s="6"/>
      <c r="H9358" s="6"/>
      <c r="I9358" s="118"/>
      <c r="J9358" s="119"/>
    </row>
    <row r="9359" spans="6:10" x14ac:dyDescent="0.25">
      <c r="F9359" s="6"/>
      <c r="G9359" s="6"/>
      <c r="H9359" s="6"/>
      <c r="I9359" s="118"/>
      <c r="J9359" s="119"/>
    </row>
    <row r="9360" spans="6:10" x14ac:dyDescent="0.25">
      <c r="F9360" s="6"/>
      <c r="G9360" s="6"/>
      <c r="H9360" s="6"/>
      <c r="I9360" s="118"/>
      <c r="J9360" s="119"/>
    </row>
    <row r="9361" spans="6:10" x14ac:dyDescent="0.25">
      <c r="F9361" s="6"/>
      <c r="G9361" s="6"/>
      <c r="H9361" s="6"/>
      <c r="I9361" s="118"/>
      <c r="J9361" s="119"/>
    </row>
    <row r="9362" spans="6:10" x14ac:dyDescent="0.25">
      <c r="F9362" s="6"/>
      <c r="G9362" s="6"/>
      <c r="H9362" s="6"/>
      <c r="I9362" s="118"/>
      <c r="J9362" s="119"/>
    </row>
    <row r="9363" spans="6:10" x14ac:dyDescent="0.25">
      <c r="F9363" s="6"/>
      <c r="G9363" s="6"/>
      <c r="H9363" s="6"/>
      <c r="I9363" s="118"/>
      <c r="J9363" s="119"/>
    </row>
    <row r="9364" spans="6:10" x14ac:dyDescent="0.25">
      <c r="F9364" s="6"/>
      <c r="G9364" s="6"/>
      <c r="H9364" s="6"/>
      <c r="I9364" s="118"/>
      <c r="J9364" s="119"/>
    </row>
    <row r="9365" spans="6:10" x14ac:dyDescent="0.25">
      <c r="F9365" s="6"/>
      <c r="G9365" s="6"/>
      <c r="H9365" s="6"/>
      <c r="I9365" s="118"/>
      <c r="J9365" s="119"/>
    </row>
    <row r="9366" spans="6:10" x14ac:dyDescent="0.25">
      <c r="F9366" s="6"/>
      <c r="G9366" s="6"/>
      <c r="H9366" s="6"/>
      <c r="I9366" s="118"/>
      <c r="J9366" s="119"/>
    </row>
    <row r="9367" spans="6:10" x14ac:dyDescent="0.25">
      <c r="F9367" s="6"/>
      <c r="G9367" s="6"/>
      <c r="H9367" s="6"/>
      <c r="I9367" s="118"/>
      <c r="J9367" s="119"/>
    </row>
    <row r="9368" spans="6:10" x14ac:dyDescent="0.25">
      <c r="F9368" s="6"/>
      <c r="G9368" s="6"/>
      <c r="H9368" s="6"/>
      <c r="I9368" s="118"/>
      <c r="J9368" s="119"/>
    </row>
    <row r="9369" spans="6:10" x14ac:dyDescent="0.25">
      <c r="F9369" s="6"/>
      <c r="G9369" s="6"/>
      <c r="H9369" s="6"/>
      <c r="I9369" s="118"/>
      <c r="J9369" s="119"/>
    </row>
    <row r="9370" spans="6:10" x14ac:dyDescent="0.25">
      <c r="F9370" s="6"/>
      <c r="G9370" s="6"/>
      <c r="H9370" s="6"/>
      <c r="I9370" s="118"/>
      <c r="J9370" s="119"/>
    </row>
    <row r="9371" spans="6:10" x14ac:dyDescent="0.25">
      <c r="F9371" s="6"/>
      <c r="G9371" s="6"/>
      <c r="H9371" s="6"/>
      <c r="I9371" s="118"/>
      <c r="J9371" s="119"/>
    </row>
    <row r="9372" spans="6:10" x14ac:dyDescent="0.25">
      <c r="F9372" s="6"/>
      <c r="G9372" s="6"/>
      <c r="H9372" s="6"/>
      <c r="I9372" s="118"/>
      <c r="J9372" s="119"/>
    </row>
    <row r="9373" spans="6:10" x14ac:dyDescent="0.25">
      <c r="F9373" s="6"/>
      <c r="G9373" s="6"/>
      <c r="H9373" s="6"/>
      <c r="I9373" s="118"/>
      <c r="J9373" s="119"/>
    </row>
    <row r="9374" spans="6:10" x14ac:dyDescent="0.25">
      <c r="F9374" s="6"/>
      <c r="G9374" s="6"/>
      <c r="H9374" s="6"/>
      <c r="I9374" s="118"/>
      <c r="J9374" s="119"/>
    </row>
    <row r="9375" spans="6:10" x14ac:dyDescent="0.25">
      <c r="F9375" s="6"/>
      <c r="G9375" s="6"/>
      <c r="H9375" s="6"/>
      <c r="I9375" s="118"/>
      <c r="J9375" s="119"/>
    </row>
    <row r="9376" spans="6:10" x14ac:dyDescent="0.25">
      <c r="F9376" s="6"/>
      <c r="G9376" s="6"/>
      <c r="H9376" s="6"/>
      <c r="I9376" s="118"/>
      <c r="J9376" s="119"/>
    </row>
    <row r="9377" spans="6:10" x14ac:dyDescent="0.25">
      <c r="F9377" s="6"/>
      <c r="G9377" s="6"/>
      <c r="H9377" s="6"/>
      <c r="I9377" s="118"/>
      <c r="J9377" s="119"/>
    </row>
    <row r="9378" spans="6:10" x14ac:dyDescent="0.25">
      <c r="F9378" s="6"/>
      <c r="G9378" s="6"/>
      <c r="H9378" s="6"/>
      <c r="I9378" s="118"/>
      <c r="J9378" s="119"/>
    </row>
    <row r="9379" spans="6:10" x14ac:dyDescent="0.25">
      <c r="F9379" s="6"/>
      <c r="G9379" s="6"/>
      <c r="H9379" s="6"/>
      <c r="I9379" s="118"/>
      <c r="J9379" s="119"/>
    </row>
    <row r="9380" spans="6:10" x14ac:dyDescent="0.25">
      <c r="F9380" s="6"/>
      <c r="G9380" s="6"/>
      <c r="H9380" s="6"/>
      <c r="I9380" s="118"/>
      <c r="J9380" s="119"/>
    </row>
    <row r="9381" spans="6:10" x14ac:dyDescent="0.25">
      <c r="F9381" s="6"/>
      <c r="G9381" s="6"/>
      <c r="H9381" s="6"/>
      <c r="I9381" s="118"/>
      <c r="J9381" s="119"/>
    </row>
    <row r="9382" spans="6:10" x14ac:dyDescent="0.25">
      <c r="F9382" s="6"/>
      <c r="G9382" s="6"/>
      <c r="H9382" s="6"/>
      <c r="I9382" s="118"/>
      <c r="J9382" s="119"/>
    </row>
    <row r="9383" spans="6:10" x14ac:dyDescent="0.25">
      <c r="F9383" s="6"/>
      <c r="G9383" s="6"/>
      <c r="H9383" s="6"/>
      <c r="I9383" s="118"/>
      <c r="J9383" s="119"/>
    </row>
    <row r="9384" spans="6:10" x14ac:dyDescent="0.25">
      <c r="F9384" s="6"/>
      <c r="G9384" s="6"/>
      <c r="H9384" s="6"/>
      <c r="I9384" s="118"/>
      <c r="J9384" s="119"/>
    </row>
    <row r="9385" spans="6:10" x14ac:dyDescent="0.25">
      <c r="F9385" s="6"/>
      <c r="G9385" s="6"/>
      <c r="H9385" s="6"/>
      <c r="I9385" s="118"/>
      <c r="J9385" s="119"/>
    </row>
    <row r="9386" spans="6:10" x14ac:dyDescent="0.25">
      <c r="F9386" s="6"/>
      <c r="G9386" s="6"/>
      <c r="H9386" s="6"/>
      <c r="I9386" s="118"/>
      <c r="J9386" s="119"/>
    </row>
    <row r="9387" spans="6:10" x14ac:dyDescent="0.25">
      <c r="F9387" s="6"/>
      <c r="G9387" s="6"/>
      <c r="H9387" s="6"/>
      <c r="I9387" s="118"/>
      <c r="J9387" s="119"/>
    </row>
    <row r="9388" spans="6:10" x14ac:dyDescent="0.25">
      <c r="F9388" s="6"/>
      <c r="G9388" s="6"/>
      <c r="H9388" s="6"/>
      <c r="I9388" s="118"/>
      <c r="J9388" s="119"/>
    </row>
    <row r="9389" spans="6:10" x14ac:dyDescent="0.25">
      <c r="F9389" s="6"/>
      <c r="G9389" s="6"/>
      <c r="H9389" s="6"/>
      <c r="I9389" s="118"/>
      <c r="J9389" s="119"/>
    </row>
    <row r="9390" spans="6:10" x14ac:dyDescent="0.25">
      <c r="F9390" s="6"/>
      <c r="G9390" s="6"/>
      <c r="H9390" s="6"/>
      <c r="I9390" s="118"/>
      <c r="J9390" s="119"/>
    </row>
    <row r="9391" spans="6:10" x14ac:dyDescent="0.25">
      <c r="F9391" s="6"/>
      <c r="G9391" s="6"/>
      <c r="H9391" s="6"/>
      <c r="I9391" s="118"/>
      <c r="J9391" s="119"/>
    </row>
    <row r="9392" spans="6:10" x14ac:dyDescent="0.25">
      <c r="F9392" s="6"/>
      <c r="G9392" s="6"/>
      <c r="H9392" s="6"/>
      <c r="I9392" s="118"/>
      <c r="J9392" s="119"/>
    </row>
    <row r="9393" spans="6:10" x14ac:dyDescent="0.25">
      <c r="F9393" s="6"/>
      <c r="G9393" s="6"/>
      <c r="H9393" s="6"/>
      <c r="I9393" s="118"/>
      <c r="J9393" s="119"/>
    </row>
    <row r="9394" spans="6:10" x14ac:dyDescent="0.25">
      <c r="F9394" s="6"/>
      <c r="G9394" s="6"/>
      <c r="H9394" s="6"/>
      <c r="I9394" s="118"/>
      <c r="J9394" s="119"/>
    </row>
    <row r="9395" spans="6:10" x14ac:dyDescent="0.25">
      <c r="F9395" s="6"/>
      <c r="G9395" s="6"/>
      <c r="H9395" s="6"/>
      <c r="I9395" s="118"/>
      <c r="J9395" s="119"/>
    </row>
    <row r="9396" spans="6:10" x14ac:dyDescent="0.25">
      <c r="F9396" s="6"/>
      <c r="G9396" s="6"/>
      <c r="H9396" s="6"/>
      <c r="I9396" s="118"/>
      <c r="J9396" s="119"/>
    </row>
    <row r="9397" spans="6:10" x14ac:dyDescent="0.25">
      <c r="F9397" s="6"/>
      <c r="G9397" s="6"/>
      <c r="H9397" s="6"/>
      <c r="I9397" s="118"/>
      <c r="J9397" s="119"/>
    </row>
    <row r="9398" spans="6:10" x14ac:dyDescent="0.25">
      <c r="F9398" s="6"/>
      <c r="G9398" s="6"/>
      <c r="H9398" s="6"/>
      <c r="I9398" s="118"/>
      <c r="J9398" s="119"/>
    </row>
    <row r="9399" spans="6:10" x14ac:dyDescent="0.25">
      <c r="F9399" s="6"/>
      <c r="G9399" s="6"/>
      <c r="H9399" s="6"/>
      <c r="I9399" s="118"/>
      <c r="J9399" s="119"/>
    </row>
    <row r="9400" spans="6:10" x14ac:dyDescent="0.25">
      <c r="F9400" s="6"/>
      <c r="G9400" s="6"/>
      <c r="H9400" s="6"/>
      <c r="I9400" s="118"/>
      <c r="J9400" s="119"/>
    </row>
    <row r="9401" spans="6:10" x14ac:dyDescent="0.25">
      <c r="F9401" s="6"/>
      <c r="G9401" s="6"/>
      <c r="H9401" s="6"/>
      <c r="I9401" s="118"/>
      <c r="J9401" s="119"/>
    </row>
    <row r="9402" spans="6:10" x14ac:dyDescent="0.25">
      <c r="F9402" s="6"/>
      <c r="G9402" s="6"/>
      <c r="H9402" s="6"/>
      <c r="I9402" s="118"/>
      <c r="J9402" s="119"/>
    </row>
    <row r="9403" spans="6:10" x14ac:dyDescent="0.25">
      <c r="F9403" s="6"/>
      <c r="G9403" s="6"/>
      <c r="H9403" s="6"/>
      <c r="I9403" s="118"/>
      <c r="J9403" s="119"/>
    </row>
    <row r="9404" spans="6:10" x14ac:dyDescent="0.25">
      <c r="F9404" s="6"/>
      <c r="G9404" s="6"/>
      <c r="H9404" s="6"/>
      <c r="I9404" s="118"/>
      <c r="J9404" s="119"/>
    </row>
    <row r="9405" spans="6:10" x14ac:dyDescent="0.25">
      <c r="F9405" s="6"/>
      <c r="G9405" s="6"/>
      <c r="H9405" s="6"/>
      <c r="I9405" s="118"/>
      <c r="J9405" s="119"/>
    </row>
    <row r="9406" spans="6:10" x14ac:dyDescent="0.25">
      <c r="F9406" s="6"/>
      <c r="G9406" s="6"/>
      <c r="H9406" s="6"/>
      <c r="I9406" s="118"/>
      <c r="J9406" s="119"/>
    </row>
    <row r="9407" spans="6:10" x14ac:dyDescent="0.25">
      <c r="F9407" s="6"/>
      <c r="G9407" s="6"/>
      <c r="H9407" s="6"/>
      <c r="I9407" s="118"/>
      <c r="J9407" s="119"/>
    </row>
    <row r="9408" spans="6:10" x14ac:dyDescent="0.25">
      <c r="F9408" s="6"/>
      <c r="G9408" s="6"/>
      <c r="H9408" s="6"/>
      <c r="I9408" s="118"/>
      <c r="J9408" s="119"/>
    </row>
    <row r="9409" spans="6:10" x14ac:dyDescent="0.25">
      <c r="F9409" s="6"/>
      <c r="G9409" s="6"/>
      <c r="H9409" s="6"/>
      <c r="I9409" s="118"/>
      <c r="J9409" s="119"/>
    </row>
    <row r="9410" spans="6:10" x14ac:dyDescent="0.25">
      <c r="F9410" s="6"/>
      <c r="G9410" s="6"/>
      <c r="H9410" s="6"/>
      <c r="I9410" s="118"/>
      <c r="J9410" s="119"/>
    </row>
    <row r="9411" spans="6:10" x14ac:dyDescent="0.25">
      <c r="F9411" s="6"/>
      <c r="G9411" s="6"/>
      <c r="H9411" s="6"/>
      <c r="I9411" s="118"/>
      <c r="J9411" s="119"/>
    </row>
    <row r="9412" spans="6:10" x14ac:dyDescent="0.25">
      <c r="F9412" s="6"/>
      <c r="G9412" s="6"/>
      <c r="H9412" s="6"/>
      <c r="I9412" s="118"/>
      <c r="J9412" s="119"/>
    </row>
    <row r="9413" spans="6:10" x14ac:dyDescent="0.25">
      <c r="F9413" s="6"/>
      <c r="G9413" s="6"/>
      <c r="H9413" s="6"/>
      <c r="I9413" s="118"/>
      <c r="J9413" s="119"/>
    </row>
    <row r="9414" spans="6:10" x14ac:dyDescent="0.25">
      <c r="F9414" s="6"/>
      <c r="G9414" s="6"/>
      <c r="H9414" s="6"/>
      <c r="I9414" s="118"/>
      <c r="J9414" s="119"/>
    </row>
    <row r="9415" spans="6:10" x14ac:dyDescent="0.25">
      <c r="F9415" s="6"/>
      <c r="G9415" s="6"/>
      <c r="H9415" s="6"/>
      <c r="I9415" s="118"/>
      <c r="J9415" s="119"/>
    </row>
    <row r="9416" spans="6:10" x14ac:dyDescent="0.25">
      <c r="F9416" s="6"/>
      <c r="G9416" s="6"/>
      <c r="H9416" s="6"/>
      <c r="I9416" s="118"/>
      <c r="J9416" s="119"/>
    </row>
    <row r="9417" spans="6:10" x14ac:dyDescent="0.25">
      <c r="F9417" s="6"/>
      <c r="G9417" s="6"/>
      <c r="H9417" s="6"/>
      <c r="I9417" s="118"/>
      <c r="J9417" s="119"/>
    </row>
    <row r="9418" spans="6:10" x14ac:dyDescent="0.25">
      <c r="F9418" s="6"/>
      <c r="G9418" s="6"/>
      <c r="H9418" s="6"/>
      <c r="I9418" s="118"/>
      <c r="J9418" s="119"/>
    </row>
    <row r="9419" spans="6:10" x14ac:dyDescent="0.25">
      <c r="F9419" s="6"/>
      <c r="G9419" s="6"/>
      <c r="H9419" s="6"/>
      <c r="I9419" s="118"/>
      <c r="J9419" s="119"/>
    </row>
    <row r="9420" spans="6:10" x14ac:dyDescent="0.25">
      <c r="F9420" s="6"/>
      <c r="G9420" s="6"/>
      <c r="H9420" s="6"/>
      <c r="I9420" s="118"/>
      <c r="J9420" s="119"/>
    </row>
    <row r="9421" spans="6:10" x14ac:dyDescent="0.25">
      <c r="F9421" s="6"/>
      <c r="G9421" s="6"/>
      <c r="H9421" s="6"/>
      <c r="I9421" s="118"/>
      <c r="J9421" s="119"/>
    </row>
    <row r="9422" spans="6:10" x14ac:dyDescent="0.25">
      <c r="F9422" s="6"/>
      <c r="G9422" s="6"/>
      <c r="H9422" s="6"/>
      <c r="I9422" s="118"/>
      <c r="J9422" s="119"/>
    </row>
    <row r="9423" spans="6:10" x14ac:dyDescent="0.25">
      <c r="F9423" s="6"/>
      <c r="G9423" s="6"/>
      <c r="H9423" s="6"/>
      <c r="I9423" s="118"/>
      <c r="J9423" s="119"/>
    </row>
    <row r="9424" spans="6:10" x14ac:dyDescent="0.25">
      <c r="F9424" s="6"/>
      <c r="G9424" s="6"/>
      <c r="H9424" s="6"/>
      <c r="I9424" s="118"/>
      <c r="J9424" s="119"/>
    </row>
    <row r="9425" spans="6:10" x14ac:dyDescent="0.25">
      <c r="F9425" s="6"/>
      <c r="G9425" s="6"/>
      <c r="H9425" s="6"/>
      <c r="I9425" s="118"/>
      <c r="J9425" s="119"/>
    </row>
    <row r="9426" spans="6:10" x14ac:dyDescent="0.25">
      <c r="F9426" s="6"/>
      <c r="G9426" s="6"/>
      <c r="H9426" s="6"/>
      <c r="I9426" s="118"/>
      <c r="J9426" s="119"/>
    </row>
    <row r="9427" spans="6:10" x14ac:dyDescent="0.25">
      <c r="F9427" s="6"/>
      <c r="G9427" s="6"/>
      <c r="H9427" s="6"/>
      <c r="I9427" s="118"/>
      <c r="J9427" s="119"/>
    </row>
    <row r="9428" spans="6:10" x14ac:dyDescent="0.25">
      <c r="F9428" s="6"/>
      <c r="G9428" s="6"/>
      <c r="H9428" s="6"/>
      <c r="I9428" s="118"/>
      <c r="J9428" s="119"/>
    </row>
    <row r="9429" spans="6:10" x14ac:dyDescent="0.25">
      <c r="F9429" s="6"/>
      <c r="G9429" s="6"/>
      <c r="H9429" s="6"/>
      <c r="I9429" s="118"/>
      <c r="J9429" s="119"/>
    </row>
    <row r="9430" spans="6:10" x14ac:dyDescent="0.25">
      <c r="F9430" s="6"/>
      <c r="G9430" s="6"/>
      <c r="H9430" s="6"/>
      <c r="I9430" s="118"/>
      <c r="J9430" s="119"/>
    </row>
    <row r="9431" spans="6:10" x14ac:dyDescent="0.25">
      <c r="F9431" s="6"/>
      <c r="G9431" s="6"/>
      <c r="H9431" s="6"/>
      <c r="I9431" s="118"/>
      <c r="J9431" s="119"/>
    </row>
    <row r="9432" spans="6:10" x14ac:dyDescent="0.25">
      <c r="F9432" s="6"/>
      <c r="G9432" s="6"/>
      <c r="H9432" s="6"/>
      <c r="I9432" s="118"/>
      <c r="J9432" s="119"/>
    </row>
    <row r="9433" spans="6:10" x14ac:dyDescent="0.25">
      <c r="F9433" s="6"/>
      <c r="G9433" s="6"/>
      <c r="H9433" s="6"/>
      <c r="I9433" s="118"/>
      <c r="J9433" s="119"/>
    </row>
    <row r="9434" spans="6:10" x14ac:dyDescent="0.25">
      <c r="F9434" s="6"/>
      <c r="G9434" s="6"/>
      <c r="H9434" s="6"/>
      <c r="I9434" s="118"/>
      <c r="J9434" s="119"/>
    </row>
    <row r="9435" spans="6:10" x14ac:dyDescent="0.25">
      <c r="F9435" s="6"/>
      <c r="G9435" s="6"/>
      <c r="H9435" s="6"/>
      <c r="I9435" s="118"/>
      <c r="J9435" s="119"/>
    </row>
    <row r="9436" spans="6:10" x14ac:dyDescent="0.25">
      <c r="F9436" s="6"/>
      <c r="G9436" s="6"/>
      <c r="H9436" s="6"/>
      <c r="I9436" s="118"/>
      <c r="J9436" s="119"/>
    </row>
    <row r="9437" spans="6:10" x14ac:dyDescent="0.25">
      <c r="F9437" s="6"/>
      <c r="G9437" s="6"/>
      <c r="H9437" s="6"/>
      <c r="I9437" s="118"/>
      <c r="J9437" s="119"/>
    </row>
    <row r="9438" spans="6:10" x14ac:dyDescent="0.25">
      <c r="F9438" s="6"/>
      <c r="G9438" s="6"/>
      <c r="H9438" s="6"/>
      <c r="I9438" s="118"/>
      <c r="J9438" s="119"/>
    </row>
    <row r="9439" spans="6:10" x14ac:dyDescent="0.25">
      <c r="F9439" s="6"/>
      <c r="G9439" s="6"/>
      <c r="H9439" s="6"/>
      <c r="I9439" s="118"/>
      <c r="J9439" s="119"/>
    </row>
    <row r="9440" spans="6:10" x14ac:dyDescent="0.25">
      <c r="F9440" s="6"/>
      <c r="G9440" s="6"/>
      <c r="H9440" s="6"/>
      <c r="I9440" s="118"/>
      <c r="J9440" s="119"/>
    </row>
    <row r="9441" spans="6:10" x14ac:dyDescent="0.25">
      <c r="F9441" s="6"/>
      <c r="G9441" s="6"/>
      <c r="H9441" s="6"/>
      <c r="I9441" s="118"/>
      <c r="J9441" s="119"/>
    </row>
    <row r="9442" spans="6:10" x14ac:dyDescent="0.25">
      <c r="F9442" s="6"/>
      <c r="G9442" s="6"/>
      <c r="H9442" s="6"/>
      <c r="I9442" s="118"/>
      <c r="J9442" s="119"/>
    </row>
    <row r="9443" spans="6:10" x14ac:dyDescent="0.25">
      <c r="F9443" s="6"/>
      <c r="G9443" s="6"/>
      <c r="H9443" s="6"/>
      <c r="I9443" s="118"/>
      <c r="J9443" s="119"/>
    </row>
    <row r="9444" spans="6:10" x14ac:dyDescent="0.25">
      <c r="F9444" s="6"/>
      <c r="G9444" s="6"/>
      <c r="H9444" s="6"/>
      <c r="I9444" s="118"/>
      <c r="J9444" s="119"/>
    </row>
    <row r="9445" spans="6:10" x14ac:dyDescent="0.25">
      <c r="F9445" s="6"/>
      <c r="G9445" s="6"/>
      <c r="H9445" s="6"/>
      <c r="I9445" s="118"/>
      <c r="J9445" s="119"/>
    </row>
    <row r="9446" spans="6:10" x14ac:dyDescent="0.25">
      <c r="F9446" s="6"/>
      <c r="G9446" s="6"/>
      <c r="H9446" s="6"/>
      <c r="I9446" s="118"/>
      <c r="J9446" s="119"/>
    </row>
    <row r="9447" spans="6:10" x14ac:dyDescent="0.25">
      <c r="F9447" s="6"/>
      <c r="G9447" s="6"/>
      <c r="H9447" s="6"/>
      <c r="I9447" s="118"/>
      <c r="J9447" s="119"/>
    </row>
    <row r="9448" spans="6:10" x14ac:dyDescent="0.25">
      <c r="F9448" s="6"/>
      <c r="G9448" s="6"/>
      <c r="H9448" s="6"/>
      <c r="I9448" s="118"/>
      <c r="J9448" s="119"/>
    </row>
    <row r="9449" spans="6:10" x14ac:dyDescent="0.25">
      <c r="F9449" s="6"/>
      <c r="G9449" s="6"/>
      <c r="H9449" s="6"/>
      <c r="I9449" s="118"/>
      <c r="J9449" s="119"/>
    </row>
    <row r="9450" spans="6:10" x14ac:dyDescent="0.25">
      <c r="F9450" s="6"/>
      <c r="G9450" s="6"/>
      <c r="H9450" s="6"/>
      <c r="I9450" s="118"/>
      <c r="J9450" s="119"/>
    </row>
    <row r="9451" spans="6:10" x14ac:dyDescent="0.25">
      <c r="F9451" s="6"/>
      <c r="G9451" s="6"/>
      <c r="H9451" s="6"/>
      <c r="I9451" s="118"/>
      <c r="J9451" s="119"/>
    </row>
    <row r="9452" spans="6:10" x14ac:dyDescent="0.25">
      <c r="F9452" s="6"/>
      <c r="G9452" s="6"/>
      <c r="H9452" s="6"/>
      <c r="I9452" s="118"/>
      <c r="J9452" s="119"/>
    </row>
    <row r="9453" spans="6:10" x14ac:dyDescent="0.25">
      <c r="F9453" s="6"/>
      <c r="G9453" s="6"/>
      <c r="H9453" s="6"/>
      <c r="I9453" s="118"/>
      <c r="J9453" s="119"/>
    </row>
    <row r="9454" spans="6:10" x14ac:dyDescent="0.25">
      <c r="F9454" s="6"/>
      <c r="G9454" s="6"/>
      <c r="H9454" s="6"/>
      <c r="I9454" s="118"/>
      <c r="J9454" s="119"/>
    </row>
    <row r="9455" spans="6:10" x14ac:dyDescent="0.25">
      <c r="F9455" s="6"/>
      <c r="G9455" s="6"/>
      <c r="H9455" s="6"/>
      <c r="I9455" s="118"/>
      <c r="J9455" s="119"/>
    </row>
    <row r="9456" spans="6:10" x14ac:dyDescent="0.25">
      <c r="F9456" s="6"/>
      <c r="G9456" s="6"/>
      <c r="H9456" s="6"/>
      <c r="I9456" s="118"/>
      <c r="J9456" s="119"/>
    </row>
    <row r="9457" spans="6:10" x14ac:dyDescent="0.25">
      <c r="F9457" s="6"/>
      <c r="G9457" s="6"/>
      <c r="H9457" s="6"/>
      <c r="I9457" s="118"/>
      <c r="J9457" s="119"/>
    </row>
    <row r="9458" spans="6:10" x14ac:dyDescent="0.25">
      <c r="F9458" s="6"/>
      <c r="G9458" s="6"/>
      <c r="H9458" s="6"/>
      <c r="I9458" s="118"/>
      <c r="J9458" s="119"/>
    </row>
    <row r="9459" spans="6:10" x14ac:dyDescent="0.25">
      <c r="F9459" s="6"/>
      <c r="G9459" s="6"/>
      <c r="H9459" s="6"/>
      <c r="I9459" s="118"/>
      <c r="J9459" s="119"/>
    </row>
    <row r="9460" spans="6:10" x14ac:dyDescent="0.25">
      <c r="F9460" s="6"/>
      <c r="G9460" s="6"/>
      <c r="H9460" s="6"/>
      <c r="I9460" s="118"/>
      <c r="J9460" s="119"/>
    </row>
    <row r="9461" spans="6:10" x14ac:dyDescent="0.25">
      <c r="F9461" s="6"/>
      <c r="G9461" s="6"/>
      <c r="H9461" s="6"/>
      <c r="I9461" s="118"/>
      <c r="J9461" s="119"/>
    </row>
    <row r="9462" spans="6:10" x14ac:dyDescent="0.25">
      <c r="F9462" s="6"/>
      <c r="G9462" s="6"/>
      <c r="H9462" s="6"/>
      <c r="I9462" s="118"/>
      <c r="J9462" s="119"/>
    </row>
    <row r="9463" spans="6:10" x14ac:dyDescent="0.25">
      <c r="F9463" s="6"/>
      <c r="G9463" s="6"/>
      <c r="H9463" s="6"/>
      <c r="I9463" s="118"/>
      <c r="J9463" s="119"/>
    </row>
    <row r="9464" spans="6:10" x14ac:dyDescent="0.25">
      <c r="F9464" s="6"/>
      <c r="G9464" s="6"/>
      <c r="H9464" s="6"/>
      <c r="I9464" s="118"/>
      <c r="J9464" s="119"/>
    </row>
    <row r="9465" spans="6:10" x14ac:dyDescent="0.25">
      <c r="F9465" s="6"/>
      <c r="G9465" s="6"/>
      <c r="H9465" s="6"/>
      <c r="I9465" s="118"/>
      <c r="J9465" s="119"/>
    </row>
    <row r="9466" spans="6:10" x14ac:dyDescent="0.25">
      <c r="F9466" s="6"/>
      <c r="G9466" s="6"/>
      <c r="H9466" s="6"/>
      <c r="I9466" s="118"/>
      <c r="J9466" s="119"/>
    </row>
    <row r="9467" spans="6:10" x14ac:dyDescent="0.25">
      <c r="F9467" s="6"/>
      <c r="G9467" s="6"/>
      <c r="H9467" s="6"/>
      <c r="I9467" s="118"/>
      <c r="J9467" s="119"/>
    </row>
    <row r="9468" spans="6:10" x14ac:dyDescent="0.25">
      <c r="F9468" s="6"/>
      <c r="G9468" s="6"/>
      <c r="H9468" s="6"/>
      <c r="I9468" s="118"/>
      <c r="J9468" s="119"/>
    </row>
    <row r="9469" spans="6:10" x14ac:dyDescent="0.25">
      <c r="F9469" s="6"/>
      <c r="G9469" s="6"/>
      <c r="H9469" s="6"/>
      <c r="I9469" s="118"/>
      <c r="J9469" s="119"/>
    </row>
    <row r="9470" spans="6:10" x14ac:dyDescent="0.25">
      <c r="F9470" s="6"/>
      <c r="G9470" s="6"/>
      <c r="H9470" s="6"/>
      <c r="I9470" s="118"/>
      <c r="J9470" s="119"/>
    </row>
    <row r="9471" spans="6:10" x14ac:dyDescent="0.25">
      <c r="F9471" s="6"/>
      <c r="G9471" s="6"/>
      <c r="H9471" s="6"/>
      <c r="I9471" s="118"/>
      <c r="J9471" s="119"/>
    </row>
    <row r="9472" spans="6:10" x14ac:dyDescent="0.25">
      <c r="F9472" s="6"/>
      <c r="G9472" s="6"/>
      <c r="H9472" s="6"/>
      <c r="I9472" s="118"/>
      <c r="J9472" s="119"/>
    </row>
    <row r="9473" spans="6:10" x14ac:dyDescent="0.25">
      <c r="F9473" s="6"/>
      <c r="G9473" s="6"/>
      <c r="H9473" s="6"/>
      <c r="I9473" s="118"/>
      <c r="J9473" s="119"/>
    </row>
    <row r="9474" spans="6:10" x14ac:dyDescent="0.25">
      <c r="F9474" s="6"/>
      <c r="G9474" s="6"/>
      <c r="H9474" s="6"/>
      <c r="I9474" s="118"/>
      <c r="J9474" s="119"/>
    </row>
    <row r="9475" spans="6:10" x14ac:dyDescent="0.25">
      <c r="F9475" s="6"/>
      <c r="G9475" s="6"/>
      <c r="H9475" s="6"/>
      <c r="I9475" s="118"/>
      <c r="J9475" s="119"/>
    </row>
    <row r="9476" spans="6:10" x14ac:dyDescent="0.25">
      <c r="F9476" s="6"/>
      <c r="G9476" s="6"/>
      <c r="H9476" s="6"/>
      <c r="I9476" s="118"/>
      <c r="J9476" s="119"/>
    </row>
    <row r="9477" spans="6:10" x14ac:dyDescent="0.25">
      <c r="F9477" s="6"/>
      <c r="G9477" s="6"/>
      <c r="H9477" s="6"/>
      <c r="I9477" s="118"/>
      <c r="J9477" s="119"/>
    </row>
    <row r="9478" spans="6:10" x14ac:dyDescent="0.25">
      <c r="F9478" s="6"/>
      <c r="G9478" s="6"/>
      <c r="H9478" s="6"/>
      <c r="I9478" s="118"/>
      <c r="J9478" s="119"/>
    </row>
    <row r="9479" spans="6:10" x14ac:dyDescent="0.25">
      <c r="F9479" s="6"/>
      <c r="G9479" s="6"/>
      <c r="H9479" s="6"/>
      <c r="I9479" s="118"/>
      <c r="J9479" s="119"/>
    </row>
    <row r="9480" spans="6:10" x14ac:dyDescent="0.25">
      <c r="F9480" s="6"/>
      <c r="G9480" s="6"/>
      <c r="H9480" s="6"/>
      <c r="I9480" s="118"/>
      <c r="J9480" s="119"/>
    </row>
    <row r="9481" spans="6:10" x14ac:dyDescent="0.25">
      <c r="F9481" s="6"/>
      <c r="G9481" s="6"/>
      <c r="H9481" s="6"/>
      <c r="I9481" s="118"/>
      <c r="J9481" s="119"/>
    </row>
    <row r="9482" spans="6:10" x14ac:dyDescent="0.25">
      <c r="F9482" s="6"/>
      <c r="G9482" s="6"/>
      <c r="H9482" s="6"/>
      <c r="I9482" s="118"/>
      <c r="J9482" s="119"/>
    </row>
    <row r="9483" spans="6:10" x14ac:dyDescent="0.25">
      <c r="F9483" s="6"/>
      <c r="G9483" s="6"/>
      <c r="H9483" s="6"/>
      <c r="I9483" s="118"/>
      <c r="J9483" s="119"/>
    </row>
    <row r="9484" spans="6:10" x14ac:dyDescent="0.25">
      <c r="F9484" s="6"/>
      <c r="G9484" s="6"/>
      <c r="H9484" s="6"/>
      <c r="I9484" s="118"/>
      <c r="J9484" s="119"/>
    </row>
    <row r="9485" spans="6:10" x14ac:dyDescent="0.25">
      <c r="F9485" s="6"/>
      <c r="G9485" s="6"/>
      <c r="H9485" s="6"/>
      <c r="I9485" s="118"/>
      <c r="J9485" s="119"/>
    </row>
    <row r="9486" spans="6:10" x14ac:dyDescent="0.25">
      <c r="F9486" s="6"/>
      <c r="G9486" s="6"/>
      <c r="H9486" s="6"/>
      <c r="I9486" s="118"/>
      <c r="J9486" s="119"/>
    </row>
    <row r="9487" spans="6:10" x14ac:dyDescent="0.25">
      <c r="F9487" s="6"/>
      <c r="G9487" s="6"/>
      <c r="H9487" s="6"/>
      <c r="I9487" s="118"/>
      <c r="J9487" s="119"/>
    </row>
    <row r="9488" spans="6:10" x14ac:dyDescent="0.25">
      <c r="F9488" s="6"/>
      <c r="G9488" s="6"/>
      <c r="H9488" s="6"/>
      <c r="I9488" s="118"/>
      <c r="J9488" s="119"/>
    </row>
    <row r="9489" spans="6:10" x14ac:dyDescent="0.25">
      <c r="F9489" s="6"/>
      <c r="G9489" s="6"/>
      <c r="H9489" s="6"/>
      <c r="I9489" s="118"/>
      <c r="J9489" s="119"/>
    </row>
    <row r="9490" spans="6:10" x14ac:dyDescent="0.25">
      <c r="F9490" s="6"/>
      <c r="G9490" s="6"/>
      <c r="H9490" s="6"/>
      <c r="I9490" s="118"/>
      <c r="J9490" s="119"/>
    </row>
    <row r="9491" spans="6:10" x14ac:dyDescent="0.25">
      <c r="F9491" s="6"/>
      <c r="G9491" s="6"/>
      <c r="H9491" s="6"/>
      <c r="I9491" s="118"/>
      <c r="J9491" s="119"/>
    </row>
    <row r="9492" spans="6:10" x14ac:dyDescent="0.25">
      <c r="F9492" s="6"/>
      <c r="G9492" s="6"/>
      <c r="H9492" s="6"/>
      <c r="I9492" s="118"/>
      <c r="J9492" s="119"/>
    </row>
    <row r="9493" spans="6:10" x14ac:dyDescent="0.25">
      <c r="F9493" s="6"/>
      <c r="G9493" s="6"/>
      <c r="H9493" s="6"/>
      <c r="I9493" s="118"/>
      <c r="J9493" s="119"/>
    </row>
    <row r="9494" spans="6:10" x14ac:dyDescent="0.25">
      <c r="F9494" s="6"/>
      <c r="G9494" s="6"/>
      <c r="H9494" s="6"/>
      <c r="I9494" s="118"/>
      <c r="J9494" s="119"/>
    </row>
    <row r="9495" spans="6:10" x14ac:dyDescent="0.25">
      <c r="F9495" s="6"/>
      <c r="G9495" s="6"/>
      <c r="H9495" s="6"/>
      <c r="I9495" s="118"/>
      <c r="J9495" s="119"/>
    </row>
    <row r="9496" spans="6:10" x14ac:dyDescent="0.25">
      <c r="F9496" s="6"/>
      <c r="G9496" s="6"/>
      <c r="H9496" s="6"/>
      <c r="I9496" s="118"/>
      <c r="J9496" s="119"/>
    </row>
    <row r="9497" spans="6:10" x14ac:dyDescent="0.25">
      <c r="F9497" s="6"/>
      <c r="G9497" s="6"/>
      <c r="H9497" s="6"/>
      <c r="I9497" s="118"/>
      <c r="J9497" s="119"/>
    </row>
    <row r="9498" spans="6:10" x14ac:dyDescent="0.25">
      <c r="F9498" s="6"/>
      <c r="G9498" s="6"/>
      <c r="H9498" s="6"/>
      <c r="I9498" s="118"/>
      <c r="J9498" s="119"/>
    </row>
    <row r="9499" spans="6:10" x14ac:dyDescent="0.25">
      <c r="F9499" s="6"/>
      <c r="G9499" s="6"/>
      <c r="H9499" s="6"/>
      <c r="I9499" s="118"/>
      <c r="J9499" s="119"/>
    </row>
    <row r="9500" spans="6:10" x14ac:dyDescent="0.25">
      <c r="F9500" s="6"/>
      <c r="G9500" s="6"/>
      <c r="H9500" s="6"/>
      <c r="I9500" s="118"/>
      <c r="J9500" s="119"/>
    </row>
    <row r="9501" spans="6:10" x14ac:dyDescent="0.25">
      <c r="F9501" s="6"/>
      <c r="G9501" s="6"/>
      <c r="H9501" s="6"/>
      <c r="I9501" s="118"/>
      <c r="J9501" s="119"/>
    </row>
    <row r="9502" spans="6:10" x14ac:dyDescent="0.25">
      <c r="F9502" s="6"/>
      <c r="G9502" s="6"/>
      <c r="H9502" s="6"/>
      <c r="I9502" s="118"/>
      <c r="J9502" s="119"/>
    </row>
    <row r="9503" spans="6:10" x14ac:dyDescent="0.25">
      <c r="F9503" s="6"/>
      <c r="G9503" s="6"/>
      <c r="H9503" s="6"/>
      <c r="I9503" s="118"/>
      <c r="J9503" s="119"/>
    </row>
    <row r="9504" spans="6:10" x14ac:dyDescent="0.25">
      <c r="F9504" s="6"/>
      <c r="G9504" s="6"/>
      <c r="H9504" s="6"/>
      <c r="I9504" s="118"/>
      <c r="J9504" s="119"/>
    </row>
    <row r="9505" spans="6:10" x14ac:dyDescent="0.25">
      <c r="F9505" s="6"/>
      <c r="G9505" s="6"/>
      <c r="H9505" s="6"/>
      <c r="I9505" s="118"/>
      <c r="J9505" s="119"/>
    </row>
    <row r="9506" spans="6:10" x14ac:dyDescent="0.25">
      <c r="F9506" s="6"/>
      <c r="G9506" s="6"/>
      <c r="H9506" s="6"/>
      <c r="I9506" s="118"/>
      <c r="J9506" s="119"/>
    </row>
    <row r="9507" spans="6:10" x14ac:dyDescent="0.25">
      <c r="F9507" s="6"/>
      <c r="G9507" s="6"/>
      <c r="H9507" s="6"/>
      <c r="I9507" s="118"/>
      <c r="J9507" s="119"/>
    </row>
    <row r="9508" spans="6:10" x14ac:dyDescent="0.25">
      <c r="F9508" s="6"/>
      <c r="G9508" s="6"/>
      <c r="H9508" s="6"/>
      <c r="I9508" s="118"/>
      <c r="J9508" s="119"/>
    </row>
    <row r="9509" spans="6:10" x14ac:dyDescent="0.25">
      <c r="F9509" s="6"/>
      <c r="G9509" s="6"/>
      <c r="H9509" s="6"/>
      <c r="I9509" s="118"/>
      <c r="J9509" s="119"/>
    </row>
    <row r="9510" spans="6:10" x14ac:dyDescent="0.25">
      <c r="F9510" s="6"/>
      <c r="G9510" s="6"/>
      <c r="H9510" s="6"/>
      <c r="I9510" s="118"/>
      <c r="J9510" s="119"/>
    </row>
    <row r="9511" spans="6:10" x14ac:dyDescent="0.25">
      <c r="F9511" s="6"/>
      <c r="G9511" s="6"/>
      <c r="H9511" s="6"/>
      <c r="I9511" s="118"/>
      <c r="J9511" s="119"/>
    </row>
    <row r="9512" spans="6:10" x14ac:dyDescent="0.25">
      <c r="F9512" s="6"/>
      <c r="G9512" s="6"/>
      <c r="H9512" s="6"/>
      <c r="I9512" s="118"/>
      <c r="J9512" s="119"/>
    </row>
    <row r="9513" spans="6:10" x14ac:dyDescent="0.25">
      <c r="F9513" s="6"/>
      <c r="G9513" s="6"/>
      <c r="H9513" s="6"/>
      <c r="I9513" s="118"/>
      <c r="J9513" s="119"/>
    </row>
    <row r="9514" spans="6:10" x14ac:dyDescent="0.25">
      <c r="F9514" s="6"/>
      <c r="G9514" s="6"/>
      <c r="H9514" s="6"/>
      <c r="I9514" s="118"/>
      <c r="J9514" s="119"/>
    </row>
    <row r="9515" spans="6:10" x14ac:dyDescent="0.25">
      <c r="F9515" s="6"/>
      <c r="G9515" s="6"/>
      <c r="H9515" s="6"/>
      <c r="I9515" s="118"/>
      <c r="J9515" s="119"/>
    </row>
    <row r="9516" spans="6:10" x14ac:dyDescent="0.25">
      <c r="F9516" s="6"/>
      <c r="G9516" s="6"/>
      <c r="H9516" s="6"/>
      <c r="I9516" s="118"/>
      <c r="J9516" s="119"/>
    </row>
    <row r="9517" spans="6:10" x14ac:dyDescent="0.25">
      <c r="F9517" s="6"/>
      <c r="G9517" s="6"/>
      <c r="H9517" s="6"/>
      <c r="I9517" s="118"/>
      <c r="J9517" s="119"/>
    </row>
    <row r="9518" spans="6:10" x14ac:dyDescent="0.25">
      <c r="F9518" s="6"/>
      <c r="G9518" s="6"/>
      <c r="H9518" s="6"/>
      <c r="I9518" s="118"/>
      <c r="J9518" s="119"/>
    </row>
    <row r="9519" spans="6:10" x14ac:dyDescent="0.25">
      <c r="F9519" s="6"/>
      <c r="G9519" s="6"/>
      <c r="H9519" s="6"/>
      <c r="I9519" s="118"/>
      <c r="J9519" s="119"/>
    </row>
    <row r="9520" spans="6:10" x14ac:dyDescent="0.25">
      <c r="F9520" s="6"/>
      <c r="G9520" s="6"/>
      <c r="H9520" s="6"/>
      <c r="I9520" s="118"/>
      <c r="J9520" s="119"/>
    </row>
    <row r="9521" spans="6:10" x14ac:dyDescent="0.25">
      <c r="F9521" s="6"/>
      <c r="G9521" s="6"/>
      <c r="H9521" s="6"/>
      <c r="I9521" s="118"/>
      <c r="J9521" s="119"/>
    </row>
    <row r="9522" spans="6:10" x14ac:dyDescent="0.25">
      <c r="F9522" s="6"/>
      <c r="G9522" s="6"/>
      <c r="H9522" s="6"/>
      <c r="I9522" s="118"/>
      <c r="J9522" s="119"/>
    </row>
    <row r="9523" spans="6:10" x14ac:dyDescent="0.25">
      <c r="F9523" s="6"/>
      <c r="G9523" s="6"/>
      <c r="H9523" s="6"/>
      <c r="I9523" s="118"/>
      <c r="J9523" s="119"/>
    </row>
    <row r="9524" spans="6:10" x14ac:dyDescent="0.25">
      <c r="F9524" s="6"/>
      <c r="G9524" s="6"/>
      <c r="H9524" s="6"/>
      <c r="I9524" s="118"/>
      <c r="J9524" s="119"/>
    </row>
    <row r="9525" spans="6:10" x14ac:dyDescent="0.25">
      <c r="F9525" s="6"/>
      <c r="G9525" s="6"/>
      <c r="H9525" s="6"/>
      <c r="I9525" s="118"/>
      <c r="J9525" s="119"/>
    </row>
    <row r="9526" spans="6:10" x14ac:dyDescent="0.25">
      <c r="F9526" s="6"/>
      <c r="G9526" s="6"/>
      <c r="H9526" s="6"/>
      <c r="I9526" s="118"/>
      <c r="J9526" s="119"/>
    </row>
    <row r="9527" spans="6:10" x14ac:dyDescent="0.25">
      <c r="F9527" s="6"/>
      <c r="G9527" s="6"/>
      <c r="H9527" s="6"/>
      <c r="I9527" s="118"/>
      <c r="J9527" s="119"/>
    </row>
    <row r="9528" spans="6:10" x14ac:dyDescent="0.25">
      <c r="F9528" s="6"/>
      <c r="G9528" s="6"/>
      <c r="H9528" s="6"/>
      <c r="I9528" s="118"/>
      <c r="J9528" s="119"/>
    </row>
    <row r="9529" spans="6:10" x14ac:dyDescent="0.25">
      <c r="F9529" s="6"/>
      <c r="G9529" s="6"/>
      <c r="H9529" s="6"/>
      <c r="I9529" s="118"/>
      <c r="J9529" s="119"/>
    </row>
    <row r="9530" spans="6:10" x14ac:dyDescent="0.25">
      <c r="F9530" s="6"/>
      <c r="G9530" s="6"/>
      <c r="H9530" s="6"/>
      <c r="I9530" s="118"/>
      <c r="J9530" s="119"/>
    </row>
    <row r="9531" spans="6:10" x14ac:dyDescent="0.25">
      <c r="F9531" s="6"/>
      <c r="G9531" s="6"/>
      <c r="H9531" s="6"/>
      <c r="I9531" s="118"/>
      <c r="J9531" s="119"/>
    </row>
    <row r="9532" spans="6:10" x14ac:dyDescent="0.25">
      <c r="F9532" s="6"/>
      <c r="G9532" s="6"/>
      <c r="H9532" s="6"/>
      <c r="I9532" s="118"/>
      <c r="J9532" s="119"/>
    </row>
    <row r="9533" spans="6:10" x14ac:dyDescent="0.25">
      <c r="F9533" s="6"/>
      <c r="G9533" s="6"/>
      <c r="H9533" s="6"/>
      <c r="I9533" s="118"/>
      <c r="J9533" s="119"/>
    </row>
    <row r="9534" spans="6:10" x14ac:dyDescent="0.25">
      <c r="F9534" s="6"/>
      <c r="G9534" s="6"/>
      <c r="H9534" s="6"/>
      <c r="I9534" s="118"/>
      <c r="J9534" s="119"/>
    </row>
    <row r="9535" spans="6:10" x14ac:dyDescent="0.25">
      <c r="F9535" s="6"/>
      <c r="G9535" s="6"/>
      <c r="H9535" s="6"/>
      <c r="I9535" s="118"/>
      <c r="J9535" s="119"/>
    </row>
    <row r="9536" spans="6:10" x14ac:dyDescent="0.25">
      <c r="F9536" s="6"/>
      <c r="G9536" s="6"/>
      <c r="H9536" s="6"/>
      <c r="I9536" s="118"/>
      <c r="J9536" s="119"/>
    </row>
    <row r="9537" spans="6:10" x14ac:dyDescent="0.25">
      <c r="F9537" s="6"/>
      <c r="G9537" s="6"/>
      <c r="H9537" s="6"/>
      <c r="I9537" s="118"/>
      <c r="J9537" s="119"/>
    </row>
    <row r="9538" spans="6:10" x14ac:dyDescent="0.25">
      <c r="F9538" s="6"/>
      <c r="G9538" s="6"/>
      <c r="H9538" s="6"/>
      <c r="I9538" s="118"/>
      <c r="J9538" s="119"/>
    </row>
    <row r="9539" spans="6:10" x14ac:dyDescent="0.25">
      <c r="F9539" s="6"/>
      <c r="G9539" s="6"/>
      <c r="H9539" s="6"/>
      <c r="I9539" s="118"/>
      <c r="J9539" s="119"/>
    </row>
    <row r="9540" spans="6:10" x14ac:dyDescent="0.25">
      <c r="F9540" s="6"/>
      <c r="G9540" s="6"/>
      <c r="H9540" s="6"/>
      <c r="I9540" s="118"/>
      <c r="J9540" s="119"/>
    </row>
    <row r="9541" spans="6:10" x14ac:dyDescent="0.25">
      <c r="F9541" s="6"/>
      <c r="G9541" s="6"/>
      <c r="H9541" s="6"/>
      <c r="I9541" s="118"/>
      <c r="J9541" s="119"/>
    </row>
    <row r="9542" spans="6:10" x14ac:dyDescent="0.25">
      <c r="F9542" s="6"/>
      <c r="G9542" s="6"/>
      <c r="H9542" s="6"/>
      <c r="I9542" s="118"/>
      <c r="J9542" s="119"/>
    </row>
    <row r="9543" spans="6:10" x14ac:dyDescent="0.25">
      <c r="F9543" s="6"/>
      <c r="G9543" s="6"/>
      <c r="H9543" s="6"/>
      <c r="I9543" s="118"/>
      <c r="J9543" s="119"/>
    </row>
    <row r="9544" spans="6:10" x14ac:dyDescent="0.25">
      <c r="F9544" s="6"/>
      <c r="G9544" s="6"/>
      <c r="H9544" s="6"/>
      <c r="I9544" s="118"/>
      <c r="J9544" s="119"/>
    </row>
    <row r="9545" spans="6:10" x14ac:dyDescent="0.25">
      <c r="F9545" s="6"/>
      <c r="G9545" s="6"/>
      <c r="H9545" s="6"/>
      <c r="I9545" s="118"/>
      <c r="J9545" s="119"/>
    </row>
    <row r="9546" spans="6:10" x14ac:dyDescent="0.25">
      <c r="F9546" s="6"/>
      <c r="G9546" s="6"/>
      <c r="H9546" s="6"/>
      <c r="I9546" s="118"/>
      <c r="J9546" s="119"/>
    </row>
    <row r="9547" spans="6:10" x14ac:dyDescent="0.25">
      <c r="F9547" s="6"/>
      <c r="G9547" s="6"/>
      <c r="H9547" s="6"/>
      <c r="I9547" s="118"/>
      <c r="J9547" s="119"/>
    </row>
    <row r="9548" spans="6:10" x14ac:dyDescent="0.25">
      <c r="F9548" s="6"/>
      <c r="G9548" s="6"/>
      <c r="H9548" s="6"/>
      <c r="I9548" s="118"/>
      <c r="J9548" s="119"/>
    </row>
    <row r="9549" spans="6:10" x14ac:dyDescent="0.25">
      <c r="F9549" s="6"/>
      <c r="G9549" s="6"/>
      <c r="H9549" s="6"/>
      <c r="I9549" s="118"/>
      <c r="J9549" s="119"/>
    </row>
    <row r="9550" spans="6:10" x14ac:dyDescent="0.25">
      <c r="F9550" s="6"/>
      <c r="G9550" s="6"/>
      <c r="H9550" s="6"/>
      <c r="I9550" s="118"/>
      <c r="J9550" s="119"/>
    </row>
    <row r="9551" spans="6:10" x14ac:dyDescent="0.25">
      <c r="F9551" s="6"/>
      <c r="G9551" s="6"/>
      <c r="H9551" s="6"/>
      <c r="I9551" s="118"/>
      <c r="J9551" s="119"/>
    </row>
    <row r="9552" spans="6:10" x14ac:dyDescent="0.25">
      <c r="F9552" s="6"/>
      <c r="G9552" s="6"/>
      <c r="H9552" s="6"/>
      <c r="I9552" s="118"/>
      <c r="J9552" s="119"/>
    </row>
    <row r="9553" spans="6:10" x14ac:dyDescent="0.25">
      <c r="F9553" s="6"/>
      <c r="G9553" s="6"/>
      <c r="H9553" s="6"/>
      <c r="I9553" s="118"/>
      <c r="J9553" s="119"/>
    </row>
    <row r="9554" spans="6:10" x14ac:dyDescent="0.25">
      <c r="F9554" s="6"/>
      <c r="G9554" s="6"/>
      <c r="H9554" s="6"/>
      <c r="I9554" s="118"/>
      <c r="J9554" s="119"/>
    </row>
    <row r="9555" spans="6:10" x14ac:dyDescent="0.25">
      <c r="F9555" s="6"/>
      <c r="G9555" s="6"/>
      <c r="H9555" s="6"/>
      <c r="I9555" s="118"/>
      <c r="J9555" s="119"/>
    </row>
    <row r="9556" spans="6:10" x14ac:dyDescent="0.25">
      <c r="F9556" s="6"/>
      <c r="G9556" s="6"/>
      <c r="H9556" s="6"/>
      <c r="I9556" s="118"/>
      <c r="J9556" s="119"/>
    </row>
    <row r="9557" spans="6:10" x14ac:dyDescent="0.25">
      <c r="F9557" s="6"/>
      <c r="G9557" s="6"/>
      <c r="H9557" s="6"/>
      <c r="I9557" s="118"/>
      <c r="J9557" s="119"/>
    </row>
    <row r="9558" spans="6:10" x14ac:dyDescent="0.25">
      <c r="F9558" s="6"/>
      <c r="G9558" s="6"/>
      <c r="H9558" s="6"/>
      <c r="I9558" s="118"/>
      <c r="J9558" s="119"/>
    </row>
    <row r="9559" spans="6:10" x14ac:dyDescent="0.25">
      <c r="F9559" s="6"/>
      <c r="G9559" s="6"/>
      <c r="H9559" s="6"/>
      <c r="I9559" s="118"/>
      <c r="J9559" s="119"/>
    </row>
    <row r="9560" spans="6:10" x14ac:dyDescent="0.25">
      <c r="F9560" s="6"/>
      <c r="G9560" s="6"/>
      <c r="H9560" s="6"/>
      <c r="I9560" s="118"/>
      <c r="J9560" s="119"/>
    </row>
    <row r="9561" spans="6:10" x14ac:dyDescent="0.25">
      <c r="F9561" s="6"/>
      <c r="G9561" s="6"/>
      <c r="H9561" s="6"/>
      <c r="I9561" s="118"/>
      <c r="J9561" s="119"/>
    </row>
    <row r="9562" spans="6:10" x14ac:dyDescent="0.25">
      <c r="F9562" s="6"/>
      <c r="G9562" s="6"/>
      <c r="H9562" s="6"/>
      <c r="I9562" s="118"/>
      <c r="J9562" s="119"/>
    </row>
    <row r="9563" spans="6:10" x14ac:dyDescent="0.25">
      <c r="F9563" s="6"/>
      <c r="G9563" s="6"/>
      <c r="H9563" s="6"/>
      <c r="I9563" s="118"/>
      <c r="J9563" s="119"/>
    </row>
    <row r="9564" spans="6:10" x14ac:dyDescent="0.25">
      <c r="F9564" s="6"/>
      <c r="G9564" s="6"/>
      <c r="H9564" s="6"/>
      <c r="I9564" s="118"/>
      <c r="J9564" s="119"/>
    </row>
    <row r="9565" spans="6:10" x14ac:dyDescent="0.25">
      <c r="F9565" s="6"/>
      <c r="G9565" s="6"/>
      <c r="H9565" s="6"/>
      <c r="I9565" s="118"/>
      <c r="J9565" s="119"/>
    </row>
    <row r="9566" spans="6:10" x14ac:dyDescent="0.25">
      <c r="F9566" s="6"/>
      <c r="G9566" s="6"/>
      <c r="H9566" s="6"/>
      <c r="I9566" s="118"/>
      <c r="J9566" s="119"/>
    </row>
    <row r="9567" spans="6:10" x14ac:dyDescent="0.25">
      <c r="F9567" s="6"/>
      <c r="G9567" s="6"/>
      <c r="H9567" s="6"/>
      <c r="I9567" s="118"/>
      <c r="J9567" s="119"/>
    </row>
    <row r="9568" spans="6:10" x14ac:dyDescent="0.25">
      <c r="F9568" s="6"/>
      <c r="G9568" s="6"/>
      <c r="H9568" s="6"/>
      <c r="I9568" s="118"/>
      <c r="J9568" s="119"/>
    </row>
    <row r="9569" spans="6:10" x14ac:dyDescent="0.25">
      <c r="F9569" s="6"/>
      <c r="G9569" s="6"/>
      <c r="H9569" s="6"/>
      <c r="I9569" s="118"/>
      <c r="J9569" s="119"/>
    </row>
    <row r="9570" spans="6:10" x14ac:dyDescent="0.25">
      <c r="F9570" s="6"/>
      <c r="G9570" s="6"/>
      <c r="H9570" s="6"/>
      <c r="I9570" s="118"/>
      <c r="J9570" s="119"/>
    </row>
    <row r="9571" spans="6:10" x14ac:dyDescent="0.25">
      <c r="F9571" s="6"/>
      <c r="G9571" s="6"/>
      <c r="H9571" s="6"/>
      <c r="I9571" s="118"/>
      <c r="J9571" s="119"/>
    </row>
    <row r="9572" spans="6:10" x14ac:dyDescent="0.25">
      <c r="F9572" s="6"/>
      <c r="G9572" s="6"/>
      <c r="H9572" s="6"/>
      <c r="I9572" s="118"/>
      <c r="J9572" s="119"/>
    </row>
    <row r="9573" spans="6:10" x14ac:dyDescent="0.25">
      <c r="F9573" s="6"/>
      <c r="G9573" s="6"/>
      <c r="H9573" s="6"/>
      <c r="I9573" s="118"/>
      <c r="J9573" s="119"/>
    </row>
    <row r="9574" spans="6:10" x14ac:dyDescent="0.25">
      <c r="F9574" s="6"/>
      <c r="G9574" s="6"/>
      <c r="H9574" s="6"/>
      <c r="I9574" s="118"/>
      <c r="J9574" s="119"/>
    </row>
    <row r="9575" spans="6:10" x14ac:dyDescent="0.25">
      <c r="F9575" s="6"/>
      <c r="G9575" s="6"/>
      <c r="H9575" s="6"/>
      <c r="I9575" s="118"/>
      <c r="J9575" s="119"/>
    </row>
    <row r="9576" spans="6:10" x14ac:dyDescent="0.25">
      <c r="F9576" s="6"/>
      <c r="G9576" s="6"/>
      <c r="H9576" s="6"/>
      <c r="I9576" s="118"/>
      <c r="J9576" s="119"/>
    </row>
    <row r="9577" spans="6:10" x14ac:dyDescent="0.25">
      <c r="F9577" s="6"/>
      <c r="G9577" s="6"/>
      <c r="H9577" s="6"/>
      <c r="I9577" s="118"/>
      <c r="J9577" s="119"/>
    </row>
    <row r="9578" spans="6:10" x14ac:dyDescent="0.25">
      <c r="F9578" s="6"/>
      <c r="G9578" s="6"/>
      <c r="H9578" s="6"/>
      <c r="I9578" s="118"/>
      <c r="J9578" s="119"/>
    </row>
    <row r="9579" spans="6:10" x14ac:dyDescent="0.25">
      <c r="F9579" s="6"/>
      <c r="G9579" s="6"/>
      <c r="H9579" s="6"/>
      <c r="I9579" s="118"/>
      <c r="J9579" s="119"/>
    </row>
    <row r="9580" spans="6:10" x14ac:dyDescent="0.25">
      <c r="F9580" s="6"/>
      <c r="G9580" s="6"/>
      <c r="H9580" s="6"/>
      <c r="I9580" s="118"/>
      <c r="J9580" s="119"/>
    </row>
    <row r="9581" spans="6:10" x14ac:dyDescent="0.25">
      <c r="F9581" s="6"/>
      <c r="G9581" s="6"/>
      <c r="H9581" s="6"/>
      <c r="I9581" s="118"/>
      <c r="J9581" s="119"/>
    </row>
    <row r="9582" spans="6:10" x14ac:dyDescent="0.25">
      <c r="F9582" s="6"/>
      <c r="G9582" s="6"/>
      <c r="H9582" s="6"/>
      <c r="I9582" s="118"/>
      <c r="J9582" s="119"/>
    </row>
    <row r="9583" spans="6:10" x14ac:dyDescent="0.25">
      <c r="F9583" s="6"/>
      <c r="G9583" s="6"/>
      <c r="H9583" s="6"/>
      <c r="I9583" s="118"/>
      <c r="J9583" s="119"/>
    </row>
    <row r="9584" spans="6:10" x14ac:dyDescent="0.25">
      <c r="F9584" s="6"/>
      <c r="G9584" s="6"/>
      <c r="H9584" s="6"/>
      <c r="I9584" s="118"/>
      <c r="J9584" s="119"/>
    </row>
    <row r="9585" spans="6:10" x14ac:dyDescent="0.25">
      <c r="F9585" s="6"/>
      <c r="G9585" s="6"/>
      <c r="H9585" s="6"/>
      <c r="I9585" s="118"/>
      <c r="J9585" s="119"/>
    </row>
    <row r="9586" spans="6:10" x14ac:dyDescent="0.25">
      <c r="F9586" s="6"/>
      <c r="G9586" s="6"/>
      <c r="H9586" s="6"/>
      <c r="I9586" s="118"/>
      <c r="J9586" s="119"/>
    </row>
    <row r="9587" spans="6:10" x14ac:dyDescent="0.25">
      <c r="F9587" s="6"/>
      <c r="G9587" s="6"/>
      <c r="H9587" s="6"/>
      <c r="I9587" s="118"/>
      <c r="J9587" s="119"/>
    </row>
    <row r="9588" spans="6:10" x14ac:dyDescent="0.25">
      <c r="F9588" s="6"/>
      <c r="G9588" s="6"/>
      <c r="H9588" s="6"/>
      <c r="I9588" s="118"/>
      <c r="J9588" s="119"/>
    </row>
    <row r="9589" spans="6:10" x14ac:dyDescent="0.25">
      <c r="F9589" s="6"/>
      <c r="G9589" s="6"/>
      <c r="H9589" s="6"/>
      <c r="I9589" s="118"/>
      <c r="J9589" s="119"/>
    </row>
    <row r="9590" spans="6:10" x14ac:dyDescent="0.25">
      <c r="F9590" s="6"/>
      <c r="G9590" s="6"/>
      <c r="H9590" s="6"/>
      <c r="I9590" s="118"/>
      <c r="J9590" s="119"/>
    </row>
    <row r="9591" spans="6:10" x14ac:dyDescent="0.25">
      <c r="F9591" s="6"/>
      <c r="G9591" s="6"/>
      <c r="H9591" s="6"/>
      <c r="I9591" s="118"/>
      <c r="J9591" s="119"/>
    </row>
    <row r="9592" spans="6:10" x14ac:dyDescent="0.25">
      <c r="F9592" s="6"/>
      <c r="G9592" s="6"/>
      <c r="H9592" s="6"/>
      <c r="I9592" s="118"/>
      <c r="J9592" s="119"/>
    </row>
    <row r="9593" spans="6:10" x14ac:dyDescent="0.25">
      <c r="F9593" s="6"/>
      <c r="G9593" s="6"/>
      <c r="H9593" s="6"/>
      <c r="I9593" s="118"/>
      <c r="J9593" s="119"/>
    </row>
    <row r="9594" spans="6:10" x14ac:dyDescent="0.25">
      <c r="F9594" s="6"/>
      <c r="G9594" s="6"/>
      <c r="H9594" s="6"/>
      <c r="I9594" s="118"/>
      <c r="J9594" s="119"/>
    </row>
    <row r="9595" spans="6:10" x14ac:dyDescent="0.25">
      <c r="F9595" s="6"/>
      <c r="G9595" s="6"/>
      <c r="H9595" s="6"/>
      <c r="I9595" s="118"/>
      <c r="J9595" s="119"/>
    </row>
    <row r="9596" spans="6:10" x14ac:dyDescent="0.25">
      <c r="F9596" s="6"/>
      <c r="G9596" s="6"/>
      <c r="H9596" s="6"/>
      <c r="I9596" s="118"/>
      <c r="J9596" s="119"/>
    </row>
    <row r="9597" spans="6:10" x14ac:dyDescent="0.25">
      <c r="F9597" s="6"/>
      <c r="G9597" s="6"/>
      <c r="H9597" s="6"/>
      <c r="I9597" s="118"/>
      <c r="J9597" s="119"/>
    </row>
    <row r="9598" spans="6:10" x14ac:dyDescent="0.25">
      <c r="F9598" s="6"/>
      <c r="G9598" s="6"/>
      <c r="H9598" s="6"/>
      <c r="I9598" s="118"/>
      <c r="J9598" s="119"/>
    </row>
    <row r="9599" spans="6:10" x14ac:dyDescent="0.25">
      <c r="F9599" s="6"/>
      <c r="G9599" s="6"/>
      <c r="H9599" s="6"/>
      <c r="I9599" s="118"/>
      <c r="J9599" s="119"/>
    </row>
    <row r="9600" spans="6:10" x14ac:dyDescent="0.25">
      <c r="F9600" s="6"/>
      <c r="G9600" s="6"/>
      <c r="H9600" s="6"/>
      <c r="I9600" s="118"/>
      <c r="J9600" s="119"/>
    </row>
    <row r="9601" spans="6:10" x14ac:dyDescent="0.25">
      <c r="F9601" s="6"/>
      <c r="G9601" s="6"/>
      <c r="H9601" s="6"/>
      <c r="I9601" s="118"/>
      <c r="J9601" s="119"/>
    </row>
    <row r="9602" spans="6:10" x14ac:dyDescent="0.25">
      <c r="F9602" s="6"/>
      <c r="G9602" s="6"/>
      <c r="H9602" s="6"/>
      <c r="I9602" s="118"/>
      <c r="J9602" s="119"/>
    </row>
    <row r="9603" spans="6:10" x14ac:dyDescent="0.25">
      <c r="F9603" s="6"/>
      <c r="G9603" s="6"/>
      <c r="H9603" s="6"/>
      <c r="I9603" s="118"/>
      <c r="J9603" s="119"/>
    </row>
    <row r="9604" spans="6:10" x14ac:dyDescent="0.25">
      <c r="F9604" s="6"/>
      <c r="G9604" s="6"/>
      <c r="H9604" s="6"/>
      <c r="I9604" s="118"/>
      <c r="J9604" s="119"/>
    </row>
    <row r="9605" spans="6:10" x14ac:dyDescent="0.25">
      <c r="F9605" s="6"/>
      <c r="G9605" s="6"/>
      <c r="H9605" s="6"/>
      <c r="I9605" s="118"/>
      <c r="J9605" s="119"/>
    </row>
    <row r="9606" spans="6:10" x14ac:dyDescent="0.25">
      <c r="F9606" s="6"/>
      <c r="G9606" s="6"/>
      <c r="H9606" s="6"/>
      <c r="I9606" s="118"/>
      <c r="J9606" s="119"/>
    </row>
    <row r="9607" spans="6:10" x14ac:dyDescent="0.25">
      <c r="F9607" s="6"/>
      <c r="G9607" s="6"/>
      <c r="H9607" s="6"/>
      <c r="I9607" s="118"/>
      <c r="J9607" s="119"/>
    </row>
    <row r="9608" spans="6:10" x14ac:dyDescent="0.25">
      <c r="F9608" s="6"/>
      <c r="G9608" s="6"/>
      <c r="H9608" s="6"/>
      <c r="I9608" s="118"/>
      <c r="J9608" s="119"/>
    </row>
    <row r="9609" spans="6:10" x14ac:dyDescent="0.25">
      <c r="F9609" s="6"/>
      <c r="G9609" s="6"/>
      <c r="H9609" s="6"/>
      <c r="I9609" s="118"/>
      <c r="J9609" s="119"/>
    </row>
    <row r="9610" spans="6:10" x14ac:dyDescent="0.25">
      <c r="F9610" s="6"/>
      <c r="G9610" s="6"/>
      <c r="H9610" s="6"/>
      <c r="I9610" s="118"/>
      <c r="J9610" s="119"/>
    </row>
    <row r="9611" spans="6:10" x14ac:dyDescent="0.25">
      <c r="F9611" s="6"/>
      <c r="G9611" s="6"/>
      <c r="H9611" s="6"/>
      <c r="I9611" s="118"/>
      <c r="J9611" s="119"/>
    </row>
    <row r="9612" spans="6:10" x14ac:dyDescent="0.25">
      <c r="F9612" s="6"/>
      <c r="G9612" s="6"/>
      <c r="H9612" s="6"/>
      <c r="I9612" s="118"/>
      <c r="J9612" s="119"/>
    </row>
    <row r="9613" spans="6:10" x14ac:dyDescent="0.25">
      <c r="F9613" s="6"/>
      <c r="G9613" s="6"/>
      <c r="H9613" s="6"/>
      <c r="I9613" s="118"/>
      <c r="J9613" s="119"/>
    </row>
    <row r="9614" spans="6:10" x14ac:dyDescent="0.25">
      <c r="F9614" s="6"/>
      <c r="G9614" s="6"/>
      <c r="H9614" s="6"/>
      <c r="I9614" s="118"/>
      <c r="J9614" s="119"/>
    </row>
    <row r="9615" spans="6:10" x14ac:dyDescent="0.25">
      <c r="F9615" s="6"/>
      <c r="G9615" s="6"/>
      <c r="H9615" s="6"/>
      <c r="I9615" s="118"/>
      <c r="J9615" s="119"/>
    </row>
    <row r="9616" spans="6:10" x14ac:dyDescent="0.25">
      <c r="F9616" s="6"/>
      <c r="G9616" s="6"/>
      <c r="H9616" s="6"/>
      <c r="I9616" s="118"/>
      <c r="J9616" s="119"/>
    </row>
    <row r="9617" spans="6:10" x14ac:dyDescent="0.25">
      <c r="F9617" s="6"/>
      <c r="G9617" s="6"/>
      <c r="H9617" s="6"/>
      <c r="I9617" s="118"/>
      <c r="J9617" s="119"/>
    </row>
    <row r="9618" spans="6:10" x14ac:dyDescent="0.25">
      <c r="F9618" s="6"/>
      <c r="G9618" s="6"/>
      <c r="H9618" s="6"/>
      <c r="I9618" s="118"/>
      <c r="J9618" s="119"/>
    </row>
    <row r="9619" spans="6:10" x14ac:dyDescent="0.25">
      <c r="F9619" s="6"/>
      <c r="G9619" s="6"/>
      <c r="H9619" s="6"/>
      <c r="I9619" s="118"/>
      <c r="J9619" s="119"/>
    </row>
    <row r="9620" spans="6:10" x14ac:dyDescent="0.25">
      <c r="F9620" s="6"/>
      <c r="G9620" s="6"/>
      <c r="H9620" s="6"/>
      <c r="I9620" s="118"/>
      <c r="J9620" s="119"/>
    </row>
    <row r="9621" spans="6:10" x14ac:dyDescent="0.25">
      <c r="F9621" s="6"/>
      <c r="G9621" s="6"/>
      <c r="H9621" s="6"/>
      <c r="I9621" s="118"/>
      <c r="J9621" s="119"/>
    </row>
    <row r="9622" spans="6:10" x14ac:dyDescent="0.25">
      <c r="F9622" s="6"/>
      <c r="G9622" s="6"/>
      <c r="H9622" s="6"/>
      <c r="I9622" s="118"/>
      <c r="J9622" s="119"/>
    </row>
    <row r="9623" spans="6:10" x14ac:dyDescent="0.25">
      <c r="F9623" s="6"/>
      <c r="G9623" s="6"/>
      <c r="H9623" s="6"/>
      <c r="I9623" s="118"/>
      <c r="J9623" s="119"/>
    </row>
    <row r="9624" spans="6:10" x14ac:dyDescent="0.25">
      <c r="F9624" s="6"/>
      <c r="G9624" s="6"/>
      <c r="H9624" s="6"/>
      <c r="I9624" s="118"/>
      <c r="J9624" s="119"/>
    </row>
    <row r="9625" spans="6:10" x14ac:dyDescent="0.25">
      <c r="F9625" s="6"/>
      <c r="G9625" s="6"/>
      <c r="H9625" s="6"/>
      <c r="I9625" s="118"/>
      <c r="J9625" s="119"/>
    </row>
    <row r="9626" spans="6:10" x14ac:dyDescent="0.25">
      <c r="F9626" s="6"/>
      <c r="G9626" s="6"/>
      <c r="H9626" s="6"/>
      <c r="I9626" s="118"/>
      <c r="J9626" s="119"/>
    </row>
    <row r="9627" spans="6:10" x14ac:dyDescent="0.25">
      <c r="F9627" s="6"/>
      <c r="G9627" s="6"/>
      <c r="H9627" s="6"/>
      <c r="I9627" s="118"/>
      <c r="J9627" s="119"/>
    </row>
    <row r="9628" spans="6:10" x14ac:dyDescent="0.25">
      <c r="F9628" s="6"/>
      <c r="G9628" s="6"/>
      <c r="H9628" s="6"/>
      <c r="I9628" s="118"/>
      <c r="J9628" s="119"/>
    </row>
    <row r="9629" spans="6:10" x14ac:dyDescent="0.25">
      <c r="F9629" s="6"/>
      <c r="G9629" s="6"/>
      <c r="H9629" s="6"/>
      <c r="I9629" s="118"/>
      <c r="J9629" s="119"/>
    </row>
    <row r="9630" spans="6:10" x14ac:dyDescent="0.25">
      <c r="F9630" s="6"/>
      <c r="G9630" s="6"/>
      <c r="H9630" s="6"/>
      <c r="I9630" s="118"/>
      <c r="J9630" s="119"/>
    </row>
    <row r="9631" spans="6:10" x14ac:dyDescent="0.25">
      <c r="F9631" s="6"/>
      <c r="G9631" s="6"/>
      <c r="H9631" s="6"/>
      <c r="I9631" s="118"/>
      <c r="J9631" s="119"/>
    </row>
    <row r="9632" spans="6:10" x14ac:dyDescent="0.25">
      <c r="F9632" s="6"/>
      <c r="G9632" s="6"/>
      <c r="H9632" s="6"/>
      <c r="I9632" s="118"/>
      <c r="J9632" s="119"/>
    </row>
    <row r="9633" spans="6:10" x14ac:dyDescent="0.25">
      <c r="F9633" s="6"/>
      <c r="G9633" s="6"/>
      <c r="H9633" s="6"/>
      <c r="I9633" s="118"/>
      <c r="J9633" s="119"/>
    </row>
    <row r="9634" spans="6:10" x14ac:dyDescent="0.25">
      <c r="F9634" s="6"/>
      <c r="G9634" s="6"/>
      <c r="H9634" s="6"/>
      <c r="I9634" s="118"/>
      <c r="J9634" s="119"/>
    </row>
    <row r="9635" spans="6:10" x14ac:dyDescent="0.25">
      <c r="F9635" s="6"/>
      <c r="G9635" s="6"/>
      <c r="H9635" s="6"/>
      <c r="I9635" s="118"/>
      <c r="J9635" s="119"/>
    </row>
    <row r="9636" spans="6:10" x14ac:dyDescent="0.25">
      <c r="F9636" s="6"/>
      <c r="G9636" s="6"/>
      <c r="H9636" s="6"/>
      <c r="I9636" s="118"/>
      <c r="J9636" s="119"/>
    </row>
    <row r="9637" spans="6:10" x14ac:dyDescent="0.25">
      <c r="F9637" s="6"/>
      <c r="G9637" s="6"/>
      <c r="H9637" s="6"/>
      <c r="I9637" s="118"/>
      <c r="J9637" s="119"/>
    </row>
    <row r="9638" spans="6:10" x14ac:dyDescent="0.25">
      <c r="F9638" s="6"/>
      <c r="G9638" s="6"/>
      <c r="H9638" s="6"/>
      <c r="I9638" s="118"/>
      <c r="J9638" s="119"/>
    </row>
    <row r="9639" spans="6:10" x14ac:dyDescent="0.25">
      <c r="F9639" s="6"/>
      <c r="G9639" s="6"/>
      <c r="H9639" s="6"/>
      <c r="I9639" s="118"/>
      <c r="J9639" s="119"/>
    </row>
    <row r="9640" spans="6:10" x14ac:dyDescent="0.25">
      <c r="F9640" s="6"/>
      <c r="G9640" s="6"/>
      <c r="H9640" s="6"/>
      <c r="I9640" s="118"/>
      <c r="J9640" s="119"/>
    </row>
    <row r="9641" spans="6:10" x14ac:dyDescent="0.25">
      <c r="F9641" s="6"/>
      <c r="G9641" s="6"/>
      <c r="H9641" s="6"/>
      <c r="I9641" s="118"/>
      <c r="J9641" s="119"/>
    </row>
    <row r="9642" spans="6:10" x14ac:dyDescent="0.25">
      <c r="F9642" s="6"/>
      <c r="G9642" s="6"/>
      <c r="H9642" s="6"/>
      <c r="I9642" s="118"/>
      <c r="J9642" s="119"/>
    </row>
    <row r="9643" spans="6:10" x14ac:dyDescent="0.25">
      <c r="F9643" s="6"/>
      <c r="G9643" s="6"/>
      <c r="H9643" s="6"/>
      <c r="I9643" s="118"/>
      <c r="J9643" s="119"/>
    </row>
    <row r="9644" spans="6:10" x14ac:dyDescent="0.25">
      <c r="F9644" s="6"/>
      <c r="G9644" s="6"/>
      <c r="H9644" s="6"/>
      <c r="I9644" s="118"/>
      <c r="J9644" s="119"/>
    </row>
    <row r="9645" spans="6:10" x14ac:dyDescent="0.25">
      <c r="F9645" s="6"/>
      <c r="G9645" s="6"/>
      <c r="H9645" s="6"/>
      <c r="I9645" s="118"/>
      <c r="J9645" s="119"/>
    </row>
    <row r="9646" spans="6:10" x14ac:dyDescent="0.25">
      <c r="F9646" s="6"/>
      <c r="G9646" s="6"/>
      <c r="H9646" s="6"/>
      <c r="I9646" s="118"/>
      <c r="J9646" s="119"/>
    </row>
    <row r="9647" spans="6:10" x14ac:dyDescent="0.25">
      <c r="F9647" s="6"/>
      <c r="G9647" s="6"/>
      <c r="H9647" s="6"/>
      <c r="I9647" s="118"/>
      <c r="J9647" s="119"/>
    </row>
    <row r="9648" spans="6:10" x14ac:dyDescent="0.25">
      <c r="F9648" s="6"/>
      <c r="G9648" s="6"/>
      <c r="H9648" s="6"/>
      <c r="I9648" s="118"/>
      <c r="J9648" s="119"/>
    </row>
    <row r="9649" spans="6:10" x14ac:dyDescent="0.25">
      <c r="F9649" s="6"/>
      <c r="G9649" s="6"/>
      <c r="H9649" s="6"/>
      <c r="I9649" s="118"/>
      <c r="J9649" s="119"/>
    </row>
    <row r="9650" spans="6:10" x14ac:dyDescent="0.25">
      <c r="F9650" s="6"/>
      <c r="G9650" s="6"/>
      <c r="H9650" s="6"/>
      <c r="I9650" s="118"/>
      <c r="J9650" s="119"/>
    </row>
    <row r="9651" spans="6:10" x14ac:dyDescent="0.25">
      <c r="F9651" s="6"/>
      <c r="G9651" s="6"/>
      <c r="H9651" s="6"/>
      <c r="I9651" s="118"/>
      <c r="J9651" s="119"/>
    </row>
    <row r="9652" spans="6:10" x14ac:dyDescent="0.25">
      <c r="F9652" s="6"/>
      <c r="G9652" s="6"/>
      <c r="H9652" s="6"/>
      <c r="I9652" s="118"/>
      <c r="J9652" s="119"/>
    </row>
    <row r="9653" spans="6:10" x14ac:dyDescent="0.25">
      <c r="F9653" s="6"/>
      <c r="G9653" s="6"/>
      <c r="H9653" s="6"/>
      <c r="I9653" s="118"/>
      <c r="J9653" s="119"/>
    </row>
    <row r="9654" spans="6:10" x14ac:dyDescent="0.25">
      <c r="F9654" s="6"/>
      <c r="G9654" s="6"/>
      <c r="H9654" s="6"/>
      <c r="I9654" s="118"/>
      <c r="J9654" s="119"/>
    </row>
    <row r="9655" spans="6:10" x14ac:dyDescent="0.25">
      <c r="F9655" s="6"/>
      <c r="G9655" s="6"/>
      <c r="H9655" s="6"/>
      <c r="I9655" s="118"/>
      <c r="J9655" s="119"/>
    </row>
    <row r="9656" spans="6:10" x14ac:dyDescent="0.25">
      <c r="F9656" s="6"/>
      <c r="G9656" s="6"/>
      <c r="H9656" s="6"/>
      <c r="I9656" s="118"/>
      <c r="J9656" s="119"/>
    </row>
    <row r="9657" spans="6:10" x14ac:dyDescent="0.25">
      <c r="F9657" s="6"/>
      <c r="G9657" s="6"/>
      <c r="H9657" s="6"/>
      <c r="I9657" s="118"/>
      <c r="J9657" s="119"/>
    </row>
    <row r="9658" spans="6:10" x14ac:dyDescent="0.25">
      <c r="F9658" s="6"/>
      <c r="G9658" s="6"/>
      <c r="H9658" s="6"/>
      <c r="I9658" s="118"/>
      <c r="J9658" s="119"/>
    </row>
    <row r="9659" spans="6:10" x14ac:dyDescent="0.25">
      <c r="F9659" s="6"/>
      <c r="G9659" s="6"/>
      <c r="H9659" s="6"/>
      <c r="I9659" s="118"/>
      <c r="J9659" s="119"/>
    </row>
    <row r="9660" spans="6:10" x14ac:dyDescent="0.25">
      <c r="F9660" s="6"/>
      <c r="G9660" s="6"/>
      <c r="H9660" s="6"/>
      <c r="I9660" s="118"/>
      <c r="J9660" s="119"/>
    </row>
    <row r="9661" spans="6:10" x14ac:dyDescent="0.25">
      <c r="F9661" s="6"/>
      <c r="G9661" s="6"/>
      <c r="H9661" s="6"/>
      <c r="I9661" s="118"/>
      <c r="J9661" s="119"/>
    </row>
    <row r="9662" spans="6:10" x14ac:dyDescent="0.25">
      <c r="F9662" s="6"/>
      <c r="G9662" s="6"/>
      <c r="H9662" s="6"/>
      <c r="I9662" s="118"/>
      <c r="J9662" s="119"/>
    </row>
    <row r="9663" spans="6:10" x14ac:dyDescent="0.25">
      <c r="F9663" s="6"/>
      <c r="G9663" s="6"/>
      <c r="H9663" s="6"/>
      <c r="I9663" s="118"/>
      <c r="J9663" s="119"/>
    </row>
    <row r="9664" spans="6:10" x14ac:dyDescent="0.25">
      <c r="F9664" s="6"/>
      <c r="G9664" s="6"/>
      <c r="H9664" s="6"/>
      <c r="I9664" s="118"/>
      <c r="J9664" s="119"/>
    </row>
    <row r="9665" spans="6:10" x14ac:dyDescent="0.25">
      <c r="F9665" s="6"/>
      <c r="G9665" s="6"/>
      <c r="H9665" s="6"/>
      <c r="I9665" s="118"/>
      <c r="J9665" s="119"/>
    </row>
    <row r="9666" spans="6:10" x14ac:dyDescent="0.25">
      <c r="F9666" s="6"/>
      <c r="G9666" s="6"/>
      <c r="H9666" s="6"/>
      <c r="I9666" s="118"/>
      <c r="J9666" s="119"/>
    </row>
    <row r="9667" spans="6:10" x14ac:dyDescent="0.25">
      <c r="F9667" s="6"/>
      <c r="G9667" s="6"/>
      <c r="H9667" s="6"/>
      <c r="I9667" s="118"/>
      <c r="J9667" s="119"/>
    </row>
    <row r="9668" spans="6:10" x14ac:dyDescent="0.25">
      <c r="F9668" s="6"/>
      <c r="G9668" s="6"/>
      <c r="H9668" s="6"/>
      <c r="I9668" s="118"/>
      <c r="J9668" s="119"/>
    </row>
    <row r="9669" spans="6:10" x14ac:dyDescent="0.25">
      <c r="F9669" s="6"/>
      <c r="G9669" s="6"/>
      <c r="H9669" s="6"/>
      <c r="I9669" s="118"/>
      <c r="J9669" s="119"/>
    </row>
    <row r="9670" spans="6:10" x14ac:dyDescent="0.25">
      <c r="F9670" s="6"/>
      <c r="G9670" s="6"/>
      <c r="H9670" s="6"/>
      <c r="I9670" s="118"/>
      <c r="J9670" s="119"/>
    </row>
    <row r="9671" spans="6:10" x14ac:dyDescent="0.25">
      <c r="F9671" s="6"/>
      <c r="G9671" s="6"/>
      <c r="H9671" s="6"/>
      <c r="I9671" s="118"/>
      <c r="J9671" s="119"/>
    </row>
    <row r="9672" spans="6:10" x14ac:dyDescent="0.25">
      <c r="F9672" s="6"/>
      <c r="G9672" s="6"/>
      <c r="H9672" s="6"/>
      <c r="I9672" s="118"/>
      <c r="J9672" s="119"/>
    </row>
    <row r="9673" spans="6:10" x14ac:dyDescent="0.25">
      <c r="F9673" s="6"/>
      <c r="G9673" s="6"/>
      <c r="H9673" s="6"/>
      <c r="I9673" s="118"/>
      <c r="J9673" s="119"/>
    </row>
    <row r="9674" spans="6:10" x14ac:dyDescent="0.25">
      <c r="F9674" s="6"/>
      <c r="G9674" s="6"/>
      <c r="H9674" s="6"/>
      <c r="I9674" s="118"/>
      <c r="J9674" s="119"/>
    </row>
    <row r="9675" spans="6:10" x14ac:dyDescent="0.25">
      <c r="F9675" s="6"/>
      <c r="G9675" s="6"/>
      <c r="H9675" s="6"/>
      <c r="I9675" s="118"/>
      <c r="J9675" s="119"/>
    </row>
    <row r="9676" spans="6:10" x14ac:dyDescent="0.25">
      <c r="F9676" s="6"/>
      <c r="G9676" s="6"/>
      <c r="H9676" s="6"/>
      <c r="I9676" s="118"/>
      <c r="J9676" s="119"/>
    </row>
    <row r="9677" spans="6:10" x14ac:dyDescent="0.25">
      <c r="F9677" s="6"/>
      <c r="G9677" s="6"/>
      <c r="H9677" s="6"/>
      <c r="I9677" s="118"/>
      <c r="J9677" s="119"/>
    </row>
    <row r="9678" spans="6:10" x14ac:dyDescent="0.25">
      <c r="F9678" s="6"/>
      <c r="G9678" s="6"/>
      <c r="H9678" s="6"/>
      <c r="I9678" s="118"/>
      <c r="J9678" s="119"/>
    </row>
    <row r="9679" spans="6:10" x14ac:dyDescent="0.25">
      <c r="F9679" s="6"/>
      <c r="G9679" s="6"/>
      <c r="H9679" s="6"/>
      <c r="I9679" s="118"/>
      <c r="J9679" s="119"/>
    </row>
    <row r="9680" spans="6:10" x14ac:dyDescent="0.25">
      <c r="F9680" s="6"/>
      <c r="G9680" s="6"/>
      <c r="H9680" s="6"/>
      <c r="I9680" s="118"/>
      <c r="J9680" s="119"/>
    </row>
    <row r="9681" spans="6:10" x14ac:dyDescent="0.25">
      <c r="F9681" s="6"/>
      <c r="G9681" s="6"/>
      <c r="H9681" s="6"/>
      <c r="I9681" s="118"/>
      <c r="J9681" s="119"/>
    </row>
    <row r="9682" spans="6:10" x14ac:dyDescent="0.25">
      <c r="F9682" s="6"/>
      <c r="G9682" s="6"/>
      <c r="H9682" s="6"/>
      <c r="I9682" s="118"/>
      <c r="J9682" s="119"/>
    </row>
    <row r="9683" spans="6:10" x14ac:dyDescent="0.25">
      <c r="F9683" s="6"/>
      <c r="G9683" s="6"/>
      <c r="H9683" s="6"/>
      <c r="I9683" s="118"/>
      <c r="J9683" s="119"/>
    </row>
    <row r="9684" spans="6:10" x14ac:dyDescent="0.25">
      <c r="F9684" s="6"/>
      <c r="G9684" s="6"/>
      <c r="H9684" s="6"/>
      <c r="I9684" s="118"/>
      <c r="J9684" s="119"/>
    </row>
    <row r="9685" spans="6:10" x14ac:dyDescent="0.25">
      <c r="F9685" s="6"/>
      <c r="G9685" s="6"/>
      <c r="H9685" s="6"/>
      <c r="I9685" s="118"/>
      <c r="J9685" s="119"/>
    </row>
    <row r="9686" spans="6:10" x14ac:dyDescent="0.25">
      <c r="F9686" s="6"/>
      <c r="G9686" s="6"/>
      <c r="H9686" s="6"/>
      <c r="I9686" s="118"/>
      <c r="J9686" s="119"/>
    </row>
    <row r="9687" spans="6:10" x14ac:dyDescent="0.25">
      <c r="F9687" s="6"/>
      <c r="G9687" s="6"/>
      <c r="H9687" s="6"/>
      <c r="I9687" s="118"/>
      <c r="J9687" s="119"/>
    </row>
    <row r="9688" spans="6:10" x14ac:dyDescent="0.25">
      <c r="F9688" s="6"/>
      <c r="G9688" s="6"/>
      <c r="H9688" s="6"/>
      <c r="I9688" s="118"/>
      <c r="J9688" s="119"/>
    </row>
    <row r="9689" spans="6:10" x14ac:dyDescent="0.25">
      <c r="F9689" s="6"/>
      <c r="G9689" s="6"/>
      <c r="H9689" s="6"/>
      <c r="I9689" s="118"/>
      <c r="J9689" s="119"/>
    </row>
    <row r="9690" spans="6:10" x14ac:dyDescent="0.25">
      <c r="F9690" s="6"/>
      <c r="G9690" s="6"/>
      <c r="H9690" s="6"/>
      <c r="I9690" s="118"/>
      <c r="J9690" s="119"/>
    </row>
    <row r="9691" spans="6:10" x14ac:dyDescent="0.25">
      <c r="F9691" s="6"/>
      <c r="G9691" s="6"/>
      <c r="H9691" s="6"/>
      <c r="I9691" s="118"/>
      <c r="J9691" s="119"/>
    </row>
    <row r="9692" spans="6:10" x14ac:dyDescent="0.25">
      <c r="F9692" s="6"/>
      <c r="G9692" s="6"/>
      <c r="H9692" s="6"/>
      <c r="I9692" s="118"/>
      <c r="J9692" s="119"/>
    </row>
    <row r="9693" spans="6:10" x14ac:dyDescent="0.25">
      <c r="F9693" s="6"/>
      <c r="G9693" s="6"/>
      <c r="H9693" s="6"/>
      <c r="I9693" s="118"/>
      <c r="J9693" s="119"/>
    </row>
    <row r="9694" spans="6:10" x14ac:dyDescent="0.25">
      <c r="F9694" s="6"/>
      <c r="G9694" s="6"/>
      <c r="H9694" s="6"/>
      <c r="I9694" s="118"/>
      <c r="J9694" s="119"/>
    </row>
    <row r="9695" spans="6:10" x14ac:dyDescent="0.25">
      <c r="F9695" s="6"/>
      <c r="G9695" s="6"/>
      <c r="H9695" s="6"/>
      <c r="I9695" s="118"/>
      <c r="J9695" s="119"/>
    </row>
    <row r="9696" spans="6:10" x14ac:dyDescent="0.25">
      <c r="F9696" s="6"/>
      <c r="G9696" s="6"/>
      <c r="H9696" s="6"/>
      <c r="I9696" s="118"/>
      <c r="J9696" s="119"/>
    </row>
    <row r="9697" spans="6:10" x14ac:dyDescent="0.25">
      <c r="F9697" s="6"/>
      <c r="G9697" s="6"/>
      <c r="H9697" s="6"/>
      <c r="I9697" s="118"/>
      <c r="J9697" s="119"/>
    </row>
    <row r="9698" spans="6:10" x14ac:dyDescent="0.25">
      <c r="F9698" s="6"/>
      <c r="G9698" s="6"/>
      <c r="H9698" s="6"/>
      <c r="I9698" s="118"/>
      <c r="J9698" s="119"/>
    </row>
    <row r="9699" spans="6:10" x14ac:dyDescent="0.25">
      <c r="F9699" s="6"/>
      <c r="G9699" s="6"/>
      <c r="H9699" s="6"/>
      <c r="I9699" s="118"/>
      <c r="J9699" s="119"/>
    </row>
    <row r="9700" spans="6:10" x14ac:dyDescent="0.25">
      <c r="F9700" s="6"/>
      <c r="G9700" s="6"/>
      <c r="H9700" s="6"/>
      <c r="I9700" s="118"/>
      <c r="J9700" s="119"/>
    </row>
    <row r="9701" spans="6:10" x14ac:dyDescent="0.25">
      <c r="F9701" s="6"/>
      <c r="G9701" s="6"/>
      <c r="H9701" s="6"/>
      <c r="I9701" s="118"/>
      <c r="J9701" s="119"/>
    </row>
    <row r="9702" spans="6:10" x14ac:dyDescent="0.25">
      <c r="F9702" s="6"/>
      <c r="G9702" s="6"/>
      <c r="H9702" s="6"/>
      <c r="I9702" s="118"/>
      <c r="J9702" s="119"/>
    </row>
    <row r="9703" spans="6:10" x14ac:dyDescent="0.25">
      <c r="F9703" s="6"/>
      <c r="G9703" s="6"/>
      <c r="H9703" s="6"/>
      <c r="I9703" s="118"/>
      <c r="J9703" s="119"/>
    </row>
    <row r="9704" spans="6:10" x14ac:dyDescent="0.25">
      <c r="F9704" s="6"/>
      <c r="G9704" s="6"/>
      <c r="H9704" s="6"/>
      <c r="I9704" s="118"/>
      <c r="J9704" s="119"/>
    </row>
    <row r="9705" spans="6:10" x14ac:dyDescent="0.25">
      <c r="F9705" s="6"/>
      <c r="G9705" s="6"/>
      <c r="H9705" s="6"/>
      <c r="I9705" s="118"/>
      <c r="J9705" s="119"/>
    </row>
    <row r="9706" spans="6:10" x14ac:dyDescent="0.25">
      <c r="F9706" s="6"/>
      <c r="G9706" s="6"/>
      <c r="H9706" s="6"/>
      <c r="I9706" s="118"/>
      <c r="J9706" s="119"/>
    </row>
    <row r="9707" spans="6:10" x14ac:dyDescent="0.25">
      <c r="F9707" s="6"/>
      <c r="G9707" s="6"/>
      <c r="H9707" s="6"/>
      <c r="I9707" s="118"/>
      <c r="J9707" s="119"/>
    </row>
    <row r="9708" spans="6:10" x14ac:dyDescent="0.25">
      <c r="F9708" s="6"/>
      <c r="G9708" s="6"/>
      <c r="H9708" s="6"/>
      <c r="I9708" s="118"/>
      <c r="J9708" s="119"/>
    </row>
    <row r="9709" spans="6:10" x14ac:dyDescent="0.25">
      <c r="F9709" s="6"/>
      <c r="G9709" s="6"/>
      <c r="H9709" s="6"/>
      <c r="I9709" s="118"/>
      <c r="J9709" s="119"/>
    </row>
    <row r="9710" spans="6:10" x14ac:dyDescent="0.25">
      <c r="F9710" s="6"/>
      <c r="G9710" s="6"/>
      <c r="H9710" s="6"/>
      <c r="I9710" s="118"/>
      <c r="J9710" s="119"/>
    </row>
    <row r="9711" spans="6:10" x14ac:dyDescent="0.25">
      <c r="F9711" s="6"/>
      <c r="G9711" s="6"/>
      <c r="H9711" s="6"/>
      <c r="I9711" s="118"/>
      <c r="J9711" s="119"/>
    </row>
    <row r="9712" spans="6:10" x14ac:dyDescent="0.25">
      <c r="F9712" s="6"/>
      <c r="G9712" s="6"/>
      <c r="H9712" s="6"/>
      <c r="I9712" s="118"/>
      <c r="J9712" s="119"/>
    </row>
    <row r="9713" spans="6:10" x14ac:dyDescent="0.25">
      <c r="F9713" s="6"/>
      <c r="G9713" s="6"/>
      <c r="H9713" s="6"/>
      <c r="I9713" s="118"/>
      <c r="J9713" s="119"/>
    </row>
    <row r="9714" spans="6:10" x14ac:dyDescent="0.25">
      <c r="F9714" s="6"/>
      <c r="G9714" s="6"/>
      <c r="H9714" s="6"/>
      <c r="I9714" s="118"/>
      <c r="J9714" s="119"/>
    </row>
    <row r="9715" spans="6:10" x14ac:dyDescent="0.25">
      <c r="F9715" s="6"/>
      <c r="G9715" s="6"/>
      <c r="H9715" s="6"/>
      <c r="I9715" s="118"/>
      <c r="J9715" s="119"/>
    </row>
    <row r="9716" spans="6:10" x14ac:dyDescent="0.25">
      <c r="F9716" s="6"/>
      <c r="G9716" s="6"/>
      <c r="H9716" s="6"/>
      <c r="I9716" s="118"/>
      <c r="J9716" s="119"/>
    </row>
    <row r="9717" spans="6:10" x14ac:dyDescent="0.25">
      <c r="F9717" s="6"/>
      <c r="G9717" s="6"/>
      <c r="H9717" s="6"/>
      <c r="I9717" s="118"/>
      <c r="J9717" s="119"/>
    </row>
    <row r="9718" spans="6:10" x14ac:dyDescent="0.25">
      <c r="F9718" s="6"/>
      <c r="G9718" s="6"/>
      <c r="H9718" s="6"/>
      <c r="I9718" s="118"/>
      <c r="J9718" s="119"/>
    </row>
    <row r="9719" spans="6:10" x14ac:dyDescent="0.25">
      <c r="F9719" s="6"/>
      <c r="G9719" s="6"/>
      <c r="H9719" s="6"/>
      <c r="I9719" s="118"/>
      <c r="J9719" s="119"/>
    </row>
    <row r="9720" spans="6:10" x14ac:dyDescent="0.25">
      <c r="F9720" s="6"/>
      <c r="G9720" s="6"/>
      <c r="H9720" s="6"/>
      <c r="I9720" s="118"/>
      <c r="J9720" s="119"/>
    </row>
    <row r="9721" spans="6:10" x14ac:dyDescent="0.25">
      <c r="F9721" s="6"/>
      <c r="G9721" s="6"/>
      <c r="H9721" s="6"/>
      <c r="I9721" s="118"/>
      <c r="J9721" s="119"/>
    </row>
    <row r="9722" spans="6:10" x14ac:dyDescent="0.25">
      <c r="F9722" s="6"/>
      <c r="G9722" s="6"/>
      <c r="H9722" s="6"/>
      <c r="I9722" s="118"/>
      <c r="J9722" s="119"/>
    </row>
    <row r="9723" spans="6:10" x14ac:dyDescent="0.25">
      <c r="F9723" s="6"/>
      <c r="G9723" s="6"/>
      <c r="H9723" s="6"/>
      <c r="I9723" s="118"/>
      <c r="J9723" s="119"/>
    </row>
    <row r="9724" spans="6:10" x14ac:dyDescent="0.25">
      <c r="F9724" s="6"/>
      <c r="G9724" s="6"/>
      <c r="H9724" s="6"/>
      <c r="I9724" s="118"/>
      <c r="J9724" s="119"/>
    </row>
    <row r="9725" spans="6:10" x14ac:dyDescent="0.25">
      <c r="F9725" s="6"/>
      <c r="G9725" s="6"/>
      <c r="H9725" s="6"/>
      <c r="I9725" s="118"/>
      <c r="J9725" s="119"/>
    </row>
    <row r="9726" spans="6:10" x14ac:dyDescent="0.25">
      <c r="F9726" s="6"/>
      <c r="G9726" s="6"/>
      <c r="H9726" s="6"/>
      <c r="I9726" s="118"/>
      <c r="J9726" s="119"/>
    </row>
    <row r="9727" spans="6:10" x14ac:dyDescent="0.25">
      <c r="F9727" s="6"/>
      <c r="G9727" s="6"/>
      <c r="H9727" s="6"/>
      <c r="I9727" s="118"/>
      <c r="J9727" s="119"/>
    </row>
    <row r="9728" spans="6:10" x14ac:dyDescent="0.25">
      <c r="F9728" s="6"/>
      <c r="G9728" s="6"/>
      <c r="H9728" s="6"/>
      <c r="I9728" s="118"/>
      <c r="J9728" s="119"/>
    </row>
    <row r="9729" spans="6:10" x14ac:dyDescent="0.25">
      <c r="F9729" s="6"/>
      <c r="G9729" s="6"/>
      <c r="H9729" s="6"/>
      <c r="I9729" s="118"/>
      <c r="J9729" s="119"/>
    </row>
    <row r="9730" spans="6:10" x14ac:dyDescent="0.25">
      <c r="F9730" s="6"/>
      <c r="G9730" s="6"/>
      <c r="H9730" s="6"/>
      <c r="I9730" s="118"/>
      <c r="J9730" s="119"/>
    </row>
    <row r="9731" spans="6:10" x14ac:dyDescent="0.25">
      <c r="F9731" s="6"/>
      <c r="G9731" s="6"/>
      <c r="H9731" s="6"/>
      <c r="I9731" s="118"/>
      <c r="J9731" s="119"/>
    </row>
    <row r="9732" spans="6:10" x14ac:dyDescent="0.25">
      <c r="F9732" s="6"/>
      <c r="G9732" s="6"/>
      <c r="H9732" s="6"/>
      <c r="I9732" s="118"/>
      <c r="J9732" s="119"/>
    </row>
    <row r="9733" spans="6:10" x14ac:dyDescent="0.25">
      <c r="F9733" s="6"/>
      <c r="G9733" s="6"/>
      <c r="H9733" s="6"/>
      <c r="I9733" s="118"/>
      <c r="J9733" s="119"/>
    </row>
    <row r="9734" spans="6:10" x14ac:dyDescent="0.25">
      <c r="F9734" s="6"/>
      <c r="G9734" s="6"/>
      <c r="H9734" s="6"/>
      <c r="I9734" s="118"/>
      <c r="J9734" s="119"/>
    </row>
    <row r="9735" spans="6:10" x14ac:dyDescent="0.25">
      <c r="F9735" s="6"/>
      <c r="G9735" s="6"/>
      <c r="H9735" s="6"/>
      <c r="I9735" s="118"/>
      <c r="J9735" s="119"/>
    </row>
    <row r="9736" spans="6:10" x14ac:dyDescent="0.25">
      <c r="F9736" s="6"/>
      <c r="G9736" s="6"/>
      <c r="H9736" s="6"/>
      <c r="I9736" s="118"/>
      <c r="J9736" s="119"/>
    </row>
    <row r="9737" spans="6:10" x14ac:dyDescent="0.25">
      <c r="F9737" s="6"/>
      <c r="G9737" s="6"/>
      <c r="H9737" s="6"/>
      <c r="I9737" s="118"/>
      <c r="J9737" s="119"/>
    </row>
    <row r="9738" spans="6:10" x14ac:dyDescent="0.25">
      <c r="F9738" s="6"/>
      <c r="G9738" s="6"/>
      <c r="H9738" s="6"/>
      <c r="I9738" s="118"/>
      <c r="J9738" s="119"/>
    </row>
    <row r="9739" spans="6:10" x14ac:dyDescent="0.25">
      <c r="F9739" s="6"/>
      <c r="G9739" s="6"/>
      <c r="H9739" s="6"/>
      <c r="I9739" s="118"/>
      <c r="J9739" s="119"/>
    </row>
    <row r="9740" spans="6:10" x14ac:dyDescent="0.25">
      <c r="F9740" s="6"/>
      <c r="G9740" s="6"/>
      <c r="H9740" s="6"/>
      <c r="I9740" s="118"/>
      <c r="J9740" s="119"/>
    </row>
    <row r="9741" spans="6:10" x14ac:dyDescent="0.25">
      <c r="F9741" s="6"/>
      <c r="G9741" s="6"/>
      <c r="H9741" s="6"/>
      <c r="I9741" s="118"/>
      <c r="J9741" s="119"/>
    </row>
    <row r="9742" spans="6:10" x14ac:dyDescent="0.25">
      <c r="F9742" s="6"/>
      <c r="G9742" s="6"/>
      <c r="H9742" s="6"/>
      <c r="I9742" s="118"/>
      <c r="J9742" s="119"/>
    </row>
    <row r="9743" spans="6:10" x14ac:dyDescent="0.25">
      <c r="F9743" s="6"/>
      <c r="G9743" s="6"/>
      <c r="H9743" s="6"/>
      <c r="I9743" s="118"/>
      <c r="J9743" s="119"/>
    </row>
    <row r="9744" spans="6:10" x14ac:dyDescent="0.25">
      <c r="F9744" s="6"/>
      <c r="G9744" s="6"/>
      <c r="H9744" s="6"/>
      <c r="I9744" s="118"/>
      <c r="J9744" s="119"/>
    </row>
    <row r="9745" spans="6:10" x14ac:dyDescent="0.25">
      <c r="F9745" s="6"/>
      <c r="G9745" s="6"/>
      <c r="H9745" s="6"/>
      <c r="I9745" s="118"/>
      <c r="J9745" s="119"/>
    </row>
    <row r="9746" spans="6:10" x14ac:dyDescent="0.25">
      <c r="F9746" s="6"/>
      <c r="G9746" s="6"/>
      <c r="H9746" s="6"/>
      <c r="I9746" s="118"/>
      <c r="J9746" s="119"/>
    </row>
    <row r="9747" spans="6:10" x14ac:dyDescent="0.25">
      <c r="F9747" s="6"/>
      <c r="G9747" s="6"/>
      <c r="H9747" s="6"/>
      <c r="I9747" s="118"/>
      <c r="J9747" s="119"/>
    </row>
    <row r="9748" spans="6:10" x14ac:dyDescent="0.25">
      <c r="F9748" s="6"/>
      <c r="G9748" s="6"/>
      <c r="H9748" s="6"/>
      <c r="I9748" s="118"/>
      <c r="J9748" s="119"/>
    </row>
    <row r="9749" spans="6:10" x14ac:dyDescent="0.25">
      <c r="F9749" s="6"/>
      <c r="G9749" s="6"/>
      <c r="H9749" s="6"/>
      <c r="I9749" s="118"/>
      <c r="J9749" s="119"/>
    </row>
    <row r="9750" spans="6:10" x14ac:dyDescent="0.25">
      <c r="F9750" s="6"/>
      <c r="G9750" s="6"/>
      <c r="H9750" s="6"/>
      <c r="I9750" s="118"/>
      <c r="J9750" s="119"/>
    </row>
    <row r="9751" spans="6:10" x14ac:dyDescent="0.25">
      <c r="F9751" s="6"/>
      <c r="G9751" s="6"/>
      <c r="H9751" s="6"/>
      <c r="I9751" s="118"/>
      <c r="J9751" s="119"/>
    </row>
    <row r="9752" spans="6:10" x14ac:dyDescent="0.25">
      <c r="F9752" s="6"/>
      <c r="G9752" s="6"/>
      <c r="H9752" s="6"/>
      <c r="I9752" s="118"/>
      <c r="J9752" s="119"/>
    </row>
    <row r="9753" spans="6:10" x14ac:dyDescent="0.25">
      <c r="F9753" s="6"/>
      <c r="G9753" s="6"/>
      <c r="H9753" s="6"/>
      <c r="I9753" s="118"/>
      <c r="J9753" s="119"/>
    </row>
    <row r="9754" spans="6:10" x14ac:dyDescent="0.25">
      <c r="F9754" s="6"/>
      <c r="G9754" s="6"/>
      <c r="H9754" s="6"/>
      <c r="I9754" s="118"/>
      <c r="J9754" s="119"/>
    </row>
    <row r="9755" spans="6:10" x14ac:dyDescent="0.25">
      <c r="F9755" s="6"/>
      <c r="G9755" s="6"/>
      <c r="H9755" s="6"/>
      <c r="I9755" s="118"/>
      <c r="J9755" s="119"/>
    </row>
    <row r="9756" spans="6:10" x14ac:dyDescent="0.25">
      <c r="F9756" s="6"/>
      <c r="G9756" s="6"/>
      <c r="H9756" s="6"/>
      <c r="I9756" s="118"/>
      <c r="J9756" s="119"/>
    </row>
    <row r="9757" spans="6:10" x14ac:dyDescent="0.25">
      <c r="F9757" s="6"/>
      <c r="G9757" s="6"/>
      <c r="H9757" s="6"/>
      <c r="I9757" s="118"/>
      <c r="J9757" s="119"/>
    </row>
    <row r="9758" spans="6:10" x14ac:dyDescent="0.25">
      <c r="F9758" s="6"/>
      <c r="G9758" s="6"/>
      <c r="H9758" s="6"/>
      <c r="I9758" s="118"/>
      <c r="J9758" s="119"/>
    </row>
    <row r="9759" spans="6:10" x14ac:dyDescent="0.25">
      <c r="F9759" s="6"/>
      <c r="G9759" s="6"/>
      <c r="H9759" s="6"/>
      <c r="I9759" s="118"/>
      <c r="J9759" s="119"/>
    </row>
    <row r="9760" spans="6:10" x14ac:dyDescent="0.25">
      <c r="F9760" s="6"/>
      <c r="G9760" s="6"/>
      <c r="H9760" s="6"/>
      <c r="I9760" s="118"/>
      <c r="J9760" s="119"/>
    </row>
    <row r="9761" spans="6:10" x14ac:dyDescent="0.25">
      <c r="F9761" s="6"/>
      <c r="G9761" s="6"/>
      <c r="H9761" s="6"/>
      <c r="I9761" s="118"/>
      <c r="J9761" s="119"/>
    </row>
    <row r="9762" spans="6:10" x14ac:dyDescent="0.25">
      <c r="F9762" s="6"/>
      <c r="G9762" s="6"/>
      <c r="H9762" s="6"/>
      <c r="I9762" s="118"/>
      <c r="J9762" s="119"/>
    </row>
    <row r="9763" spans="6:10" x14ac:dyDescent="0.25">
      <c r="F9763" s="6"/>
      <c r="G9763" s="6"/>
      <c r="H9763" s="6"/>
      <c r="I9763" s="118"/>
      <c r="J9763" s="119"/>
    </row>
    <row r="9764" spans="6:10" x14ac:dyDescent="0.25">
      <c r="F9764" s="6"/>
      <c r="G9764" s="6"/>
      <c r="H9764" s="6"/>
      <c r="I9764" s="118"/>
      <c r="J9764" s="119"/>
    </row>
    <row r="9765" spans="6:10" x14ac:dyDescent="0.25">
      <c r="F9765" s="6"/>
      <c r="G9765" s="6"/>
      <c r="H9765" s="6"/>
      <c r="I9765" s="118"/>
      <c r="J9765" s="119"/>
    </row>
    <row r="9766" spans="6:10" x14ac:dyDescent="0.25">
      <c r="F9766" s="6"/>
      <c r="G9766" s="6"/>
      <c r="H9766" s="6"/>
      <c r="I9766" s="118"/>
      <c r="J9766" s="119"/>
    </row>
    <row r="9767" spans="6:10" x14ac:dyDescent="0.25">
      <c r="F9767" s="6"/>
      <c r="G9767" s="6"/>
      <c r="H9767" s="6"/>
      <c r="I9767" s="118"/>
      <c r="J9767" s="119"/>
    </row>
    <row r="9768" spans="6:10" x14ac:dyDescent="0.25">
      <c r="F9768" s="6"/>
      <c r="G9768" s="6"/>
      <c r="H9768" s="6"/>
      <c r="I9768" s="118"/>
      <c r="J9768" s="119"/>
    </row>
    <row r="9769" spans="6:10" x14ac:dyDescent="0.25">
      <c r="F9769" s="6"/>
      <c r="G9769" s="6"/>
      <c r="H9769" s="6"/>
      <c r="I9769" s="118"/>
      <c r="J9769" s="119"/>
    </row>
    <row r="9770" spans="6:10" x14ac:dyDescent="0.25">
      <c r="F9770" s="6"/>
      <c r="G9770" s="6"/>
      <c r="H9770" s="6"/>
      <c r="I9770" s="118"/>
      <c r="J9770" s="119"/>
    </row>
    <row r="9771" spans="6:10" x14ac:dyDescent="0.25">
      <c r="F9771" s="6"/>
      <c r="G9771" s="6"/>
      <c r="H9771" s="6"/>
      <c r="I9771" s="118"/>
      <c r="J9771" s="119"/>
    </row>
    <row r="9772" spans="6:10" x14ac:dyDescent="0.25">
      <c r="F9772" s="6"/>
      <c r="G9772" s="6"/>
      <c r="H9772" s="6"/>
      <c r="I9772" s="118"/>
      <c r="J9772" s="119"/>
    </row>
    <row r="9773" spans="6:10" x14ac:dyDescent="0.25">
      <c r="F9773" s="6"/>
      <c r="G9773" s="6"/>
      <c r="H9773" s="6"/>
      <c r="I9773" s="118"/>
      <c r="J9773" s="119"/>
    </row>
    <row r="9774" spans="6:10" x14ac:dyDescent="0.25">
      <c r="F9774" s="6"/>
      <c r="G9774" s="6"/>
      <c r="H9774" s="6"/>
      <c r="I9774" s="118"/>
      <c r="J9774" s="119"/>
    </row>
    <row r="9775" spans="6:10" x14ac:dyDescent="0.25">
      <c r="F9775" s="6"/>
      <c r="G9775" s="6"/>
      <c r="H9775" s="6"/>
      <c r="I9775" s="118"/>
      <c r="J9775" s="119"/>
    </row>
    <row r="9776" spans="6:10" x14ac:dyDescent="0.25">
      <c r="F9776" s="6"/>
      <c r="G9776" s="6"/>
      <c r="H9776" s="6"/>
      <c r="I9776" s="118"/>
      <c r="J9776" s="119"/>
    </row>
    <row r="9777" spans="6:10" x14ac:dyDescent="0.25">
      <c r="F9777" s="6"/>
      <c r="G9777" s="6"/>
      <c r="H9777" s="6"/>
      <c r="I9777" s="118"/>
      <c r="J9777" s="119"/>
    </row>
    <row r="9778" spans="6:10" x14ac:dyDescent="0.25">
      <c r="F9778" s="6"/>
      <c r="G9778" s="6"/>
      <c r="H9778" s="6"/>
      <c r="I9778" s="118"/>
      <c r="J9778" s="119"/>
    </row>
    <row r="9779" spans="6:10" x14ac:dyDescent="0.25">
      <c r="F9779" s="6"/>
      <c r="G9779" s="6"/>
      <c r="H9779" s="6"/>
      <c r="I9779" s="118"/>
      <c r="J9779" s="119"/>
    </row>
    <row r="9780" spans="6:10" x14ac:dyDescent="0.25">
      <c r="F9780" s="6"/>
      <c r="G9780" s="6"/>
      <c r="H9780" s="6"/>
      <c r="I9780" s="118"/>
      <c r="J9780" s="119"/>
    </row>
    <row r="9781" spans="6:10" x14ac:dyDescent="0.25">
      <c r="F9781" s="6"/>
      <c r="G9781" s="6"/>
      <c r="H9781" s="6"/>
      <c r="I9781" s="118"/>
      <c r="J9781" s="119"/>
    </row>
    <row r="9782" spans="6:10" x14ac:dyDescent="0.25">
      <c r="F9782" s="6"/>
      <c r="G9782" s="6"/>
      <c r="H9782" s="6"/>
      <c r="I9782" s="118"/>
      <c r="J9782" s="119"/>
    </row>
    <row r="9783" spans="6:10" x14ac:dyDescent="0.25">
      <c r="F9783" s="6"/>
      <c r="G9783" s="6"/>
      <c r="H9783" s="6"/>
      <c r="I9783" s="118"/>
      <c r="J9783" s="119"/>
    </row>
    <row r="9784" spans="6:10" x14ac:dyDescent="0.25">
      <c r="F9784" s="6"/>
      <c r="G9784" s="6"/>
      <c r="H9784" s="6"/>
      <c r="I9784" s="118"/>
      <c r="J9784" s="119"/>
    </row>
    <row r="9785" spans="6:10" x14ac:dyDescent="0.25">
      <c r="F9785" s="6"/>
      <c r="G9785" s="6"/>
      <c r="H9785" s="6"/>
      <c r="I9785" s="118"/>
      <c r="J9785" s="119"/>
    </row>
    <row r="9786" spans="6:10" x14ac:dyDescent="0.25">
      <c r="F9786" s="6"/>
      <c r="G9786" s="6"/>
      <c r="H9786" s="6"/>
      <c r="I9786" s="118"/>
      <c r="J9786" s="119"/>
    </row>
    <row r="9787" spans="6:10" x14ac:dyDescent="0.25">
      <c r="F9787" s="6"/>
      <c r="G9787" s="6"/>
      <c r="H9787" s="6"/>
      <c r="I9787" s="118"/>
      <c r="J9787" s="119"/>
    </row>
    <row r="9788" spans="6:10" x14ac:dyDescent="0.25">
      <c r="F9788" s="6"/>
      <c r="G9788" s="6"/>
      <c r="H9788" s="6"/>
      <c r="I9788" s="118"/>
      <c r="J9788" s="119"/>
    </row>
    <row r="9789" spans="6:10" x14ac:dyDescent="0.25">
      <c r="F9789" s="6"/>
      <c r="G9789" s="6"/>
      <c r="H9789" s="6"/>
      <c r="I9789" s="118"/>
      <c r="J9789" s="119"/>
    </row>
    <row r="9790" spans="6:10" x14ac:dyDescent="0.25">
      <c r="F9790" s="6"/>
      <c r="G9790" s="6"/>
      <c r="H9790" s="6"/>
      <c r="I9790" s="118"/>
      <c r="J9790" s="119"/>
    </row>
    <row r="9791" spans="6:10" x14ac:dyDescent="0.25">
      <c r="F9791" s="6"/>
      <c r="G9791" s="6"/>
      <c r="H9791" s="6"/>
      <c r="I9791" s="118"/>
      <c r="J9791" s="119"/>
    </row>
    <row r="9792" spans="6:10" x14ac:dyDescent="0.25">
      <c r="F9792" s="6"/>
      <c r="G9792" s="6"/>
      <c r="H9792" s="6"/>
      <c r="I9792" s="118"/>
      <c r="J9792" s="119"/>
    </row>
    <row r="9793" spans="6:10" x14ac:dyDescent="0.25">
      <c r="F9793" s="6"/>
      <c r="G9793" s="6"/>
      <c r="H9793" s="6"/>
      <c r="I9793" s="118"/>
      <c r="J9793" s="119"/>
    </row>
    <row r="9794" spans="6:10" x14ac:dyDescent="0.25">
      <c r="F9794" s="6"/>
      <c r="G9794" s="6"/>
      <c r="H9794" s="6"/>
      <c r="I9794" s="118"/>
      <c r="J9794" s="119"/>
    </row>
    <row r="9795" spans="6:10" x14ac:dyDescent="0.25">
      <c r="F9795" s="6"/>
      <c r="G9795" s="6"/>
      <c r="H9795" s="6"/>
      <c r="I9795" s="118"/>
      <c r="J9795" s="119"/>
    </row>
    <row r="9796" spans="6:10" x14ac:dyDescent="0.25">
      <c r="F9796" s="6"/>
      <c r="G9796" s="6"/>
      <c r="H9796" s="6"/>
      <c r="I9796" s="118"/>
      <c r="J9796" s="119"/>
    </row>
    <row r="9797" spans="6:10" x14ac:dyDescent="0.25">
      <c r="F9797" s="6"/>
      <c r="G9797" s="6"/>
      <c r="H9797" s="6"/>
      <c r="I9797" s="118"/>
      <c r="J9797" s="119"/>
    </row>
    <row r="9798" spans="6:10" x14ac:dyDescent="0.25">
      <c r="F9798" s="6"/>
      <c r="G9798" s="6"/>
      <c r="H9798" s="6"/>
      <c r="I9798" s="118"/>
      <c r="J9798" s="119"/>
    </row>
    <row r="9799" spans="6:10" x14ac:dyDescent="0.25">
      <c r="F9799" s="6"/>
      <c r="G9799" s="6"/>
      <c r="H9799" s="6"/>
      <c r="I9799" s="118"/>
      <c r="J9799" s="119"/>
    </row>
    <row r="9800" spans="6:10" x14ac:dyDescent="0.25">
      <c r="F9800" s="6"/>
      <c r="G9800" s="6"/>
      <c r="H9800" s="6"/>
      <c r="I9800" s="118"/>
      <c r="J9800" s="119"/>
    </row>
    <row r="9801" spans="6:10" x14ac:dyDescent="0.25">
      <c r="F9801" s="6"/>
      <c r="G9801" s="6"/>
      <c r="H9801" s="6"/>
      <c r="I9801" s="118"/>
      <c r="J9801" s="119"/>
    </row>
    <row r="9802" spans="6:10" x14ac:dyDescent="0.25">
      <c r="F9802" s="6"/>
      <c r="G9802" s="6"/>
      <c r="H9802" s="6"/>
      <c r="I9802" s="118"/>
      <c r="J9802" s="119"/>
    </row>
    <row r="9803" spans="6:10" x14ac:dyDescent="0.25">
      <c r="F9803" s="6"/>
      <c r="G9803" s="6"/>
      <c r="H9803" s="6"/>
      <c r="I9803" s="118"/>
      <c r="J9803" s="119"/>
    </row>
    <row r="9804" spans="6:10" x14ac:dyDescent="0.25">
      <c r="F9804" s="6"/>
      <c r="G9804" s="6"/>
      <c r="H9804" s="6"/>
      <c r="I9804" s="118"/>
      <c r="J9804" s="119"/>
    </row>
    <row r="9805" spans="6:10" x14ac:dyDescent="0.25">
      <c r="F9805" s="6"/>
      <c r="G9805" s="6"/>
      <c r="H9805" s="6"/>
      <c r="I9805" s="118"/>
      <c r="J9805" s="119"/>
    </row>
    <row r="9806" spans="6:10" x14ac:dyDescent="0.25">
      <c r="F9806" s="6"/>
      <c r="G9806" s="6"/>
      <c r="H9806" s="6"/>
      <c r="I9806" s="118"/>
      <c r="J9806" s="119"/>
    </row>
    <row r="9807" spans="6:10" x14ac:dyDescent="0.25">
      <c r="F9807" s="6"/>
      <c r="G9807" s="6"/>
      <c r="H9807" s="6"/>
      <c r="I9807" s="118"/>
      <c r="J9807" s="119"/>
    </row>
    <row r="9808" spans="6:10" x14ac:dyDescent="0.25">
      <c r="F9808" s="6"/>
      <c r="G9808" s="6"/>
      <c r="H9808" s="6"/>
      <c r="I9808" s="118"/>
      <c r="J9808" s="119"/>
    </row>
    <row r="9809" spans="6:10" x14ac:dyDescent="0.25">
      <c r="F9809" s="6"/>
      <c r="G9809" s="6"/>
      <c r="H9809" s="6"/>
      <c r="I9809" s="118"/>
      <c r="J9809" s="119"/>
    </row>
    <row r="9810" spans="6:10" x14ac:dyDescent="0.25">
      <c r="F9810" s="6"/>
      <c r="G9810" s="6"/>
      <c r="H9810" s="6"/>
      <c r="I9810" s="118"/>
      <c r="J9810" s="119"/>
    </row>
    <row r="9811" spans="6:10" x14ac:dyDescent="0.25">
      <c r="F9811" s="6"/>
      <c r="G9811" s="6"/>
      <c r="H9811" s="6"/>
      <c r="I9811" s="118"/>
      <c r="J9811" s="119"/>
    </row>
    <row r="9812" spans="6:10" x14ac:dyDescent="0.25">
      <c r="F9812" s="6"/>
      <c r="G9812" s="6"/>
      <c r="H9812" s="6"/>
      <c r="I9812" s="118"/>
      <c r="J9812" s="119"/>
    </row>
    <row r="9813" spans="6:10" x14ac:dyDescent="0.25">
      <c r="F9813" s="6"/>
      <c r="G9813" s="6"/>
      <c r="H9813" s="6"/>
      <c r="I9813" s="118"/>
      <c r="J9813" s="119"/>
    </row>
    <row r="9814" spans="6:10" x14ac:dyDescent="0.25">
      <c r="F9814" s="6"/>
      <c r="G9814" s="6"/>
      <c r="H9814" s="6"/>
      <c r="I9814" s="118"/>
      <c r="J9814" s="119"/>
    </row>
    <row r="9815" spans="6:10" x14ac:dyDescent="0.25">
      <c r="F9815" s="6"/>
      <c r="G9815" s="6"/>
      <c r="H9815" s="6"/>
      <c r="I9815" s="118"/>
      <c r="J9815" s="119"/>
    </row>
    <row r="9816" spans="6:10" x14ac:dyDescent="0.25">
      <c r="F9816" s="6"/>
      <c r="G9816" s="6"/>
      <c r="H9816" s="6"/>
      <c r="I9816" s="118"/>
      <c r="J9816" s="119"/>
    </row>
    <row r="9817" spans="6:10" x14ac:dyDescent="0.25">
      <c r="F9817" s="6"/>
      <c r="G9817" s="6"/>
      <c r="H9817" s="6"/>
      <c r="I9817" s="118"/>
      <c r="J9817" s="119"/>
    </row>
    <row r="9818" spans="6:10" x14ac:dyDescent="0.25">
      <c r="F9818" s="6"/>
      <c r="G9818" s="6"/>
      <c r="H9818" s="6"/>
      <c r="I9818" s="118"/>
      <c r="J9818" s="119"/>
    </row>
    <row r="9819" spans="6:10" x14ac:dyDescent="0.25">
      <c r="F9819" s="6"/>
      <c r="G9819" s="6"/>
      <c r="H9819" s="6"/>
      <c r="I9819" s="118"/>
      <c r="J9819" s="119"/>
    </row>
    <row r="9820" spans="6:10" x14ac:dyDescent="0.25">
      <c r="F9820" s="6"/>
      <c r="G9820" s="6"/>
      <c r="H9820" s="6"/>
      <c r="I9820" s="118"/>
      <c r="J9820" s="119"/>
    </row>
    <row r="9821" spans="6:10" x14ac:dyDescent="0.25">
      <c r="F9821" s="6"/>
      <c r="G9821" s="6"/>
      <c r="H9821" s="6"/>
      <c r="I9821" s="118"/>
      <c r="J9821" s="119"/>
    </row>
    <row r="9822" spans="6:10" x14ac:dyDescent="0.25">
      <c r="F9822" s="6"/>
      <c r="G9822" s="6"/>
      <c r="H9822" s="6"/>
      <c r="I9822" s="118"/>
      <c r="J9822" s="119"/>
    </row>
    <row r="9823" spans="6:10" x14ac:dyDescent="0.25">
      <c r="F9823" s="6"/>
      <c r="G9823" s="6"/>
      <c r="H9823" s="6"/>
      <c r="I9823" s="118"/>
      <c r="J9823" s="119"/>
    </row>
    <row r="9824" spans="6:10" x14ac:dyDescent="0.25">
      <c r="F9824" s="6"/>
      <c r="G9824" s="6"/>
      <c r="H9824" s="6"/>
      <c r="I9824" s="118"/>
      <c r="J9824" s="119"/>
    </row>
    <row r="9825" spans="6:10" x14ac:dyDescent="0.25">
      <c r="F9825" s="6"/>
      <c r="G9825" s="6"/>
      <c r="H9825" s="6"/>
      <c r="I9825" s="118"/>
      <c r="J9825" s="119"/>
    </row>
    <row r="9826" spans="6:10" x14ac:dyDescent="0.25">
      <c r="F9826" s="6"/>
      <c r="G9826" s="6"/>
      <c r="H9826" s="6"/>
      <c r="I9826" s="118"/>
      <c r="J9826" s="119"/>
    </row>
    <row r="9827" spans="6:10" x14ac:dyDescent="0.25">
      <c r="F9827" s="6"/>
      <c r="G9827" s="6"/>
      <c r="H9827" s="6"/>
      <c r="I9827" s="118"/>
      <c r="J9827" s="119"/>
    </row>
    <row r="9828" spans="6:10" x14ac:dyDescent="0.25">
      <c r="F9828" s="6"/>
      <c r="G9828" s="6"/>
      <c r="H9828" s="6"/>
      <c r="I9828" s="118"/>
      <c r="J9828" s="119"/>
    </row>
    <row r="9829" spans="6:10" x14ac:dyDescent="0.25">
      <c r="F9829" s="6"/>
      <c r="G9829" s="6"/>
      <c r="H9829" s="6"/>
      <c r="I9829" s="118"/>
      <c r="J9829" s="119"/>
    </row>
    <row r="9830" spans="6:10" x14ac:dyDescent="0.25">
      <c r="F9830" s="6"/>
      <c r="G9830" s="6"/>
      <c r="H9830" s="6"/>
      <c r="I9830" s="118"/>
      <c r="J9830" s="119"/>
    </row>
    <row r="9831" spans="6:10" x14ac:dyDescent="0.25">
      <c r="F9831" s="6"/>
      <c r="G9831" s="6"/>
      <c r="H9831" s="6"/>
      <c r="I9831" s="118"/>
      <c r="J9831" s="119"/>
    </row>
    <row r="9832" spans="6:10" x14ac:dyDescent="0.25">
      <c r="F9832" s="6"/>
      <c r="G9832" s="6"/>
      <c r="H9832" s="6"/>
      <c r="I9832" s="118"/>
      <c r="J9832" s="119"/>
    </row>
    <row r="9833" spans="6:10" x14ac:dyDescent="0.25">
      <c r="F9833" s="6"/>
      <c r="G9833" s="6"/>
      <c r="H9833" s="6"/>
      <c r="I9833" s="118"/>
      <c r="J9833" s="119"/>
    </row>
    <row r="9834" spans="6:10" x14ac:dyDescent="0.25">
      <c r="F9834" s="6"/>
      <c r="G9834" s="6"/>
      <c r="H9834" s="6"/>
      <c r="I9834" s="118"/>
      <c r="J9834" s="119"/>
    </row>
    <row r="9835" spans="6:10" x14ac:dyDescent="0.25">
      <c r="F9835" s="6"/>
      <c r="G9835" s="6"/>
      <c r="H9835" s="6"/>
      <c r="I9835" s="118"/>
      <c r="J9835" s="119"/>
    </row>
    <row r="9836" spans="6:10" x14ac:dyDescent="0.25">
      <c r="F9836" s="6"/>
      <c r="G9836" s="6"/>
      <c r="H9836" s="6"/>
      <c r="I9836" s="118"/>
      <c r="J9836" s="119"/>
    </row>
    <row r="9837" spans="6:10" x14ac:dyDescent="0.25">
      <c r="F9837" s="6"/>
      <c r="G9837" s="6"/>
      <c r="H9837" s="6"/>
      <c r="I9837" s="118"/>
      <c r="J9837" s="119"/>
    </row>
    <row r="9838" spans="6:10" x14ac:dyDescent="0.25">
      <c r="F9838" s="6"/>
      <c r="G9838" s="6"/>
      <c r="H9838" s="6"/>
      <c r="I9838" s="118"/>
      <c r="J9838" s="119"/>
    </row>
    <row r="9839" spans="6:10" x14ac:dyDescent="0.25">
      <c r="F9839" s="6"/>
      <c r="G9839" s="6"/>
      <c r="H9839" s="6"/>
      <c r="I9839" s="118"/>
      <c r="J9839" s="119"/>
    </row>
    <row r="9840" spans="6:10" x14ac:dyDescent="0.25">
      <c r="F9840" s="6"/>
      <c r="G9840" s="6"/>
      <c r="H9840" s="6"/>
      <c r="I9840" s="118"/>
      <c r="J9840" s="119"/>
    </row>
    <row r="9841" spans="6:10" x14ac:dyDescent="0.25">
      <c r="F9841" s="6"/>
      <c r="G9841" s="6"/>
      <c r="H9841" s="6"/>
      <c r="I9841" s="118"/>
      <c r="J9841" s="119"/>
    </row>
    <row r="9842" spans="6:10" x14ac:dyDescent="0.25">
      <c r="F9842" s="6"/>
      <c r="G9842" s="6"/>
      <c r="H9842" s="6"/>
      <c r="I9842" s="118"/>
      <c r="J9842" s="119"/>
    </row>
    <row r="9843" spans="6:10" x14ac:dyDescent="0.25">
      <c r="F9843" s="6"/>
      <c r="G9843" s="6"/>
      <c r="H9843" s="6"/>
      <c r="I9843" s="118"/>
      <c r="J9843" s="119"/>
    </row>
    <row r="9844" spans="6:10" x14ac:dyDescent="0.25">
      <c r="F9844" s="6"/>
      <c r="G9844" s="6"/>
      <c r="H9844" s="6"/>
      <c r="I9844" s="118"/>
      <c r="J9844" s="119"/>
    </row>
    <row r="9845" spans="6:10" x14ac:dyDescent="0.25">
      <c r="F9845" s="6"/>
      <c r="G9845" s="6"/>
      <c r="H9845" s="6"/>
      <c r="I9845" s="118"/>
      <c r="J9845" s="119"/>
    </row>
    <row r="9846" spans="6:10" x14ac:dyDescent="0.25">
      <c r="F9846" s="6"/>
      <c r="G9846" s="6"/>
      <c r="H9846" s="6"/>
      <c r="I9846" s="118"/>
      <c r="J9846" s="119"/>
    </row>
    <row r="9847" spans="6:10" x14ac:dyDescent="0.25">
      <c r="F9847" s="6"/>
      <c r="G9847" s="6"/>
      <c r="H9847" s="6"/>
      <c r="I9847" s="118"/>
      <c r="J9847" s="119"/>
    </row>
    <row r="9848" spans="6:10" x14ac:dyDescent="0.25">
      <c r="F9848" s="6"/>
      <c r="G9848" s="6"/>
      <c r="H9848" s="6"/>
      <c r="I9848" s="118"/>
      <c r="J9848" s="119"/>
    </row>
    <row r="9849" spans="6:10" x14ac:dyDescent="0.25">
      <c r="F9849" s="6"/>
      <c r="G9849" s="6"/>
      <c r="H9849" s="6"/>
      <c r="I9849" s="118"/>
      <c r="J9849" s="119"/>
    </row>
    <row r="9850" spans="6:10" x14ac:dyDescent="0.25">
      <c r="F9850" s="6"/>
      <c r="G9850" s="6"/>
      <c r="H9850" s="6"/>
      <c r="I9850" s="118"/>
      <c r="J9850" s="119"/>
    </row>
    <row r="9851" spans="6:10" x14ac:dyDescent="0.25">
      <c r="F9851" s="6"/>
      <c r="G9851" s="6"/>
      <c r="H9851" s="6"/>
      <c r="I9851" s="118"/>
      <c r="J9851" s="119"/>
    </row>
    <row r="9852" spans="6:10" x14ac:dyDescent="0.25">
      <c r="F9852" s="6"/>
      <c r="G9852" s="6"/>
      <c r="H9852" s="6"/>
      <c r="I9852" s="118"/>
      <c r="J9852" s="119"/>
    </row>
    <row r="9853" spans="6:10" x14ac:dyDescent="0.25">
      <c r="F9853" s="6"/>
      <c r="G9853" s="6"/>
      <c r="H9853" s="6"/>
      <c r="I9853" s="118"/>
      <c r="J9853" s="119"/>
    </row>
    <row r="9854" spans="6:10" x14ac:dyDescent="0.25">
      <c r="F9854" s="6"/>
      <c r="G9854" s="6"/>
      <c r="H9854" s="6"/>
      <c r="I9854" s="118"/>
      <c r="J9854" s="119"/>
    </row>
    <row r="9855" spans="6:10" x14ac:dyDescent="0.25">
      <c r="F9855" s="6"/>
      <c r="G9855" s="6"/>
      <c r="H9855" s="6"/>
      <c r="I9855" s="118"/>
      <c r="J9855" s="119"/>
    </row>
    <row r="9856" spans="6:10" x14ac:dyDescent="0.25">
      <c r="F9856" s="6"/>
      <c r="G9856" s="6"/>
      <c r="H9856" s="6"/>
      <c r="I9856" s="118"/>
      <c r="J9856" s="119"/>
    </row>
    <row r="9857" spans="6:10" x14ac:dyDescent="0.25">
      <c r="F9857" s="6"/>
      <c r="G9857" s="6"/>
      <c r="H9857" s="6"/>
      <c r="I9857" s="118"/>
      <c r="J9857" s="119"/>
    </row>
    <row r="9858" spans="6:10" x14ac:dyDescent="0.25">
      <c r="F9858" s="6"/>
      <c r="G9858" s="6"/>
      <c r="H9858" s="6"/>
      <c r="I9858" s="118"/>
      <c r="J9858" s="119"/>
    </row>
    <row r="9859" spans="6:10" x14ac:dyDescent="0.25">
      <c r="F9859" s="6"/>
      <c r="G9859" s="6"/>
      <c r="H9859" s="6"/>
      <c r="I9859" s="118"/>
      <c r="J9859" s="119"/>
    </row>
    <row r="9860" spans="6:10" x14ac:dyDescent="0.25">
      <c r="F9860" s="6"/>
      <c r="G9860" s="6"/>
      <c r="H9860" s="6"/>
      <c r="I9860" s="118"/>
      <c r="J9860" s="119"/>
    </row>
    <row r="9861" spans="6:10" x14ac:dyDescent="0.25">
      <c r="F9861" s="6"/>
      <c r="G9861" s="6"/>
      <c r="H9861" s="6"/>
      <c r="I9861" s="118"/>
      <c r="J9861" s="119"/>
    </row>
    <row r="9862" spans="6:10" x14ac:dyDescent="0.25">
      <c r="F9862" s="6"/>
      <c r="G9862" s="6"/>
      <c r="H9862" s="6"/>
      <c r="I9862" s="118"/>
      <c r="J9862" s="119"/>
    </row>
    <row r="9863" spans="6:10" x14ac:dyDescent="0.25">
      <c r="F9863" s="6"/>
      <c r="G9863" s="6"/>
      <c r="H9863" s="6"/>
      <c r="I9863" s="118"/>
      <c r="J9863" s="119"/>
    </row>
    <row r="9864" spans="6:10" x14ac:dyDescent="0.25">
      <c r="F9864" s="6"/>
      <c r="G9864" s="6"/>
      <c r="H9864" s="6"/>
      <c r="I9864" s="118"/>
      <c r="J9864" s="119"/>
    </row>
    <row r="9865" spans="6:10" x14ac:dyDescent="0.25">
      <c r="F9865" s="6"/>
      <c r="G9865" s="6"/>
      <c r="H9865" s="6"/>
      <c r="I9865" s="118"/>
      <c r="J9865" s="119"/>
    </row>
    <row r="9866" spans="6:10" x14ac:dyDescent="0.25">
      <c r="F9866" s="6"/>
      <c r="G9866" s="6"/>
      <c r="H9866" s="6"/>
      <c r="I9866" s="118"/>
      <c r="J9866" s="119"/>
    </row>
    <row r="9867" spans="6:10" x14ac:dyDescent="0.25">
      <c r="F9867" s="6"/>
      <c r="G9867" s="6"/>
      <c r="H9867" s="6"/>
      <c r="I9867" s="118"/>
      <c r="J9867" s="119"/>
    </row>
    <row r="9868" spans="6:10" x14ac:dyDescent="0.25">
      <c r="F9868" s="6"/>
      <c r="G9868" s="6"/>
      <c r="H9868" s="6"/>
      <c r="I9868" s="118"/>
      <c r="J9868" s="119"/>
    </row>
    <row r="9869" spans="6:10" x14ac:dyDescent="0.25">
      <c r="F9869" s="6"/>
      <c r="G9869" s="6"/>
      <c r="H9869" s="6"/>
      <c r="I9869" s="118"/>
      <c r="J9869" s="119"/>
    </row>
    <row r="9870" spans="6:10" x14ac:dyDescent="0.25">
      <c r="F9870" s="6"/>
      <c r="G9870" s="6"/>
      <c r="H9870" s="6"/>
      <c r="I9870" s="118"/>
      <c r="J9870" s="119"/>
    </row>
    <row r="9871" spans="6:10" x14ac:dyDescent="0.25">
      <c r="F9871" s="6"/>
      <c r="G9871" s="6"/>
      <c r="H9871" s="6"/>
      <c r="I9871" s="118"/>
      <c r="J9871" s="119"/>
    </row>
    <row r="9872" spans="6:10" x14ac:dyDescent="0.25">
      <c r="F9872" s="6"/>
      <c r="G9872" s="6"/>
      <c r="H9872" s="6"/>
      <c r="I9872" s="118"/>
      <c r="J9872" s="119"/>
    </row>
    <row r="9873" spans="6:10" x14ac:dyDescent="0.25">
      <c r="F9873" s="6"/>
      <c r="G9873" s="6"/>
      <c r="H9873" s="6"/>
      <c r="I9873" s="118"/>
      <c r="J9873" s="119"/>
    </row>
    <row r="9874" spans="6:10" x14ac:dyDescent="0.25">
      <c r="F9874" s="6"/>
      <c r="G9874" s="6"/>
      <c r="H9874" s="6"/>
      <c r="I9874" s="118"/>
      <c r="J9874" s="119"/>
    </row>
    <row r="9875" spans="6:10" x14ac:dyDescent="0.25">
      <c r="F9875" s="6"/>
      <c r="G9875" s="6"/>
      <c r="H9875" s="6"/>
      <c r="I9875" s="118"/>
      <c r="J9875" s="119"/>
    </row>
    <row r="9876" spans="6:10" x14ac:dyDescent="0.25">
      <c r="F9876" s="6"/>
      <c r="G9876" s="6"/>
      <c r="H9876" s="6"/>
      <c r="I9876" s="118"/>
      <c r="J9876" s="119"/>
    </row>
    <row r="9877" spans="6:10" x14ac:dyDescent="0.25">
      <c r="F9877" s="6"/>
      <c r="G9877" s="6"/>
      <c r="H9877" s="6"/>
      <c r="I9877" s="118"/>
      <c r="J9877" s="119"/>
    </row>
    <row r="9878" spans="6:10" x14ac:dyDescent="0.25">
      <c r="F9878" s="6"/>
      <c r="G9878" s="6"/>
      <c r="H9878" s="6"/>
      <c r="I9878" s="118"/>
      <c r="J9878" s="119"/>
    </row>
    <row r="9879" spans="6:10" x14ac:dyDescent="0.25">
      <c r="F9879" s="6"/>
      <c r="G9879" s="6"/>
      <c r="H9879" s="6"/>
      <c r="I9879" s="118"/>
      <c r="J9879" s="119"/>
    </row>
    <row r="9880" spans="6:10" x14ac:dyDescent="0.25">
      <c r="F9880" s="6"/>
      <c r="G9880" s="6"/>
      <c r="H9880" s="6"/>
      <c r="I9880" s="118"/>
      <c r="J9880" s="119"/>
    </row>
    <row r="9881" spans="6:10" x14ac:dyDescent="0.25">
      <c r="F9881" s="6"/>
      <c r="G9881" s="6"/>
      <c r="H9881" s="6"/>
      <c r="I9881" s="118"/>
      <c r="J9881" s="119"/>
    </row>
    <row r="9882" spans="6:10" x14ac:dyDescent="0.25">
      <c r="F9882" s="6"/>
      <c r="G9882" s="6"/>
      <c r="H9882" s="6"/>
      <c r="I9882" s="118"/>
      <c r="J9882" s="119"/>
    </row>
    <row r="9883" spans="6:10" x14ac:dyDescent="0.25">
      <c r="F9883" s="6"/>
      <c r="G9883" s="6"/>
      <c r="H9883" s="6"/>
      <c r="I9883" s="118"/>
      <c r="J9883" s="119"/>
    </row>
    <row r="9884" spans="6:10" x14ac:dyDescent="0.25">
      <c r="F9884" s="6"/>
      <c r="G9884" s="6"/>
      <c r="H9884" s="6"/>
      <c r="I9884" s="118"/>
      <c r="J9884" s="119"/>
    </row>
    <row r="9885" spans="6:10" x14ac:dyDescent="0.25">
      <c r="F9885" s="6"/>
      <c r="G9885" s="6"/>
      <c r="H9885" s="6"/>
      <c r="I9885" s="118"/>
      <c r="J9885" s="119"/>
    </row>
    <row r="9886" spans="6:10" x14ac:dyDescent="0.25">
      <c r="F9886" s="6"/>
      <c r="G9886" s="6"/>
      <c r="H9886" s="6"/>
      <c r="I9886" s="118"/>
      <c r="J9886" s="119"/>
    </row>
    <row r="9887" spans="6:10" x14ac:dyDescent="0.25">
      <c r="F9887" s="6"/>
      <c r="G9887" s="6"/>
      <c r="H9887" s="6"/>
      <c r="I9887" s="118"/>
      <c r="J9887" s="119"/>
    </row>
    <row r="9888" spans="6:10" x14ac:dyDescent="0.25">
      <c r="F9888" s="6"/>
      <c r="G9888" s="6"/>
      <c r="H9888" s="6"/>
      <c r="I9888" s="118"/>
      <c r="J9888" s="119"/>
    </row>
    <row r="9889" spans="6:10" x14ac:dyDescent="0.25">
      <c r="F9889" s="6"/>
      <c r="G9889" s="6"/>
      <c r="H9889" s="6"/>
      <c r="I9889" s="118"/>
      <c r="J9889" s="119"/>
    </row>
    <row r="9890" spans="6:10" x14ac:dyDescent="0.25">
      <c r="F9890" s="6"/>
      <c r="G9890" s="6"/>
      <c r="H9890" s="6"/>
      <c r="I9890" s="118"/>
      <c r="J9890" s="119"/>
    </row>
    <row r="9891" spans="6:10" x14ac:dyDescent="0.25">
      <c r="F9891" s="6"/>
      <c r="G9891" s="6"/>
      <c r="H9891" s="6"/>
      <c r="I9891" s="118"/>
      <c r="J9891" s="119"/>
    </row>
    <row r="9892" spans="6:10" x14ac:dyDescent="0.25">
      <c r="F9892" s="6"/>
      <c r="G9892" s="6"/>
      <c r="H9892" s="6"/>
      <c r="I9892" s="118"/>
      <c r="J9892" s="119"/>
    </row>
    <row r="9893" spans="6:10" x14ac:dyDescent="0.25">
      <c r="F9893" s="6"/>
      <c r="G9893" s="6"/>
      <c r="H9893" s="6"/>
      <c r="I9893" s="118"/>
      <c r="J9893" s="119"/>
    </row>
    <row r="9894" spans="6:10" x14ac:dyDescent="0.25">
      <c r="F9894" s="6"/>
      <c r="G9894" s="6"/>
      <c r="H9894" s="6"/>
      <c r="I9894" s="118"/>
      <c r="J9894" s="119"/>
    </row>
    <row r="9895" spans="6:10" x14ac:dyDescent="0.25">
      <c r="F9895" s="6"/>
      <c r="G9895" s="6"/>
      <c r="H9895" s="6"/>
      <c r="I9895" s="118"/>
      <c r="J9895" s="119"/>
    </row>
    <row r="9896" spans="6:10" x14ac:dyDescent="0.25">
      <c r="F9896" s="6"/>
      <c r="G9896" s="6"/>
      <c r="H9896" s="6"/>
      <c r="I9896" s="118"/>
      <c r="J9896" s="119"/>
    </row>
    <row r="9897" spans="6:10" x14ac:dyDescent="0.25">
      <c r="F9897" s="6"/>
      <c r="G9897" s="6"/>
      <c r="H9897" s="6"/>
      <c r="I9897" s="118"/>
      <c r="J9897" s="119"/>
    </row>
    <row r="9898" spans="6:10" x14ac:dyDescent="0.25">
      <c r="F9898" s="6"/>
      <c r="G9898" s="6"/>
      <c r="H9898" s="6"/>
      <c r="I9898" s="118"/>
      <c r="J9898" s="119"/>
    </row>
    <row r="9899" spans="6:10" x14ac:dyDescent="0.25">
      <c r="F9899" s="6"/>
      <c r="G9899" s="6"/>
      <c r="H9899" s="6"/>
      <c r="I9899" s="118"/>
      <c r="J9899" s="119"/>
    </row>
    <row r="9900" spans="6:10" x14ac:dyDescent="0.25">
      <c r="F9900" s="6"/>
      <c r="G9900" s="6"/>
      <c r="H9900" s="6"/>
      <c r="I9900" s="118"/>
      <c r="J9900" s="119"/>
    </row>
    <row r="9901" spans="6:10" x14ac:dyDescent="0.25">
      <c r="F9901" s="6"/>
      <c r="G9901" s="6"/>
      <c r="H9901" s="6"/>
      <c r="I9901" s="118"/>
      <c r="J9901" s="119"/>
    </row>
    <row r="9902" spans="6:10" x14ac:dyDescent="0.25">
      <c r="F9902" s="120"/>
      <c r="G9902" s="120"/>
      <c r="H9902" s="120"/>
      <c r="I9902" s="121"/>
      <c r="J9902" s="122"/>
    </row>
    <row r="9903" spans="6:10" x14ac:dyDescent="0.25">
      <c r="F9903" s="120"/>
      <c r="G9903" s="120"/>
      <c r="H9903" s="120"/>
      <c r="I9903" s="121"/>
      <c r="J9903" s="122"/>
    </row>
    <row r="9904" spans="6:10" x14ac:dyDescent="0.25">
      <c r="F9904" s="120"/>
      <c r="G9904" s="120"/>
      <c r="H9904" s="120"/>
      <c r="I9904" s="121"/>
      <c r="J9904" s="122"/>
    </row>
    <row r="9905" spans="6:10" x14ac:dyDescent="0.25">
      <c r="F9905" s="120"/>
      <c r="G9905" s="120"/>
      <c r="H9905" s="120"/>
      <c r="I9905" s="121"/>
      <c r="J9905" s="122"/>
    </row>
    <row r="9906" spans="6:10" x14ac:dyDescent="0.25">
      <c r="F9906" s="120"/>
      <c r="G9906" s="120"/>
      <c r="H9906" s="120"/>
      <c r="I9906" s="121"/>
      <c r="J9906" s="122"/>
    </row>
    <row r="9907" spans="6:10" x14ac:dyDescent="0.25">
      <c r="F9907" s="120"/>
      <c r="G9907" s="120"/>
      <c r="H9907" s="120"/>
      <c r="I9907" s="121"/>
      <c r="J9907" s="122"/>
    </row>
    <row r="9908" spans="6:10" x14ac:dyDescent="0.25">
      <c r="F9908" s="120"/>
      <c r="G9908" s="120"/>
      <c r="H9908" s="120"/>
      <c r="I9908" s="121"/>
      <c r="J9908" s="122"/>
    </row>
    <row r="9909" spans="6:10" x14ac:dyDescent="0.25">
      <c r="F9909" s="120"/>
      <c r="G9909" s="120"/>
      <c r="H9909" s="120"/>
      <c r="I9909" s="121"/>
      <c r="J9909" s="122"/>
    </row>
    <row r="9910" spans="6:10" x14ac:dyDescent="0.25">
      <c r="F9910" s="120"/>
      <c r="G9910" s="120"/>
      <c r="H9910" s="120"/>
      <c r="I9910" s="121"/>
      <c r="J9910" s="122"/>
    </row>
    <row r="9911" spans="6:10" x14ac:dyDescent="0.25">
      <c r="F9911" s="120"/>
      <c r="G9911" s="120"/>
      <c r="H9911" s="120"/>
      <c r="I9911" s="121"/>
      <c r="J9911" s="122"/>
    </row>
    <row r="9912" spans="6:10" x14ac:dyDescent="0.25">
      <c r="F9912" s="120"/>
      <c r="G9912" s="120"/>
      <c r="H9912" s="120"/>
      <c r="I9912" s="121"/>
      <c r="J9912" s="122"/>
    </row>
    <row r="9913" spans="6:10" x14ac:dyDescent="0.25">
      <c r="F9913" s="120"/>
      <c r="G9913" s="120"/>
      <c r="H9913" s="120"/>
      <c r="I9913" s="121"/>
      <c r="J9913" s="122"/>
    </row>
    <row r="9914" spans="6:10" x14ac:dyDescent="0.25">
      <c r="F9914" s="120"/>
      <c r="G9914" s="120"/>
      <c r="H9914" s="120"/>
      <c r="I9914" s="121"/>
      <c r="J9914" s="122"/>
    </row>
    <row r="9915" spans="6:10" x14ac:dyDescent="0.25">
      <c r="F9915" s="120"/>
      <c r="G9915" s="120"/>
      <c r="H9915" s="120"/>
      <c r="I9915" s="121"/>
      <c r="J9915" s="122"/>
    </row>
    <row r="9916" spans="6:10" x14ac:dyDescent="0.25">
      <c r="F9916" s="120"/>
      <c r="G9916" s="120"/>
      <c r="H9916" s="120"/>
      <c r="I9916" s="121"/>
      <c r="J9916" s="122"/>
    </row>
    <row r="9917" spans="6:10" x14ac:dyDescent="0.25">
      <c r="F9917" s="120"/>
      <c r="G9917" s="120"/>
      <c r="H9917" s="120"/>
      <c r="I9917" s="121"/>
      <c r="J9917" s="122"/>
    </row>
    <row r="9918" spans="6:10" x14ac:dyDescent="0.25">
      <c r="F9918" s="120"/>
      <c r="G9918" s="120"/>
      <c r="H9918" s="120"/>
      <c r="I9918" s="121"/>
      <c r="J9918" s="122"/>
    </row>
    <row r="9919" spans="6:10" x14ac:dyDescent="0.25">
      <c r="F9919" s="120"/>
      <c r="G9919" s="120"/>
      <c r="H9919" s="120"/>
      <c r="I9919" s="121"/>
      <c r="J9919" s="122"/>
    </row>
    <row r="9920" spans="6:10" x14ac:dyDescent="0.25">
      <c r="F9920" s="120"/>
      <c r="G9920" s="120"/>
      <c r="H9920" s="120"/>
      <c r="I9920" s="121"/>
      <c r="J9920" s="122"/>
    </row>
    <row r="9921" spans="6:10" x14ac:dyDescent="0.25">
      <c r="F9921" s="120"/>
      <c r="G9921" s="120"/>
      <c r="H9921" s="120"/>
      <c r="I9921" s="121"/>
      <c r="J9921" s="122"/>
    </row>
    <row r="9922" spans="6:10" x14ac:dyDescent="0.25">
      <c r="F9922" s="120"/>
      <c r="G9922" s="120"/>
      <c r="H9922" s="120"/>
      <c r="I9922" s="121"/>
      <c r="J9922" s="122"/>
    </row>
    <row r="9923" spans="6:10" x14ac:dyDescent="0.25">
      <c r="F9923" s="120"/>
      <c r="G9923" s="120"/>
      <c r="H9923" s="120"/>
      <c r="I9923" s="121"/>
      <c r="J9923" s="122"/>
    </row>
    <row r="9924" spans="6:10" x14ac:dyDescent="0.25">
      <c r="F9924" s="120"/>
      <c r="G9924" s="120"/>
      <c r="H9924" s="120"/>
      <c r="I9924" s="121"/>
      <c r="J9924" s="122"/>
    </row>
    <row r="9925" spans="6:10" x14ac:dyDescent="0.25">
      <c r="F9925" s="120"/>
      <c r="G9925" s="120"/>
      <c r="H9925" s="120"/>
      <c r="I9925" s="121"/>
      <c r="J9925" s="122"/>
    </row>
    <row r="9926" spans="6:10" x14ac:dyDescent="0.25">
      <c r="F9926" s="120"/>
      <c r="G9926" s="120"/>
      <c r="H9926" s="120"/>
      <c r="I9926" s="121"/>
      <c r="J9926" s="122"/>
    </row>
    <row r="9927" spans="6:10" x14ac:dyDescent="0.25">
      <c r="F9927" s="120"/>
      <c r="G9927" s="120"/>
      <c r="H9927" s="120"/>
      <c r="I9927" s="121"/>
      <c r="J9927" s="122"/>
    </row>
    <row r="9928" spans="6:10" x14ac:dyDescent="0.25">
      <c r="F9928" s="120"/>
      <c r="G9928" s="120"/>
      <c r="H9928" s="120"/>
      <c r="I9928" s="121"/>
      <c r="J9928" s="122"/>
    </row>
    <row r="9929" spans="6:10" x14ac:dyDescent="0.25">
      <c r="F9929" s="120"/>
      <c r="G9929" s="120"/>
      <c r="H9929" s="120"/>
      <c r="I9929" s="121"/>
      <c r="J9929" s="122"/>
    </row>
    <row r="9930" spans="6:10" x14ac:dyDescent="0.25">
      <c r="F9930" s="120"/>
      <c r="G9930" s="120"/>
      <c r="H9930" s="120"/>
      <c r="I9930" s="121"/>
      <c r="J9930" s="122"/>
    </row>
    <row r="9931" spans="6:10" x14ac:dyDescent="0.25">
      <c r="F9931" s="120"/>
      <c r="G9931" s="120"/>
      <c r="H9931" s="120"/>
      <c r="I9931" s="121"/>
      <c r="J9931" s="122"/>
    </row>
    <row r="9932" spans="6:10" x14ac:dyDescent="0.25">
      <c r="F9932" s="120"/>
      <c r="G9932" s="120"/>
      <c r="H9932" s="120"/>
      <c r="I9932" s="121"/>
      <c r="J9932" s="122"/>
    </row>
    <row r="9933" spans="6:10" x14ac:dyDescent="0.25">
      <c r="F9933" s="120"/>
      <c r="G9933" s="120"/>
      <c r="H9933" s="120"/>
      <c r="I9933" s="121"/>
      <c r="J9933" s="122"/>
    </row>
    <row r="9934" spans="6:10" x14ac:dyDescent="0.25">
      <c r="F9934" s="120"/>
      <c r="G9934" s="120"/>
      <c r="H9934" s="120"/>
      <c r="I9934" s="121"/>
      <c r="J9934" s="122"/>
    </row>
    <row r="9935" spans="6:10" x14ac:dyDescent="0.25">
      <c r="F9935" s="120"/>
      <c r="G9935" s="120"/>
      <c r="H9935" s="120"/>
      <c r="I9935" s="121"/>
      <c r="J9935" s="122"/>
    </row>
    <row r="9936" spans="6:10" x14ac:dyDescent="0.25">
      <c r="F9936" s="120"/>
      <c r="G9936" s="120"/>
      <c r="H9936" s="120"/>
      <c r="I9936" s="121"/>
      <c r="J9936" s="122"/>
    </row>
    <row r="9937" spans="6:10" x14ac:dyDescent="0.25">
      <c r="F9937" s="120"/>
      <c r="G9937" s="120"/>
      <c r="H9937" s="120"/>
      <c r="I9937" s="121"/>
      <c r="J9937" s="122"/>
    </row>
    <row r="9938" spans="6:10" x14ac:dyDescent="0.25">
      <c r="F9938" s="6"/>
      <c r="G9938" s="6"/>
      <c r="H9938" s="6"/>
      <c r="I9938" s="118"/>
      <c r="J9938" s="119"/>
    </row>
    <row r="9939" spans="6:10" x14ac:dyDescent="0.25">
      <c r="F9939" s="6"/>
      <c r="G9939" s="6"/>
      <c r="H9939" s="6"/>
      <c r="I9939" s="118"/>
      <c r="J9939" s="119"/>
    </row>
    <row r="9940" spans="6:10" x14ac:dyDescent="0.25">
      <c r="F9940" s="6"/>
      <c r="G9940" s="6"/>
      <c r="H9940" s="6"/>
      <c r="I9940" s="118"/>
      <c r="J9940" s="119"/>
    </row>
    <row r="9941" spans="6:10" x14ac:dyDescent="0.25">
      <c r="F9941" s="6"/>
      <c r="G9941" s="6"/>
      <c r="H9941" s="6"/>
      <c r="I9941" s="118"/>
      <c r="J9941" s="119"/>
    </row>
    <row r="9942" spans="6:10" x14ac:dyDescent="0.25">
      <c r="F9942" s="6"/>
      <c r="G9942" s="6"/>
      <c r="H9942" s="6"/>
      <c r="I9942" s="118"/>
      <c r="J9942" s="119"/>
    </row>
    <row r="9943" spans="6:10" x14ac:dyDescent="0.25">
      <c r="F9943" s="6"/>
      <c r="G9943" s="6"/>
      <c r="H9943" s="6"/>
      <c r="I9943" s="118"/>
      <c r="J9943" s="119"/>
    </row>
    <row r="9944" spans="6:10" x14ac:dyDescent="0.25">
      <c r="F9944" s="6"/>
      <c r="G9944" s="6"/>
      <c r="H9944" s="6"/>
      <c r="I9944" s="118"/>
      <c r="J9944" s="119"/>
    </row>
    <row r="9945" spans="6:10" x14ac:dyDescent="0.25">
      <c r="F9945" s="6"/>
      <c r="G9945" s="6"/>
      <c r="H9945" s="6"/>
      <c r="I9945" s="118"/>
      <c r="J9945" s="119"/>
    </row>
    <row r="9946" spans="6:10" x14ac:dyDescent="0.25">
      <c r="F9946" s="6"/>
      <c r="G9946" s="6"/>
      <c r="H9946" s="6"/>
      <c r="I9946" s="118"/>
      <c r="J9946" s="119"/>
    </row>
    <row r="9947" spans="6:10" x14ac:dyDescent="0.25">
      <c r="F9947" s="6"/>
      <c r="G9947" s="6"/>
      <c r="H9947" s="6"/>
      <c r="I9947" s="118"/>
      <c r="J9947" s="119"/>
    </row>
    <row r="9948" spans="6:10" x14ac:dyDescent="0.25">
      <c r="F9948" s="6"/>
      <c r="G9948" s="6"/>
      <c r="H9948" s="6"/>
      <c r="I9948" s="118"/>
      <c r="J9948" s="119"/>
    </row>
    <row r="9949" spans="6:10" x14ac:dyDescent="0.25">
      <c r="F9949" s="6"/>
      <c r="G9949" s="6"/>
      <c r="H9949" s="6"/>
      <c r="I9949" s="118"/>
      <c r="J9949" s="119"/>
    </row>
    <row r="9950" spans="6:10" x14ac:dyDescent="0.25">
      <c r="F9950" s="6"/>
      <c r="G9950" s="6"/>
      <c r="H9950" s="6"/>
      <c r="I9950" s="118"/>
      <c r="J9950" s="119"/>
    </row>
    <row r="9951" spans="6:10" x14ac:dyDescent="0.25">
      <c r="F9951" s="6"/>
      <c r="G9951" s="6"/>
      <c r="H9951" s="6"/>
      <c r="I9951" s="118"/>
      <c r="J9951" s="119"/>
    </row>
    <row r="9952" spans="6:10" x14ac:dyDescent="0.25">
      <c r="F9952" s="6"/>
      <c r="G9952" s="6"/>
      <c r="H9952" s="6"/>
      <c r="I9952" s="118"/>
      <c r="J9952" s="119"/>
    </row>
    <row r="9953" spans="6:10" x14ac:dyDescent="0.25">
      <c r="F9953" s="6"/>
      <c r="G9953" s="6"/>
      <c r="H9953" s="6"/>
      <c r="I9953" s="118"/>
      <c r="J9953" s="119"/>
    </row>
    <row r="9954" spans="6:10" x14ac:dyDescent="0.25">
      <c r="F9954" s="6"/>
      <c r="G9954" s="6"/>
      <c r="H9954" s="6"/>
      <c r="I9954" s="118"/>
      <c r="J9954" s="119"/>
    </row>
    <row r="9955" spans="6:10" x14ac:dyDescent="0.25">
      <c r="F9955" s="6"/>
      <c r="G9955" s="6"/>
      <c r="H9955" s="6"/>
      <c r="I9955" s="118"/>
      <c r="J9955" s="119"/>
    </row>
    <row r="9956" spans="6:10" x14ac:dyDescent="0.25">
      <c r="F9956" s="6"/>
      <c r="G9956" s="6"/>
      <c r="H9956" s="6"/>
      <c r="I9956" s="118"/>
      <c r="J9956" s="119"/>
    </row>
    <row r="9957" spans="6:10" x14ac:dyDescent="0.25">
      <c r="F9957" s="6"/>
      <c r="G9957" s="6"/>
      <c r="H9957" s="6"/>
      <c r="I9957" s="118"/>
      <c r="J9957" s="119"/>
    </row>
    <row r="9958" spans="6:10" x14ac:dyDescent="0.25">
      <c r="F9958" s="6"/>
      <c r="G9958" s="6"/>
      <c r="H9958" s="6"/>
      <c r="I9958" s="118"/>
      <c r="J9958" s="119"/>
    </row>
    <row r="9959" spans="6:10" x14ac:dyDescent="0.25">
      <c r="F9959" s="6"/>
      <c r="G9959" s="6"/>
      <c r="H9959" s="6"/>
      <c r="I9959" s="118"/>
      <c r="J9959" s="119"/>
    </row>
    <row r="9960" spans="6:10" x14ac:dyDescent="0.25">
      <c r="F9960" s="6"/>
      <c r="G9960" s="6"/>
      <c r="H9960" s="6"/>
      <c r="I9960" s="118"/>
      <c r="J9960" s="119"/>
    </row>
    <row r="9961" spans="6:10" x14ac:dyDescent="0.25">
      <c r="F9961" s="6"/>
      <c r="G9961" s="6"/>
      <c r="H9961" s="6"/>
      <c r="I9961" s="118"/>
      <c r="J9961" s="119"/>
    </row>
    <row r="9962" spans="6:10" x14ac:dyDescent="0.25">
      <c r="F9962" s="6"/>
      <c r="G9962" s="6"/>
      <c r="H9962" s="6"/>
      <c r="I9962" s="118"/>
      <c r="J9962" s="119"/>
    </row>
    <row r="9963" spans="6:10" x14ac:dyDescent="0.25">
      <c r="F9963" s="6"/>
      <c r="G9963" s="6"/>
      <c r="H9963" s="6"/>
      <c r="I9963" s="118"/>
      <c r="J9963" s="119"/>
    </row>
    <row r="9964" spans="6:10" x14ac:dyDescent="0.25">
      <c r="F9964" s="6"/>
      <c r="G9964" s="6"/>
      <c r="H9964" s="6"/>
      <c r="I9964" s="118"/>
      <c r="J9964" s="119"/>
    </row>
    <row r="9965" spans="6:10" x14ac:dyDescent="0.25">
      <c r="F9965" s="6"/>
      <c r="G9965" s="6"/>
      <c r="H9965" s="6"/>
      <c r="I9965" s="118"/>
      <c r="J9965" s="119"/>
    </row>
    <row r="9966" spans="6:10" x14ac:dyDescent="0.25">
      <c r="F9966" s="6"/>
      <c r="G9966" s="6"/>
      <c r="H9966" s="6"/>
      <c r="I9966" s="118"/>
      <c r="J9966" s="119"/>
    </row>
    <row r="9967" spans="6:10" x14ac:dyDescent="0.25">
      <c r="F9967" s="6"/>
      <c r="G9967" s="6"/>
      <c r="H9967" s="6"/>
      <c r="I9967" s="118"/>
      <c r="J9967" s="119"/>
    </row>
    <row r="9968" spans="6:10" x14ac:dyDescent="0.25">
      <c r="F9968" s="6"/>
      <c r="G9968" s="6"/>
      <c r="H9968" s="6"/>
      <c r="I9968" s="118"/>
      <c r="J9968" s="119"/>
    </row>
    <row r="9969" spans="6:10" x14ac:dyDescent="0.25">
      <c r="F9969" s="6"/>
      <c r="G9969" s="6"/>
      <c r="H9969" s="6"/>
      <c r="I9969" s="118"/>
      <c r="J9969" s="119"/>
    </row>
    <row r="9970" spans="6:10" x14ac:dyDescent="0.25">
      <c r="F9970" s="6"/>
      <c r="G9970" s="6"/>
      <c r="H9970" s="6"/>
      <c r="I9970" s="118"/>
      <c r="J9970" s="119"/>
    </row>
    <row r="9971" spans="6:10" x14ac:dyDescent="0.25">
      <c r="F9971" s="6"/>
      <c r="G9971" s="6"/>
      <c r="H9971" s="6"/>
      <c r="I9971" s="118"/>
      <c r="J9971" s="119"/>
    </row>
    <row r="9972" spans="6:10" x14ac:dyDescent="0.25">
      <c r="F9972" s="6"/>
      <c r="G9972" s="6"/>
      <c r="H9972" s="6"/>
      <c r="I9972" s="118"/>
      <c r="J9972" s="119"/>
    </row>
    <row r="9973" spans="6:10" x14ac:dyDescent="0.25">
      <c r="F9973" s="6"/>
      <c r="G9973" s="6"/>
      <c r="H9973" s="6"/>
      <c r="I9973" s="118"/>
      <c r="J9973" s="119"/>
    </row>
    <row r="9974" spans="6:10" x14ac:dyDescent="0.25">
      <c r="F9974" s="6"/>
      <c r="G9974" s="6"/>
      <c r="H9974" s="6"/>
      <c r="I9974" s="118"/>
      <c r="J9974" s="119"/>
    </row>
    <row r="9975" spans="6:10" x14ac:dyDescent="0.25">
      <c r="F9975" s="6"/>
      <c r="G9975" s="6"/>
      <c r="H9975" s="6"/>
      <c r="I9975" s="118"/>
      <c r="J9975" s="119"/>
    </row>
    <row r="9976" spans="6:10" x14ac:dyDescent="0.25">
      <c r="F9976" s="6"/>
      <c r="G9976" s="6"/>
      <c r="H9976" s="6"/>
      <c r="I9976" s="118"/>
      <c r="J9976" s="119"/>
    </row>
    <row r="9977" spans="6:10" x14ac:dyDescent="0.25">
      <c r="F9977" s="6"/>
      <c r="G9977" s="6"/>
      <c r="H9977" s="6"/>
      <c r="I9977" s="118"/>
      <c r="J9977" s="119"/>
    </row>
    <row r="9978" spans="6:10" x14ac:dyDescent="0.25">
      <c r="F9978" s="6"/>
      <c r="G9978" s="6"/>
      <c r="H9978" s="6"/>
      <c r="I9978" s="118"/>
      <c r="J9978" s="119"/>
    </row>
    <row r="9979" spans="6:10" x14ac:dyDescent="0.25">
      <c r="F9979" s="6"/>
      <c r="G9979" s="6"/>
      <c r="H9979" s="6"/>
      <c r="I9979" s="118"/>
      <c r="J9979" s="119"/>
    </row>
    <row r="9980" spans="6:10" x14ac:dyDescent="0.25">
      <c r="F9980" s="6"/>
      <c r="G9980" s="6"/>
      <c r="H9980" s="6"/>
      <c r="I9980" s="118"/>
      <c r="J9980" s="119"/>
    </row>
    <row r="9981" spans="6:10" x14ac:dyDescent="0.25">
      <c r="F9981" s="6"/>
      <c r="G9981" s="6"/>
      <c r="H9981" s="6"/>
      <c r="I9981" s="118"/>
      <c r="J9981" s="119"/>
    </row>
    <row r="9982" spans="6:10" x14ac:dyDescent="0.25">
      <c r="F9982" s="6"/>
      <c r="G9982" s="6"/>
      <c r="H9982" s="6"/>
      <c r="I9982" s="118"/>
      <c r="J9982" s="119"/>
    </row>
    <row r="9983" spans="6:10" x14ac:dyDescent="0.25">
      <c r="F9983" s="6"/>
      <c r="G9983" s="6"/>
      <c r="H9983" s="6"/>
      <c r="I9983" s="118"/>
      <c r="J9983" s="119"/>
    </row>
    <row r="9984" spans="6:10" x14ac:dyDescent="0.25">
      <c r="F9984" s="6"/>
      <c r="G9984" s="6"/>
      <c r="H9984" s="6"/>
      <c r="I9984" s="118"/>
      <c r="J9984" s="119"/>
    </row>
    <row r="9985" spans="6:10" x14ac:dyDescent="0.25">
      <c r="F9985" s="6"/>
      <c r="G9985" s="6"/>
      <c r="H9985" s="6"/>
      <c r="I9985" s="118"/>
      <c r="J9985" s="119"/>
    </row>
    <row r="9986" spans="6:10" x14ac:dyDescent="0.25">
      <c r="F9986" s="6"/>
      <c r="G9986" s="6"/>
      <c r="H9986" s="6"/>
      <c r="I9986" s="118"/>
      <c r="J9986" s="119"/>
    </row>
    <row r="9987" spans="6:10" x14ac:dyDescent="0.25">
      <c r="F9987" s="6"/>
      <c r="G9987" s="6"/>
      <c r="H9987" s="6"/>
      <c r="I9987" s="118"/>
      <c r="J9987" s="119"/>
    </row>
    <row r="9988" spans="6:10" x14ac:dyDescent="0.25">
      <c r="F9988" s="6"/>
      <c r="G9988" s="6"/>
      <c r="H9988" s="6"/>
      <c r="I9988" s="118"/>
      <c r="J9988" s="119"/>
    </row>
    <row r="9989" spans="6:10" x14ac:dyDescent="0.25">
      <c r="F9989" s="6"/>
      <c r="G9989" s="6"/>
      <c r="H9989" s="6"/>
      <c r="I9989" s="118"/>
      <c r="J9989" s="119"/>
    </row>
    <row r="9990" spans="6:10" x14ac:dyDescent="0.25">
      <c r="F9990" s="6"/>
      <c r="G9990" s="6"/>
      <c r="H9990" s="6"/>
      <c r="I9990" s="118"/>
      <c r="J9990" s="119"/>
    </row>
    <row r="9991" spans="6:10" x14ac:dyDescent="0.25">
      <c r="F9991" s="6"/>
      <c r="G9991" s="6"/>
      <c r="H9991" s="6"/>
      <c r="I9991" s="118"/>
      <c r="J9991" s="119"/>
    </row>
    <row r="9992" spans="6:10" x14ac:dyDescent="0.25">
      <c r="F9992" s="6"/>
      <c r="G9992" s="6"/>
      <c r="H9992" s="6"/>
      <c r="I9992" s="118"/>
      <c r="J9992" s="119"/>
    </row>
    <row r="9993" spans="6:10" x14ac:dyDescent="0.25">
      <c r="F9993" s="6"/>
      <c r="G9993" s="6"/>
      <c r="H9993" s="6"/>
      <c r="I9993" s="118"/>
      <c r="J9993" s="119"/>
    </row>
    <row r="9994" spans="6:10" x14ac:dyDescent="0.25">
      <c r="F9994" s="6"/>
      <c r="G9994" s="6"/>
      <c r="H9994" s="6"/>
      <c r="I9994" s="118"/>
      <c r="J9994" s="119"/>
    </row>
    <row r="9995" spans="6:10" x14ac:dyDescent="0.25">
      <c r="F9995" s="6"/>
      <c r="G9995" s="6"/>
      <c r="H9995" s="6"/>
      <c r="I9995" s="118"/>
      <c r="J9995" s="119"/>
    </row>
    <row r="9996" spans="6:10" x14ac:dyDescent="0.25">
      <c r="F9996" s="6"/>
      <c r="G9996" s="6"/>
      <c r="H9996" s="6"/>
      <c r="I9996" s="118"/>
      <c r="J9996" s="119"/>
    </row>
    <row r="9997" spans="6:10" x14ac:dyDescent="0.25">
      <c r="F9997" s="6"/>
      <c r="G9997" s="6"/>
      <c r="H9997" s="6"/>
      <c r="I9997" s="118"/>
      <c r="J9997" s="119"/>
    </row>
    <row r="9998" spans="6:10" x14ac:dyDescent="0.25">
      <c r="F9998" s="6"/>
      <c r="G9998" s="6"/>
      <c r="H9998" s="6"/>
      <c r="I9998" s="118"/>
      <c r="J9998" s="119"/>
    </row>
    <row r="9999" spans="6:10" x14ac:dyDescent="0.25">
      <c r="F9999" s="6"/>
      <c r="G9999" s="6"/>
      <c r="H9999" s="6"/>
      <c r="I9999" s="118"/>
      <c r="J9999" s="119"/>
    </row>
    <row r="10000" spans="6:10" x14ac:dyDescent="0.25">
      <c r="F10000" s="6"/>
      <c r="G10000" s="6"/>
      <c r="H10000" s="6"/>
      <c r="I10000" s="118"/>
      <c r="J10000" s="119"/>
    </row>
    <row r="10001" spans="6:10" x14ac:dyDescent="0.25">
      <c r="F10001" s="6"/>
      <c r="G10001" s="6"/>
      <c r="H10001" s="6"/>
      <c r="I10001" s="118"/>
      <c r="J10001" s="119"/>
    </row>
    <row r="10002" spans="6:10" x14ac:dyDescent="0.25">
      <c r="F10002" s="6"/>
      <c r="G10002" s="6"/>
      <c r="H10002" s="6"/>
      <c r="I10002" s="118"/>
      <c r="J10002" s="119"/>
    </row>
    <row r="10003" spans="6:10" x14ac:dyDescent="0.25">
      <c r="F10003" s="6"/>
      <c r="G10003" s="6"/>
      <c r="H10003" s="6"/>
      <c r="I10003" s="118"/>
      <c r="J10003" s="119"/>
    </row>
    <row r="10004" spans="6:10" x14ac:dyDescent="0.25">
      <c r="F10004" s="6"/>
      <c r="G10004" s="6"/>
      <c r="H10004" s="6"/>
      <c r="I10004" s="118"/>
      <c r="J10004" s="119"/>
    </row>
    <row r="10005" spans="6:10" x14ac:dyDescent="0.25">
      <c r="F10005" s="6"/>
      <c r="G10005" s="6"/>
      <c r="H10005" s="6"/>
      <c r="I10005" s="118"/>
      <c r="J10005" s="119"/>
    </row>
    <row r="10006" spans="6:10" x14ac:dyDescent="0.25">
      <c r="F10006" s="6"/>
      <c r="G10006" s="6"/>
      <c r="H10006" s="6"/>
      <c r="I10006" s="118"/>
      <c r="J10006" s="119"/>
    </row>
    <row r="10007" spans="6:10" x14ac:dyDescent="0.25">
      <c r="F10007" s="6"/>
      <c r="G10007" s="6"/>
      <c r="H10007" s="6"/>
      <c r="I10007" s="118"/>
      <c r="J10007" s="119"/>
    </row>
    <row r="10008" spans="6:10" x14ac:dyDescent="0.25">
      <c r="F10008" s="6"/>
      <c r="G10008" s="6"/>
      <c r="H10008" s="6"/>
      <c r="I10008" s="118"/>
      <c r="J10008" s="119"/>
    </row>
    <row r="10009" spans="6:10" x14ac:dyDescent="0.25">
      <c r="F10009" s="6"/>
      <c r="G10009" s="6"/>
      <c r="H10009" s="6"/>
      <c r="I10009" s="118"/>
      <c r="J10009" s="119"/>
    </row>
    <row r="10010" spans="6:10" x14ac:dyDescent="0.25">
      <c r="F10010" s="6"/>
      <c r="G10010" s="6"/>
      <c r="H10010" s="6"/>
      <c r="I10010" s="118"/>
      <c r="J10010" s="119"/>
    </row>
    <row r="10011" spans="6:10" x14ac:dyDescent="0.25">
      <c r="F10011" s="6"/>
      <c r="G10011" s="6"/>
      <c r="H10011" s="6"/>
      <c r="I10011" s="118"/>
      <c r="J10011" s="119"/>
    </row>
    <row r="10012" spans="6:10" x14ac:dyDescent="0.25">
      <c r="F10012" s="6"/>
      <c r="G10012" s="6"/>
      <c r="H10012" s="6"/>
      <c r="I10012" s="118"/>
      <c r="J10012" s="119"/>
    </row>
    <row r="10013" spans="6:10" x14ac:dyDescent="0.25">
      <c r="F10013" s="6"/>
      <c r="G10013" s="6"/>
      <c r="H10013" s="6"/>
      <c r="I10013" s="118"/>
      <c r="J10013" s="119"/>
    </row>
    <row r="10014" spans="6:10" x14ac:dyDescent="0.25">
      <c r="F10014" s="6"/>
      <c r="G10014" s="6"/>
      <c r="H10014" s="6"/>
      <c r="I10014" s="118"/>
      <c r="J10014" s="119"/>
    </row>
    <row r="10015" spans="6:10" x14ac:dyDescent="0.25">
      <c r="F10015" s="6"/>
      <c r="G10015" s="6"/>
      <c r="H10015" s="6"/>
      <c r="I10015" s="118"/>
      <c r="J10015" s="119"/>
    </row>
    <row r="10016" spans="6:10" x14ac:dyDescent="0.25">
      <c r="F10016" s="6"/>
      <c r="G10016" s="6"/>
      <c r="H10016" s="6"/>
      <c r="I10016" s="118"/>
      <c r="J10016" s="119"/>
    </row>
    <row r="10017" spans="6:10" x14ac:dyDescent="0.25">
      <c r="F10017" s="6"/>
      <c r="G10017" s="6"/>
      <c r="H10017" s="6"/>
      <c r="I10017" s="118"/>
      <c r="J10017" s="119"/>
    </row>
    <row r="10018" spans="6:10" x14ac:dyDescent="0.25">
      <c r="F10018" s="6"/>
      <c r="G10018" s="6"/>
      <c r="H10018" s="6"/>
      <c r="I10018" s="118"/>
      <c r="J10018" s="119"/>
    </row>
    <row r="10019" spans="6:10" x14ac:dyDescent="0.25">
      <c r="F10019" s="6"/>
      <c r="G10019" s="6"/>
      <c r="H10019" s="6"/>
      <c r="I10019" s="118"/>
      <c r="J10019" s="119"/>
    </row>
    <row r="10020" spans="6:10" x14ac:dyDescent="0.25">
      <c r="F10020" s="6"/>
      <c r="G10020" s="6"/>
      <c r="H10020" s="6"/>
      <c r="I10020" s="118"/>
      <c r="J10020" s="119"/>
    </row>
    <row r="10021" spans="6:10" x14ac:dyDescent="0.25">
      <c r="F10021" s="6"/>
      <c r="G10021" s="6"/>
      <c r="H10021" s="6"/>
      <c r="I10021" s="118"/>
      <c r="J10021" s="119"/>
    </row>
    <row r="10022" spans="6:10" x14ac:dyDescent="0.25">
      <c r="F10022" s="6"/>
      <c r="G10022" s="6"/>
      <c r="H10022" s="6"/>
      <c r="I10022" s="118"/>
      <c r="J10022" s="119"/>
    </row>
    <row r="10023" spans="6:10" x14ac:dyDescent="0.25">
      <c r="F10023" s="6"/>
      <c r="G10023" s="6"/>
      <c r="H10023" s="6"/>
      <c r="I10023" s="118"/>
      <c r="J10023" s="119"/>
    </row>
    <row r="10024" spans="6:10" x14ac:dyDescent="0.25">
      <c r="F10024" s="6"/>
      <c r="G10024" s="6"/>
      <c r="H10024" s="6"/>
      <c r="I10024" s="118"/>
      <c r="J10024" s="119"/>
    </row>
    <row r="10025" spans="6:10" x14ac:dyDescent="0.25">
      <c r="F10025" s="6"/>
      <c r="G10025" s="6"/>
      <c r="H10025" s="6"/>
      <c r="I10025" s="118"/>
      <c r="J10025" s="119"/>
    </row>
    <row r="10026" spans="6:10" x14ac:dyDescent="0.25">
      <c r="F10026" s="6"/>
      <c r="G10026" s="6"/>
      <c r="H10026" s="6"/>
      <c r="I10026" s="118"/>
      <c r="J10026" s="119"/>
    </row>
    <row r="10027" spans="6:10" x14ac:dyDescent="0.25">
      <c r="F10027" s="6"/>
      <c r="G10027" s="6"/>
      <c r="H10027" s="6"/>
      <c r="I10027" s="118"/>
      <c r="J10027" s="119"/>
    </row>
    <row r="10028" spans="6:10" x14ac:dyDescent="0.25">
      <c r="F10028" s="6"/>
      <c r="G10028" s="6"/>
      <c r="H10028" s="6"/>
      <c r="I10028" s="118"/>
      <c r="J10028" s="119"/>
    </row>
    <row r="10029" spans="6:10" x14ac:dyDescent="0.25">
      <c r="F10029" s="6"/>
      <c r="G10029" s="6"/>
      <c r="H10029" s="6"/>
      <c r="I10029" s="118"/>
      <c r="J10029" s="119"/>
    </row>
    <row r="10030" spans="6:10" x14ac:dyDescent="0.25">
      <c r="F10030" s="6"/>
      <c r="G10030" s="6"/>
      <c r="H10030" s="6"/>
      <c r="I10030" s="118"/>
      <c r="J10030" s="119"/>
    </row>
    <row r="10031" spans="6:10" x14ac:dyDescent="0.25">
      <c r="F10031" s="6"/>
      <c r="G10031" s="6"/>
      <c r="H10031" s="6"/>
      <c r="I10031" s="118"/>
      <c r="J10031" s="119"/>
    </row>
    <row r="10032" spans="6:10" x14ac:dyDescent="0.25">
      <c r="F10032" s="6"/>
      <c r="G10032" s="6"/>
      <c r="H10032" s="6"/>
      <c r="I10032" s="118"/>
      <c r="J10032" s="119"/>
    </row>
    <row r="10033" spans="6:10" x14ac:dyDescent="0.25">
      <c r="F10033" s="6"/>
      <c r="G10033" s="6"/>
      <c r="H10033" s="6"/>
      <c r="I10033" s="118"/>
      <c r="J10033" s="119"/>
    </row>
    <row r="10034" spans="6:10" x14ac:dyDescent="0.25">
      <c r="F10034" s="6"/>
      <c r="G10034" s="6"/>
      <c r="H10034" s="6"/>
      <c r="I10034" s="118"/>
      <c r="J10034" s="119"/>
    </row>
    <row r="10035" spans="6:10" x14ac:dyDescent="0.25">
      <c r="F10035" s="6"/>
      <c r="G10035" s="6"/>
      <c r="H10035" s="6"/>
      <c r="I10035" s="118"/>
      <c r="J10035" s="119"/>
    </row>
    <row r="10036" spans="6:10" x14ac:dyDescent="0.25">
      <c r="F10036" s="6"/>
      <c r="G10036" s="6"/>
      <c r="H10036" s="6"/>
      <c r="I10036" s="118"/>
      <c r="J10036" s="119"/>
    </row>
    <row r="10037" spans="6:10" x14ac:dyDescent="0.25">
      <c r="F10037" s="6"/>
      <c r="G10037" s="6"/>
      <c r="H10037" s="6"/>
      <c r="I10037" s="118"/>
      <c r="J10037" s="119"/>
    </row>
    <row r="10038" spans="6:10" x14ac:dyDescent="0.25">
      <c r="F10038" s="6"/>
      <c r="G10038" s="6"/>
      <c r="H10038" s="6"/>
      <c r="I10038" s="118"/>
      <c r="J10038" s="119"/>
    </row>
    <row r="10039" spans="6:10" x14ac:dyDescent="0.25">
      <c r="F10039" s="6"/>
      <c r="G10039" s="6"/>
      <c r="H10039" s="6"/>
      <c r="I10039" s="118"/>
      <c r="J10039" s="119"/>
    </row>
    <row r="10040" spans="6:10" x14ac:dyDescent="0.25">
      <c r="F10040" s="6"/>
      <c r="G10040" s="6"/>
      <c r="H10040" s="6"/>
      <c r="I10040" s="118"/>
      <c r="J10040" s="119"/>
    </row>
    <row r="10041" spans="6:10" x14ac:dyDescent="0.25">
      <c r="F10041" s="6"/>
      <c r="G10041" s="6"/>
      <c r="H10041" s="6"/>
      <c r="I10041" s="118"/>
      <c r="J10041" s="119"/>
    </row>
    <row r="10042" spans="6:10" x14ac:dyDescent="0.25">
      <c r="F10042" s="6"/>
      <c r="G10042" s="6"/>
      <c r="H10042" s="6"/>
      <c r="I10042" s="118"/>
      <c r="J10042" s="119"/>
    </row>
    <row r="10043" spans="6:10" x14ac:dyDescent="0.25">
      <c r="F10043" s="6"/>
      <c r="G10043" s="6"/>
      <c r="H10043" s="6"/>
      <c r="I10043" s="118"/>
      <c r="J10043" s="119"/>
    </row>
    <row r="10044" spans="6:10" x14ac:dyDescent="0.25">
      <c r="F10044" s="6"/>
      <c r="G10044" s="6"/>
      <c r="H10044" s="6"/>
      <c r="I10044" s="118"/>
      <c r="J10044" s="119"/>
    </row>
    <row r="10045" spans="6:10" x14ac:dyDescent="0.25">
      <c r="F10045" s="6"/>
      <c r="G10045" s="6"/>
      <c r="H10045" s="6"/>
      <c r="I10045" s="118"/>
      <c r="J10045" s="119"/>
    </row>
    <row r="10046" spans="6:10" x14ac:dyDescent="0.25">
      <c r="F10046" s="6"/>
      <c r="G10046" s="6"/>
      <c r="H10046" s="6"/>
      <c r="I10046" s="118"/>
      <c r="J10046" s="119"/>
    </row>
    <row r="10047" spans="6:10" x14ac:dyDescent="0.25">
      <c r="F10047" s="6"/>
      <c r="G10047" s="6"/>
      <c r="H10047" s="6"/>
      <c r="I10047" s="118"/>
      <c r="J10047" s="119"/>
    </row>
    <row r="10048" spans="6:10" x14ac:dyDescent="0.25">
      <c r="F10048" s="6"/>
      <c r="G10048" s="6"/>
      <c r="H10048" s="6"/>
      <c r="I10048" s="118"/>
      <c r="J10048" s="119"/>
    </row>
    <row r="10049" spans="6:10" x14ac:dyDescent="0.25">
      <c r="F10049" s="6"/>
      <c r="G10049" s="6"/>
      <c r="H10049" s="6"/>
      <c r="I10049" s="118"/>
      <c r="J10049" s="119"/>
    </row>
    <row r="10050" spans="6:10" x14ac:dyDescent="0.25">
      <c r="F10050" s="6"/>
      <c r="G10050" s="6"/>
      <c r="H10050" s="6"/>
      <c r="I10050" s="118"/>
      <c r="J10050" s="119"/>
    </row>
    <row r="10051" spans="6:10" x14ac:dyDescent="0.25">
      <c r="F10051" s="6"/>
      <c r="G10051" s="6"/>
      <c r="H10051" s="6"/>
      <c r="I10051" s="118"/>
      <c r="J10051" s="119"/>
    </row>
    <row r="10052" spans="6:10" x14ac:dyDescent="0.25">
      <c r="F10052" s="6"/>
      <c r="G10052" s="6"/>
      <c r="H10052" s="6"/>
      <c r="I10052" s="118"/>
      <c r="J10052" s="119"/>
    </row>
    <row r="10053" spans="6:10" x14ac:dyDescent="0.25">
      <c r="F10053" s="6"/>
      <c r="G10053" s="6"/>
      <c r="H10053" s="6"/>
      <c r="I10053" s="118"/>
      <c r="J10053" s="119"/>
    </row>
    <row r="10054" spans="6:10" x14ac:dyDescent="0.25">
      <c r="F10054" s="6"/>
      <c r="G10054" s="6"/>
      <c r="H10054" s="6"/>
      <c r="I10054" s="118"/>
      <c r="J10054" s="119"/>
    </row>
    <row r="10055" spans="6:10" x14ac:dyDescent="0.25">
      <c r="F10055" s="6"/>
      <c r="G10055" s="6"/>
      <c r="H10055" s="6"/>
      <c r="I10055" s="118"/>
      <c r="J10055" s="119"/>
    </row>
    <row r="10056" spans="6:10" x14ac:dyDescent="0.25">
      <c r="F10056" s="6"/>
      <c r="G10056" s="6"/>
      <c r="H10056" s="6"/>
      <c r="I10056" s="118"/>
      <c r="J10056" s="119"/>
    </row>
    <row r="10057" spans="6:10" x14ac:dyDescent="0.25">
      <c r="F10057" s="6"/>
      <c r="G10057" s="6"/>
      <c r="H10057" s="6"/>
      <c r="I10057" s="118"/>
      <c r="J10057" s="119"/>
    </row>
    <row r="10058" spans="6:10" x14ac:dyDescent="0.25">
      <c r="F10058" s="6"/>
      <c r="G10058" s="6"/>
      <c r="H10058" s="6"/>
      <c r="I10058" s="118"/>
      <c r="J10058" s="119"/>
    </row>
    <row r="10059" spans="6:10" x14ac:dyDescent="0.25">
      <c r="F10059" s="6"/>
      <c r="G10059" s="6"/>
      <c r="H10059" s="6"/>
      <c r="I10059" s="118"/>
      <c r="J10059" s="119"/>
    </row>
    <row r="10060" spans="6:10" x14ac:dyDescent="0.25">
      <c r="F10060" s="6"/>
      <c r="G10060" s="6"/>
      <c r="H10060" s="6"/>
      <c r="I10060" s="118"/>
      <c r="J10060" s="119"/>
    </row>
    <row r="10061" spans="6:10" x14ac:dyDescent="0.25">
      <c r="F10061" s="6"/>
      <c r="G10061" s="6"/>
      <c r="H10061" s="6"/>
      <c r="I10061" s="118"/>
      <c r="J10061" s="119"/>
    </row>
    <row r="10062" spans="6:10" x14ac:dyDescent="0.25">
      <c r="F10062" s="6"/>
      <c r="G10062" s="6"/>
      <c r="H10062" s="6"/>
      <c r="I10062" s="118"/>
      <c r="J10062" s="119"/>
    </row>
    <row r="10063" spans="6:10" x14ac:dyDescent="0.25">
      <c r="F10063" s="6"/>
      <c r="G10063" s="6"/>
      <c r="H10063" s="6"/>
      <c r="I10063" s="118"/>
      <c r="J10063" s="119"/>
    </row>
    <row r="10064" spans="6:10" x14ac:dyDescent="0.25">
      <c r="F10064" s="6"/>
      <c r="G10064" s="6"/>
      <c r="H10064" s="6"/>
      <c r="I10064" s="118"/>
      <c r="J10064" s="119"/>
    </row>
    <row r="10065" spans="6:10" x14ac:dyDescent="0.25">
      <c r="F10065" s="6"/>
      <c r="G10065" s="6"/>
      <c r="H10065" s="6"/>
      <c r="I10065" s="118"/>
      <c r="J10065" s="119"/>
    </row>
    <row r="10066" spans="6:10" x14ac:dyDescent="0.25">
      <c r="F10066" s="6"/>
      <c r="G10066" s="6"/>
      <c r="H10066" s="6"/>
      <c r="I10066" s="118"/>
      <c r="J10066" s="119"/>
    </row>
    <row r="10067" spans="6:10" x14ac:dyDescent="0.25">
      <c r="F10067" s="6"/>
      <c r="G10067" s="6"/>
      <c r="H10067" s="6"/>
      <c r="I10067" s="118"/>
      <c r="J10067" s="119"/>
    </row>
    <row r="10068" spans="6:10" x14ac:dyDescent="0.25">
      <c r="F10068" s="6"/>
      <c r="G10068" s="6"/>
      <c r="H10068" s="6"/>
      <c r="I10068" s="118"/>
      <c r="J10068" s="119"/>
    </row>
    <row r="10069" spans="6:10" x14ac:dyDescent="0.25">
      <c r="F10069" s="6"/>
      <c r="G10069" s="6"/>
      <c r="H10069" s="6"/>
      <c r="I10069" s="118"/>
      <c r="J10069" s="119"/>
    </row>
    <row r="10070" spans="6:10" x14ac:dyDescent="0.25">
      <c r="F10070" s="6"/>
      <c r="G10070" s="6"/>
      <c r="H10070" s="6"/>
      <c r="I10070" s="118"/>
      <c r="J10070" s="119"/>
    </row>
    <row r="10071" spans="6:10" x14ac:dyDescent="0.25">
      <c r="F10071" s="6"/>
      <c r="G10071" s="6"/>
      <c r="H10071" s="6"/>
      <c r="I10071" s="118"/>
      <c r="J10071" s="119"/>
    </row>
    <row r="10072" spans="6:10" x14ac:dyDescent="0.25">
      <c r="F10072" s="6"/>
      <c r="G10072" s="6"/>
      <c r="H10072" s="6"/>
      <c r="I10072" s="118"/>
      <c r="J10072" s="119"/>
    </row>
    <row r="10073" spans="6:10" x14ac:dyDescent="0.25">
      <c r="F10073" s="6"/>
      <c r="G10073" s="6"/>
      <c r="H10073" s="6"/>
      <c r="I10073" s="118"/>
      <c r="J10073" s="119"/>
    </row>
    <row r="10074" spans="6:10" x14ac:dyDescent="0.25">
      <c r="F10074" s="6"/>
      <c r="G10074" s="6"/>
      <c r="H10074" s="6"/>
      <c r="I10074" s="118"/>
      <c r="J10074" s="119"/>
    </row>
    <row r="10075" spans="6:10" x14ac:dyDescent="0.25">
      <c r="F10075" s="6"/>
      <c r="G10075" s="6"/>
      <c r="H10075" s="6"/>
      <c r="I10075" s="118"/>
      <c r="J10075" s="119"/>
    </row>
    <row r="10076" spans="6:10" x14ac:dyDescent="0.25">
      <c r="F10076" s="6"/>
      <c r="G10076" s="6"/>
      <c r="H10076" s="6"/>
      <c r="I10076" s="118"/>
      <c r="J10076" s="119"/>
    </row>
    <row r="10077" spans="6:10" x14ac:dyDescent="0.25">
      <c r="F10077" s="6"/>
      <c r="G10077" s="6"/>
      <c r="H10077" s="6"/>
      <c r="I10077" s="118"/>
      <c r="J10077" s="119"/>
    </row>
    <row r="10078" spans="6:10" x14ac:dyDescent="0.25">
      <c r="F10078" s="6"/>
      <c r="G10078" s="6"/>
      <c r="H10078" s="6"/>
      <c r="I10078" s="118"/>
      <c r="J10078" s="119"/>
    </row>
    <row r="10079" spans="6:10" x14ac:dyDescent="0.25">
      <c r="F10079" s="6"/>
      <c r="G10079" s="6"/>
      <c r="H10079" s="6"/>
      <c r="I10079" s="118"/>
      <c r="J10079" s="119"/>
    </row>
    <row r="10080" spans="6:10" x14ac:dyDescent="0.25">
      <c r="F10080" s="6"/>
      <c r="G10080" s="6"/>
      <c r="H10080" s="6"/>
      <c r="I10080" s="118"/>
      <c r="J10080" s="119"/>
    </row>
    <row r="10081" spans="6:10" x14ac:dyDescent="0.25">
      <c r="F10081" s="6"/>
      <c r="G10081" s="6"/>
      <c r="H10081" s="6"/>
      <c r="I10081" s="118"/>
      <c r="J10081" s="119"/>
    </row>
    <row r="10082" spans="6:10" x14ac:dyDescent="0.25">
      <c r="F10082" s="6"/>
      <c r="G10082" s="6"/>
      <c r="H10082" s="6"/>
      <c r="I10082" s="118"/>
      <c r="J10082" s="119"/>
    </row>
    <row r="10083" spans="6:10" x14ac:dyDescent="0.25">
      <c r="F10083" s="6"/>
      <c r="G10083" s="6"/>
      <c r="H10083" s="6"/>
      <c r="I10083" s="118"/>
      <c r="J10083" s="119"/>
    </row>
    <row r="10084" spans="6:10" x14ac:dyDescent="0.25">
      <c r="F10084" s="6"/>
      <c r="G10084" s="6"/>
      <c r="H10084" s="6"/>
      <c r="I10084" s="118"/>
      <c r="J10084" s="119"/>
    </row>
    <row r="10085" spans="6:10" x14ac:dyDescent="0.25">
      <c r="F10085" s="6"/>
      <c r="G10085" s="6"/>
      <c r="H10085" s="6"/>
      <c r="I10085" s="118"/>
      <c r="J10085" s="119"/>
    </row>
    <row r="10086" spans="6:10" x14ac:dyDescent="0.25">
      <c r="F10086" s="6"/>
      <c r="G10086" s="6"/>
      <c r="H10086" s="6"/>
      <c r="I10086" s="118"/>
      <c r="J10086" s="119"/>
    </row>
    <row r="10087" spans="6:10" x14ac:dyDescent="0.25">
      <c r="F10087" s="6"/>
      <c r="G10087" s="6"/>
      <c r="H10087" s="6"/>
      <c r="I10087" s="118"/>
      <c r="J10087" s="119"/>
    </row>
    <row r="10088" spans="6:10" x14ac:dyDescent="0.25">
      <c r="F10088" s="6"/>
      <c r="G10088" s="6"/>
      <c r="H10088" s="6"/>
      <c r="I10088" s="118"/>
      <c r="J10088" s="119"/>
    </row>
    <row r="10089" spans="6:10" x14ac:dyDescent="0.25">
      <c r="F10089" s="6"/>
      <c r="G10089" s="6"/>
      <c r="H10089" s="6"/>
      <c r="I10089" s="118"/>
      <c r="J10089" s="119"/>
    </row>
    <row r="10090" spans="6:10" x14ac:dyDescent="0.25">
      <c r="F10090" s="6"/>
      <c r="G10090" s="6"/>
      <c r="H10090" s="6"/>
      <c r="I10090" s="118"/>
      <c r="J10090" s="119"/>
    </row>
    <row r="10091" spans="6:10" x14ac:dyDescent="0.25">
      <c r="F10091" s="6"/>
      <c r="G10091" s="6"/>
      <c r="H10091" s="6"/>
      <c r="I10091" s="118"/>
      <c r="J10091" s="119"/>
    </row>
    <row r="10092" spans="6:10" x14ac:dyDescent="0.25">
      <c r="F10092" s="6"/>
      <c r="G10092" s="6"/>
      <c r="H10092" s="6"/>
      <c r="I10092" s="118"/>
      <c r="J10092" s="119"/>
    </row>
    <row r="10093" spans="6:10" x14ac:dyDescent="0.25">
      <c r="F10093" s="6"/>
      <c r="G10093" s="6"/>
      <c r="H10093" s="6"/>
      <c r="I10093" s="118"/>
      <c r="J10093" s="119"/>
    </row>
    <row r="10094" spans="6:10" x14ac:dyDescent="0.25">
      <c r="F10094" s="6"/>
      <c r="G10094" s="6"/>
      <c r="H10094" s="6"/>
      <c r="I10094" s="118"/>
      <c r="J10094" s="119"/>
    </row>
    <row r="10095" spans="6:10" x14ac:dyDescent="0.25">
      <c r="F10095" s="6"/>
      <c r="G10095" s="6"/>
      <c r="H10095" s="6"/>
      <c r="I10095" s="118"/>
      <c r="J10095" s="119"/>
    </row>
    <row r="10096" spans="6:10" x14ac:dyDescent="0.25">
      <c r="F10096" s="6"/>
      <c r="G10096" s="6"/>
      <c r="H10096" s="6"/>
      <c r="I10096" s="118"/>
      <c r="J10096" s="119"/>
    </row>
    <row r="10097" spans="6:10" x14ac:dyDescent="0.25">
      <c r="F10097" s="6"/>
      <c r="G10097" s="6"/>
      <c r="H10097" s="6"/>
      <c r="I10097" s="118"/>
      <c r="J10097" s="119"/>
    </row>
    <row r="10098" spans="6:10" x14ac:dyDescent="0.25">
      <c r="F10098" s="6"/>
      <c r="G10098" s="6"/>
      <c r="H10098" s="6"/>
      <c r="I10098" s="118"/>
      <c r="J10098" s="119"/>
    </row>
    <row r="10099" spans="6:10" x14ac:dyDescent="0.25">
      <c r="F10099" s="6"/>
      <c r="G10099" s="6"/>
      <c r="H10099" s="6"/>
      <c r="I10099" s="118"/>
      <c r="J10099" s="119"/>
    </row>
    <row r="10100" spans="6:10" x14ac:dyDescent="0.25">
      <c r="F10100" s="6"/>
      <c r="G10100" s="6"/>
      <c r="H10100" s="6"/>
      <c r="I10100" s="118"/>
      <c r="J10100" s="119"/>
    </row>
    <row r="10101" spans="6:10" x14ac:dyDescent="0.25">
      <c r="F10101" s="6"/>
      <c r="G10101" s="6"/>
      <c r="H10101" s="6"/>
      <c r="I10101" s="118"/>
      <c r="J10101" s="119"/>
    </row>
    <row r="10102" spans="6:10" x14ac:dyDescent="0.25">
      <c r="F10102" s="6"/>
      <c r="G10102" s="6"/>
      <c r="H10102" s="6"/>
      <c r="I10102" s="118"/>
      <c r="J10102" s="119"/>
    </row>
    <row r="10103" spans="6:10" x14ac:dyDescent="0.25">
      <c r="F10103" s="6"/>
      <c r="G10103" s="6"/>
      <c r="H10103" s="6"/>
      <c r="I10103" s="118"/>
      <c r="J10103" s="119"/>
    </row>
    <row r="10104" spans="6:10" x14ac:dyDescent="0.25">
      <c r="F10104" s="6"/>
      <c r="G10104" s="6"/>
      <c r="H10104" s="6"/>
      <c r="I10104" s="118"/>
      <c r="J10104" s="119"/>
    </row>
    <row r="10105" spans="6:10" x14ac:dyDescent="0.25">
      <c r="F10105" s="6"/>
      <c r="G10105" s="6"/>
      <c r="H10105" s="6"/>
      <c r="I10105" s="118"/>
      <c r="J10105" s="119"/>
    </row>
    <row r="10106" spans="6:10" x14ac:dyDescent="0.25">
      <c r="F10106" s="6"/>
      <c r="G10106" s="6"/>
      <c r="H10106" s="6"/>
      <c r="I10106" s="118"/>
      <c r="J10106" s="119"/>
    </row>
    <row r="10107" spans="6:10" x14ac:dyDescent="0.25">
      <c r="F10107" s="6"/>
      <c r="G10107" s="6"/>
      <c r="H10107" s="6"/>
      <c r="I10107" s="118"/>
      <c r="J10107" s="119"/>
    </row>
    <row r="10108" spans="6:10" x14ac:dyDescent="0.25">
      <c r="F10108" s="6"/>
      <c r="G10108" s="6"/>
      <c r="H10108" s="6"/>
      <c r="I10108" s="118"/>
      <c r="J10108" s="119"/>
    </row>
    <row r="10109" spans="6:10" x14ac:dyDescent="0.25">
      <c r="F10109" s="6"/>
      <c r="G10109" s="6"/>
      <c r="H10109" s="6"/>
      <c r="I10109" s="118"/>
      <c r="J10109" s="119"/>
    </row>
    <row r="10110" spans="6:10" x14ac:dyDescent="0.25">
      <c r="F10110" s="6"/>
      <c r="G10110" s="6"/>
      <c r="H10110" s="6"/>
      <c r="I10110" s="118"/>
      <c r="J10110" s="119"/>
    </row>
    <row r="10111" spans="6:10" x14ac:dyDescent="0.25">
      <c r="F10111" s="6"/>
      <c r="G10111" s="6"/>
      <c r="H10111" s="6"/>
      <c r="I10111" s="118"/>
      <c r="J10111" s="119"/>
    </row>
    <row r="10112" spans="6:10" x14ac:dyDescent="0.25">
      <c r="F10112" s="6"/>
      <c r="G10112" s="6"/>
      <c r="H10112" s="6"/>
      <c r="I10112" s="118"/>
      <c r="J10112" s="119"/>
    </row>
    <row r="10113" spans="6:10" x14ac:dyDescent="0.25">
      <c r="F10113" s="6"/>
      <c r="G10113" s="6"/>
      <c r="H10113" s="6"/>
      <c r="I10113" s="118"/>
      <c r="J10113" s="119"/>
    </row>
    <row r="10114" spans="6:10" x14ac:dyDescent="0.25">
      <c r="F10114" s="6"/>
      <c r="G10114" s="6"/>
      <c r="H10114" s="6"/>
      <c r="I10114" s="118"/>
      <c r="J10114" s="119"/>
    </row>
    <row r="10115" spans="6:10" x14ac:dyDescent="0.25">
      <c r="F10115" s="6"/>
      <c r="G10115" s="6"/>
      <c r="H10115" s="6"/>
      <c r="I10115" s="118"/>
      <c r="J10115" s="119"/>
    </row>
    <row r="10116" spans="6:10" x14ac:dyDescent="0.25">
      <c r="F10116" s="6"/>
      <c r="G10116" s="6"/>
      <c r="H10116" s="6"/>
      <c r="I10116" s="118"/>
      <c r="J10116" s="119"/>
    </row>
    <row r="10117" spans="6:10" x14ac:dyDescent="0.25">
      <c r="F10117" s="6"/>
      <c r="G10117" s="6"/>
      <c r="H10117" s="6"/>
      <c r="I10117" s="118"/>
      <c r="J10117" s="119"/>
    </row>
    <row r="10118" spans="6:10" x14ac:dyDescent="0.25">
      <c r="F10118" s="6"/>
      <c r="G10118" s="6"/>
      <c r="H10118" s="6"/>
      <c r="I10118" s="118"/>
      <c r="J10118" s="119"/>
    </row>
    <row r="10119" spans="6:10" x14ac:dyDescent="0.25">
      <c r="F10119" s="6"/>
      <c r="G10119" s="6"/>
      <c r="H10119" s="6"/>
      <c r="I10119" s="118"/>
      <c r="J10119" s="119"/>
    </row>
    <row r="10120" spans="6:10" x14ac:dyDescent="0.25">
      <c r="F10120" s="6"/>
      <c r="G10120" s="6"/>
      <c r="H10120" s="6"/>
      <c r="I10120" s="118"/>
      <c r="J10120" s="119"/>
    </row>
    <row r="10121" spans="6:10" x14ac:dyDescent="0.25">
      <c r="F10121" s="6"/>
      <c r="G10121" s="6"/>
      <c r="H10121" s="6"/>
      <c r="I10121" s="118"/>
      <c r="J10121" s="119"/>
    </row>
    <row r="10122" spans="6:10" x14ac:dyDescent="0.25">
      <c r="F10122" s="6"/>
      <c r="G10122" s="6"/>
      <c r="H10122" s="6"/>
      <c r="I10122" s="118"/>
      <c r="J10122" s="119"/>
    </row>
    <row r="10123" spans="6:10" x14ac:dyDescent="0.25">
      <c r="F10123" s="6"/>
      <c r="G10123" s="6"/>
      <c r="H10123" s="6"/>
      <c r="I10123" s="118"/>
      <c r="J10123" s="119"/>
    </row>
    <row r="10124" spans="6:10" x14ac:dyDescent="0.25">
      <c r="F10124" s="6"/>
      <c r="G10124" s="6"/>
      <c r="H10124" s="6"/>
      <c r="I10124" s="118"/>
      <c r="J10124" s="119"/>
    </row>
    <row r="10125" spans="6:10" x14ac:dyDescent="0.25">
      <c r="F10125" s="6"/>
      <c r="G10125" s="6"/>
      <c r="H10125" s="6"/>
      <c r="I10125" s="118"/>
      <c r="J10125" s="119"/>
    </row>
    <row r="10126" spans="6:10" x14ac:dyDescent="0.25">
      <c r="F10126" s="6"/>
      <c r="G10126" s="6"/>
      <c r="H10126" s="6"/>
      <c r="I10126" s="118"/>
      <c r="J10126" s="119"/>
    </row>
    <row r="10127" spans="6:10" x14ac:dyDescent="0.25">
      <c r="F10127" s="6"/>
      <c r="G10127" s="6"/>
      <c r="H10127" s="6"/>
      <c r="I10127" s="118"/>
      <c r="J10127" s="119"/>
    </row>
    <row r="10128" spans="6:10" x14ac:dyDescent="0.25">
      <c r="F10128" s="6"/>
      <c r="G10128" s="6"/>
      <c r="H10128" s="6"/>
      <c r="I10128" s="118"/>
      <c r="J10128" s="119"/>
    </row>
    <row r="10129" spans="6:10" x14ac:dyDescent="0.25">
      <c r="F10129" s="6"/>
      <c r="G10129" s="6"/>
      <c r="H10129" s="6"/>
      <c r="I10129" s="118"/>
      <c r="J10129" s="119"/>
    </row>
    <row r="10130" spans="6:10" x14ac:dyDescent="0.25">
      <c r="F10130" s="6"/>
      <c r="G10130" s="6"/>
      <c r="H10130" s="6"/>
      <c r="I10130" s="118"/>
      <c r="J10130" s="119"/>
    </row>
    <row r="10131" spans="6:10" x14ac:dyDescent="0.25">
      <c r="F10131" s="6"/>
      <c r="G10131" s="6"/>
      <c r="H10131" s="6"/>
      <c r="I10131" s="118"/>
      <c r="J10131" s="119"/>
    </row>
    <row r="10132" spans="6:10" x14ac:dyDescent="0.25">
      <c r="F10132" s="6"/>
      <c r="G10132" s="6"/>
      <c r="H10132" s="6"/>
      <c r="I10132" s="118"/>
      <c r="J10132" s="119"/>
    </row>
    <row r="10133" spans="6:10" x14ac:dyDescent="0.25">
      <c r="F10133" s="6"/>
      <c r="G10133" s="6"/>
      <c r="H10133" s="6"/>
      <c r="I10133" s="118"/>
      <c r="J10133" s="119"/>
    </row>
    <row r="10134" spans="6:10" x14ac:dyDescent="0.25">
      <c r="F10134" s="6"/>
      <c r="G10134" s="6"/>
      <c r="H10134" s="6"/>
      <c r="I10134" s="118"/>
      <c r="J10134" s="119"/>
    </row>
    <row r="10135" spans="6:10" x14ac:dyDescent="0.25">
      <c r="F10135" s="6"/>
      <c r="G10135" s="6"/>
      <c r="H10135" s="6"/>
      <c r="I10135" s="118"/>
      <c r="J10135" s="119"/>
    </row>
    <row r="10136" spans="6:10" x14ac:dyDescent="0.25">
      <c r="F10136" s="6"/>
      <c r="G10136" s="6"/>
      <c r="H10136" s="6"/>
      <c r="I10136" s="118"/>
      <c r="J10136" s="119"/>
    </row>
    <row r="10137" spans="6:10" x14ac:dyDescent="0.25">
      <c r="F10137" s="129"/>
      <c r="G10137" s="120"/>
      <c r="H10137" s="6"/>
      <c r="I10137" s="6"/>
      <c r="J10137" s="130"/>
    </row>
    <row r="10138" spans="6:10" x14ac:dyDescent="0.25">
      <c r="F10138" s="129"/>
      <c r="G10138" s="120"/>
      <c r="H10138" s="6"/>
      <c r="I10138" s="6"/>
      <c r="J10138" s="130"/>
    </row>
  </sheetData>
  <mergeCells count="7">
    <mergeCell ref="A1514:E1514"/>
    <mergeCell ref="A2:E2"/>
    <mergeCell ref="F2:J2"/>
    <mergeCell ref="K2:O2"/>
    <mergeCell ref="P2:T2"/>
    <mergeCell ref="U2:Y2"/>
    <mergeCell ref="A1511:E15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RowHeight="15" x14ac:dyDescent="0.25"/>
  <cols>
    <col min="1" max="1" width="12.42578125" customWidth="1"/>
    <col min="2" max="2" width="30.85546875" customWidth="1"/>
  </cols>
  <sheetData>
    <row r="1" spans="1:12" ht="15.75" thickBot="1" x14ac:dyDescent="0.3">
      <c r="A1" s="31" t="s">
        <v>1045</v>
      </c>
    </row>
    <row r="2" spans="1:12" ht="45" x14ac:dyDescent="0.25">
      <c r="A2" s="447"/>
      <c r="B2" s="456" t="s">
        <v>74</v>
      </c>
      <c r="C2" s="24" t="s">
        <v>4</v>
      </c>
      <c r="D2" s="449" t="s">
        <v>823</v>
      </c>
      <c r="E2" s="448" t="s">
        <v>96</v>
      </c>
      <c r="F2" s="448" t="s">
        <v>10</v>
      </c>
      <c r="G2" s="448" t="s">
        <v>7</v>
      </c>
      <c r="H2" s="448" t="s">
        <v>95</v>
      </c>
      <c r="I2" s="448" t="s">
        <v>17</v>
      </c>
      <c r="J2" s="448" t="s">
        <v>69</v>
      </c>
      <c r="K2" s="448" t="s">
        <v>16</v>
      </c>
      <c r="L2" s="450" t="s">
        <v>94</v>
      </c>
    </row>
    <row r="3" spans="1:12" x14ac:dyDescent="0.25">
      <c r="A3" s="303"/>
      <c r="B3" s="360"/>
      <c r="C3" s="239"/>
      <c r="D3" s="360">
        <f>DSUM('x4-Class23 emissions'!$B$2:$S$50,'x4-Class23 emissions'!K2,'LINE HAUL CLASS 23 TOTAL BY CTY'!$C$25:$C$26)</f>
        <v>2137.6</v>
      </c>
      <c r="E3" s="360">
        <f>DSUM('x4-Class23 emissions'!$B$2:$S$50,'x4-Class23 emissions'!L2,'LINE HAUL CLASS 23 TOTAL BY CTY'!$C$25:$C$26)</f>
        <v>0.58567970360206389</v>
      </c>
      <c r="F3" s="360">
        <f>DSUM('x4-Class23 emissions'!$B$2:$S$50,'x4-Class23 emissions'!M2,'LINE HAUL CLASS 23 TOTAL BY CTY'!$C$25:$C$26)</f>
        <v>5.7569596519467012E-2</v>
      </c>
      <c r="G3" s="360">
        <f>DSUM('x4-Class23 emissions'!$B$2:$S$50,'x4-Class23 emissions'!N2,'LINE HAUL CLASS 23 TOTAL BY CTY'!$C$25:$C$26)</f>
        <v>1.3344600841566016E-2</v>
      </c>
      <c r="H3" s="360">
        <f>DSUM('x4-Class23 emissions'!$B$2:$S$50,'x4-Class23 emissions'!O2,'LINE HAUL CLASS 23 TOTAL BY CTY'!$C$25:$C$26)</f>
        <v>1.2944262816319038E-2</v>
      </c>
      <c r="I3" s="360">
        <f>DSUM('x4-Class23 emissions'!$B$2:$S$50,'x4-Class23 emissions'!P2,'LINE HAUL CLASS 23 TOTAL BY CTY'!$C$25:$C$26)</f>
        <v>3.1204556344440176E-3</v>
      </c>
      <c r="J3" s="360">
        <f>DSUM('x4-Class23 emissions'!$B$2:$S$50,'x4-Class23 emissions'!Q2,'LINE HAUL CLASS 23 TOTAL BY CTY'!$C$25:$C$26)</f>
        <v>3.0445706820032861E-2</v>
      </c>
      <c r="K3" s="360">
        <f>DSUM('x4-Class23 emissions'!$B$2:$S$50,'x4-Class23 emissions'!R2,'LINE HAUL CLASS 23 TOTAL BY CTY'!$C$25:$C$26)</f>
        <v>2.058527520779305E-4</v>
      </c>
      <c r="L3" s="298">
        <f>DSUM('x4-Class23 emissions'!$B$2:$S$50,'x4-Class23 emissions'!S2,'LINE HAUL CLASS 23 TOTAL BY CTY'!$C$25:$C$26)</f>
        <v>25.248479036718518</v>
      </c>
    </row>
    <row r="4" spans="1:12" x14ac:dyDescent="0.25">
      <c r="A4" s="451" t="s">
        <v>77</v>
      </c>
      <c r="B4" s="18" t="s">
        <v>74</v>
      </c>
      <c r="C4" s="360">
        <v>34001</v>
      </c>
      <c r="D4" s="304">
        <f t="dataTable" ref="D4:L24" dt2D="0" dtr="0" r1="C26"/>
        <v>2137.6</v>
      </c>
      <c r="E4" s="304">
        <v>0.58567970360206389</v>
      </c>
      <c r="F4" s="304">
        <v>5.7569596519467012E-2</v>
      </c>
      <c r="G4" s="304">
        <v>1.3344600841566016E-2</v>
      </c>
      <c r="H4" s="304">
        <v>1.2944262816319038E-2</v>
      </c>
      <c r="I4" s="304">
        <v>3.1204556344440176E-3</v>
      </c>
      <c r="J4" s="304">
        <v>3.0445706820032861E-2</v>
      </c>
      <c r="K4" s="304">
        <v>2.058527520779305E-4</v>
      </c>
      <c r="L4" s="452">
        <v>25.248479036718518</v>
      </c>
    </row>
    <row r="5" spans="1:12" x14ac:dyDescent="0.25">
      <c r="A5" s="451" t="s">
        <v>77</v>
      </c>
      <c r="B5" s="18" t="s">
        <v>74</v>
      </c>
      <c r="C5" s="360">
        <v>34003</v>
      </c>
      <c r="D5" s="304">
        <v>84184.540000000008</v>
      </c>
      <c r="E5" s="304">
        <v>15.386746575245551</v>
      </c>
      <c r="F5" s="304">
        <v>2.4750162637726412</v>
      </c>
      <c r="G5" s="304">
        <v>0.36947123230717027</v>
      </c>
      <c r="H5" s="304">
        <v>0.35838709533795521</v>
      </c>
      <c r="I5" s="304">
        <v>0.1341537706108179</v>
      </c>
      <c r="J5" s="304">
        <v>0.73228783668675101</v>
      </c>
      <c r="K5" s="304">
        <v>8.107044929553997E-3</v>
      </c>
      <c r="L5" s="452">
        <v>994.35422595705063</v>
      </c>
    </row>
    <row r="6" spans="1:12" x14ac:dyDescent="0.25">
      <c r="A6" s="451" t="s">
        <v>77</v>
      </c>
      <c r="B6" s="18" t="s">
        <v>74</v>
      </c>
      <c r="C6" s="360">
        <v>34005</v>
      </c>
      <c r="D6" s="304">
        <v>52674.146797697264</v>
      </c>
      <c r="E6" s="304">
        <v>14.43215694422106</v>
      </c>
      <c r="F6" s="304">
        <v>1.4186140429222527</v>
      </c>
      <c r="G6" s="304">
        <v>0.32883395569111284</v>
      </c>
      <c r="H6" s="304">
        <v>0.31896893702037948</v>
      </c>
      <c r="I6" s="304">
        <v>7.6893402958647897E-2</v>
      </c>
      <c r="J6" s="304">
        <v>0.7502346699092739</v>
      </c>
      <c r="K6" s="304">
        <v>5.0725664678437929E-3</v>
      </c>
      <c r="L6" s="452">
        <v>622.16602320298148</v>
      </c>
    </row>
    <row r="7" spans="1:12" x14ac:dyDescent="0.25">
      <c r="A7" s="451" t="s">
        <v>77</v>
      </c>
      <c r="B7" s="18" t="s">
        <v>74</v>
      </c>
      <c r="C7" s="360">
        <v>34007</v>
      </c>
      <c r="D7" s="304">
        <v>145978.11424623677</v>
      </c>
      <c r="E7" s="304">
        <v>39.996453351480241</v>
      </c>
      <c r="F7" s="304">
        <v>3.9314657269033071</v>
      </c>
      <c r="G7" s="304">
        <v>0.91131159535018302</v>
      </c>
      <c r="H7" s="304">
        <v>0.88397224748967751</v>
      </c>
      <c r="I7" s="304">
        <v>0.21309797394516378</v>
      </c>
      <c r="J7" s="304">
        <v>2.0791574047914421</v>
      </c>
      <c r="K7" s="304">
        <v>1.4057820247349546E-2</v>
      </c>
      <c r="L7" s="452">
        <v>1724.2352906838555</v>
      </c>
    </row>
    <row r="8" spans="1:12" x14ac:dyDescent="0.25">
      <c r="A8" s="451" t="s">
        <v>77</v>
      </c>
      <c r="B8" s="18" t="s">
        <v>74</v>
      </c>
      <c r="C8" s="360">
        <v>34009</v>
      </c>
      <c r="D8" s="304">
        <v>7600</v>
      </c>
      <c r="E8" s="304">
        <v>2.0823193054714095</v>
      </c>
      <c r="F8" s="304">
        <v>0.20468232295469185</v>
      </c>
      <c r="G8" s="304">
        <v>4.7445249998082771E-2</v>
      </c>
      <c r="H8" s="304">
        <v>4.6021892498140288E-2</v>
      </c>
      <c r="I8" s="304">
        <v>1.1094434329048717E-2</v>
      </c>
      <c r="J8" s="304">
        <v>0.10824633787062582</v>
      </c>
      <c r="K8" s="304">
        <v>7.3188665596569599E-4</v>
      </c>
      <c r="L8" s="452">
        <v>89.768170227854</v>
      </c>
    </row>
    <row r="9" spans="1:12" x14ac:dyDescent="0.25">
      <c r="A9" s="451" t="s">
        <v>77</v>
      </c>
      <c r="B9" s="18" t="s">
        <v>74</v>
      </c>
      <c r="C9" s="360">
        <v>34011</v>
      </c>
      <c r="D9" s="304">
        <v>172434.14914667601</v>
      </c>
      <c r="E9" s="304">
        <v>47.245126011928932</v>
      </c>
      <c r="F9" s="304">
        <v>4.6439766057970324</v>
      </c>
      <c r="G9" s="304">
        <v>1.0764712255882545</v>
      </c>
      <c r="H9" s="304">
        <v>1.0441770888206068</v>
      </c>
      <c r="I9" s="304">
        <v>0.25171833470963012</v>
      </c>
      <c r="J9" s="304">
        <v>2.4559691011796021</v>
      </c>
      <c r="K9" s="304">
        <v>1.6605559578059315E-2</v>
      </c>
      <c r="L9" s="452">
        <v>2036.7234281176288</v>
      </c>
    </row>
    <row r="10" spans="1:12" x14ac:dyDescent="0.25">
      <c r="A10" s="451" t="s">
        <v>77</v>
      </c>
      <c r="B10" s="18" t="s">
        <v>74</v>
      </c>
      <c r="C10" s="360">
        <v>34013</v>
      </c>
      <c r="D10" s="304">
        <v>86640.860896438913</v>
      </c>
      <c r="E10" s="304">
        <v>23.738675958857595</v>
      </c>
      <c r="F10" s="304">
        <v>2.3334016672470321</v>
      </c>
      <c r="G10" s="304">
        <v>0.54088122437903396</v>
      </c>
      <c r="H10" s="304">
        <v>0.52465478764766293</v>
      </c>
      <c r="I10" s="304">
        <v>0.1264778080826035</v>
      </c>
      <c r="J10" s="304">
        <v>1.2340205134207658</v>
      </c>
      <c r="K10" s="304">
        <v>8.3435907830899624E-3</v>
      </c>
      <c r="L10" s="452">
        <v>1023.3673091630722</v>
      </c>
    </row>
    <row r="11" spans="1:12" x14ac:dyDescent="0.25">
      <c r="A11" s="451" t="s">
        <v>77</v>
      </c>
      <c r="B11" s="18" t="s">
        <v>74</v>
      </c>
      <c r="C11" s="360">
        <v>34015</v>
      </c>
      <c r="D11" s="304">
        <v>317511.01183761784</v>
      </c>
      <c r="E11" s="304">
        <v>86.994646006478007</v>
      </c>
      <c r="F11" s="304">
        <v>8.5511699298181938</v>
      </c>
      <c r="G11" s="304">
        <v>1.9821564912868417</v>
      </c>
      <c r="H11" s="304">
        <v>1.9226917965482362</v>
      </c>
      <c r="I11" s="304">
        <v>0.46350066705029741</v>
      </c>
      <c r="J11" s="304">
        <v>4.5222900348709274</v>
      </c>
      <c r="K11" s="304">
        <v>3.0576588511331396E-2</v>
      </c>
      <c r="L11" s="452">
        <v>3750.3134947180847</v>
      </c>
    </row>
    <row r="12" spans="1:12" x14ac:dyDescent="0.25">
      <c r="A12" s="451" t="s">
        <v>77</v>
      </c>
      <c r="B12" s="18" t="s">
        <v>74</v>
      </c>
      <c r="C12" s="360">
        <v>34017</v>
      </c>
      <c r="D12" s="304">
        <v>158160.81687505986</v>
      </c>
      <c r="E12" s="304">
        <v>43.334384519482299</v>
      </c>
      <c r="F12" s="304">
        <v>4.2595688682103798</v>
      </c>
      <c r="G12" s="304">
        <v>0.98736572322871108</v>
      </c>
      <c r="H12" s="304">
        <v>0.95774475153184957</v>
      </c>
      <c r="I12" s="304">
        <v>0.23088221003276999</v>
      </c>
      <c r="J12" s="304">
        <v>2.2526748975463038</v>
      </c>
      <c r="K12" s="304">
        <v>1.5231025179932946E-2</v>
      </c>
      <c r="L12" s="452">
        <v>1868.1325174495814</v>
      </c>
    </row>
    <row r="13" spans="1:12" x14ac:dyDescent="0.25">
      <c r="A13" s="451" t="s">
        <v>77</v>
      </c>
      <c r="B13" s="18" t="s">
        <v>74</v>
      </c>
      <c r="C13" s="360">
        <v>34019</v>
      </c>
      <c r="D13" s="304">
        <v>5705</v>
      </c>
      <c r="E13" s="304">
        <v>1.5631094260150518</v>
      </c>
      <c r="F13" s="304">
        <v>0.15364640163901541</v>
      </c>
      <c r="G13" s="304">
        <v>3.5615151478823978E-2</v>
      </c>
      <c r="H13" s="304">
        <v>3.4546696934459255E-2</v>
      </c>
      <c r="I13" s="304">
        <v>8.3281247167398594E-3</v>
      </c>
      <c r="J13" s="304">
        <v>8.125596809893687E-2</v>
      </c>
      <c r="K13" s="304">
        <v>5.4939649635319678E-4</v>
      </c>
      <c r="L13" s="452">
        <v>67.385185677619361</v>
      </c>
    </row>
    <row r="14" spans="1:12" x14ac:dyDescent="0.25">
      <c r="A14" s="451" t="s">
        <v>77</v>
      </c>
      <c r="B14" s="18" t="s">
        <v>74</v>
      </c>
      <c r="C14" s="360">
        <v>34021</v>
      </c>
      <c r="D14" s="304">
        <v>0</v>
      </c>
      <c r="E14" s="304">
        <v>0</v>
      </c>
      <c r="F14" s="304">
        <v>0</v>
      </c>
      <c r="G14" s="304">
        <v>0</v>
      </c>
      <c r="H14" s="304">
        <v>0</v>
      </c>
      <c r="I14" s="304">
        <v>0</v>
      </c>
      <c r="J14" s="304">
        <v>0</v>
      </c>
      <c r="K14" s="304">
        <v>0</v>
      </c>
      <c r="L14" s="452">
        <v>0</v>
      </c>
    </row>
    <row r="15" spans="1:12" x14ac:dyDescent="0.25">
      <c r="A15" s="451" t="s">
        <v>77</v>
      </c>
      <c r="B15" s="18" t="s">
        <v>74</v>
      </c>
      <c r="C15" s="360">
        <v>34023</v>
      </c>
      <c r="D15" s="304">
        <v>162527.33958944801</v>
      </c>
      <c r="E15" s="304">
        <v>44.530765380791486</v>
      </c>
      <c r="F15" s="304">
        <v>4.377167554054509</v>
      </c>
      <c r="G15" s="304">
        <v>1.0146250339927179</v>
      </c>
      <c r="H15" s="304">
        <v>0.98418628297293642</v>
      </c>
      <c r="I15" s="304">
        <v>0.23725643365133295</v>
      </c>
      <c r="J15" s="304">
        <v>2.3148670150543853</v>
      </c>
      <c r="K15" s="304">
        <v>1.5651525141463445E-2</v>
      </c>
      <c r="L15" s="452">
        <v>1919.7081430191847</v>
      </c>
    </row>
    <row r="16" spans="1:12" x14ac:dyDescent="0.25">
      <c r="A16" s="451" t="s">
        <v>77</v>
      </c>
      <c r="B16" s="18" t="s">
        <v>74</v>
      </c>
      <c r="C16" s="360">
        <v>34025</v>
      </c>
      <c r="D16" s="304">
        <v>14364</v>
      </c>
      <c r="E16" s="304">
        <v>3.9355834873409643</v>
      </c>
      <c r="F16" s="304">
        <v>0.38684959038436761</v>
      </c>
      <c r="G16" s="304">
        <v>8.9671522496376443E-2</v>
      </c>
      <c r="H16" s="304">
        <v>8.6981376821485143E-2</v>
      </c>
      <c r="I16" s="304">
        <v>2.0968480881902073E-2</v>
      </c>
      <c r="J16" s="304">
        <v>0.20458557857548279</v>
      </c>
      <c r="K16" s="304">
        <v>1.3832657797751655E-3</v>
      </c>
      <c r="L16" s="452">
        <v>169.66184173064406</v>
      </c>
    </row>
    <row r="17" spans="1:12" x14ac:dyDescent="0.25">
      <c r="A17" s="451" t="s">
        <v>77</v>
      </c>
      <c r="B17" s="18" t="s">
        <v>74</v>
      </c>
      <c r="C17" s="360">
        <v>34027</v>
      </c>
      <c r="D17" s="304">
        <v>41031.346624972612</v>
      </c>
      <c r="E17" s="304">
        <v>7.6822508910981941</v>
      </c>
      <c r="F17" s="304">
        <v>1.2013714538210634</v>
      </c>
      <c r="G17" s="304">
        <v>0.18379458837709545</v>
      </c>
      <c r="H17" s="304">
        <v>0.17828075072578259</v>
      </c>
      <c r="I17" s="304">
        <v>6.5118162168610688E-2</v>
      </c>
      <c r="J17" s="304">
        <v>0.36802568635435873</v>
      </c>
      <c r="K17" s="304">
        <v>3.9513546146211255E-3</v>
      </c>
      <c r="L17" s="452">
        <v>484.64590901429267</v>
      </c>
    </row>
    <row r="18" spans="1:12" x14ac:dyDescent="0.25">
      <c r="A18" s="451" t="s">
        <v>77</v>
      </c>
      <c r="B18" s="18" t="s">
        <v>74</v>
      </c>
      <c r="C18" s="360">
        <v>34029</v>
      </c>
      <c r="D18" s="304">
        <v>0</v>
      </c>
      <c r="E18" s="304">
        <v>0</v>
      </c>
      <c r="F18" s="304">
        <v>0</v>
      </c>
      <c r="G18" s="304">
        <v>0</v>
      </c>
      <c r="H18" s="304">
        <v>0</v>
      </c>
      <c r="I18" s="304">
        <v>0</v>
      </c>
      <c r="J18" s="304">
        <v>0</v>
      </c>
      <c r="K18" s="304">
        <v>0</v>
      </c>
      <c r="L18" s="452">
        <v>0</v>
      </c>
    </row>
    <row r="19" spans="1:12" x14ac:dyDescent="0.25">
      <c r="A19" s="451" t="s">
        <v>77</v>
      </c>
      <c r="B19" s="18" t="s">
        <v>74</v>
      </c>
      <c r="C19" s="360">
        <v>34031</v>
      </c>
      <c r="D19" s="304">
        <v>60060.06</v>
      </c>
      <c r="E19" s="304">
        <v>10.216213450280515</v>
      </c>
      <c r="F19" s="304">
        <v>1.7863550472638923</v>
      </c>
      <c r="G19" s="304">
        <v>0.24812145974292191</v>
      </c>
      <c r="H19" s="304">
        <v>0.24067781595063426</v>
      </c>
      <c r="I19" s="304">
        <v>9.6826137568416099E-2</v>
      </c>
      <c r="J19" s="304">
        <v>0.47617031075546512</v>
      </c>
      <c r="K19" s="304">
        <v>5.7838363776972455E-3</v>
      </c>
      <c r="L19" s="452">
        <v>709.40548552304267</v>
      </c>
    </row>
    <row r="20" spans="1:12" x14ac:dyDescent="0.25">
      <c r="A20" s="451" t="s">
        <v>77</v>
      </c>
      <c r="B20" s="18" t="s">
        <v>74</v>
      </c>
      <c r="C20" s="360">
        <v>34033</v>
      </c>
      <c r="D20" s="304">
        <v>25010.532742602616</v>
      </c>
      <c r="E20" s="304">
        <v>6.8526204171113463</v>
      </c>
      <c r="F20" s="304">
        <v>0.67358078159082668</v>
      </c>
      <c r="G20" s="304">
        <v>0.15613565507342311</v>
      </c>
      <c r="H20" s="304">
        <v>0.15145158542122045</v>
      </c>
      <c r="I20" s="304">
        <v>3.6510225400964123E-2</v>
      </c>
      <c r="J20" s="304">
        <v>0.35622349705001477</v>
      </c>
      <c r="K20" s="304">
        <v>2.4085362069610496E-3</v>
      </c>
      <c r="L20" s="452">
        <v>295.41444220095633</v>
      </c>
    </row>
    <row r="21" spans="1:12" x14ac:dyDescent="0.25">
      <c r="A21" s="451" t="s">
        <v>77</v>
      </c>
      <c r="B21" s="18" t="s">
        <v>74</v>
      </c>
      <c r="C21" s="360">
        <v>34035</v>
      </c>
      <c r="D21" s="304">
        <v>0</v>
      </c>
      <c r="E21" s="304">
        <v>0</v>
      </c>
      <c r="F21" s="304">
        <v>0</v>
      </c>
      <c r="G21" s="304">
        <v>0</v>
      </c>
      <c r="H21" s="304">
        <v>0</v>
      </c>
      <c r="I21" s="304">
        <v>0</v>
      </c>
      <c r="J21" s="304">
        <v>0</v>
      </c>
      <c r="K21" s="304">
        <v>0</v>
      </c>
      <c r="L21" s="452">
        <v>0</v>
      </c>
    </row>
    <row r="22" spans="1:12" x14ac:dyDescent="0.25">
      <c r="A22" s="451" t="s">
        <v>77</v>
      </c>
      <c r="B22" s="18" t="s">
        <v>74</v>
      </c>
      <c r="C22" s="360">
        <v>34037</v>
      </c>
      <c r="D22" s="304">
        <v>110097</v>
      </c>
      <c r="E22" s="304">
        <v>16.077665739317414</v>
      </c>
      <c r="F22" s="304">
        <v>3.3462905088753048</v>
      </c>
      <c r="G22" s="304">
        <v>0.40097687137634064</v>
      </c>
      <c r="H22" s="304">
        <v>0.38894756523505036</v>
      </c>
      <c r="I22" s="304">
        <v>0.18137961188203855</v>
      </c>
      <c r="J22" s="304">
        <v>0.71181060718806177</v>
      </c>
      <c r="K22" s="304">
        <v>1.0602437521296741E-2</v>
      </c>
      <c r="L22" s="452">
        <v>1300.4218733652685</v>
      </c>
    </row>
    <row r="23" spans="1:12" x14ac:dyDescent="0.25">
      <c r="A23" s="451" t="s">
        <v>77</v>
      </c>
      <c r="B23" s="18" t="s">
        <v>74</v>
      </c>
      <c r="C23" s="360">
        <v>34039</v>
      </c>
      <c r="D23" s="304">
        <v>166546.11908308274</v>
      </c>
      <c r="E23" s="304">
        <v>45.631868291847837</v>
      </c>
      <c r="F23" s="304">
        <v>4.48540085960712</v>
      </c>
      <c r="G23" s="304">
        <v>1.0397134547509639</v>
      </c>
      <c r="H23" s="304">
        <v>1.008522051108435</v>
      </c>
      <c r="I23" s="304">
        <v>0.24312302380594589</v>
      </c>
      <c r="J23" s="304">
        <v>2.3721062470143233</v>
      </c>
      <c r="K23" s="304">
        <v>1.6038537126287108E-2</v>
      </c>
      <c r="L23" s="452">
        <v>1967.1763642945546</v>
      </c>
    </row>
    <row r="24" spans="1:12" ht="15.75" thickBot="1" x14ac:dyDescent="0.3">
      <c r="A24" s="453" t="s">
        <v>77</v>
      </c>
      <c r="B24" s="34" t="s">
        <v>74</v>
      </c>
      <c r="C24" s="299">
        <v>34041</v>
      </c>
      <c r="D24" s="454">
        <v>5556</v>
      </c>
      <c r="E24" s="454">
        <v>1.5222850080525201</v>
      </c>
      <c r="F24" s="454">
        <v>0.14963355083371946</v>
      </c>
      <c r="G24" s="454">
        <v>3.4684974867019457E-2</v>
      </c>
      <c r="H24" s="454">
        <v>3.3644425621008868E-2</v>
      </c>
      <c r="I24" s="454">
        <v>8.1106154121308779E-3</v>
      </c>
      <c r="J24" s="454">
        <v>7.9133770159104874E-2</v>
      </c>
      <c r="K24" s="454">
        <v>5.3504766586123776E-4</v>
      </c>
      <c r="L24" s="455">
        <v>65.625257077099576</v>
      </c>
    </row>
    <row r="25" spans="1:12" ht="30.75" thickBot="1" x14ac:dyDescent="0.3">
      <c r="A25" s="420"/>
      <c r="B25" s="527" t="s">
        <v>119</v>
      </c>
      <c r="C25" s="528" t="s">
        <v>4</v>
      </c>
      <c r="D25" s="54">
        <f>SUM(D4:D24)</f>
        <v>1618218.6378398326</v>
      </c>
      <c r="E25" s="54">
        <f t="shared" ref="E25:L25" si="0">SUM(E4:E24)</f>
        <v>411.80855046862251</v>
      </c>
      <c r="F25" s="54">
        <f t="shared" si="0"/>
        <v>44.435760772214806</v>
      </c>
      <c r="G25" s="54">
        <f t="shared" si="0"/>
        <v>9.4606200108266414</v>
      </c>
      <c r="H25" s="54">
        <f t="shared" si="0"/>
        <v>9.1768014105018416</v>
      </c>
      <c r="I25" s="54">
        <f t="shared" si="0"/>
        <v>2.4085598728415047</v>
      </c>
      <c r="J25" s="54">
        <f t="shared" si="0"/>
        <v>21.129505183345852</v>
      </c>
      <c r="K25" s="54">
        <f t="shared" si="0"/>
        <v>0.15583587203552091</v>
      </c>
      <c r="L25" s="529">
        <f t="shared" si="0"/>
        <v>19113.753440459488</v>
      </c>
    </row>
    <row r="26" spans="1:12" x14ac:dyDescent="0.25">
      <c r="C26" s="269" t="s">
        <v>37</v>
      </c>
      <c r="D26" s="1">
        <f>'x4-Class23 emissions'!K52</f>
        <v>1618218.6378398328</v>
      </c>
      <c r="E26" s="1">
        <f>'x4-Class23 emissions'!L52</f>
        <v>411.80855046862251</v>
      </c>
      <c r="F26" s="1">
        <f>'x4-Class23 emissions'!M52</f>
        <v>44.435760772214806</v>
      </c>
      <c r="G26" s="1">
        <f>'x4-Class23 emissions'!N52</f>
        <v>9.4606200108266378</v>
      </c>
      <c r="H26" s="1">
        <f>'x4-Class23 emissions'!O52</f>
        <v>9.1768014105018381</v>
      </c>
      <c r="I26" s="1">
        <f>'x4-Class23 emissions'!P52</f>
        <v>2.4085598728415043</v>
      </c>
      <c r="J26" s="1">
        <f>'x4-Class23 emissions'!Q52</f>
        <v>21.129505183345856</v>
      </c>
      <c r="K26" s="1">
        <f>'x4-Class23 emissions'!R52</f>
        <v>0.15583587203552091</v>
      </c>
      <c r="L26" s="1">
        <f>'x4-Class23 emissions'!S52</f>
        <v>19113.753440459488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opLeftCell="A9" workbookViewId="0">
      <pane ySplit="915" activePane="bottomLeft"/>
      <selection activeCell="D15" sqref="D15"/>
      <selection pane="bottomLeft" activeCell="A2" sqref="A2"/>
    </sheetView>
  </sheetViews>
  <sheetFormatPr defaultRowHeight="15" x14ac:dyDescent="0.25"/>
  <cols>
    <col min="2" max="2" width="6.42578125" customWidth="1"/>
    <col min="3" max="3" width="22.140625" customWidth="1"/>
    <col min="4" max="4" width="11.5703125" customWidth="1"/>
    <col min="5" max="5" width="7.5703125" customWidth="1"/>
    <col min="6" max="6" width="3.5703125" customWidth="1"/>
    <col min="7" max="7" width="6.140625" style="2" customWidth="1"/>
    <col min="8" max="8" width="10.42578125" customWidth="1"/>
    <col min="9" max="9" width="8.85546875" customWidth="1"/>
    <col min="10" max="10" width="10.85546875" style="1" customWidth="1"/>
    <col min="11" max="11" width="10.140625" style="2" customWidth="1"/>
    <col min="12" max="19" width="12.85546875" customWidth="1"/>
    <col min="20" max="20" width="64.5703125" customWidth="1"/>
    <col min="21" max="21" width="21.140625" customWidth="1"/>
    <col min="31" max="32" width="9.140625" customWidth="1"/>
  </cols>
  <sheetData>
    <row r="1" spans="1:24" ht="15.75" thickBot="1" x14ac:dyDescent="0.3">
      <c r="A1" s="31" t="s">
        <v>1046</v>
      </c>
      <c r="F1" s="2"/>
      <c r="G1"/>
      <c r="I1" s="1"/>
      <c r="J1" s="2"/>
      <c r="K1"/>
    </row>
    <row r="2" spans="1:24" s="4" customFormat="1" ht="48.75" customHeight="1" x14ac:dyDescent="0.25">
      <c r="A2" s="24"/>
      <c r="B2" s="24" t="s">
        <v>4</v>
      </c>
      <c r="C2" s="24" t="s">
        <v>3</v>
      </c>
      <c r="D2" s="17" t="s">
        <v>80</v>
      </c>
      <c r="E2" s="17" t="s">
        <v>81</v>
      </c>
      <c r="F2" s="17" t="s">
        <v>82</v>
      </c>
      <c r="G2" s="32" t="s">
        <v>5</v>
      </c>
      <c r="H2" s="24" t="s">
        <v>6</v>
      </c>
      <c r="I2" s="24" t="s">
        <v>12</v>
      </c>
      <c r="J2" s="25" t="s">
        <v>938</v>
      </c>
      <c r="K2" s="32" t="s">
        <v>939</v>
      </c>
      <c r="L2" s="24" t="s">
        <v>15</v>
      </c>
      <c r="M2" s="24" t="s">
        <v>10</v>
      </c>
      <c r="N2" s="24" t="s">
        <v>7</v>
      </c>
      <c r="O2" s="24" t="s">
        <v>11</v>
      </c>
      <c r="P2" s="24" t="s">
        <v>17</v>
      </c>
      <c r="Q2" s="33" t="s">
        <v>69</v>
      </c>
      <c r="R2" s="274" t="s">
        <v>16</v>
      </c>
      <c r="S2" s="274" t="s">
        <v>94</v>
      </c>
      <c r="T2" s="60" t="s">
        <v>138</v>
      </c>
      <c r="U2" s="5"/>
    </row>
    <row r="3" spans="1:24" x14ac:dyDescent="0.25">
      <c r="A3" s="231">
        <v>2011</v>
      </c>
      <c r="B3" s="36" t="s">
        <v>42</v>
      </c>
      <c r="C3" s="37" t="s">
        <v>26</v>
      </c>
      <c r="D3" s="18" t="s">
        <v>73</v>
      </c>
      <c r="E3" s="18" t="s">
        <v>74</v>
      </c>
      <c r="F3" s="19" t="s">
        <v>72</v>
      </c>
      <c r="G3" s="38"/>
      <c r="H3" s="280">
        <v>3.19</v>
      </c>
      <c r="I3" s="40">
        <f>J3/H3</f>
        <v>10662.382445141066</v>
      </c>
      <c r="J3" s="39">
        <v>34013</v>
      </c>
      <c r="K3" s="41">
        <f t="shared" ref="K3:K9" si="0">+J3</f>
        <v>34013</v>
      </c>
      <c r="L3" s="51">
        <f>'RAIL EMIS FACTOR'!C$7*$K3/2000</f>
        <v>9.3192008601314562</v>
      </c>
      <c r="M3" s="51">
        <f>'RAIL EMIS FACTOR'!D$7*$K3/2000</f>
        <v>0.91603419087604387</v>
      </c>
      <c r="N3" s="51">
        <f>'RAIL EMIS FACTOR'!E$7*$K3/2000</f>
        <v>0.21233622212957756</v>
      </c>
      <c r="O3" s="51">
        <f>'RAIL EMIS FACTOR'!F$7*$K3/2000</f>
        <v>0.20596613546569023</v>
      </c>
      <c r="P3" s="51">
        <f>'RAIL EMIS FACTOR'!G$7*$K3/2000</f>
        <v>4.9651973004465E-2</v>
      </c>
      <c r="Q3" s="51">
        <f>'RAIL EMIS FACTOR'!H$7*$K3/2000</f>
        <v>0.48444509078863102</v>
      </c>
      <c r="R3" s="51">
        <f>'RAIL EMIS FACTOR'!I$7*$K3/2000</f>
        <v>3.2754816880738442E-3</v>
      </c>
      <c r="S3" s="51">
        <f>'RAIL EMIS FACTOR'!J$7*$K3/2000</f>
        <v>401.74799657368396</v>
      </c>
      <c r="T3" s="61"/>
      <c r="U3" s="8"/>
      <c r="V3" s="3"/>
      <c r="W3" s="3"/>
      <c r="X3" s="3"/>
    </row>
    <row r="4" spans="1:24" x14ac:dyDescent="0.25">
      <c r="A4" s="231">
        <v>2011</v>
      </c>
      <c r="B4" s="36" t="s">
        <v>21</v>
      </c>
      <c r="C4" s="39" t="s">
        <v>27</v>
      </c>
      <c r="D4" s="18" t="s">
        <v>73</v>
      </c>
      <c r="E4" s="18" t="s">
        <v>74</v>
      </c>
      <c r="F4" s="19" t="s">
        <v>72</v>
      </c>
      <c r="G4" s="38"/>
      <c r="H4" s="280">
        <v>1</v>
      </c>
      <c r="I4" s="40">
        <f t="shared" ref="I4:I9" si="1">J4/H4</f>
        <v>10750</v>
      </c>
      <c r="J4" s="39">
        <v>10750</v>
      </c>
      <c r="K4" s="41">
        <f t="shared" si="0"/>
        <v>10750</v>
      </c>
      <c r="L4" s="51">
        <f>'RAIL EMIS FACTOR'!C$7*$K4/2000</f>
        <v>2.9453858597128493</v>
      </c>
      <c r="M4" s="51">
        <f>'RAIL EMIS FACTOR'!D$7*$K4/2000</f>
        <v>0.28951775944249175</v>
      </c>
      <c r="N4" s="51">
        <f>'RAIL EMIS FACTOR'!E$7*$K4/2000</f>
        <v>6.7110057563077599E-2</v>
      </c>
      <c r="O4" s="51">
        <f>'RAIL EMIS FACTOR'!F$7*$K4/2000</f>
        <v>6.509675583618528E-2</v>
      </c>
      <c r="P4" s="51">
        <f>'RAIL EMIS FACTOR'!G$7*$K4/2000</f>
        <v>1.5692785399641276E-2</v>
      </c>
      <c r="Q4" s="51">
        <f>'RAIL EMIS FACTOR'!H$7*$K4/2000</f>
        <v>0.15311159633016153</v>
      </c>
      <c r="R4" s="51">
        <f>'RAIL EMIS FACTOR'!I$7*$K4/2000</f>
        <v>1.0352344146883198E-3</v>
      </c>
      <c r="S4" s="51">
        <f>'RAIL EMIS FACTOR'!J$7*$K4/2000</f>
        <v>126.97471446703034</v>
      </c>
      <c r="T4" s="61"/>
      <c r="U4" s="8"/>
      <c r="V4" s="3"/>
      <c r="W4" s="3"/>
      <c r="X4" s="3"/>
    </row>
    <row r="5" spans="1:24" x14ac:dyDescent="0.25">
      <c r="A5" s="231">
        <v>2011</v>
      </c>
      <c r="B5" s="36" t="s">
        <v>65</v>
      </c>
      <c r="C5" s="39" t="s">
        <v>28</v>
      </c>
      <c r="D5" s="18" t="s">
        <v>73</v>
      </c>
      <c r="E5" s="18" t="s">
        <v>74</v>
      </c>
      <c r="F5" s="19" t="s">
        <v>72</v>
      </c>
      <c r="G5" s="38"/>
      <c r="H5" s="280">
        <v>0.44</v>
      </c>
      <c r="I5" s="40">
        <f t="shared" si="1"/>
        <v>5954.636363636364</v>
      </c>
      <c r="J5" s="39">
        <v>2620.04</v>
      </c>
      <c r="K5" s="41">
        <f t="shared" si="0"/>
        <v>2620.04</v>
      </c>
      <c r="L5" s="51">
        <f>'RAIL EMIS FACTOR'!C$7*$K5/2000</f>
        <v>0.71786314119833061</v>
      </c>
      <c r="M5" s="51">
        <f>'RAIL EMIS FACTOR'!D$7*$K5/2000</f>
        <v>7.056261492555406E-2</v>
      </c>
      <c r="N5" s="51">
        <f>'RAIL EMIS FACTOR'!E$7*$K5/2000</f>
        <v>1.6356375369075891E-2</v>
      </c>
      <c r="O5" s="51">
        <f>'RAIL EMIS FACTOR'!F$7*$K5/2000</f>
        <v>1.5865684108003618E-2</v>
      </c>
      <c r="P5" s="51">
        <f>'RAIL EMIS FACTOR'!G$7*$K5/2000</f>
        <v>3.824718647300105E-3</v>
      </c>
      <c r="Q5" s="51">
        <f>'RAIL EMIS FACTOR'!H$7*$K5/2000</f>
        <v>3.731707040454664E-2</v>
      </c>
      <c r="R5" s="51">
        <f>'RAIL EMIS FACTOR'!I$7*$K5/2000</f>
        <v>2.5231214659162662E-4</v>
      </c>
      <c r="S5" s="51">
        <f>'RAIL EMIS FACTOR'!J$7*$K5/2000</f>
        <v>30.946867989971921</v>
      </c>
      <c r="T5" s="61"/>
      <c r="U5" s="8"/>
      <c r="V5" s="3"/>
      <c r="W5" s="3"/>
      <c r="X5" s="3"/>
    </row>
    <row r="6" spans="1:24" ht="15.75" customHeight="1" x14ac:dyDescent="0.25">
      <c r="A6" s="231">
        <v>2011</v>
      </c>
      <c r="B6" s="36" t="s">
        <v>66</v>
      </c>
      <c r="C6" s="39" t="s">
        <v>28</v>
      </c>
      <c r="D6" s="18" t="s">
        <v>73</v>
      </c>
      <c r="E6" s="18" t="s">
        <v>74</v>
      </c>
      <c r="F6" s="19" t="s">
        <v>72</v>
      </c>
      <c r="G6" s="38"/>
      <c r="H6" s="280">
        <v>0.66</v>
      </c>
      <c r="I6" s="40">
        <f t="shared" si="1"/>
        <v>5954.6363636363631</v>
      </c>
      <c r="J6" s="39">
        <v>3930.06</v>
      </c>
      <c r="K6" s="41">
        <f t="shared" si="0"/>
        <v>3930.06</v>
      </c>
      <c r="L6" s="51">
        <f>'RAIL EMIS FACTOR'!C$7*$K6/2000</f>
        <v>1.0767947117974959</v>
      </c>
      <c r="M6" s="51">
        <f>'RAIL EMIS FACTOR'!D$7*$K6/2000</f>
        <v>0.10584392238833108</v>
      </c>
      <c r="N6" s="51">
        <f>'RAIL EMIS FACTOR'!E$7*$K6/2000</f>
        <v>2.4534563053613838E-2</v>
      </c>
      <c r="O6" s="51">
        <f>'RAIL EMIS FACTOR'!F$7*$K6/2000</f>
        <v>2.3798526162005423E-2</v>
      </c>
      <c r="P6" s="51">
        <f>'RAIL EMIS FACTOR'!G$7*$K6/2000</f>
        <v>5.7370779709501581E-3</v>
      </c>
      <c r="Q6" s="51">
        <f>'RAIL EMIS FACTOR'!H$7*$K6/2000</f>
        <v>5.597560560681996E-2</v>
      </c>
      <c r="R6" s="51">
        <f>'RAIL EMIS FACTOR'!I$7*$K6/2000</f>
        <v>3.7846821988743988E-4</v>
      </c>
      <c r="S6" s="51">
        <f>'RAIL EMIS FACTOR'!J$7*$K6/2000</f>
        <v>46.420301984957881</v>
      </c>
      <c r="T6" s="61"/>
      <c r="U6" s="8"/>
      <c r="V6" s="3"/>
      <c r="W6" s="3"/>
      <c r="X6" s="3"/>
    </row>
    <row r="7" spans="1:24" x14ac:dyDescent="0.25">
      <c r="A7" s="231">
        <v>2011</v>
      </c>
      <c r="B7" s="36" t="s">
        <v>42</v>
      </c>
      <c r="C7" s="39" t="s">
        <v>30</v>
      </c>
      <c r="D7" s="18" t="s">
        <v>73</v>
      </c>
      <c r="E7" s="18" t="s">
        <v>74</v>
      </c>
      <c r="F7" s="19" t="s">
        <v>72</v>
      </c>
      <c r="G7" s="38"/>
      <c r="H7" s="280">
        <v>3.5</v>
      </c>
      <c r="I7" s="40">
        <f t="shared" si="1"/>
        <v>1428.5714285714287</v>
      </c>
      <c r="J7" s="213">
        <v>5000</v>
      </c>
      <c r="K7" s="41">
        <f t="shared" si="0"/>
        <v>5000</v>
      </c>
      <c r="L7" s="51">
        <f>'RAIL EMIS FACTOR'!C$7*$K7/2000</f>
        <v>1.3699469114943486</v>
      </c>
      <c r="M7" s="51">
        <f>'RAIL EMIS FACTOR'!D$7*$K7/2000</f>
        <v>0.13465942299650779</v>
      </c>
      <c r="N7" s="51">
        <f>'RAIL EMIS FACTOR'!E$7*$K7/2000</f>
        <v>3.1213980261896559E-2</v>
      </c>
      <c r="O7" s="51">
        <f>'RAIL EMIS FACTOR'!F$7*$K7/2000</f>
        <v>3.0277560854039664E-2</v>
      </c>
      <c r="P7" s="51">
        <f>'RAIL EMIS FACTOR'!G$7*$K7/2000</f>
        <v>7.2989699533215239E-3</v>
      </c>
      <c r="Q7" s="51">
        <f>'RAIL EMIS FACTOR'!H$7*$K7/2000</f>
        <v>7.1214695967516992E-2</v>
      </c>
      <c r="R7" s="51">
        <f>'RAIL EMIS FACTOR'!I$7*$K7/2000</f>
        <v>4.8150437892479996E-4</v>
      </c>
      <c r="S7" s="51">
        <f>'RAIL EMIS FACTOR'!J$7*$K7/2000</f>
        <v>59.058006728851318</v>
      </c>
      <c r="T7" s="61"/>
      <c r="U7" s="214" t="s">
        <v>709</v>
      </c>
      <c r="V7" s="3"/>
      <c r="W7" s="3"/>
      <c r="X7" s="3"/>
    </row>
    <row r="8" spans="1:24" x14ac:dyDescent="0.25">
      <c r="A8" s="231">
        <v>2011</v>
      </c>
      <c r="B8" s="36" t="s">
        <v>44</v>
      </c>
      <c r="C8" s="39" t="s">
        <v>31</v>
      </c>
      <c r="D8" s="18" t="s">
        <v>73</v>
      </c>
      <c r="E8" s="18" t="s">
        <v>74</v>
      </c>
      <c r="F8" s="19" t="s">
        <v>72</v>
      </c>
      <c r="G8" s="38"/>
      <c r="H8" s="280">
        <v>17</v>
      </c>
      <c r="I8" s="40">
        <f t="shared" si="1"/>
        <v>1529.4117647058824</v>
      </c>
      <c r="J8" s="213">
        <v>26000</v>
      </c>
      <c r="K8" s="41">
        <f t="shared" si="0"/>
        <v>26000</v>
      </c>
      <c r="L8" s="51">
        <f>'RAIL EMIS FACTOR'!C$7*$K8/2000</f>
        <v>7.1237239397706125</v>
      </c>
      <c r="M8" s="51">
        <f>'RAIL EMIS FACTOR'!D$7*$K8/2000</f>
        <v>0.70022899958184048</v>
      </c>
      <c r="N8" s="51">
        <f>'RAIL EMIS FACTOR'!E$7*$K8/2000</f>
        <v>0.16231269736186213</v>
      </c>
      <c r="O8" s="51">
        <f>'RAIL EMIS FACTOR'!F$7*$K8/2000</f>
        <v>0.15744331644100626</v>
      </c>
      <c r="P8" s="51">
        <f>'RAIL EMIS FACTOR'!G$7*$K8/2000</f>
        <v>3.7954643757271922E-2</v>
      </c>
      <c r="Q8" s="51">
        <f>'RAIL EMIS FACTOR'!H$7*$K8/2000</f>
        <v>0.37031641903108836</v>
      </c>
      <c r="R8" s="51">
        <f>'RAIL EMIS FACTOR'!I$7*$K8/2000</f>
        <v>2.5038227704089599E-3</v>
      </c>
      <c r="S8" s="51">
        <f>'RAIL EMIS FACTOR'!J$7*$K8/2000</f>
        <v>307.10163499002681</v>
      </c>
      <c r="T8" s="61"/>
      <c r="U8" s="8" t="str">
        <f>U7</f>
        <v>same as 2007</v>
      </c>
      <c r="V8" s="3"/>
      <c r="W8" s="3"/>
      <c r="X8" s="3"/>
    </row>
    <row r="9" spans="1:24" x14ac:dyDescent="0.25">
      <c r="A9" s="231" t="s">
        <v>824</v>
      </c>
      <c r="B9" s="265" t="s">
        <v>41</v>
      </c>
      <c r="C9" s="101" t="s">
        <v>32</v>
      </c>
      <c r="D9" s="18" t="s">
        <v>73</v>
      </c>
      <c r="E9" s="18" t="s">
        <v>74</v>
      </c>
      <c r="F9" s="19" t="s">
        <v>72</v>
      </c>
      <c r="G9" s="38"/>
      <c r="H9" s="280">
        <v>20</v>
      </c>
      <c r="I9" s="40">
        <f t="shared" si="1"/>
        <v>4564.8</v>
      </c>
      <c r="J9" s="213">
        <f>70080+11232+9984</f>
        <v>91296</v>
      </c>
      <c r="K9" s="41">
        <f t="shared" si="0"/>
        <v>91296</v>
      </c>
      <c r="L9" s="51">
        <f>'RAIL EMIS FACTOR'!C$7*$K9/2000</f>
        <v>25.014134646357608</v>
      </c>
      <c r="M9" s="51">
        <f>'RAIL EMIS FACTOR'!D$7*$K9/2000</f>
        <v>2.4587733363778352</v>
      </c>
      <c r="N9" s="51">
        <f>'RAIL EMIS FACTOR'!E$7*$K9/2000</f>
        <v>0.56994230839802162</v>
      </c>
      <c r="O9" s="51">
        <f>'RAIL EMIS FACTOR'!F$7*$K9/2000</f>
        <v>0.55284403914608105</v>
      </c>
      <c r="P9" s="51">
        <f>'RAIL EMIS FACTOR'!G$7*$K9/2000</f>
        <v>0.13327335217168837</v>
      </c>
      <c r="Q9" s="51">
        <f>'RAIL EMIS FACTOR'!H$7*$K9/2000</f>
        <v>1.3003233766100861</v>
      </c>
      <c r="R9" s="51">
        <f>'RAIL EMIS FACTOR'!I$7*$K9/2000</f>
        <v>8.7918847556637068E-3</v>
      </c>
      <c r="S9" s="51">
        <f>'RAIL EMIS FACTOR'!J$7*$K9/2000</f>
        <v>1078.3519564634419</v>
      </c>
      <c r="T9" s="61"/>
      <c r="U9" s="214" t="s">
        <v>710</v>
      </c>
      <c r="V9" s="3"/>
      <c r="W9" s="3"/>
      <c r="X9" s="3"/>
    </row>
    <row r="10" spans="1:24" x14ac:dyDescent="0.25">
      <c r="A10" s="231" t="s">
        <v>895</v>
      </c>
      <c r="B10" s="42" t="s">
        <v>37</v>
      </c>
      <c r="C10" s="43" t="s">
        <v>36</v>
      </c>
      <c r="D10" s="18" t="s">
        <v>73</v>
      </c>
      <c r="E10" s="18" t="s">
        <v>74</v>
      </c>
      <c r="F10" s="19" t="s">
        <v>72</v>
      </c>
      <c r="G10" s="38">
        <v>8</v>
      </c>
      <c r="H10" s="51">
        <v>24.886056</v>
      </c>
      <c r="I10" s="40">
        <v>0</v>
      </c>
      <c r="J10" s="44">
        <v>0</v>
      </c>
      <c r="K10" s="41">
        <f t="shared" ref="K10:K32" si="2">+J10</f>
        <v>0</v>
      </c>
      <c r="L10" s="51">
        <f>'RAIL EMIS FACTOR'!C$7*$K10/2000</f>
        <v>0</v>
      </c>
      <c r="M10" s="51">
        <f>'RAIL EMIS FACTOR'!D$7*$K10/2000</f>
        <v>0</v>
      </c>
      <c r="N10" s="51">
        <f>'RAIL EMIS FACTOR'!E$7*$K10/2000</f>
        <v>0</v>
      </c>
      <c r="O10" s="51">
        <f>'RAIL EMIS FACTOR'!F$7*$K10/2000</f>
        <v>0</v>
      </c>
      <c r="P10" s="51">
        <f>'RAIL EMIS FACTOR'!G$7*$K10/2000</f>
        <v>0</v>
      </c>
      <c r="Q10" s="51">
        <f>'RAIL EMIS FACTOR'!H$7*$K10/2000</f>
        <v>0</v>
      </c>
      <c r="R10" s="51">
        <f>'RAIL EMIS FACTOR'!I$7*$K10/2000</f>
        <v>0</v>
      </c>
      <c r="S10" s="51">
        <f>'RAIL EMIS FACTOR'!J$7*$K10/2000</f>
        <v>0</v>
      </c>
      <c r="T10" s="61" t="s">
        <v>53</v>
      </c>
      <c r="U10" s="8"/>
      <c r="V10" s="3"/>
      <c r="W10" s="3"/>
      <c r="X10" s="3"/>
    </row>
    <row r="11" spans="1:24" x14ac:dyDescent="0.25">
      <c r="A11" s="231" t="s">
        <v>824</v>
      </c>
      <c r="B11" s="216" t="s">
        <v>37</v>
      </c>
      <c r="C11" s="217" t="s">
        <v>0</v>
      </c>
      <c r="D11" s="66" t="s">
        <v>73</v>
      </c>
      <c r="E11" s="66" t="s">
        <v>74</v>
      </c>
      <c r="F11" s="218" t="s">
        <v>72</v>
      </c>
      <c r="G11" s="219">
        <v>14</v>
      </c>
      <c r="H11" s="281">
        <v>30.450236257309946</v>
      </c>
      <c r="I11" s="220">
        <f>J11/H11</f>
        <v>70.199783736878004</v>
      </c>
      <c r="J11" s="66">
        <v>2137.6</v>
      </c>
      <c r="K11" s="221">
        <f t="shared" si="2"/>
        <v>2137.6</v>
      </c>
      <c r="L11" s="51">
        <f>'RAIL EMIS FACTOR'!C$7*$K11/2000</f>
        <v>0.58567970360206389</v>
      </c>
      <c r="M11" s="51">
        <f>'RAIL EMIS FACTOR'!D$7*$K11/2000</f>
        <v>5.7569596519467012E-2</v>
      </c>
      <c r="N11" s="51">
        <f>'RAIL EMIS FACTOR'!E$7*$K11/2000</f>
        <v>1.3344600841566016E-2</v>
      </c>
      <c r="O11" s="51">
        <f>'RAIL EMIS FACTOR'!F$7*$K11/2000</f>
        <v>1.2944262816319038E-2</v>
      </c>
      <c r="P11" s="51">
        <f>'RAIL EMIS FACTOR'!G$7*$K11/2000</f>
        <v>3.1204556344440176E-3</v>
      </c>
      <c r="Q11" s="51">
        <f>'RAIL EMIS FACTOR'!H$7*$K11/2000</f>
        <v>3.0445706820032861E-2</v>
      </c>
      <c r="R11" s="51">
        <f>'RAIL EMIS FACTOR'!I$7*$K11/2000</f>
        <v>2.058527520779305E-4</v>
      </c>
      <c r="S11" s="51">
        <f>'RAIL EMIS FACTOR'!J$7*$K11/2000</f>
        <v>25.248479036718518</v>
      </c>
      <c r="T11" s="61"/>
      <c r="U11" s="8"/>
      <c r="V11" s="3"/>
      <c r="W11" s="3"/>
      <c r="X11" s="3"/>
    </row>
    <row r="12" spans="1:24" x14ac:dyDescent="0.25">
      <c r="A12" s="231" t="s">
        <v>824</v>
      </c>
      <c r="B12" s="42" t="s">
        <v>65</v>
      </c>
      <c r="C12" s="266" t="s">
        <v>963</v>
      </c>
      <c r="D12" s="18" t="s">
        <v>73</v>
      </c>
      <c r="E12" s="18" t="s">
        <v>74</v>
      </c>
      <c r="F12" s="19" t="s">
        <v>72</v>
      </c>
      <c r="G12" s="38">
        <v>21</v>
      </c>
      <c r="H12" s="51">
        <v>19.05</v>
      </c>
      <c r="I12" s="40">
        <f>J12/H12</f>
        <v>1446.8503937007874</v>
      </c>
      <c r="J12" s="66">
        <v>27562.5</v>
      </c>
      <c r="K12" s="41">
        <f t="shared" si="2"/>
        <v>27562.5</v>
      </c>
      <c r="L12" s="51">
        <f>'RAIL EMIS FACTOR'!C$7*$K12/2000</f>
        <v>7.5518323496125968</v>
      </c>
      <c r="M12" s="51">
        <f>'RAIL EMIS FACTOR'!D$7*$K12/2000</f>
        <v>0.74231006926824916</v>
      </c>
      <c r="N12" s="51">
        <f>'RAIL EMIS FACTOR'!E$7*$K12/2000</f>
        <v>0.17206706619370479</v>
      </c>
      <c r="O12" s="51">
        <f>'RAIL EMIS FACTOR'!F$7*$K12/2000</f>
        <v>0.16690505420789364</v>
      </c>
      <c r="P12" s="51">
        <f>'RAIL EMIS FACTOR'!G$7*$K12/2000</f>
        <v>4.0235571867684894E-2</v>
      </c>
      <c r="Q12" s="51">
        <f>'RAIL EMIS FACTOR'!H$7*$K12/2000</f>
        <v>0.39257101152093737</v>
      </c>
      <c r="R12" s="51">
        <f>'RAIL EMIS FACTOR'!I$7*$K12/2000</f>
        <v>2.65429288882296E-3</v>
      </c>
      <c r="S12" s="51">
        <f>'RAIL EMIS FACTOR'!J$7*$K12/2000</f>
        <v>325.55726209279288</v>
      </c>
      <c r="T12" s="61" t="s">
        <v>51</v>
      </c>
      <c r="U12" s="214" t="s">
        <v>711</v>
      </c>
      <c r="V12" s="3"/>
      <c r="W12" s="3"/>
      <c r="X12" s="3"/>
    </row>
    <row r="13" spans="1:24" x14ac:dyDescent="0.25">
      <c r="A13" s="231" t="s">
        <v>824</v>
      </c>
      <c r="B13" s="215" t="s">
        <v>65</v>
      </c>
      <c r="C13" s="266" t="s">
        <v>822</v>
      </c>
      <c r="D13" s="18" t="s">
        <v>73</v>
      </c>
      <c r="E13" s="18"/>
      <c r="F13" s="19"/>
      <c r="G13" s="38"/>
      <c r="H13" s="51"/>
      <c r="I13" s="40"/>
      <c r="J13" s="66">
        <v>54002</v>
      </c>
      <c r="K13" s="41">
        <f>J13</f>
        <v>54002</v>
      </c>
      <c r="L13" s="51">
        <f>$K13*'RAIL EMIS FACTOR'!C$8/2000</f>
        <v>7.1170510844346246</v>
      </c>
      <c r="M13" s="51">
        <f>$K13*'RAIL EMIS FACTOR'!D$8/2000</f>
        <v>1.6621435795788377</v>
      </c>
      <c r="N13" s="51">
        <f>$K13*'RAIL EMIS FACTOR'!E$8/2000</f>
        <v>0.18104779074438959</v>
      </c>
      <c r="O13" s="51">
        <f>$K13*'RAIL EMIS FACTOR'!F$8/2000</f>
        <v>0.17561635702205791</v>
      </c>
      <c r="P13" s="51">
        <f>$K13*'RAIL EMIS FACTOR'!G$8/2000</f>
        <v>9.0093480095832901E-2</v>
      </c>
      <c r="Q13" s="51">
        <f>$K13*'RAIL EMIS FACTOR'!H$8/2000</f>
        <v>0.30239975476126701</v>
      </c>
      <c r="R13" s="51">
        <f>$K13*'RAIL EMIS FACTOR'!I$8/2000</f>
        <v>5.2004398941394095E-3</v>
      </c>
      <c r="S13" s="51">
        <f>$K13*'RAIL EMIS FACTOR'!J$8/2000</f>
        <v>637.85009587428578</v>
      </c>
      <c r="T13" s="61"/>
      <c r="U13" s="214"/>
      <c r="V13" s="3"/>
      <c r="W13" s="3"/>
      <c r="X13" s="3"/>
    </row>
    <row r="14" spans="1:24" x14ac:dyDescent="0.25">
      <c r="A14" s="231" t="s">
        <v>824</v>
      </c>
      <c r="B14" s="42" t="s">
        <v>21</v>
      </c>
      <c r="C14" s="43" t="s">
        <v>36</v>
      </c>
      <c r="D14" s="18" t="s">
        <v>73</v>
      </c>
      <c r="E14" s="18" t="s">
        <v>74</v>
      </c>
      <c r="F14" s="19" t="s">
        <v>72</v>
      </c>
      <c r="G14" s="38">
        <v>35</v>
      </c>
      <c r="H14" s="51">
        <v>34.979872999999998</v>
      </c>
      <c r="I14" s="40">
        <f>J14/H14</f>
        <v>1198.5219842764227</v>
      </c>
      <c r="J14" s="44">
        <v>41924.146797697264</v>
      </c>
      <c r="K14" s="41">
        <f t="shared" si="2"/>
        <v>41924.146797697264</v>
      </c>
      <c r="L14" s="51">
        <f>'RAIL EMIS FACTOR'!C$7*$K14/2000</f>
        <v>11.486771084508209</v>
      </c>
      <c r="M14" s="51">
        <f>'RAIL EMIS FACTOR'!D$7*$K14/2000</f>
        <v>1.1290962834797609</v>
      </c>
      <c r="N14" s="51">
        <f>'RAIL EMIS FACTOR'!E$7*$K14/2000</f>
        <v>0.26172389812803526</v>
      </c>
      <c r="O14" s="51">
        <f>'RAIL EMIS FACTOR'!F$7*$K14/2000</f>
        <v>0.25387218118419419</v>
      </c>
      <c r="P14" s="51">
        <f>'RAIL EMIS FACTOR'!G$7*$K14/2000</f>
        <v>6.1200617559006625E-2</v>
      </c>
      <c r="Q14" s="51">
        <f>'RAIL EMIS FACTOR'!H$7*$K14/2000</f>
        <v>0.59712307357911232</v>
      </c>
      <c r="R14" s="51">
        <f>'RAIL EMIS FACTOR'!I$7*$K14/2000</f>
        <v>4.0373320531554733E-3</v>
      </c>
      <c r="S14" s="51">
        <f>'RAIL EMIS FACTOR'!J$7*$K14/2000</f>
        <v>495.19130873595111</v>
      </c>
      <c r="T14" s="61"/>
      <c r="U14" s="8"/>
      <c r="V14" s="3"/>
      <c r="W14" s="3"/>
      <c r="X14" s="3"/>
    </row>
    <row r="15" spans="1:24" x14ac:dyDescent="0.25">
      <c r="A15" s="231" t="s">
        <v>824</v>
      </c>
      <c r="B15" s="42" t="s">
        <v>38</v>
      </c>
      <c r="C15" s="43" t="s">
        <v>36</v>
      </c>
      <c r="D15" s="18" t="s">
        <v>73</v>
      </c>
      <c r="E15" s="18" t="s">
        <v>74</v>
      </c>
      <c r="F15" s="19" t="s">
        <v>72</v>
      </c>
      <c r="G15" s="38">
        <v>74</v>
      </c>
      <c r="H15" s="51">
        <v>49.630076000000003</v>
      </c>
      <c r="I15" s="40">
        <f>J15/H15</f>
        <v>2927.7221789109644</v>
      </c>
      <c r="J15" s="44">
        <v>145303.07424623676</v>
      </c>
      <c r="K15" s="41">
        <f t="shared" si="2"/>
        <v>145303.07424623676</v>
      </c>
      <c r="L15" s="51">
        <f>'RAIL EMIS FACTOR'!C$7*$K15/2000</f>
        <v>39.811499558853214</v>
      </c>
      <c r="M15" s="51">
        <f>'RAIL EMIS FACTOR'!D$7*$K15/2000</f>
        <v>3.9132856275233947</v>
      </c>
      <c r="N15" s="51">
        <f>'RAIL EMIS FACTOR'!E$7*$K15/2000</f>
        <v>0.90709745830298494</v>
      </c>
      <c r="O15" s="51">
        <f>'RAIL EMIS FACTOR'!F$7*$K15/2000</f>
        <v>0.87988453455389537</v>
      </c>
      <c r="P15" s="51">
        <f>'RAIL EMIS FACTOR'!G$7*$K15/2000</f>
        <v>0.21211255460970574</v>
      </c>
      <c r="Q15" s="51">
        <f>'RAIL EMIS FACTOR'!H$7*$K15/2000</f>
        <v>2.0695428511182596</v>
      </c>
      <c r="R15" s="51">
        <f>'RAIL EMIS FACTOR'!I$7*$K15/2000</f>
        <v>1.3992813304159666E-2</v>
      </c>
      <c r="S15" s="51">
        <f>'RAIL EMIS FACTOR'!J$7*$K15/2000</f>
        <v>1716.2619873114068</v>
      </c>
      <c r="T15" s="61"/>
      <c r="U15" s="8"/>
      <c r="V15" s="3"/>
      <c r="W15" s="3"/>
      <c r="X15" s="3"/>
    </row>
    <row r="16" spans="1:24" x14ac:dyDescent="0.25">
      <c r="A16" s="231" t="s">
        <v>824</v>
      </c>
      <c r="B16" s="216" t="s">
        <v>38</v>
      </c>
      <c r="C16" s="217" t="s">
        <v>0</v>
      </c>
      <c r="D16" s="66" t="s">
        <v>73</v>
      </c>
      <c r="E16" s="66" t="s">
        <v>74</v>
      </c>
      <c r="F16" s="218" t="s">
        <v>72</v>
      </c>
      <c r="G16" s="219">
        <v>7</v>
      </c>
      <c r="H16" s="281">
        <v>1.3333333333333333</v>
      </c>
      <c r="I16" s="220">
        <f>J16/H16</f>
        <v>506.28</v>
      </c>
      <c r="J16" s="66">
        <v>675.04</v>
      </c>
      <c r="K16" s="221">
        <f t="shared" si="2"/>
        <v>675.04</v>
      </c>
      <c r="L16" s="51">
        <f>'RAIL EMIS FACTOR'!C$7*$K16/2000</f>
        <v>0.18495379262702899</v>
      </c>
      <c r="M16" s="51">
        <f>'RAIL EMIS FACTOR'!D$7*$K16/2000</f>
        <v>1.8180099379912523E-2</v>
      </c>
      <c r="N16" s="51">
        <f>'RAIL EMIS FACTOR'!E$7*$K16/2000</f>
        <v>4.2141370471981306E-3</v>
      </c>
      <c r="O16" s="51">
        <f>'RAIL EMIS FACTOR'!F$7*$K16/2000</f>
        <v>4.0877129357821864E-3</v>
      </c>
      <c r="P16" s="51">
        <f>'RAIL EMIS FACTOR'!G$7*$K16/2000</f>
        <v>9.8541933545803219E-4</v>
      </c>
      <c r="Q16" s="51">
        <f>'RAIL EMIS FACTOR'!H$7*$K16/2000</f>
        <v>9.6145536731825319E-3</v>
      </c>
      <c r="R16" s="51">
        <f>'RAIL EMIS FACTOR'!I$7*$K16/2000</f>
        <v>6.5006943189879383E-5</v>
      </c>
      <c r="S16" s="51">
        <f>'RAIL EMIS FACTOR'!J$7*$K16/2000</f>
        <v>7.9733033724487585</v>
      </c>
      <c r="T16" s="61"/>
      <c r="U16" s="8"/>
      <c r="V16" s="3"/>
      <c r="W16" s="3"/>
      <c r="X16" s="3"/>
    </row>
    <row r="17" spans="1:24" x14ac:dyDescent="0.25">
      <c r="A17" s="231">
        <v>2011</v>
      </c>
      <c r="B17" s="42" t="s">
        <v>35</v>
      </c>
      <c r="C17" s="43" t="s">
        <v>34</v>
      </c>
      <c r="D17" s="18" t="s">
        <v>73</v>
      </c>
      <c r="E17" s="18" t="s">
        <v>74</v>
      </c>
      <c r="F17" s="19" t="s">
        <v>72</v>
      </c>
      <c r="G17" s="38">
        <v>1</v>
      </c>
      <c r="H17" s="51">
        <v>14</v>
      </c>
      <c r="I17" s="40">
        <f>J17/H17</f>
        <v>542.85714285714289</v>
      </c>
      <c r="J17" s="44">
        <v>7600</v>
      </c>
      <c r="K17" s="41">
        <f t="shared" si="2"/>
        <v>7600</v>
      </c>
      <c r="L17" s="51">
        <f>'RAIL EMIS FACTOR'!C$7*$K17/2000</f>
        <v>2.0823193054714095</v>
      </c>
      <c r="M17" s="51">
        <f>'RAIL EMIS FACTOR'!D$7*$K17/2000</f>
        <v>0.20468232295469185</v>
      </c>
      <c r="N17" s="51">
        <f>'RAIL EMIS FACTOR'!E$7*$K17/2000</f>
        <v>4.7445249998082771E-2</v>
      </c>
      <c r="O17" s="51">
        <f>'RAIL EMIS FACTOR'!F$7*$K17/2000</f>
        <v>4.6021892498140288E-2</v>
      </c>
      <c r="P17" s="51">
        <f>'RAIL EMIS FACTOR'!G$7*$K17/2000</f>
        <v>1.1094434329048717E-2</v>
      </c>
      <c r="Q17" s="51">
        <f>'RAIL EMIS FACTOR'!H$7*$K17/2000</f>
        <v>0.10824633787062582</v>
      </c>
      <c r="R17" s="51">
        <f>'RAIL EMIS FACTOR'!I$7*$K17/2000</f>
        <v>7.3188665596569599E-4</v>
      </c>
      <c r="S17" s="51">
        <f>'RAIL EMIS FACTOR'!J$7*$K17/2000</f>
        <v>89.768170227854</v>
      </c>
      <c r="T17" s="61" t="s">
        <v>62</v>
      </c>
      <c r="U17" s="8"/>
      <c r="V17" s="3"/>
      <c r="W17" s="3"/>
      <c r="X17" s="3"/>
    </row>
    <row r="18" spans="1:24" x14ac:dyDescent="0.25">
      <c r="A18" s="231" t="s">
        <v>824</v>
      </c>
      <c r="B18" s="42" t="s">
        <v>35</v>
      </c>
      <c r="C18" s="43" t="s">
        <v>36</v>
      </c>
      <c r="D18" s="18" t="s">
        <v>73</v>
      </c>
      <c r="E18" s="18" t="s">
        <v>74</v>
      </c>
      <c r="F18" s="19" t="s">
        <v>72</v>
      </c>
      <c r="G18" s="38">
        <v>5</v>
      </c>
      <c r="H18" s="51">
        <v>14.665808</v>
      </c>
      <c r="I18" s="40" t="e">
        <f>#REF!</f>
        <v>#REF!</v>
      </c>
      <c r="J18" s="44">
        <v>0</v>
      </c>
      <c r="K18" s="41">
        <f t="shared" si="2"/>
        <v>0</v>
      </c>
      <c r="L18" s="51">
        <f>'RAIL EMIS FACTOR'!C$7*$K18/2000</f>
        <v>0</v>
      </c>
      <c r="M18" s="51">
        <f>'RAIL EMIS FACTOR'!D$7*$K18/2000</f>
        <v>0</v>
      </c>
      <c r="N18" s="51">
        <f>'RAIL EMIS FACTOR'!E$7*$K18/2000</f>
        <v>0</v>
      </c>
      <c r="O18" s="51">
        <f>'RAIL EMIS FACTOR'!F$7*$K18/2000</f>
        <v>0</v>
      </c>
      <c r="P18" s="51">
        <f>'RAIL EMIS FACTOR'!G$7*$K18/2000</f>
        <v>0</v>
      </c>
      <c r="Q18" s="51">
        <f>'RAIL EMIS FACTOR'!H$7*$K18/2000</f>
        <v>0</v>
      </c>
      <c r="R18" s="51">
        <f>'RAIL EMIS FACTOR'!I$7*$K18/2000</f>
        <v>0</v>
      </c>
      <c r="S18" s="51">
        <f>'RAIL EMIS FACTOR'!J$7*$K18/2000</f>
        <v>0</v>
      </c>
      <c r="T18" s="61" t="s">
        <v>52</v>
      </c>
      <c r="U18" s="8"/>
      <c r="V18" s="3"/>
      <c r="W18" s="3"/>
      <c r="X18" s="3"/>
    </row>
    <row r="19" spans="1:24" x14ac:dyDescent="0.25">
      <c r="A19" s="231" t="s">
        <v>824</v>
      </c>
      <c r="B19" s="216" t="s">
        <v>35</v>
      </c>
      <c r="C19" s="217" t="s">
        <v>0</v>
      </c>
      <c r="D19" s="66" t="s">
        <v>73</v>
      </c>
      <c r="E19" s="66" t="s">
        <v>74</v>
      </c>
      <c r="F19" s="218" t="s">
        <v>72</v>
      </c>
      <c r="G19" s="219">
        <v>3</v>
      </c>
      <c r="H19" s="281">
        <v>0</v>
      </c>
      <c r="I19" s="220">
        <v>0</v>
      </c>
      <c r="J19" s="66">
        <f>H19*I19</f>
        <v>0</v>
      </c>
      <c r="K19" s="221">
        <f t="shared" si="2"/>
        <v>0</v>
      </c>
      <c r="L19" s="51">
        <f>'RAIL EMIS FACTOR'!C$7*$K19/2000</f>
        <v>0</v>
      </c>
      <c r="M19" s="51">
        <f>'RAIL EMIS FACTOR'!D$7*$K19/2000</f>
        <v>0</v>
      </c>
      <c r="N19" s="51">
        <f>'RAIL EMIS FACTOR'!E$7*$K19/2000</f>
        <v>0</v>
      </c>
      <c r="O19" s="51">
        <f>'RAIL EMIS FACTOR'!F$7*$K19/2000</f>
        <v>0</v>
      </c>
      <c r="P19" s="51">
        <f>'RAIL EMIS FACTOR'!G$7*$K19/2000</f>
        <v>0</v>
      </c>
      <c r="Q19" s="51">
        <f>'RAIL EMIS FACTOR'!H$7*$K19/2000</f>
        <v>0</v>
      </c>
      <c r="R19" s="51">
        <f>'RAIL EMIS FACTOR'!I$7*$K19/2000</f>
        <v>0</v>
      </c>
      <c r="S19" s="51">
        <f>'RAIL EMIS FACTOR'!J$7*$K19/2000</f>
        <v>0</v>
      </c>
      <c r="T19" s="61" t="s">
        <v>2</v>
      </c>
      <c r="U19" s="8"/>
      <c r="V19" s="3"/>
      <c r="W19" s="3"/>
      <c r="X19" s="3"/>
    </row>
    <row r="20" spans="1:24" x14ac:dyDescent="0.25">
      <c r="A20" s="231" t="s">
        <v>824</v>
      </c>
      <c r="B20" s="42" t="s">
        <v>39</v>
      </c>
      <c r="C20" s="43" t="s">
        <v>36</v>
      </c>
      <c r="D20" s="18" t="s">
        <v>73</v>
      </c>
      <c r="E20" s="18" t="s">
        <v>74</v>
      </c>
      <c r="F20" s="19" t="s">
        <v>72</v>
      </c>
      <c r="G20" s="38">
        <v>6</v>
      </c>
      <c r="H20" s="51">
        <v>12.819921000000001</v>
      </c>
      <c r="I20" s="40">
        <f>J20/H20</f>
        <v>747.0645994367685</v>
      </c>
      <c r="J20" s="44">
        <v>9577.3091466760179</v>
      </c>
      <c r="K20" s="41">
        <f t="shared" si="2"/>
        <v>9577.3091466760179</v>
      </c>
      <c r="L20" s="51">
        <f>'RAIL EMIS FACTOR'!C$7*$K20/2000</f>
        <v>2.6240810171830771</v>
      </c>
      <c r="M20" s="51">
        <f>'RAIL EMIS FACTOR'!D$7*$K20/2000</f>
        <v>0.25793498471011378</v>
      </c>
      <c r="N20" s="51">
        <f>'RAIL EMIS FACTOR'!E$7*$K20/2000</f>
        <v>5.9789187733285322E-2</v>
      </c>
      <c r="O20" s="51">
        <f>'RAIL EMIS FACTOR'!F$7*$K20/2000</f>
        <v>5.7995512101286763E-2</v>
      </c>
      <c r="P20" s="51">
        <f>'RAIL EMIS FACTOR'!G$7*$K20/2000</f>
        <v>1.3980898339051931E-2</v>
      </c>
      <c r="Q20" s="51">
        <f>'RAIL EMIS FACTOR'!H$7*$K20/2000</f>
        <v>0.13640903181349043</v>
      </c>
      <c r="R20" s="51">
        <f>'RAIL EMIS FACTOR'!I$7*$K20/2000</f>
        <v>9.2230325848820835E-4</v>
      </c>
      <c r="S20" s="51">
        <f>'RAIL EMIS FACTOR'!J$7*$K20/2000</f>
        <v>113.12335760573632</v>
      </c>
      <c r="T20" s="61"/>
      <c r="U20" s="8"/>
      <c r="V20" s="3"/>
      <c r="W20" s="3"/>
      <c r="X20" s="3"/>
    </row>
    <row r="21" spans="1:24" x14ac:dyDescent="0.25">
      <c r="A21" s="231" t="s">
        <v>824</v>
      </c>
      <c r="B21" s="215" t="s">
        <v>41</v>
      </c>
      <c r="C21" s="43" t="s">
        <v>0</v>
      </c>
      <c r="D21" s="18" t="s">
        <v>73</v>
      </c>
      <c r="E21" s="18" t="s">
        <v>74</v>
      </c>
      <c r="F21" s="19" t="s">
        <v>72</v>
      </c>
      <c r="G21" s="38">
        <v>1</v>
      </c>
      <c r="H21" s="51">
        <v>0</v>
      </c>
      <c r="I21" s="40" t="e">
        <f>#REF!</f>
        <v>#REF!</v>
      </c>
      <c r="J21" s="44">
        <v>3988.85</v>
      </c>
      <c r="K21" s="41">
        <f t="shared" si="2"/>
        <v>3988.85</v>
      </c>
      <c r="L21" s="51">
        <f>'RAIL EMIS FACTOR'!C$7*$K21/2000</f>
        <v>1.0929025475828464</v>
      </c>
      <c r="M21" s="51">
        <f>'RAIL EMIS FACTOR'!D$7*$K21/2000</f>
        <v>0.10742724788392402</v>
      </c>
      <c r="N21" s="51">
        <f>'RAIL EMIS FACTOR'!E$7*$K21/2000</f>
        <v>2.4901577033533219E-2</v>
      </c>
      <c r="O21" s="51">
        <f>'RAIL EMIS FACTOR'!F$7*$K21/2000</f>
        <v>2.4154529722527223E-2</v>
      </c>
      <c r="P21" s="51">
        <f>'RAIL EMIS FACTOR'!G$7*$K21/2000</f>
        <v>5.8228992596613119E-3</v>
      </c>
      <c r="Q21" s="51">
        <f>'RAIL EMIS FACTOR'!H$7*$K21/2000</f>
        <v>5.6812948002006022E-2</v>
      </c>
      <c r="R21" s="51">
        <f>'RAIL EMIS FACTOR'!I$7*$K21/2000</f>
        <v>3.8412974837483767E-4</v>
      </c>
      <c r="S21" s="51">
        <f>'RAIL EMIS FACTOR'!J$7*$K21/2000</f>
        <v>47.114706028075716</v>
      </c>
      <c r="T21" s="61" t="s">
        <v>54</v>
      </c>
      <c r="U21" s="8"/>
      <c r="V21" s="3"/>
      <c r="W21" s="3"/>
      <c r="X21" s="3"/>
    </row>
    <row r="22" spans="1:24" x14ac:dyDescent="0.25">
      <c r="A22" s="231" t="s">
        <v>824</v>
      </c>
      <c r="B22" s="42" t="s">
        <v>39</v>
      </c>
      <c r="C22" s="43" t="s">
        <v>1</v>
      </c>
      <c r="D22" s="18" t="s">
        <v>73</v>
      </c>
      <c r="E22" s="18" t="s">
        <v>74</v>
      </c>
      <c r="F22" s="19" t="s">
        <v>72</v>
      </c>
      <c r="G22" s="38">
        <v>23</v>
      </c>
      <c r="H22" s="51">
        <v>36.549999999999997</v>
      </c>
      <c r="I22" s="40">
        <f>J22/H22</f>
        <v>4210.6588235294121</v>
      </c>
      <c r="J22" s="44">
        <v>153899.57999999999</v>
      </c>
      <c r="K22" s="41">
        <v>162856.84</v>
      </c>
      <c r="L22" s="51">
        <f>'RAIL EMIS FACTOR'!C$7*$K22/2000</f>
        <v>44.621044994745851</v>
      </c>
      <c r="M22" s="51">
        <f>'RAIL EMIS FACTOR'!D$7*$K22/2000</f>
        <v>4.3860416210869184</v>
      </c>
      <c r="N22" s="51">
        <f>'RAIL EMIS FACTOR'!E$7*$K22/2000</f>
        <v>1.0166820378549692</v>
      </c>
      <c r="O22" s="51">
        <f>'RAIL EMIS FACTOR'!F$7*$K22/2000</f>
        <v>0.98618157671932005</v>
      </c>
      <c r="P22" s="51">
        <f>'RAIL EMIS FACTOR'!G$7*$K22/2000</f>
        <v>0.23773743637057818</v>
      </c>
      <c r="Q22" s="51">
        <f>'RAIL EMIS FACTOR'!H$7*$K22/2000</f>
        <v>2.3195600693661116</v>
      </c>
      <c r="R22" s="51">
        <f>'RAIL EMIS FACTOR'!I$7*$K22/2000</f>
        <v>1.5683256319571105E-2</v>
      </c>
      <c r="S22" s="51">
        <f>'RAIL EMIS FACTOR'!J$7*$K22/2000</f>
        <v>1923.6000705118925</v>
      </c>
      <c r="T22" s="61"/>
      <c r="U22" s="8"/>
      <c r="V22" s="3"/>
      <c r="W22" s="3"/>
      <c r="X22" s="3"/>
    </row>
    <row r="23" spans="1:24" x14ac:dyDescent="0.25">
      <c r="A23" s="231" t="s">
        <v>824</v>
      </c>
      <c r="B23" s="42" t="s">
        <v>40</v>
      </c>
      <c r="C23" s="43" t="s">
        <v>36</v>
      </c>
      <c r="D23" s="18" t="s">
        <v>73</v>
      </c>
      <c r="E23" s="18" t="s">
        <v>74</v>
      </c>
      <c r="F23" s="19" t="s">
        <v>72</v>
      </c>
      <c r="G23" s="38">
        <v>33</v>
      </c>
      <c r="H23" s="51">
        <v>20.01728</v>
      </c>
      <c r="I23" s="40">
        <f>J23/H23</f>
        <v>4316.8805912397456</v>
      </c>
      <c r="J23" s="44">
        <v>86412.207521411532</v>
      </c>
      <c r="K23" s="41">
        <f t="shared" si="2"/>
        <v>86412.207521411532</v>
      </c>
      <c r="L23" s="51">
        <f>'RAIL EMIS FACTOR'!C$7*$K23/2000</f>
        <v>23.676027361873288</v>
      </c>
      <c r="M23" s="51">
        <f>'RAIL EMIS FACTOR'!D$7*$K23/2000</f>
        <v>2.3272436009375537</v>
      </c>
      <c r="N23" s="51">
        <f>'RAIL EMIS FACTOR'!E$7*$K23/2000</f>
        <v>0.53945378799204979</v>
      </c>
      <c r="O23" s="51">
        <f>'RAIL EMIS FACTOR'!F$7*$K23/2000</f>
        <v>0.52327017435228829</v>
      </c>
      <c r="P23" s="51">
        <f>'RAIL EMIS FACTOR'!G$7*$K23/2000</f>
        <v>0.1261440212597934</v>
      </c>
      <c r="Q23" s="51">
        <f>'RAIL EMIS FACTOR'!H$7*$K23/2000</f>
        <v>1.2307638173038613</v>
      </c>
      <c r="R23" s="51">
        <f>'RAIL EMIS FACTOR'!I$7*$K23/2000</f>
        <v>8.3215712628236377E-3</v>
      </c>
      <c r="S23" s="51">
        <f>'RAIL EMIS FACTOR'!J$7*$K23/2000</f>
        <v>1020.6665466508838</v>
      </c>
      <c r="T23" s="61"/>
      <c r="U23" s="8"/>
      <c r="V23" s="3"/>
      <c r="W23" s="3"/>
      <c r="X23" s="3"/>
    </row>
    <row r="24" spans="1:24" x14ac:dyDescent="0.25">
      <c r="A24" s="231" t="s">
        <v>824</v>
      </c>
      <c r="B24" s="42" t="s">
        <v>40</v>
      </c>
      <c r="C24" s="43" t="s">
        <v>49</v>
      </c>
      <c r="D24" s="18" t="s">
        <v>73</v>
      </c>
      <c r="E24" s="18" t="s">
        <v>74</v>
      </c>
      <c r="F24" s="19" t="s">
        <v>72</v>
      </c>
      <c r="G24" s="38">
        <v>1</v>
      </c>
      <c r="H24" s="51">
        <v>1.8037430000000001</v>
      </c>
      <c r="I24" s="40">
        <v>0</v>
      </c>
      <c r="J24" s="44">
        <v>0</v>
      </c>
      <c r="K24" s="41"/>
      <c r="L24" s="51">
        <f>'RAIL EMIS FACTOR'!C$7*$K24/2000</f>
        <v>0</v>
      </c>
      <c r="M24" s="51">
        <f>'RAIL EMIS FACTOR'!D$7*$K24/2000</f>
        <v>0</v>
      </c>
      <c r="N24" s="51">
        <f>'RAIL EMIS FACTOR'!E$7*$K24/2000</f>
        <v>0</v>
      </c>
      <c r="O24" s="51">
        <f>'RAIL EMIS FACTOR'!F$7*$K24/2000</f>
        <v>0</v>
      </c>
      <c r="P24" s="51">
        <f>'RAIL EMIS FACTOR'!G$7*$K24/2000</f>
        <v>0</v>
      </c>
      <c r="Q24" s="51">
        <f>'RAIL EMIS FACTOR'!H$7*$K24/2000</f>
        <v>0</v>
      </c>
      <c r="R24" s="51">
        <f>'RAIL EMIS FACTOR'!I$7*$K24/2000</f>
        <v>0</v>
      </c>
      <c r="S24" s="51">
        <f>'RAIL EMIS FACTOR'!J$7*$K24/2000</f>
        <v>0</v>
      </c>
      <c r="T24" s="61"/>
      <c r="U24" s="8"/>
      <c r="V24" s="3"/>
      <c r="W24" s="3"/>
      <c r="X24" s="3"/>
    </row>
    <row r="25" spans="1:24" x14ac:dyDescent="0.25">
      <c r="A25" s="231" t="s">
        <v>824</v>
      </c>
      <c r="B25" s="42" t="s">
        <v>41</v>
      </c>
      <c r="C25" s="43" t="s">
        <v>36</v>
      </c>
      <c r="D25" s="18" t="s">
        <v>73</v>
      </c>
      <c r="E25" s="18" t="s">
        <v>74</v>
      </c>
      <c r="F25" s="19" t="s">
        <v>72</v>
      </c>
      <c r="G25" s="38">
        <v>36</v>
      </c>
      <c r="H25" s="51">
        <v>49.634179000000003</v>
      </c>
      <c r="I25" s="40">
        <f>J25/H25</f>
        <v>4477.2809043062398</v>
      </c>
      <c r="J25" s="44">
        <v>222226.16183761781</v>
      </c>
      <c r="K25" s="41">
        <f t="shared" si="2"/>
        <v>222226.16183761781</v>
      </c>
      <c r="L25" s="51">
        <f>'RAIL EMIS FACTOR'!C$7*$K25/2000</f>
        <v>60.88760881253755</v>
      </c>
      <c r="M25" s="51">
        <f>'RAIL EMIS FACTOR'!D$7*$K25/2000</f>
        <v>5.9849693455564346</v>
      </c>
      <c r="N25" s="51">
        <f>'RAIL EMIS FACTOR'!E$7*$K25/2000</f>
        <v>1.3873126058552867</v>
      </c>
      <c r="O25" s="51">
        <f>'RAIL EMIS FACTOR'!F$7*$K25/2000</f>
        <v>1.3456932276796281</v>
      </c>
      <c r="P25" s="51">
        <f>'RAIL EMIS FACTOR'!G$7*$K25/2000</f>
        <v>0.32440441561894773</v>
      </c>
      <c r="Q25" s="51">
        <f>'RAIL EMIS FACTOR'!H$7*$K25/2000</f>
        <v>3.1651537102588354</v>
      </c>
      <c r="R25" s="51">
        <f>'RAIL EMIS FACTOR'!I$7*$K25/2000</f>
        <v>2.1400574007292849E-2</v>
      </c>
      <c r="S25" s="51">
        <f>'RAIL EMIS FACTOR'!J$7*$K25/2000</f>
        <v>2624.8468322265671</v>
      </c>
      <c r="T25" s="61"/>
      <c r="U25" s="8"/>
      <c r="V25" s="3"/>
      <c r="W25" s="3"/>
      <c r="X25" s="3"/>
    </row>
    <row r="26" spans="1:24" x14ac:dyDescent="0.25">
      <c r="A26" s="231" t="s">
        <v>824</v>
      </c>
      <c r="B26" s="42" t="s">
        <v>42</v>
      </c>
      <c r="C26" s="43" t="s">
        <v>36</v>
      </c>
      <c r="D26" s="18" t="s">
        <v>73</v>
      </c>
      <c r="E26" s="18" t="s">
        <v>74</v>
      </c>
      <c r="F26" s="19" t="s">
        <v>72</v>
      </c>
      <c r="G26" s="38">
        <v>73</v>
      </c>
      <c r="H26" s="51">
        <v>35.092821999999998</v>
      </c>
      <c r="I26" s="40">
        <f>J26/H26</f>
        <v>1393.356649261774</v>
      </c>
      <c r="J26" s="44">
        <v>48896.816875059863</v>
      </c>
      <c r="K26" s="41">
        <f t="shared" si="2"/>
        <v>48896.816875059863</v>
      </c>
      <c r="L26" s="51">
        <f>'RAIL EMIS FACTOR'!C$7*$K26/2000</f>
        <v>13.3972086519786</v>
      </c>
      <c r="M26" s="51">
        <f>'RAIL EMIS FACTOR'!D$7*$K26/2000</f>
        <v>1.3168834293522935</v>
      </c>
      <c r="N26" s="51">
        <f>'RAIL EMIS FACTOR'!E$7*$K26/2000</f>
        <v>0.30525285536153784</v>
      </c>
      <c r="O26" s="51">
        <f>'RAIL EMIS FACTOR'!F$7*$K26/2000</f>
        <v>0.29609526970069167</v>
      </c>
      <c r="P26" s="51">
        <f>'RAIL EMIS FACTOR'!G$7*$K26/2000</f>
        <v>7.1379279436825357E-2</v>
      </c>
      <c r="Q26" s="51">
        <f>'RAIL EMIS FACTOR'!H$7*$K26/2000</f>
        <v>0.69643438950734848</v>
      </c>
      <c r="R26" s="51">
        <f>'RAIL EMIS FACTOR'!I$7*$K26/2000</f>
        <v>4.7088062881650763E-3</v>
      </c>
      <c r="S26" s="51">
        <f>'RAIL EMIS FACTOR'!J$7*$K26/2000</f>
        <v>577.54970800533931</v>
      </c>
      <c r="T26" s="61"/>
      <c r="U26" s="8"/>
      <c r="V26" s="3"/>
      <c r="W26" s="3"/>
      <c r="X26" s="3"/>
    </row>
    <row r="27" spans="1:24" x14ac:dyDescent="0.25">
      <c r="A27" s="231">
        <v>2011</v>
      </c>
      <c r="B27" s="42" t="s">
        <v>42</v>
      </c>
      <c r="C27" s="43" t="s">
        <v>63</v>
      </c>
      <c r="D27" s="18" t="s">
        <v>73</v>
      </c>
      <c r="E27" s="18" t="s">
        <v>74</v>
      </c>
      <c r="F27" s="19" t="s">
        <v>72</v>
      </c>
      <c r="G27" s="38">
        <v>1</v>
      </c>
      <c r="H27" s="280">
        <v>2.87</v>
      </c>
      <c r="I27" s="40">
        <f>J27/H27</f>
        <v>3135.8885017421603</v>
      </c>
      <c r="J27" s="44">
        <v>9000</v>
      </c>
      <c r="K27" s="41">
        <f t="shared" si="2"/>
        <v>9000</v>
      </c>
      <c r="L27" s="51">
        <f>'RAIL EMIS FACTOR'!C$7*$K27/2000</f>
        <v>2.4659044406898274</v>
      </c>
      <c r="M27" s="51">
        <f>'RAIL EMIS FACTOR'!D$7*$K27/2000</f>
        <v>0.24238696139371405</v>
      </c>
      <c r="N27" s="51">
        <f>'RAIL EMIS FACTOR'!E$7*$K27/2000</f>
        <v>5.6185164471413807E-2</v>
      </c>
      <c r="O27" s="51">
        <f>'RAIL EMIS FACTOR'!F$7*$K27/2000</f>
        <v>5.4499609537271398E-2</v>
      </c>
      <c r="P27" s="51">
        <f>'RAIL EMIS FACTOR'!G$7*$K27/2000</f>
        <v>1.3138145915978743E-2</v>
      </c>
      <c r="Q27" s="51">
        <f>'RAIL EMIS FACTOR'!H$7*$K27/2000</f>
        <v>0.12818645274153057</v>
      </c>
      <c r="R27" s="51">
        <f>'RAIL EMIS FACTOR'!I$7*$K27/2000</f>
        <v>8.6670788206463995E-4</v>
      </c>
      <c r="S27" s="51">
        <f>'RAIL EMIS FACTOR'!J$7*$K27/2000</f>
        <v>106.30441211193236</v>
      </c>
      <c r="T27" s="61" t="s">
        <v>55</v>
      </c>
      <c r="U27" s="8"/>
      <c r="V27" s="3"/>
      <c r="W27" s="3"/>
      <c r="X27" s="3"/>
    </row>
    <row r="28" spans="1:24" x14ac:dyDescent="0.25">
      <c r="A28" s="231" t="s">
        <v>824</v>
      </c>
      <c r="B28" s="42" t="s">
        <v>42</v>
      </c>
      <c r="C28" s="43" t="s">
        <v>64</v>
      </c>
      <c r="D28" s="18" t="s">
        <v>73</v>
      </c>
      <c r="E28" s="18" t="s">
        <v>74</v>
      </c>
      <c r="F28" s="19" t="s">
        <v>72</v>
      </c>
      <c r="G28" s="38">
        <v>8</v>
      </c>
      <c r="H28" s="51">
        <v>5.17</v>
      </c>
      <c r="I28" s="40">
        <f>J28/H28</f>
        <v>11847.388781431335</v>
      </c>
      <c r="J28" s="66">
        <v>61251</v>
      </c>
      <c r="K28" s="41">
        <f t="shared" si="2"/>
        <v>61251</v>
      </c>
      <c r="L28" s="51">
        <f>'RAIL EMIS FACTOR'!C$7*$K28/2000</f>
        <v>16.782123655188069</v>
      </c>
      <c r="M28" s="51">
        <f>'RAIL EMIS FACTOR'!D$7*$K28/2000</f>
        <v>1.6496048635918199</v>
      </c>
      <c r="N28" s="51">
        <f>'RAIL EMIS FACTOR'!E$7*$K28/2000</f>
        <v>0.38237750100428525</v>
      </c>
      <c r="O28" s="51">
        <f>'RAIL EMIS FACTOR'!F$7*$K28/2000</f>
        <v>0.37090617597415665</v>
      </c>
      <c r="P28" s="51">
        <f>'RAIL EMIS FACTOR'!G$7*$K28/2000</f>
        <v>8.9413841722179324E-2</v>
      </c>
      <c r="Q28" s="51">
        <f>'RAIL EMIS FACTOR'!H$7*$K28/2000</f>
        <v>0.87239426854127655</v>
      </c>
      <c r="R28" s="51">
        <f>'RAIL EMIS FACTOR'!I$7*$K28/2000</f>
        <v>5.898524942704585E-3</v>
      </c>
      <c r="S28" s="51">
        <f>'RAIL EMIS FACTOR'!J$7*$K28/2000</f>
        <v>723.47239402977448</v>
      </c>
      <c r="T28" s="61" t="s">
        <v>51</v>
      </c>
      <c r="U28" s="8"/>
      <c r="V28" s="3"/>
      <c r="W28" s="3"/>
      <c r="X28" s="3"/>
    </row>
    <row r="29" spans="1:24" x14ac:dyDescent="0.25">
      <c r="A29" s="231" t="s">
        <v>824</v>
      </c>
      <c r="B29" s="42" t="s">
        <v>24</v>
      </c>
      <c r="C29" s="43" t="s">
        <v>23</v>
      </c>
      <c r="D29" s="18" t="s">
        <v>73</v>
      </c>
      <c r="E29" s="18" t="s">
        <v>74</v>
      </c>
      <c r="F29" s="19" t="s">
        <v>72</v>
      </c>
      <c r="G29" s="38">
        <v>1</v>
      </c>
      <c r="H29" s="51">
        <v>14</v>
      </c>
      <c r="I29" s="40">
        <f>J29/H29</f>
        <v>0</v>
      </c>
      <c r="J29" s="44">
        <v>0</v>
      </c>
      <c r="K29" s="41">
        <v>5705</v>
      </c>
      <c r="L29" s="51">
        <f>'RAIL EMIS FACTOR'!C$7*$K29/2000</f>
        <v>1.5631094260150518</v>
      </c>
      <c r="M29" s="51">
        <f>'RAIL EMIS FACTOR'!D$7*$K29/2000</f>
        <v>0.15364640163901541</v>
      </c>
      <c r="N29" s="51">
        <f>'RAIL EMIS FACTOR'!E$7*$K29/2000</f>
        <v>3.5615151478823978E-2</v>
      </c>
      <c r="O29" s="51">
        <f>'RAIL EMIS FACTOR'!F$7*$K29/2000</f>
        <v>3.4546696934459255E-2</v>
      </c>
      <c r="P29" s="51">
        <f>'RAIL EMIS FACTOR'!G$7*$K29/2000</f>
        <v>8.3281247167398594E-3</v>
      </c>
      <c r="Q29" s="51">
        <f>'RAIL EMIS FACTOR'!H$7*$K29/2000</f>
        <v>8.125596809893687E-2</v>
      </c>
      <c r="R29" s="51">
        <f>'RAIL EMIS FACTOR'!I$7*$K29/2000</f>
        <v>5.4939649635319678E-4</v>
      </c>
      <c r="S29" s="51">
        <f>'RAIL EMIS FACTOR'!J$7*$K29/2000</f>
        <v>67.385185677619361</v>
      </c>
      <c r="T29" s="61"/>
      <c r="U29" s="8"/>
      <c r="V29" s="3"/>
      <c r="W29" s="3"/>
      <c r="X29" s="3"/>
    </row>
    <row r="30" spans="1:24" x14ac:dyDescent="0.25">
      <c r="A30" s="231" t="s">
        <v>824</v>
      </c>
      <c r="B30" s="42" t="s">
        <v>24</v>
      </c>
      <c r="C30" s="43" t="s">
        <v>33</v>
      </c>
      <c r="D30" s="18" t="s">
        <v>73</v>
      </c>
      <c r="E30" s="18" t="s">
        <v>74</v>
      </c>
      <c r="F30" s="19" t="s">
        <v>72</v>
      </c>
      <c r="G30" s="38">
        <v>4</v>
      </c>
      <c r="H30" s="51">
        <v>0</v>
      </c>
      <c r="I30" s="40">
        <v>0</v>
      </c>
      <c r="J30" s="66">
        <v>5556</v>
      </c>
      <c r="K30" s="221">
        <v>0</v>
      </c>
      <c r="L30" s="51">
        <f>'RAIL EMIS FACTOR'!C$7*$K30/2000</f>
        <v>0</v>
      </c>
      <c r="M30" s="51">
        <f>'RAIL EMIS FACTOR'!D$7*$K30/2000</f>
        <v>0</v>
      </c>
      <c r="N30" s="51">
        <f>'RAIL EMIS FACTOR'!E$7*$K30/2000</f>
        <v>0</v>
      </c>
      <c r="O30" s="51">
        <f>'RAIL EMIS FACTOR'!F$7*$K30/2000</f>
        <v>0</v>
      </c>
      <c r="P30" s="51">
        <f>'RAIL EMIS FACTOR'!G$7*$K30/2000</f>
        <v>0</v>
      </c>
      <c r="Q30" s="51">
        <f>'RAIL EMIS FACTOR'!H$7*$K30/2000</f>
        <v>0</v>
      </c>
      <c r="R30" s="51">
        <f>'RAIL EMIS FACTOR'!I$7*$K30/2000</f>
        <v>0</v>
      </c>
      <c r="S30" s="51">
        <f>'RAIL EMIS FACTOR'!J$7*$K30/2000</f>
        <v>0</v>
      </c>
      <c r="T30" s="61" t="s">
        <v>56</v>
      </c>
      <c r="U30" s="8"/>
      <c r="V30" s="3"/>
      <c r="W30" s="3"/>
      <c r="X30" s="3"/>
    </row>
    <row r="31" spans="1:24" x14ac:dyDescent="0.25">
      <c r="A31" s="231" t="s">
        <v>824</v>
      </c>
      <c r="B31" s="42" t="s">
        <v>24</v>
      </c>
      <c r="C31" s="43" t="s">
        <v>36</v>
      </c>
      <c r="D31" s="18" t="s">
        <v>73</v>
      </c>
      <c r="E31" s="18" t="s">
        <v>74</v>
      </c>
      <c r="F31" s="19" t="s">
        <v>72</v>
      </c>
      <c r="G31" s="38">
        <v>1</v>
      </c>
      <c r="H31" s="51">
        <v>3.7587359999999999</v>
      </c>
      <c r="I31" s="40">
        <v>0</v>
      </c>
      <c r="J31" s="44">
        <v>0</v>
      </c>
      <c r="K31" s="41">
        <f t="shared" si="2"/>
        <v>0</v>
      </c>
      <c r="L31" s="51">
        <f>'RAIL EMIS FACTOR'!C$7*$K31/2000</f>
        <v>0</v>
      </c>
      <c r="M31" s="51">
        <f>'RAIL EMIS FACTOR'!D$7*$K31/2000</f>
        <v>0</v>
      </c>
      <c r="N31" s="51">
        <f>'RAIL EMIS FACTOR'!E$7*$K31/2000</f>
        <v>0</v>
      </c>
      <c r="O31" s="51">
        <f>'RAIL EMIS FACTOR'!F$7*$K31/2000</f>
        <v>0</v>
      </c>
      <c r="P31" s="51">
        <f>'RAIL EMIS FACTOR'!G$7*$K31/2000</f>
        <v>0</v>
      </c>
      <c r="Q31" s="51">
        <f>'RAIL EMIS FACTOR'!H$7*$K31/2000</f>
        <v>0</v>
      </c>
      <c r="R31" s="51">
        <f>'RAIL EMIS FACTOR'!I$7*$K31/2000</f>
        <v>0</v>
      </c>
      <c r="S31" s="51">
        <f>'RAIL EMIS FACTOR'!J$7*$K31/2000</f>
        <v>0</v>
      </c>
      <c r="T31" s="61" t="s">
        <v>57</v>
      </c>
      <c r="U31" s="8"/>
      <c r="V31" s="3"/>
      <c r="W31" s="3"/>
      <c r="X31" s="3"/>
    </row>
    <row r="32" spans="1:24" x14ac:dyDescent="0.25">
      <c r="A32" s="231" t="s">
        <v>824</v>
      </c>
      <c r="B32" s="215" t="s">
        <v>43</v>
      </c>
      <c r="C32" s="43" t="s">
        <v>36</v>
      </c>
      <c r="D32" s="18" t="s">
        <v>73</v>
      </c>
      <c r="E32" s="18" t="s">
        <v>74</v>
      </c>
      <c r="F32" s="19" t="s">
        <v>72</v>
      </c>
      <c r="G32" s="38">
        <v>27</v>
      </c>
      <c r="H32" s="51">
        <v>20.896336000000002</v>
      </c>
      <c r="I32" s="40">
        <v>0</v>
      </c>
      <c r="J32" s="44">
        <v>0</v>
      </c>
      <c r="K32" s="41">
        <f t="shared" si="2"/>
        <v>0</v>
      </c>
      <c r="L32" s="51">
        <f>'RAIL EMIS FACTOR'!C$7*$K32/2000</f>
        <v>0</v>
      </c>
      <c r="M32" s="51">
        <f>'RAIL EMIS FACTOR'!D$7*$K32/2000</f>
        <v>0</v>
      </c>
      <c r="N32" s="51">
        <f>'RAIL EMIS FACTOR'!E$7*$K32/2000</f>
        <v>0</v>
      </c>
      <c r="O32" s="51">
        <f>'RAIL EMIS FACTOR'!F$7*$K32/2000</f>
        <v>0</v>
      </c>
      <c r="P32" s="51">
        <f>'RAIL EMIS FACTOR'!G$7*$K32/2000</f>
        <v>0</v>
      </c>
      <c r="Q32" s="51">
        <f>'RAIL EMIS FACTOR'!H$7*$K32/2000</f>
        <v>0</v>
      </c>
      <c r="R32" s="51">
        <f>'RAIL EMIS FACTOR'!I$7*$K32/2000</f>
        <v>0</v>
      </c>
      <c r="S32" s="51">
        <f>'RAIL EMIS FACTOR'!J$7*$K32/2000</f>
        <v>0</v>
      </c>
      <c r="T32" s="61" t="s">
        <v>58</v>
      </c>
      <c r="U32" s="8"/>
      <c r="V32" s="3"/>
      <c r="W32" s="3"/>
      <c r="X32" s="3"/>
    </row>
    <row r="33" spans="1:34" x14ac:dyDescent="0.25">
      <c r="A33" s="231" t="s">
        <v>824</v>
      </c>
      <c r="B33" s="42" t="s">
        <v>44</v>
      </c>
      <c r="C33" s="43" t="s">
        <v>36</v>
      </c>
      <c r="D33" s="18" t="s">
        <v>73</v>
      </c>
      <c r="E33" s="18" t="s">
        <v>74</v>
      </c>
      <c r="F33" s="19" t="s">
        <v>72</v>
      </c>
      <c r="G33" s="38">
        <v>110</v>
      </c>
      <c r="H33" s="51">
        <v>124.05958</v>
      </c>
      <c r="I33" s="40">
        <f>J33/H33</f>
        <v>1100.4981605567907</v>
      </c>
      <c r="J33" s="44">
        <v>136527.33958944801</v>
      </c>
      <c r="K33" s="41">
        <f t="shared" ref="K33:K47" si="3">+J33</f>
        <v>136527.33958944801</v>
      </c>
      <c r="L33" s="51">
        <f>'RAIL EMIS FACTOR'!C$7*$K33/2000</f>
        <v>37.407041441020873</v>
      </c>
      <c r="M33" s="51">
        <f>'RAIL EMIS FACTOR'!D$7*$K33/2000</f>
        <v>3.6769385544726689</v>
      </c>
      <c r="N33" s="51">
        <f>'RAIL EMIS FACTOR'!E$7*$K33/2000</f>
        <v>0.8523123366308557</v>
      </c>
      <c r="O33" s="51">
        <f>'RAIL EMIS FACTOR'!F$7*$K33/2000</f>
        <v>0.82674296653193013</v>
      </c>
      <c r="P33" s="51">
        <f>'RAIL EMIS FACTOR'!G$7*$K33/2000</f>
        <v>0.19930178989406103</v>
      </c>
      <c r="Q33" s="51">
        <f>'RAIL EMIS FACTOR'!H$7*$K33/2000</f>
        <v>1.9445505960232969</v>
      </c>
      <c r="R33" s="51">
        <f>'RAIL EMIS FACTOR'!I$7*$K33/2000</f>
        <v>1.3147702371054483E-2</v>
      </c>
      <c r="S33" s="51">
        <f>'RAIL EMIS FACTOR'!J$7*$K33/2000</f>
        <v>1612.6065080291578</v>
      </c>
      <c r="T33" s="61"/>
      <c r="U33" s="8"/>
      <c r="V33" s="3"/>
      <c r="W33" s="3"/>
      <c r="X33" s="3"/>
    </row>
    <row r="34" spans="1:34" x14ac:dyDescent="0.25">
      <c r="A34" s="231" t="s">
        <v>824</v>
      </c>
      <c r="B34" s="42" t="s">
        <v>45</v>
      </c>
      <c r="C34" s="43" t="s">
        <v>36</v>
      </c>
      <c r="D34" s="18" t="s">
        <v>73</v>
      </c>
      <c r="E34" s="18" t="s">
        <v>74</v>
      </c>
      <c r="F34" s="19" t="s">
        <v>72</v>
      </c>
      <c r="G34" s="38">
        <v>46</v>
      </c>
      <c r="H34" s="51">
        <v>64.651075000000006</v>
      </c>
      <c r="I34" s="40">
        <v>0</v>
      </c>
      <c r="J34" s="44">
        <v>0</v>
      </c>
      <c r="K34" s="41">
        <f t="shared" si="3"/>
        <v>0</v>
      </c>
      <c r="L34" s="51">
        <f>'RAIL EMIS FACTOR'!C$7*$K34/2000</f>
        <v>0</v>
      </c>
      <c r="M34" s="51">
        <f>'RAIL EMIS FACTOR'!D$7*$K34/2000</f>
        <v>0</v>
      </c>
      <c r="N34" s="51">
        <f>'RAIL EMIS FACTOR'!E$7*$K34/2000</f>
        <v>0</v>
      </c>
      <c r="O34" s="51">
        <f>'RAIL EMIS FACTOR'!F$7*$K34/2000</f>
        <v>0</v>
      </c>
      <c r="P34" s="51">
        <f>'RAIL EMIS FACTOR'!G$7*$K34/2000</f>
        <v>0</v>
      </c>
      <c r="Q34" s="51">
        <f>'RAIL EMIS FACTOR'!H$7*$K34/2000</f>
        <v>0</v>
      </c>
      <c r="R34" s="51">
        <f>'RAIL EMIS FACTOR'!I$7*$K34/2000</f>
        <v>0</v>
      </c>
      <c r="S34" s="51">
        <f>'RAIL EMIS FACTOR'!J$7*$K34/2000</f>
        <v>0</v>
      </c>
      <c r="T34" s="61" t="s">
        <v>59</v>
      </c>
      <c r="U34" s="8"/>
      <c r="V34" s="3"/>
      <c r="W34" s="3"/>
      <c r="X34" s="3"/>
    </row>
    <row r="35" spans="1:34" x14ac:dyDescent="0.25">
      <c r="A35" s="231" t="s">
        <v>824</v>
      </c>
      <c r="B35" s="215" t="s">
        <v>45</v>
      </c>
      <c r="C35" s="266" t="s">
        <v>821</v>
      </c>
      <c r="D35" s="18" t="s">
        <v>73</v>
      </c>
      <c r="E35" s="18" t="s">
        <v>74</v>
      </c>
      <c r="F35" s="19" t="s">
        <v>72</v>
      </c>
      <c r="G35" s="38"/>
      <c r="H35" s="51">
        <v>14</v>
      </c>
      <c r="I35" s="40"/>
      <c r="J35" s="44">
        <v>14364</v>
      </c>
      <c r="K35" s="41">
        <f t="shared" si="3"/>
        <v>14364</v>
      </c>
      <c r="L35" s="51">
        <f>'RAIL EMIS FACTOR'!C$7*$K35/2000</f>
        <v>3.9355834873409643</v>
      </c>
      <c r="M35" s="51">
        <f>'RAIL EMIS FACTOR'!D$7*$K35/2000</f>
        <v>0.38684959038436761</v>
      </c>
      <c r="N35" s="51">
        <f>'RAIL EMIS FACTOR'!E$7*$K35/2000</f>
        <v>8.9671522496376443E-2</v>
      </c>
      <c r="O35" s="51">
        <f>'RAIL EMIS FACTOR'!F$7*$K35/2000</f>
        <v>8.6981376821485143E-2</v>
      </c>
      <c r="P35" s="51">
        <f>'RAIL EMIS FACTOR'!G$7*$K35/2000</f>
        <v>2.0968480881902073E-2</v>
      </c>
      <c r="Q35" s="51">
        <f>'RAIL EMIS FACTOR'!H$7*$K35/2000</f>
        <v>0.20458557857548279</v>
      </c>
      <c r="R35" s="51">
        <f>'RAIL EMIS FACTOR'!I$7*$K35/2000</f>
        <v>1.3832657797751655E-3</v>
      </c>
      <c r="S35" s="51">
        <f>'RAIL EMIS FACTOR'!J$7*$K35/2000</f>
        <v>169.66184173064406</v>
      </c>
      <c r="T35" s="61"/>
      <c r="U35" s="8"/>
      <c r="V35" s="3"/>
      <c r="W35" s="3"/>
      <c r="X35" s="3"/>
    </row>
    <row r="36" spans="1:34" x14ac:dyDescent="0.25">
      <c r="A36" s="231" t="s">
        <v>824</v>
      </c>
      <c r="B36" s="42" t="s">
        <v>50</v>
      </c>
      <c r="C36" s="43" t="s">
        <v>49</v>
      </c>
      <c r="D36" s="18" t="s">
        <v>73</v>
      </c>
      <c r="E36" s="18" t="s">
        <v>74</v>
      </c>
      <c r="F36" s="19" t="s">
        <v>72</v>
      </c>
      <c r="G36" s="38">
        <v>20</v>
      </c>
      <c r="H36" s="280">
        <v>29.809523809523807</v>
      </c>
      <c r="I36" s="40">
        <f>J36/H36</f>
        <v>425.68238694996774</v>
      </c>
      <c r="J36" s="39">
        <v>12689.38924907999</v>
      </c>
      <c r="K36" s="41">
        <v>14771.346624972613</v>
      </c>
      <c r="L36" s="51">
        <f>'RAIL EMIS FACTOR'!C$7*$K36/2000</f>
        <v>4.0471921374987403</v>
      </c>
      <c r="M36" s="51">
        <f>'RAIL EMIS FACTOR'!D$7*$K36/2000</f>
        <v>0.39782020268004498</v>
      </c>
      <c r="N36" s="51">
        <f>'RAIL EMIS FACTOR'!E$7*$K36/2000</f>
        <v>9.2214504398705502E-2</v>
      </c>
      <c r="O36" s="51">
        <f>'RAIL EMIS FACTOR'!F$7*$K36/2000</f>
        <v>8.944806926674434E-2</v>
      </c>
      <c r="P36" s="51">
        <f>'RAIL EMIS FACTOR'!G$7*$K36/2000</f>
        <v>2.1563123037154481E-2</v>
      </c>
      <c r="Q36" s="51">
        <f>'RAIL EMIS FACTOR'!H$7*$K36/2000</f>
        <v>0.21038739178564658</v>
      </c>
      <c r="R36" s="51">
        <f>'RAIL EMIS FACTOR'!I$7*$K36/2000</f>
        <v>1.4224936165080756E-3</v>
      </c>
      <c r="S36" s="51">
        <f>'RAIL EMIS FACTOR'!J$7*$K36/2000</f>
        <v>174.47325767436556</v>
      </c>
      <c r="T36" s="61"/>
      <c r="U36" s="8"/>
      <c r="V36" s="3"/>
      <c r="W36" s="3"/>
      <c r="X36" s="3"/>
    </row>
    <row r="37" spans="1:34" x14ac:dyDescent="0.25">
      <c r="A37" s="231" t="s">
        <v>824</v>
      </c>
      <c r="B37" s="42" t="s">
        <v>50</v>
      </c>
      <c r="C37" s="43" t="s">
        <v>64</v>
      </c>
      <c r="D37" s="18" t="s">
        <v>73</v>
      </c>
      <c r="E37" s="18" t="s">
        <v>74</v>
      </c>
      <c r="F37" s="19" t="s">
        <v>72</v>
      </c>
      <c r="G37" s="38">
        <v>10</v>
      </c>
      <c r="H37" s="51">
        <v>7.96</v>
      </c>
      <c r="I37" s="40">
        <f>J37/H37</f>
        <v>153.89447236180905</v>
      </c>
      <c r="J37">
        <v>1225</v>
      </c>
      <c r="K37" s="41">
        <f t="shared" si="3"/>
        <v>1225</v>
      </c>
      <c r="L37" s="51">
        <f>'RAIL EMIS FACTOR'!C$7*$K37/2000</f>
        <v>0.33563699331611541</v>
      </c>
      <c r="M37" s="51">
        <f>'RAIL EMIS FACTOR'!D$7*$K37/2000</f>
        <v>3.2991558634144408E-2</v>
      </c>
      <c r="N37" s="51">
        <f>'RAIL EMIS FACTOR'!E$7*$K37/2000</f>
        <v>7.6474251641646569E-3</v>
      </c>
      <c r="O37" s="51">
        <f>'RAIL EMIS FACTOR'!F$7*$K37/2000</f>
        <v>7.4180024092397176E-3</v>
      </c>
      <c r="P37" s="51">
        <f>'RAIL EMIS FACTOR'!G$7*$K37/2000</f>
        <v>1.7882476385637732E-3</v>
      </c>
      <c r="Q37" s="51">
        <f>'RAIL EMIS FACTOR'!H$7*$K37/2000</f>
        <v>1.744760051204166E-2</v>
      </c>
      <c r="R37" s="51">
        <f>'RAIL EMIS FACTOR'!I$7*$K37/2000</f>
        <v>1.1796857283657599E-4</v>
      </c>
      <c r="S37" s="51">
        <f>'RAIL EMIS FACTOR'!J$7*$K37/2000</f>
        <v>14.469211648568573</v>
      </c>
      <c r="T37" s="61" t="s">
        <v>51</v>
      </c>
      <c r="U37" s="8"/>
      <c r="V37" s="3"/>
      <c r="W37" s="3"/>
      <c r="X37" s="3"/>
    </row>
    <row r="38" spans="1:34" x14ac:dyDescent="0.25">
      <c r="A38" s="231" t="s">
        <v>824</v>
      </c>
      <c r="B38" s="215" t="s">
        <v>50</v>
      </c>
      <c r="C38" s="266" t="s">
        <v>822</v>
      </c>
      <c r="D38" s="18"/>
      <c r="E38" s="18"/>
      <c r="F38" s="19"/>
      <c r="G38" s="38"/>
      <c r="H38" s="51"/>
      <c r="I38" s="40"/>
      <c r="J38">
        <v>25035</v>
      </c>
      <c r="K38" s="41">
        <f>J38</f>
        <v>25035</v>
      </c>
      <c r="L38" s="51">
        <f>$K38*'RAIL EMIS FACTOR'!C$8/2000</f>
        <v>3.2994217602833382</v>
      </c>
      <c r="M38" s="51">
        <f>$K38*'RAIL EMIS FACTOR'!D$8/2000</f>
        <v>0.77055969250687384</v>
      </c>
      <c r="N38" s="51">
        <f>$K38*'RAIL EMIS FACTOR'!E$8/2000</f>
        <v>8.3932658814225278E-2</v>
      </c>
      <c r="O38" s="51">
        <f>$K38*'RAIL EMIS FACTOR'!F$8/2000</f>
        <v>8.1414679049798516E-2</v>
      </c>
      <c r="P38" s="51">
        <f>$K38*'RAIL EMIS FACTOR'!G$8/2000</f>
        <v>4.1766791492892426E-2</v>
      </c>
      <c r="Q38" s="51">
        <f>$K38*'RAIL EMIS FACTOR'!H$8/2000</f>
        <v>0.14019069405667048</v>
      </c>
      <c r="R38" s="51">
        <f>$K38*'RAIL EMIS FACTOR'!I$8/2000</f>
        <v>2.4108924252764737E-3</v>
      </c>
      <c r="S38" s="51">
        <f>$K38*'RAIL EMIS FACTOR'!J$8/2000</f>
        <v>295.70343969135854</v>
      </c>
      <c r="T38" s="61"/>
      <c r="U38" s="8"/>
      <c r="V38" s="324"/>
      <c r="W38" s="324"/>
      <c r="X38" s="324"/>
      <c r="Y38" s="6"/>
      <c r="Z38" s="6"/>
      <c r="AA38" s="6"/>
      <c r="AB38" s="6"/>
      <c r="AC38" s="6"/>
      <c r="AD38" s="6"/>
      <c r="AE38" s="6"/>
      <c r="AF38" s="6"/>
      <c r="AG38" s="6"/>
      <c r="AH38" s="6"/>
    </row>
    <row r="39" spans="1:34" x14ac:dyDescent="0.25">
      <c r="A39" s="231" t="s">
        <v>824</v>
      </c>
      <c r="B39" s="42" t="s">
        <v>22</v>
      </c>
      <c r="C39" s="43" t="s">
        <v>36</v>
      </c>
      <c r="D39" s="18" t="s">
        <v>73</v>
      </c>
      <c r="E39" s="18" t="s">
        <v>74</v>
      </c>
      <c r="F39" s="19" t="s">
        <v>72</v>
      </c>
      <c r="G39" s="38">
        <v>9</v>
      </c>
      <c r="H39" s="51">
        <v>16.429836000000002</v>
      </c>
      <c r="I39" s="40">
        <f>J39/H39</f>
        <v>0</v>
      </c>
      <c r="J39" s="44">
        <v>0</v>
      </c>
      <c r="K39" s="41">
        <v>0</v>
      </c>
      <c r="L39" s="51">
        <f>'RAIL EMIS FACTOR'!C$7*$K39/2000</f>
        <v>0</v>
      </c>
      <c r="M39" s="51">
        <f>'RAIL EMIS FACTOR'!D$7*$K39/2000</f>
        <v>0</v>
      </c>
      <c r="N39" s="51">
        <f>'RAIL EMIS FACTOR'!E$7*$K39/2000</f>
        <v>0</v>
      </c>
      <c r="O39" s="51">
        <f>'RAIL EMIS FACTOR'!F$7*$K39/2000</f>
        <v>0</v>
      </c>
      <c r="P39" s="51">
        <f>'RAIL EMIS FACTOR'!G$7*$K39/2000</f>
        <v>0</v>
      </c>
      <c r="Q39" s="51">
        <f>'RAIL EMIS FACTOR'!H$7*$K39/2000</f>
        <v>0</v>
      </c>
      <c r="R39" s="51">
        <f>'RAIL EMIS FACTOR'!I$7*$K39/2000</f>
        <v>0</v>
      </c>
      <c r="S39" s="51">
        <f>'RAIL EMIS FACTOR'!J$7*$K39/2000</f>
        <v>0</v>
      </c>
      <c r="T39" s="61"/>
      <c r="U39" s="8"/>
      <c r="V39" s="6"/>
      <c r="W39" s="6"/>
      <c r="X39" s="6"/>
      <c r="Y39" s="289"/>
      <c r="Z39" s="289"/>
      <c r="AA39" s="6"/>
      <c r="AB39" s="6"/>
      <c r="AC39" s="289"/>
      <c r="AD39" s="289"/>
      <c r="AE39" s="289"/>
      <c r="AF39" s="289"/>
      <c r="AG39" s="289"/>
      <c r="AH39" s="6"/>
    </row>
    <row r="40" spans="1:34" x14ac:dyDescent="0.25">
      <c r="A40" s="231" t="s">
        <v>824</v>
      </c>
      <c r="B40" s="42" t="s">
        <v>66</v>
      </c>
      <c r="C40" s="43" t="s">
        <v>64</v>
      </c>
      <c r="D40" s="18" t="s">
        <v>73</v>
      </c>
      <c r="E40" s="18" t="s">
        <v>74</v>
      </c>
      <c r="F40" s="19" t="s">
        <v>72</v>
      </c>
      <c r="G40" s="38">
        <v>13</v>
      </c>
      <c r="H40" s="51">
        <v>13.92</v>
      </c>
      <c r="I40" s="40">
        <f>J40/H40</f>
        <v>880.02873563218395</v>
      </c>
      <c r="J40" s="66">
        <v>12250</v>
      </c>
      <c r="K40" s="41">
        <f t="shared" si="3"/>
        <v>12250</v>
      </c>
      <c r="L40" s="51">
        <f>'RAIL EMIS FACTOR'!C$7*$K40/2000</f>
        <v>3.3563699331611536</v>
      </c>
      <c r="M40" s="51">
        <f>'RAIL EMIS FACTOR'!D$7*$K40/2000</f>
        <v>0.32991558634144413</v>
      </c>
      <c r="N40" s="51">
        <f>'RAIL EMIS FACTOR'!E$7*$K40/2000</f>
        <v>7.6474251641646576E-2</v>
      </c>
      <c r="O40" s="51">
        <f>'RAIL EMIS FACTOR'!F$7*$K40/2000</f>
        <v>7.418002409239717E-2</v>
      </c>
      <c r="P40" s="51">
        <f>'RAIL EMIS FACTOR'!G$7*$K40/2000</f>
        <v>1.7882476385637735E-2</v>
      </c>
      <c r="Q40" s="51">
        <f>'RAIL EMIS FACTOR'!H$7*$K40/2000</f>
        <v>0.17447600512041661</v>
      </c>
      <c r="R40" s="51">
        <f>'RAIL EMIS FACTOR'!I$7*$K40/2000</f>
        <v>1.17968572836576E-3</v>
      </c>
      <c r="S40" s="51">
        <f>'RAIL EMIS FACTOR'!J$7*$K40/2000</f>
        <v>144.69211648568572</v>
      </c>
      <c r="T40" s="61" t="s">
        <v>51</v>
      </c>
      <c r="U40" s="8"/>
      <c r="V40" s="305"/>
      <c r="W40" s="6"/>
      <c r="X40" s="6"/>
      <c r="Y40" s="6"/>
      <c r="Z40" s="6"/>
      <c r="AA40" s="65"/>
      <c r="AB40" s="6"/>
      <c r="AC40" s="6"/>
      <c r="AD40" s="6"/>
      <c r="AE40" s="290"/>
      <c r="AF40" s="264"/>
      <c r="AG40" s="264"/>
      <c r="AH40" s="6"/>
    </row>
    <row r="41" spans="1:34" x14ac:dyDescent="0.25">
      <c r="A41" s="231" t="s">
        <v>824</v>
      </c>
      <c r="B41" s="42" t="s">
        <v>66</v>
      </c>
      <c r="C41" s="43" t="s">
        <v>822</v>
      </c>
      <c r="D41" s="18"/>
      <c r="E41" s="18"/>
      <c r="F41" s="19"/>
      <c r="G41" s="38"/>
      <c r="H41" s="51"/>
      <c r="I41" s="40"/>
      <c r="J41" s="66">
        <v>43880</v>
      </c>
      <c r="K41" s="41">
        <f>J41</f>
        <v>43880</v>
      </c>
      <c r="L41" s="51">
        <f>$K41*'RAIL EMIS FACTOR'!C$8/2000</f>
        <v>5.7830488053218652</v>
      </c>
      <c r="M41" s="51">
        <f>$K41*'RAIL EMIS FACTOR'!D$8/2000</f>
        <v>1.3505955385341171</v>
      </c>
      <c r="N41" s="51">
        <f>$K41*'RAIL EMIS FACTOR'!E$8/2000</f>
        <v>0.1471126450476615</v>
      </c>
      <c r="O41" s="51">
        <f>$K41*'RAIL EMIS FACTOR'!F$8/2000</f>
        <v>0.14269926569623165</v>
      </c>
      <c r="P41" s="51">
        <f>$K41*'RAIL EMIS FACTOR'!G$8/2000</f>
        <v>7.3206583211828213E-2</v>
      </c>
      <c r="Q41" s="51">
        <f>$K41*'RAIL EMIS FACTOR'!H$8/2000</f>
        <v>0.24571870002822851</v>
      </c>
      <c r="R41" s="51">
        <f>$K41*'RAIL EMIS FACTOR'!I$8/2000</f>
        <v>4.2256824294440451E-3</v>
      </c>
      <c r="S41" s="51">
        <f>$K41*'RAIL EMIS FACTOR'!J$8/2000</f>
        <v>518.29306705239912</v>
      </c>
      <c r="T41" s="61"/>
      <c r="U41" s="8"/>
      <c r="V41" s="305"/>
      <c r="W41" s="6"/>
      <c r="X41" s="6"/>
      <c r="Y41" s="6"/>
      <c r="Z41" s="305"/>
      <c r="AA41" s="6"/>
      <c r="AB41" s="6"/>
      <c r="AC41" s="6"/>
      <c r="AD41" s="6"/>
      <c r="AE41" s="290"/>
      <c r="AF41" s="264"/>
      <c r="AG41" s="264"/>
      <c r="AH41" s="6"/>
    </row>
    <row r="42" spans="1:34" x14ac:dyDescent="0.25">
      <c r="A42" s="231" t="s">
        <v>824</v>
      </c>
      <c r="B42" s="215" t="s">
        <v>46</v>
      </c>
      <c r="C42" s="266" t="s">
        <v>0</v>
      </c>
      <c r="D42" s="18" t="s">
        <v>73</v>
      </c>
      <c r="E42" s="18" t="s">
        <v>74</v>
      </c>
      <c r="F42" s="19" t="s">
        <v>72</v>
      </c>
      <c r="G42" s="38"/>
      <c r="H42" s="51"/>
      <c r="I42" s="40"/>
      <c r="J42" s="66">
        <v>4113.5</v>
      </c>
      <c r="K42" s="41">
        <f>J42</f>
        <v>4113.5</v>
      </c>
      <c r="L42" s="51">
        <f>'RAIL EMIS FACTOR'!C$7*$K42/2000</f>
        <v>1.1270553240864005</v>
      </c>
      <c r="M42" s="51">
        <f>'RAIL EMIS FACTOR'!D$7*$K42/2000</f>
        <v>0.11078430729922696</v>
      </c>
      <c r="N42" s="51">
        <f>'RAIL EMIS FACTOR'!E$7*$K42/2000</f>
        <v>2.5679741561462299E-2</v>
      </c>
      <c r="O42" s="51">
        <f>'RAIL EMIS FACTOR'!F$7*$K42/2000</f>
        <v>2.4909349314618433E-2</v>
      </c>
      <c r="P42" s="51">
        <f>'RAIL EMIS FACTOR'!G$7*$K42/2000</f>
        <v>6.0048625805976174E-3</v>
      </c>
      <c r="Q42" s="51">
        <f>'RAIL EMIS FACTOR'!H$7*$K42/2000</f>
        <v>5.8588330372476224E-2</v>
      </c>
      <c r="R42" s="51">
        <f>'RAIL EMIS FACTOR'!I$7*$K42/2000</f>
        <v>3.9613365254143295E-4</v>
      </c>
      <c r="S42" s="51">
        <f>'RAIL EMIS FACTOR'!J$7*$K42/2000</f>
        <v>48.587022135825983</v>
      </c>
      <c r="T42" s="61"/>
      <c r="U42" s="8"/>
      <c r="V42" s="6"/>
      <c r="W42" s="6"/>
      <c r="X42" s="6"/>
      <c r="Y42" s="6"/>
      <c r="Z42" s="6"/>
      <c r="AA42" s="6"/>
      <c r="AB42" s="6"/>
      <c r="AC42" s="6"/>
      <c r="AD42" s="6"/>
      <c r="AE42" s="290"/>
      <c r="AF42" s="264"/>
      <c r="AG42" s="264"/>
      <c r="AH42" s="6"/>
    </row>
    <row r="43" spans="1:34" x14ac:dyDescent="0.25">
      <c r="A43" s="231" t="s">
        <v>824</v>
      </c>
      <c r="B43" s="42" t="s">
        <v>46</v>
      </c>
      <c r="C43" s="43" t="s">
        <v>36</v>
      </c>
      <c r="D43" s="18" t="s">
        <v>73</v>
      </c>
      <c r="E43" s="18" t="s">
        <v>74</v>
      </c>
      <c r="F43" s="19" t="s">
        <v>72</v>
      </c>
      <c r="G43" s="38">
        <v>8</v>
      </c>
      <c r="H43" s="51">
        <v>9.2631060000000005</v>
      </c>
      <c r="I43" s="40" t="e">
        <f>#REF!</f>
        <v>#REF!</v>
      </c>
      <c r="J43" s="44">
        <v>18829.972742602615</v>
      </c>
      <c r="K43" s="41">
        <f t="shared" si="3"/>
        <v>18829.972742602615</v>
      </c>
      <c r="L43" s="51">
        <f>'RAIL EMIS FACTOR'!C$7*$K43/2000</f>
        <v>5.1592126004502443</v>
      </c>
      <c r="M43" s="51">
        <f>'RAIL EMIS FACTOR'!D$7*$K43/2000</f>
        <v>0.50712665291176751</v>
      </c>
      <c r="N43" s="51">
        <f>'RAIL EMIS FACTOR'!E$7*$K43/2000</f>
        <v>0.11755167950392965</v>
      </c>
      <c r="O43" s="51">
        <f>'RAIL EMIS FACTOR'!F$7*$K43/2000</f>
        <v>0.11402512911881177</v>
      </c>
      <c r="P43" s="51">
        <f>'RAIL EMIS FACTOR'!G$7*$K43/2000</f>
        <v>2.7487881054023954E-2</v>
      </c>
      <c r="Q43" s="51">
        <f>'RAIL EMIS FACTOR'!H$7*$K43/2000</f>
        <v>0.2681941567882154</v>
      </c>
      <c r="R43" s="51">
        <f>'RAIL EMIS FACTOR'!I$7*$K43/2000</f>
        <v>1.8133428661195571E-3</v>
      </c>
      <c r="S43" s="51">
        <f>'RAIL EMIS FACTOR'!J$7*$K43/2000</f>
        <v>222.41213138734244</v>
      </c>
      <c r="T43" s="61" t="s">
        <v>60</v>
      </c>
      <c r="U43" s="8"/>
      <c r="V43" s="305"/>
      <c r="W43" s="6"/>
      <c r="X43" s="6"/>
      <c r="Y43" s="6"/>
      <c r="Z43" s="6"/>
      <c r="AA43" s="65"/>
      <c r="AB43" s="6"/>
      <c r="AC43" s="6"/>
      <c r="AD43" s="6"/>
      <c r="AE43" s="290"/>
      <c r="AF43" s="264"/>
      <c r="AG43" s="264"/>
      <c r="AH43" s="6"/>
    </row>
    <row r="44" spans="1:34" x14ac:dyDescent="0.25">
      <c r="A44" s="231" t="s">
        <v>824</v>
      </c>
      <c r="B44" s="42" t="s">
        <v>46</v>
      </c>
      <c r="C44" s="43" t="s">
        <v>1</v>
      </c>
      <c r="D44" s="18" t="s">
        <v>73</v>
      </c>
      <c r="E44" s="18" t="s">
        <v>74</v>
      </c>
      <c r="F44" s="19" t="s">
        <v>72</v>
      </c>
      <c r="G44" s="38">
        <v>2</v>
      </c>
      <c r="H44" s="51">
        <v>2.3768370000000001</v>
      </c>
      <c r="I44" s="40">
        <f>J44/H44</f>
        <v>4638.2313974412209</v>
      </c>
      <c r="J44" s="44">
        <v>11024.32</v>
      </c>
      <c r="K44" s="41">
        <v>2067.06</v>
      </c>
      <c r="L44" s="51">
        <f>'RAIL EMIS FACTOR'!C$7*$K44/2000</f>
        <v>0.56635249257470166</v>
      </c>
      <c r="M44" s="51">
        <f>'RAIL EMIS FACTOR'!D$7*$K44/2000</f>
        <v>5.5669821379832278E-2</v>
      </c>
      <c r="N44" s="51">
        <f>'RAIL EMIS FACTOR'!E$7*$K44/2000</f>
        <v>1.290423400803118E-2</v>
      </c>
      <c r="O44" s="51">
        <f>'RAIL EMIS FACTOR'!F$7*$K44/2000</f>
        <v>1.2517106987790244E-2</v>
      </c>
      <c r="P44" s="51">
        <f>'RAIL EMIS FACTOR'!G$7*$K44/2000</f>
        <v>3.0174817663425574E-3</v>
      </c>
      <c r="Q44" s="51">
        <f>'RAIL EMIS FACTOR'!H$7*$K44/2000</f>
        <v>2.944100988932313E-2</v>
      </c>
      <c r="R44" s="51">
        <f>'RAIL EMIS FACTOR'!I$7*$K44/2000</f>
        <v>1.9905968830005941E-4</v>
      </c>
      <c r="S44" s="51">
        <f>'RAIL EMIS FACTOR'!J$7*$K44/2000</f>
        <v>24.415288677787881</v>
      </c>
      <c r="T44" s="61"/>
      <c r="U44" s="8"/>
      <c r="V44" s="305"/>
      <c r="W44" s="6"/>
      <c r="X44" s="6"/>
      <c r="Y44" s="6"/>
      <c r="Z44" s="6"/>
      <c r="AA44" s="6"/>
      <c r="AB44" s="6"/>
      <c r="AC44" s="6"/>
      <c r="AD44" s="6"/>
      <c r="AE44" s="290"/>
      <c r="AF44" s="264"/>
      <c r="AG44" s="264"/>
      <c r="AH44" s="6"/>
    </row>
    <row r="45" spans="1:34" x14ac:dyDescent="0.25">
      <c r="A45" s="231" t="s">
        <v>824</v>
      </c>
      <c r="B45" s="42" t="s">
        <v>47</v>
      </c>
      <c r="C45" s="43" t="s">
        <v>36</v>
      </c>
      <c r="D45" s="18" t="s">
        <v>73</v>
      </c>
      <c r="E45" s="18" t="s">
        <v>74</v>
      </c>
      <c r="F45" s="19" t="s">
        <v>72</v>
      </c>
      <c r="G45" s="38">
        <v>13</v>
      </c>
      <c r="H45" s="51">
        <v>13.890224999999999</v>
      </c>
      <c r="I45" s="40" t="e">
        <f>#REF!</f>
        <v>#REF!</v>
      </c>
      <c r="J45" s="44">
        <v>0</v>
      </c>
      <c r="K45" s="41">
        <f t="shared" si="3"/>
        <v>0</v>
      </c>
      <c r="L45" s="51">
        <f>'RAIL EMIS FACTOR'!C$7*$K45/2000</f>
        <v>0</v>
      </c>
      <c r="M45" s="51">
        <f>'RAIL EMIS FACTOR'!D$7*$K45/2000</f>
        <v>0</v>
      </c>
      <c r="N45" s="51">
        <f>'RAIL EMIS FACTOR'!E$7*$K45/2000</f>
        <v>0</v>
      </c>
      <c r="O45" s="51">
        <f>'RAIL EMIS FACTOR'!F$7*$K45/2000</f>
        <v>0</v>
      </c>
      <c r="P45" s="51">
        <f>'RAIL EMIS FACTOR'!G$7*$K45/2000</f>
        <v>0</v>
      </c>
      <c r="Q45" s="51">
        <f>'RAIL EMIS FACTOR'!H$7*$K45/2000</f>
        <v>0</v>
      </c>
      <c r="R45" s="51">
        <f>'RAIL EMIS FACTOR'!I$7*$K45/2000</f>
        <v>0</v>
      </c>
      <c r="S45" s="51">
        <f>'RAIL EMIS FACTOR'!J$7*$K45/2000</f>
        <v>0</v>
      </c>
      <c r="T45" s="61" t="s">
        <v>61</v>
      </c>
      <c r="U45" s="8"/>
      <c r="V45" s="305"/>
      <c r="W45" s="6"/>
      <c r="X45" s="6"/>
      <c r="Y45" s="6"/>
      <c r="Z45" s="6"/>
      <c r="AA45" s="6"/>
      <c r="AB45" s="6"/>
      <c r="AC45" s="6"/>
      <c r="AD45" s="6"/>
      <c r="AE45" s="290"/>
      <c r="AF45" s="264"/>
      <c r="AG45" s="264"/>
      <c r="AH45" s="6"/>
    </row>
    <row r="46" spans="1:34" x14ac:dyDescent="0.25">
      <c r="A46" s="231" t="s">
        <v>824</v>
      </c>
      <c r="B46" s="42" t="s">
        <v>67</v>
      </c>
      <c r="C46" s="43" t="s">
        <v>64</v>
      </c>
      <c r="D46" s="18" t="s">
        <v>73</v>
      </c>
      <c r="E46" s="18" t="s">
        <v>74</v>
      </c>
      <c r="F46" s="19" t="s">
        <v>72</v>
      </c>
      <c r="G46" s="38">
        <v>12</v>
      </c>
      <c r="H46" s="51">
        <v>31.5</v>
      </c>
      <c r="I46" s="40">
        <f>J46/H46</f>
        <v>350</v>
      </c>
      <c r="J46" s="66">
        <v>11025</v>
      </c>
      <c r="K46" s="41">
        <f t="shared" si="3"/>
        <v>11025</v>
      </c>
      <c r="L46" s="51">
        <f>'RAIL EMIS FACTOR'!C$7*$K46/2000</f>
        <v>3.0207329398450384</v>
      </c>
      <c r="M46" s="51">
        <f>'RAIL EMIS FACTOR'!D$7*$K46/2000</f>
        <v>0.2969240277072997</v>
      </c>
      <c r="N46" s="51">
        <f>'RAIL EMIS FACTOR'!E$7*$K46/2000</f>
        <v>6.8826826477481923E-2</v>
      </c>
      <c r="O46" s="51">
        <f>'RAIL EMIS FACTOR'!F$7*$K46/2000</f>
        <v>6.6762021683157452E-2</v>
      </c>
      <c r="P46" s="51">
        <f>'RAIL EMIS FACTOR'!G$7*$K46/2000</f>
        <v>1.609422874707396E-2</v>
      </c>
      <c r="Q46" s="51">
        <f>'RAIL EMIS FACTOR'!H$7*$K46/2000</f>
        <v>0.15702840460837494</v>
      </c>
      <c r="R46" s="51">
        <f>'RAIL EMIS FACTOR'!I$7*$K46/2000</f>
        <v>1.0617171555291839E-3</v>
      </c>
      <c r="S46" s="51">
        <f>'RAIL EMIS FACTOR'!J$7*$K46/2000</f>
        <v>130.22290483711714</v>
      </c>
      <c r="T46" s="61" t="s">
        <v>51</v>
      </c>
      <c r="U46" s="8"/>
      <c r="V46" s="305"/>
      <c r="W46" s="6"/>
      <c r="X46" s="6"/>
      <c r="Y46" s="6"/>
      <c r="Z46" s="6"/>
      <c r="AA46" s="6"/>
      <c r="AB46" s="6"/>
      <c r="AC46" s="6"/>
      <c r="AD46" s="6"/>
      <c r="AE46" s="290"/>
      <c r="AF46" s="264"/>
      <c r="AG46" s="264"/>
      <c r="AH46" s="6"/>
    </row>
    <row r="47" spans="1:34" x14ac:dyDescent="0.25">
      <c r="A47" s="231" t="s">
        <v>824</v>
      </c>
      <c r="B47" s="215" t="s">
        <v>67</v>
      </c>
      <c r="C47" s="266" t="s">
        <v>822</v>
      </c>
      <c r="D47" s="18"/>
      <c r="E47" s="18"/>
      <c r="F47" s="19"/>
      <c r="G47" s="38"/>
      <c r="H47" s="51"/>
      <c r="I47" s="40"/>
      <c r="J47" s="66">
        <v>99072</v>
      </c>
      <c r="K47" s="41">
        <f t="shared" si="3"/>
        <v>99072</v>
      </c>
      <c r="L47" s="51">
        <f>$K47*'RAIL EMIS FACTOR'!C$8/2000</f>
        <v>13.056932799472374</v>
      </c>
      <c r="M47" s="51">
        <f>$K47*'RAIL EMIS FACTOR'!D$8/2000</f>
        <v>3.049366481168005</v>
      </c>
      <c r="N47" s="51">
        <f>$K47*'RAIL EMIS FACTOR'!E$8/2000</f>
        <v>0.33215004489885869</v>
      </c>
      <c r="O47" s="51">
        <f>$K47*'RAIL EMIS FACTOR'!F$8/2000</f>
        <v>0.32218554355189294</v>
      </c>
      <c r="P47" s="51">
        <f>$K47*'RAIL EMIS FACTOR'!G$8/2000</f>
        <v>0.16528538313496458</v>
      </c>
      <c r="Q47" s="51">
        <f>$K47*'RAIL EMIS FACTOR'!H$8/2000</f>
        <v>0.5547822025796868</v>
      </c>
      <c r="R47" s="51">
        <f>$K47*'RAIL EMIS FACTOR'!I$8/2000</f>
        <v>9.5407203657675577E-3</v>
      </c>
      <c r="S47" s="51">
        <f>$K47*'RAIL EMIS FACTOR'!J$8/2000</f>
        <v>1170.1989685281515</v>
      </c>
      <c r="T47" s="61"/>
      <c r="U47" s="8"/>
      <c r="V47" s="305"/>
      <c r="W47" s="6"/>
      <c r="X47" s="6"/>
      <c r="Y47" s="6"/>
      <c r="Z47" s="6"/>
      <c r="AA47" s="65"/>
      <c r="AB47" s="65"/>
      <c r="AC47" s="6"/>
      <c r="AD47" s="6"/>
      <c r="AE47" s="290"/>
      <c r="AF47" s="264"/>
      <c r="AG47" s="264"/>
      <c r="AH47" s="6"/>
    </row>
    <row r="48" spans="1:34" x14ac:dyDescent="0.25">
      <c r="A48" s="231" t="s">
        <v>824</v>
      </c>
      <c r="B48" s="42" t="s">
        <v>40</v>
      </c>
      <c r="C48" s="43" t="s">
        <v>49</v>
      </c>
      <c r="D48" s="18" t="s">
        <v>73</v>
      </c>
      <c r="E48" s="18" t="s">
        <v>74</v>
      </c>
      <c r="F48" s="19" t="s">
        <v>72</v>
      </c>
      <c r="G48" s="38">
        <v>3</v>
      </c>
      <c r="H48" s="280">
        <v>0.51047619047619053</v>
      </c>
      <c r="I48" s="40">
        <f>J48/H48</f>
        <v>608.47255310823743</v>
      </c>
      <c r="J48" s="45">
        <v>310.6107509200146</v>
      </c>
      <c r="K48" s="8">
        <v>228.65337502738655</v>
      </c>
      <c r="L48" s="51">
        <f>'RAIL EMIS FACTOR'!C$7*$K48/2000</f>
        <v>6.2648596984305444E-2</v>
      </c>
      <c r="M48" s="51">
        <f>'RAIL EMIS FACTOR'!D$7*$K48/2000</f>
        <v>6.1580663094783954E-3</v>
      </c>
      <c r="N48" s="51">
        <f>'RAIL EMIS FACTOR'!E$7*$K48/2000</f>
        <v>1.427436386984175E-3</v>
      </c>
      <c r="O48" s="51">
        <f>'RAIL EMIS FACTOR'!F$7*$K48/2000</f>
        <v>1.3846132953746499E-3</v>
      </c>
      <c r="P48" s="51">
        <f>'RAIL EMIS FACTOR'!G$7*$K48/2000</f>
        <v>3.3378682281009049E-4</v>
      </c>
      <c r="Q48" s="51">
        <f>'RAIL EMIS FACTOR'!H$7*$K48/2000</f>
        <v>3.2566961169043949E-3</v>
      </c>
      <c r="R48" s="51">
        <f>'RAIL EMIS FACTOR'!I$7*$K48/2000</f>
        <v>2.2019520266324228E-5</v>
      </c>
      <c r="S48" s="51">
        <f>'RAIL EMIS FACTOR'!J$7*$K48/2000</f>
        <v>2.7007625121883918</v>
      </c>
      <c r="T48" s="61"/>
      <c r="U48" s="8"/>
      <c r="V48" s="305"/>
      <c r="W48" s="6"/>
      <c r="X48" s="6"/>
      <c r="Y48" s="6"/>
      <c r="Z48" s="6"/>
      <c r="AA48" s="6"/>
      <c r="AB48" s="6"/>
      <c r="AC48" s="6"/>
      <c r="AD48" s="6"/>
      <c r="AE48" s="290"/>
      <c r="AF48" s="264"/>
      <c r="AG48" s="264"/>
      <c r="AH48" s="6"/>
    </row>
    <row r="49" spans="1:34" x14ac:dyDescent="0.25">
      <c r="A49" s="326" t="s">
        <v>824</v>
      </c>
      <c r="B49" s="330" t="s">
        <v>48</v>
      </c>
      <c r="C49" s="532" t="s">
        <v>36</v>
      </c>
      <c r="D49" s="18" t="s">
        <v>73</v>
      </c>
      <c r="E49" s="18" t="s">
        <v>74</v>
      </c>
      <c r="F49" s="19" t="s">
        <v>72</v>
      </c>
      <c r="G49" s="38">
        <v>3</v>
      </c>
      <c r="H49" s="327">
        <v>0</v>
      </c>
      <c r="I49" s="328">
        <v>0</v>
      </c>
      <c r="J49" s="329">
        <v>166546.11908308274</v>
      </c>
      <c r="K49" s="8">
        <v>166546.11908308274</v>
      </c>
      <c r="L49" s="51">
        <f>'RAIL EMIS FACTOR'!C$7*$K49/2000</f>
        <v>45.631868291847837</v>
      </c>
      <c r="M49" s="51">
        <f>'RAIL EMIS FACTOR'!D$7*$K49/2000</f>
        <v>4.48540085960712</v>
      </c>
      <c r="N49" s="51">
        <f>'RAIL EMIS FACTOR'!E$7*$K49/2000</f>
        <v>1.0397134547509639</v>
      </c>
      <c r="O49" s="51">
        <f>'RAIL EMIS FACTOR'!F$7*$K49/2000</f>
        <v>1.008522051108435</v>
      </c>
      <c r="P49" s="51">
        <f>'RAIL EMIS FACTOR'!G$7*$K49/2000</f>
        <v>0.24312302380594589</v>
      </c>
      <c r="Q49" s="51">
        <f>'RAIL EMIS FACTOR'!H$7*$K49/2000</f>
        <v>2.3721062470143233</v>
      </c>
      <c r="R49" s="51">
        <f>'RAIL EMIS FACTOR'!I$7*$K49/2000</f>
        <v>1.6038537126287108E-2</v>
      </c>
      <c r="S49" s="51">
        <f>'RAIL EMIS FACTOR'!J$7*$K49/2000</f>
        <v>1967.1763642945546</v>
      </c>
      <c r="T49" s="61">
        <v>0</v>
      </c>
      <c r="U49" s="8"/>
      <c r="V49" s="305"/>
      <c r="W49" s="6"/>
      <c r="X49" s="6"/>
      <c r="Y49" s="6"/>
      <c r="Z49" s="6"/>
      <c r="AA49" s="6"/>
      <c r="AB49" s="6"/>
      <c r="AC49" s="6"/>
      <c r="AD49" s="6"/>
      <c r="AE49" s="290"/>
      <c r="AF49" s="264"/>
      <c r="AG49" s="264"/>
      <c r="AH49" s="6"/>
    </row>
    <row r="50" spans="1:34" ht="15.75" thickBot="1" x14ac:dyDescent="0.3">
      <c r="A50" s="62" t="s">
        <v>824</v>
      </c>
      <c r="B50" s="46" t="s">
        <v>25</v>
      </c>
      <c r="C50" s="47" t="s">
        <v>33</v>
      </c>
      <c r="D50" s="34" t="s">
        <v>73</v>
      </c>
      <c r="E50" s="34" t="s">
        <v>74</v>
      </c>
      <c r="F50" s="48" t="s">
        <v>72</v>
      </c>
      <c r="G50" s="49">
        <v>4</v>
      </c>
      <c r="H50" s="282">
        <v>6</v>
      </c>
      <c r="I50" s="50">
        <f>J50/H50</f>
        <v>926</v>
      </c>
      <c r="J50" s="35">
        <v>5556</v>
      </c>
      <c r="K50" s="278">
        <v>5556</v>
      </c>
      <c r="L50" s="51">
        <f>'RAIL EMIS FACTOR'!C$7*$K50/2000</f>
        <v>1.5222850080525201</v>
      </c>
      <c r="M50" s="51">
        <f>'RAIL EMIS FACTOR'!D$7*$K50/2000</f>
        <v>0.14963355083371946</v>
      </c>
      <c r="N50" s="51">
        <f>'RAIL EMIS FACTOR'!E$7*$K50/2000</f>
        <v>3.4684974867019457E-2</v>
      </c>
      <c r="O50" s="51">
        <f>'RAIL EMIS FACTOR'!F$7*$K50/2000</f>
        <v>3.3644425621008868E-2</v>
      </c>
      <c r="P50" s="51">
        <f>'RAIL EMIS FACTOR'!G$7*$K50/2000</f>
        <v>8.1106154121308779E-3</v>
      </c>
      <c r="Q50" s="51">
        <f>'RAIL EMIS FACTOR'!H$7*$K50/2000</f>
        <v>7.9133770159104874E-2</v>
      </c>
      <c r="R50" s="51">
        <f>'RAIL EMIS FACTOR'!I$7*$K50/2000</f>
        <v>5.3504766586123776E-4</v>
      </c>
      <c r="S50" s="51">
        <f>'RAIL EMIS FACTOR'!J$7*$K50/2000</f>
        <v>65.625257077099576</v>
      </c>
      <c r="T50" s="61"/>
      <c r="U50" s="8"/>
      <c r="V50" s="305"/>
      <c r="W50" s="6"/>
      <c r="X50" s="6"/>
      <c r="Y50" s="6"/>
      <c r="Z50" s="6"/>
      <c r="AA50" s="6"/>
      <c r="AB50" s="6"/>
      <c r="AC50" s="6"/>
      <c r="AD50" s="6"/>
      <c r="AE50" s="290"/>
      <c r="AF50" s="264"/>
      <c r="AG50" s="264"/>
      <c r="AH50" s="6"/>
    </row>
    <row r="51" spans="1:34" ht="30.75" thickBot="1" x14ac:dyDescent="0.3">
      <c r="B51" s="15" t="s">
        <v>4</v>
      </c>
      <c r="C51" s="24" t="s">
        <v>3</v>
      </c>
      <c r="D51" s="17" t="s">
        <v>80</v>
      </c>
      <c r="E51" s="17" t="s">
        <v>81</v>
      </c>
      <c r="F51" s="17" t="s">
        <v>82</v>
      </c>
      <c r="G51" s="32" t="s">
        <v>5</v>
      </c>
      <c r="H51" s="24" t="s">
        <v>6</v>
      </c>
      <c r="I51" s="24" t="s">
        <v>12</v>
      </c>
      <c r="J51" s="25" t="s">
        <v>13</v>
      </c>
      <c r="K51" s="32" t="s">
        <v>14</v>
      </c>
      <c r="L51" s="24" t="s">
        <v>15</v>
      </c>
      <c r="M51" s="24"/>
      <c r="N51" s="24" t="s">
        <v>7</v>
      </c>
      <c r="O51" s="24" t="s">
        <v>11</v>
      </c>
      <c r="P51" s="24" t="s">
        <v>17</v>
      </c>
      <c r="Q51" s="33" t="s">
        <v>69</v>
      </c>
      <c r="R51" s="275"/>
      <c r="S51" s="275"/>
      <c r="T51" s="113"/>
      <c r="U51" s="8"/>
      <c r="V51" s="305"/>
      <c r="W51" s="6"/>
      <c r="X51" s="6"/>
      <c r="Y51" s="6"/>
      <c r="Z51" s="6"/>
      <c r="AA51" s="65"/>
      <c r="AB51" s="65"/>
      <c r="AC51" s="6"/>
      <c r="AD51" s="6"/>
      <c r="AE51" s="290"/>
      <c r="AF51" s="264"/>
      <c r="AG51" s="264"/>
      <c r="AH51" s="6"/>
    </row>
    <row r="52" spans="1:34" ht="15.75" thickBot="1" x14ac:dyDescent="0.3">
      <c r="B52" s="55" t="s">
        <v>137</v>
      </c>
      <c r="C52" s="56"/>
      <c r="D52" s="57"/>
      <c r="E52" s="57"/>
      <c r="F52" s="57"/>
      <c r="G52" s="53"/>
      <c r="H52" s="52"/>
      <c r="I52" s="52"/>
      <c r="J52" s="54">
        <f>SUM(J3:J50)</f>
        <v>1616069.6378398328</v>
      </c>
      <c r="K52" s="345">
        <f>SUM(K3:K50)</f>
        <v>1618218.6378398328</v>
      </c>
      <c r="L52" s="58">
        <f t="shared" ref="L52:Q52" si="4">SUM(L3:L50)</f>
        <v>411.80855046862251</v>
      </c>
      <c r="M52" s="58">
        <f t="shared" si="4"/>
        <v>44.435760772214806</v>
      </c>
      <c r="N52" s="58">
        <f t="shared" si="4"/>
        <v>9.4606200108266378</v>
      </c>
      <c r="O52" s="58">
        <f t="shared" si="4"/>
        <v>9.1768014105018381</v>
      </c>
      <c r="P52" s="58">
        <f t="shared" si="4"/>
        <v>2.4085598728415043</v>
      </c>
      <c r="Q52" s="59">
        <f t="shared" si="4"/>
        <v>21.129505183345856</v>
      </c>
      <c r="R52" s="276">
        <f>SUM(R3:R50)</f>
        <v>0.15583587203552091</v>
      </c>
      <c r="S52" s="276">
        <f>SUM(S3:S50)</f>
        <v>19113.753440459488</v>
      </c>
      <c r="T52" s="62"/>
      <c r="V52" s="305"/>
      <c r="W52" s="6"/>
      <c r="X52" s="6"/>
      <c r="Y52" s="6"/>
      <c r="Z52" s="6"/>
      <c r="AA52" s="6"/>
      <c r="AB52" s="6"/>
      <c r="AC52" s="6"/>
      <c r="AD52" s="6"/>
      <c r="AE52" s="290"/>
      <c r="AF52" s="264"/>
      <c r="AG52" s="264"/>
      <c r="AH52" s="6"/>
    </row>
    <row r="53" spans="1:34" ht="17.25" x14ac:dyDescent="0.25">
      <c r="B53" s="74" t="s">
        <v>141</v>
      </c>
      <c r="C53" s="9"/>
      <c r="L53" s="13"/>
      <c r="V53" s="305"/>
      <c r="W53" s="6"/>
      <c r="X53" s="6"/>
      <c r="Y53" s="6"/>
      <c r="Z53" s="6"/>
      <c r="AA53" s="6"/>
      <c r="AB53" s="6"/>
      <c r="AC53" s="6"/>
      <c r="AD53" s="6"/>
      <c r="AE53" s="290"/>
      <c r="AF53" s="264"/>
      <c r="AG53" s="264"/>
      <c r="AH53" s="6"/>
    </row>
    <row r="54" spans="1:34" ht="17.25" x14ac:dyDescent="0.25">
      <c r="B54" s="74" t="s">
        <v>140</v>
      </c>
      <c r="C54" s="9"/>
      <c r="V54" s="6"/>
      <c r="W54" s="6"/>
      <c r="X54" s="6"/>
      <c r="Y54" s="6"/>
      <c r="Z54" s="6"/>
      <c r="AA54" s="65"/>
      <c r="AB54" s="6"/>
      <c r="AC54" s="6"/>
      <c r="AD54" s="6"/>
      <c r="AE54" s="290"/>
      <c r="AF54" s="264"/>
      <c r="AG54" s="264"/>
      <c r="AH54" s="6"/>
    </row>
    <row r="55" spans="1:34" ht="17.25" x14ac:dyDescent="0.25">
      <c r="B55" s="6" t="s">
        <v>252</v>
      </c>
      <c r="G55"/>
      <c r="J55"/>
      <c r="K55"/>
      <c r="V55" s="305"/>
      <c r="W55" s="6"/>
      <c r="X55" s="6"/>
      <c r="Y55" s="6"/>
      <c r="Z55" s="6"/>
      <c r="AA55" s="6"/>
      <c r="AB55" s="6"/>
      <c r="AC55" s="6"/>
      <c r="AD55" s="6"/>
      <c r="AE55" s="290"/>
      <c r="AF55" s="264"/>
      <c r="AG55" s="264"/>
      <c r="AH55" s="6"/>
    </row>
    <row r="56" spans="1:34" ht="17.25" x14ac:dyDescent="0.25">
      <c r="B56" s="6" t="s">
        <v>253</v>
      </c>
      <c r="G56"/>
      <c r="J56"/>
      <c r="K56"/>
      <c r="V56" s="305"/>
      <c r="W56" s="6"/>
      <c r="X56" s="6"/>
      <c r="Y56" s="6"/>
      <c r="Z56" s="6"/>
      <c r="AA56" s="6"/>
      <c r="AB56" s="6"/>
      <c r="AC56" s="6"/>
      <c r="AD56" s="6"/>
      <c r="AE56" s="290"/>
      <c r="AF56" s="264"/>
      <c r="AG56" s="264"/>
      <c r="AH56" s="6"/>
    </row>
    <row r="57" spans="1:34" ht="17.25" x14ac:dyDescent="0.25">
      <c r="B57" s="6" t="s">
        <v>254</v>
      </c>
      <c r="G57"/>
      <c r="J57"/>
      <c r="K57"/>
      <c r="V57" s="6"/>
      <c r="W57" s="6"/>
      <c r="X57" s="6"/>
      <c r="Y57" s="6"/>
      <c r="Z57" s="6"/>
      <c r="AA57" s="6"/>
      <c r="AB57" s="6"/>
      <c r="AC57" s="6"/>
      <c r="AD57" s="6"/>
      <c r="AE57" s="290"/>
      <c r="AF57" s="264"/>
      <c r="AG57" s="264"/>
      <c r="AH57" s="6"/>
    </row>
    <row r="58" spans="1:34" x14ac:dyDescent="0.25">
      <c r="V58" s="305"/>
      <c r="W58" s="6"/>
      <c r="X58" s="6"/>
      <c r="Y58" s="6"/>
      <c r="Z58" s="6"/>
      <c r="AA58" s="6"/>
      <c r="AB58" s="65"/>
      <c r="AC58" s="6"/>
      <c r="AD58" s="6"/>
      <c r="AE58" s="290"/>
      <c r="AF58" s="264"/>
      <c r="AG58" s="264"/>
      <c r="AH58" s="6"/>
    </row>
    <row r="59" spans="1:34" x14ac:dyDescent="0.25">
      <c r="V59" s="305"/>
      <c r="W59" s="6"/>
      <c r="X59" s="6"/>
      <c r="Y59" s="6"/>
      <c r="Z59" s="6"/>
      <c r="AA59" s="65"/>
      <c r="AB59" s="65"/>
      <c r="AC59" s="6"/>
      <c r="AD59" s="6"/>
      <c r="AE59" s="290"/>
      <c r="AF59" s="264"/>
      <c r="AG59" s="264"/>
      <c r="AH59" s="6"/>
    </row>
    <row r="60" spans="1:34" x14ac:dyDescent="0.25">
      <c r="V60" s="6"/>
      <c r="W60" s="6"/>
      <c r="X60" s="6"/>
      <c r="Y60" s="6"/>
      <c r="Z60" s="6"/>
      <c r="AA60" s="65"/>
      <c r="AB60" s="6"/>
      <c r="AC60" s="6"/>
      <c r="AD60" s="6"/>
      <c r="AE60" s="290"/>
      <c r="AF60" s="264"/>
      <c r="AG60" s="264"/>
      <c r="AH60" s="6"/>
    </row>
    <row r="61" spans="1:34" x14ac:dyDescent="0.25">
      <c r="V61" s="6"/>
      <c r="W61" s="6"/>
      <c r="X61" s="305"/>
      <c r="Y61" s="6"/>
      <c r="Z61" s="6"/>
      <c r="AA61" s="6"/>
      <c r="AB61" s="6"/>
      <c r="AC61" s="6"/>
      <c r="AD61" s="6"/>
      <c r="AE61" s="290"/>
      <c r="AF61" s="264"/>
      <c r="AG61" s="264"/>
      <c r="AH61" s="6"/>
    </row>
    <row r="62" spans="1:34" x14ac:dyDescent="0.25">
      <c r="A62" t="s">
        <v>940</v>
      </c>
      <c r="V62" s="6"/>
      <c r="W62" s="6"/>
      <c r="X62" s="6"/>
      <c r="Y62" s="6"/>
      <c r="Z62" s="6"/>
      <c r="AA62" s="6"/>
      <c r="AB62" s="6"/>
      <c r="AC62" s="6"/>
      <c r="AD62" s="6"/>
      <c r="AE62" s="6"/>
      <c r="AF62" s="6"/>
      <c r="AG62" s="6"/>
      <c r="AH62" s="6"/>
    </row>
    <row r="63" spans="1:34" x14ac:dyDescent="0.25">
      <c r="A63" s="348">
        <v>2011</v>
      </c>
      <c r="B63" s="349" t="s">
        <v>42</v>
      </c>
      <c r="C63" s="350" t="s">
        <v>29</v>
      </c>
      <c r="D63" s="351">
        <v>2285002010</v>
      </c>
      <c r="E63" s="351" t="s">
        <v>74</v>
      </c>
      <c r="F63" s="352" t="s">
        <v>72</v>
      </c>
      <c r="G63" s="353"/>
      <c r="H63" s="354">
        <v>2.87</v>
      </c>
      <c r="I63" s="355">
        <f>J63/H63</f>
        <v>3135.8885017421603</v>
      </c>
      <c r="J63" s="356">
        <v>9000</v>
      </c>
      <c r="K63" s="357">
        <f>+J63</f>
        <v>9000</v>
      </c>
      <c r="L63" s="358">
        <f>'RAIL EMIS FACTOR'!C$7*$K63/2000</f>
        <v>2.4659044406898274</v>
      </c>
      <c r="M63" s="358">
        <f>'RAIL EMIS FACTOR'!D$7*$K63/2000</f>
        <v>0.24238696139371405</v>
      </c>
      <c r="N63" s="358">
        <f>'RAIL EMIS FACTOR'!E$7*$K63/2000</f>
        <v>5.6185164471413807E-2</v>
      </c>
      <c r="O63" s="358">
        <f>'RAIL EMIS FACTOR'!F$7*$K63/2000</f>
        <v>5.4499609537271398E-2</v>
      </c>
      <c r="P63" s="358">
        <f>'RAIL EMIS FACTOR'!G$7*$K63/2000</f>
        <v>1.3138145915978743E-2</v>
      </c>
      <c r="Q63" s="358">
        <f>'RAIL EMIS FACTOR'!H$7*$K63/2000</f>
        <v>0.12818645274153057</v>
      </c>
      <c r="R63" s="358">
        <f>'RAIL EMIS FACTOR'!I$7*$K63/2000</f>
        <v>8.6670788206463995E-4</v>
      </c>
      <c r="S63" s="358">
        <f>'RAIL EMIS FACTOR'!J$7*$K63/2000</f>
        <v>106.30441211193236</v>
      </c>
      <c r="T63" s="359" t="s">
        <v>62</v>
      </c>
      <c r="V63" s="6"/>
      <c r="W63" s="6"/>
      <c r="X63" s="6"/>
      <c r="Y63" s="6"/>
      <c r="Z63" s="6"/>
      <c r="AA63" s="6"/>
      <c r="AB63" s="6"/>
      <c r="AC63" s="6"/>
      <c r="AD63" s="6"/>
      <c r="AE63" s="6"/>
      <c r="AF63" s="6"/>
      <c r="AG63" s="6"/>
      <c r="AH63" s="6"/>
    </row>
  </sheetData>
  <phoneticPr fontId="0" type="noConversion"/>
  <pageMargins left="0.7" right="0.7" top="0.75" bottom="0.75" header="0.3" footer="0.3"/>
  <pageSetup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election activeCell="A21" sqref="A21"/>
    </sheetView>
  </sheetViews>
  <sheetFormatPr defaultRowHeight="15" x14ac:dyDescent="0.25"/>
  <cols>
    <col min="12" max="12" width="13.42578125" customWidth="1"/>
  </cols>
  <sheetData>
    <row r="2" spans="1:12" ht="17.25" x14ac:dyDescent="0.25">
      <c r="A2" s="31" t="s">
        <v>1047</v>
      </c>
    </row>
    <row r="3" spans="1:12" x14ac:dyDescent="0.25">
      <c r="A3" s="159"/>
      <c r="B3" s="159"/>
      <c r="C3" s="226" t="s">
        <v>707</v>
      </c>
      <c r="D3" s="159" t="s">
        <v>532</v>
      </c>
      <c r="E3" s="171" t="s">
        <v>96</v>
      </c>
      <c r="F3" s="171" t="s">
        <v>10</v>
      </c>
      <c r="G3" s="171" t="s">
        <v>7</v>
      </c>
      <c r="H3" s="172" t="s">
        <v>95</v>
      </c>
      <c r="I3" s="173" t="s">
        <v>17</v>
      </c>
      <c r="J3" s="171" t="s">
        <v>69</v>
      </c>
      <c r="K3" s="174" t="s">
        <v>16</v>
      </c>
      <c r="L3" s="175" t="s">
        <v>94</v>
      </c>
    </row>
    <row r="4" spans="1:12" x14ac:dyDescent="0.25">
      <c r="A4" s="176" t="s">
        <v>42</v>
      </c>
      <c r="B4" s="159" t="s">
        <v>450</v>
      </c>
      <c r="C4" s="226"/>
      <c r="D4" s="159">
        <v>0</v>
      </c>
      <c r="E4" s="159">
        <f>$D4*'RAIL EMIS FACTOR'!C$8</f>
        <v>0</v>
      </c>
      <c r="F4" s="159">
        <f>$D4*'RAIL EMIS FACTOR'!D$8</f>
        <v>0</v>
      </c>
      <c r="G4" s="159">
        <f>$D4*'RAIL EMIS FACTOR'!E$8</f>
        <v>0</v>
      </c>
      <c r="H4" s="159">
        <f>$D4*'RAIL EMIS FACTOR'!F$8</f>
        <v>0</v>
      </c>
      <c r="I4" s="159">
        <f>$D4*'RAIL EMIS FACTOR'!G$8</f>
        <v>0</v>
      </c>
      <c r="J4" s="159">
        <f>$D4*'RAIL EMIS FACTOR'!H$8</f>
        <v>0</v>
      </c>
      <c r="K4" s="159">
        <f>$D4*'RAIL EMIS FACTOR'!I$8</f>
        <v>0</v>
      </c>
      <c r="L4" s="159">
        <f>$D4*'RAIL EMIS FACTOR'!J$8</f>
        <v>0</v>
      </c>
    </row>
    <row r="5" spans="1:12" x14ac:dyDescent="0.25">
      <c r="A5" s="176" t="s">
        <v>65</v>
      </c>
      <c r="B5" s="159" t="s">
        <v>530</v>
      </c>
      <c r="C5" s="226">
        <v>27.755050505050502</v>
      </c>
      <c r="D5" s="159">
        <v>54002</v>
      </c>
      <c r="E5" s="159">
        <f>$D5*'RAIL EMIS FACTOR'!C$8/2000</f>
        <v>7.1170510844346246</v>
      </c>
      <c r="F5" s="159">
        <f>$D5*'RAIL EMIS FACTOR'!D$8/2000</f>
        <v>1.6621435795788377</v>
      </c>
      <c r="G5" s="159">
        <f>$D5*'RAIL EMIS FACTOR'!E$8/2000</f>
        <v>0.18104779074438959</v>
      </c>
      <c r="H5" s="159">
        <f>$D5*'RAIL EMIS FACTOR'!F$8/2000</f>
        <v>0.17561635702205791</v>
      </c>
      <c r="I5" s="159">
        <f>$D5*'RAIL EMIS FACTOR'!G$8/2000</f>
        <v>9.0093480095832901E-2</v>
      </c>
      <c r="J5" s="159">
        <f>$D5*'RAIL EMIS FACTOR'!H$8/2000</f>
        <v>0.30239975476126701</v>
      </c>
      <c r="K5" s="159">
        <f>$D5*'RAIL EMIS FACTOR'!I$8/2000</f>
        <v>5.2004398941394095E-3</v>
      </c>
      <c r="L5" s="159">
        <f>$D5*'RAIL EMIS FACTOR'!J$8/2000</f>
        <v>637.85009587428578</v>
      </c>
    </row>
    <row r="6" spans="1:12" x14ac:dyDescent="0.25">
      <c r="A6" s="176" t="s">
        <v>66</v>
      </c>
      <c r="B6" s="159" t="s">
        <v>468</v>
      </c>
      <c r="C6" s="226">
        <v>7.7335858585858581</v>
      </c>
      <c r="D6" s="159">
        <v>43880</v>
      </c>
      <c r="E6" s="159">
        <f>$D6*'RAIL EMIS FACTOR'!C$8/2000</f>
        <v>5.7830488053218652</v>
      </c>
      <c r="F6" s="159">
        <f>$D6*'RAIL EMIS FACTOR'!D$8/2000</f>
        <v>1.3505955385341171</v>
      </c>
      <c r="G6" s="159">
        <f>$D6*'RAIL EMIS FACTOR'!E$8/2000</f>
        <v>0.1471126450476615</v>
      </c>
      <c r="H6" s="159">
        <f>$D6*'RAIL EMIS FACTOR'!F$8/2000</f>
        <v>0.14269926569623165</v>
      </c>
      <c r="I6" s="159">
        <f>$D6*'RAIL EMIS FACTOR'!G$8/2000</f>
        <v>7.3206583211828213E-2</v>
      </c>
      <c r="J6" s="159">
        <f>$D6*'RAIL EMIS FACTOR'!H$8/2000</f>
        <v>0.24571870002822851</v>
      </c>
      <c r="K6" s="159">
        <f>$D6*'RAIL EMIS FACTOR'!I$8/2000</f>
        <v>4.2256824294440451E-3</v>
      </c>
      <c r="L6" s="159">
        <f>$D6*'RAIL EMIS FACTOR'!J$8/2000</f>
        <v>518.29306705239912</v>
      </c>
    </row>
    <row r="7" spans="1:12" x14ac:dyDescent="0.25">
      <c r="A7" s="176" t="s">
        <v>50</v>
      </c>
      <c r="B7" s="159" t="s">
        <v>454</v>
      </c>
      <c r="C7" s="226">
        <v>7.4179292929292924</v>
      </c>
      <c r="D7" s="159">
        <v>25035</v>
      </c>
      <c r="E7" s="159">
        <f>$D7*'RAIL EMIS FACTOR'!C$8/2000</f>
        <v>3.2994217602833382</v>
      </c>
      <c r="F7" s="159">
        <f>$D7*'RAIL EMIS FACTOR'!D$8/2000</f>
        <v>0.77055969250687384</v>
      </c>
      <c r="G7" s="159">
        <f>$D7*'RAIL EMIS FACTOR'!E$8/2000</f>
        <v>8.3932658814225278E-2</v>
      </c>
      <c r="H7" s="159">
        <f>$D7*'RAIL EMIS FACTOR'!F$8/2000</f>
        <v>8.1414679049798516E-2</v>
      </c>
      <c r="I7" s="159">
        <f>$D7*'RAIL EMIS FACTOR'!G$8/2000</f>
        <v>4.1766791492892426E-2</v>
      </c>
      <c r="J7" s="159">
        <f>$D7*'RAIL EMIS FACTOR'!H$8/2000</f>
        <v>0.14019069405667048</v>
      </c>
      <c r="K7" s="159">
        <f>$D7*'RAIL EMIS FACTOR'!I$8/2000</f>
        <v>2.4108924252764737E-3</v>
      </c>
      <c r="L7" s="159">
        <f>$D7*'RAIL EMIS FACTOR'!J$8/2000</f>
        <v>295.70343969135854</v>
      </c>
    </row>
    <row r="8" spans="1:12" x14ac:dyDescent="0.25">
      <c r="A8" s="176" t="s">
        <v>67</v>
      </c>
      <c r="B8" s="159" t="s">
        <v>531</v>
      </c>
      <c r="C8" s="226">
        <v>21.594065656565657</v>
      </c>
      <c r="D8" s="159">
        <v>99072</v>
      </c>
      <c r="E8" s="159">
        <f>$D8*'RAIL EMIS FACTOR'!C$8/2000</f>
        <v>13.056932799472374</v>
      </c>
      <c r="F8" s="159">
        <f>$D8*'RAIL EMIS FACTOR'!D$8/2000</f>
        <v>3.049366481168005</v>
      </c>
      <c r="G8" s="159">
        <f>$D8*'RAIL EMIS FACTOR'!E$8/2000</f>
        <v>0.33215004489885869</v>
      </c>
      <c r="H8" s="159">
        <f>$D8*'RAIL EMIS FACTOR'!F$8/2000</f>
        <v>0.32218554355189294</v>
      </c>
      <c r="I8" s="159">
        <f>$D8*'RAIL EMIS FACTOR'!G$8/2000</f>
        <v>0.16528538313496458</v>
      </c>
      <c r="J8" s="159">
        <f>$D8*'RAIL EMIS FACTOR'!H$8/2000</f>
        <v>0.5547822025796868</v>
      </c>
      <c r="K8" s="159">
        <f>$D8*'RAIL EMIS FACTOR'!I$8/2000</f>
        <v>9.5407203657675577E-3</v>
      </c>
      <c r="L8" s="159">
        <f>$D8*'RAIL EMIS FACTOR'!J$8/2000</f>
        <v>1170.1989685281515</v>
      </c>
    </row>
    <row r="9" spans="1:12" ht="17.25" x14ac:dyDescent="0.25">
      <c r="A9" s="178" t="s">
        <v>830</v>
      </c>
    </row>
    <row r="10" spans="1:12" x14ac:dyDescent="0.25">
      <c r="A10" s="65"/>
    </row>
    <row r="11" spans="1:12" ht="17.25" x14ac:dyDescent="0.25">
      <c r="A11" s="177" t="s">
        <v>1048</v>
      </c>
    </row>
    <row r="12" spans="1:12" x14ac:dyDescent="0.25">
      <c r="A12" s="159"/>
      <c r="B12" s="159"/>
      <c r="C12" s="30"/>
      <c r="D12" s="159" t="s">
        <v>712</v>
      </c>
      <c r="E12" s="171" t="s">
        <v>96</v>
      </c>
      <c r="F12" s="171" t="s">
        <v>10</v>
      </c>
      <c r="G12" s="171" t="s">
        <v>7</v>
      </c>
      <c r="H12" s="172" t="s">
        <v>95</v>
      </c>
      <c r="I12" s="173" t="s">
        <v>17</v>
      </c>
      <c r="J12" s="171" t="s">
        <v>69</v>
      </c>
      <c r="K12" s="174" t="s">
        <v>16</v>
      </c>
      <c r="L12" s="175" t="s">
        <v>94</v>
      </c>
    </row>
    <row r="13" spans="1:12" x14ac:dyDescent="0.25">
      <c r="A13" s="176" t="s">
        <v>42</v>
      </c>
      <c r="B13" s="159" t="s">
        <v>450</v>
      </c>
      <c r="C13" s="30"/>
      <c r="D13" s="159">
        <v>61251</v>
      </c>
      <c r="E13" s="159">
        <f>$D13*'RAIL EMIS FACTOR'!C$7/2000</f>
        <v>16.782123655188069</v>
      </c>
      <c r="F13" s="159">
        <f>$D13*'RAIL EMIS FACTOR'!D$7/2000</f>
        <v>1.6496048635918199</v>
      </c>
      <c r="G13" s="159">
        <f>$D13*'RAIL EMIS FACTOR'!E$7/2000</f>
        <v>0.38237750100428525</v>
      </c>
      <c r="H13" s="159">
        <f>$D13*'RAIL EMIS FACTOR'!F$7/2000</f>
        <v>0.37090617597415665</v>
      </c>
      <c r="I13" s="159">
        <f>$D13*'RAIL EMIS FACTOR'!G$7/2000</f>
        <v>8.9413841722179324E-2</v>
      </c>
      <c r="J13" s="159">
        <f>$D13*'RAIL EMIS FACTOR'!H$7/2000</f>
        <v>0.87239426854127655</v>
      </c>
      <c r="K13" s="159">
        <f>$D13*'RAIL EMIS FACTOR'!I$7/2000</f>
        <v>5.898524942704585E-3</v>
      </c>
      <c r="L13" s="159">
        <f>$D13*'RAIL EMIS FACTOR'!J$7/2000</f>
        <v>723.47239402977448</v>
      </c>
    </row>
    <row r="14" spans="1:12" x14ac:dyDescent="0.25">
      <c r="A14" s="176" t="s">
        <v>65</v>
      </c>
      <c r="B14" s="159" t="s">
        <v>530</v>
      </c>
      <c r="C14" s="30"/>
      <c r="D14" s="159">
        <f>36750*0.75</f>
        <v>27562.5</v>
      </c>
      <c r="E14" s="159">
        <f>$D14*'RAIL EMIS FACTOR'!C$7/2000</f>
        <v>7.5518323496125968</v>
      </c>
      <c r="F14" s="159">
        <f>$D14*'RAIL EMIS FACTOR'!D$7/2000</f>
        <v>0.74231006926824916</v>
      </c>
      <c r="G14" s="159">
        <f>$D14*'RAIL EMIS FACTOR'!E$7/2000</f>
        <v>0.17206706619370479</v>
      </c>
      <c r="H14" s="159">
        <f>$D14*'RAIL EMIS FACTOR'!F$7/2000</f>
        <v>0.16690505420789364</v>
      </c>
      <c r="I14" s="159">
        <f>$D14*'RAIL EMIS FACTOR'!G$7/2000</f>
        <v>4.0235571867684894E-2</v>
      </c>
      <c r="J14" s="159">
        <f>$D14*'RAIL EMIS FACTOR'!H$7/2000</f>
        <v>0.39257101152093737</v>
      </c>
      <c r="K14" s="159">
        <f>$D14*'RAIL EMIS FACTOR'!I$7/2000</f>
        <v>2.65429288882296E-3</v>
      </c>
      <c r="L14" s="159">
        <f>$D14*'RAIL EMIS FACTOR'!J$7/2000</f>
        <v>325.55726209279288</v>
      </c>
    </row>
    <row r="15" spans="1:12" x14ac:dyDescent="0.25">
      <c r="A15" s="176" t="s">
        <v>66</v>
      </c>
      <c r="B15" s="159" t="s">
        <v>468</v>
      </c>
      <c r="C15" s="30"/>
      <c r="D15" s="159">
        <v>12250</v>
      </c>
      <c r="E15" s="159">
        <f>$D15*'RAIL EMIS FACTOR'!C$7/2000</f>
        <v>3.3563699331611536</v>
      </c>
      <c r="F15" s="159">
        <f>$D15*'RAIL EMIS FACTOR'!D$7/2000</f>
        <v>0.32991558634144413</v>
      </c>
      <c r="G15" s="159">
        <f>$D15*'RAIL EMIS FACTOR'!E$7/2000</f>
        <v>7.6474251641646576E-2</v>
      </c>
      <c r="H15" s="159">
        <f>$D15*'RAIL EMIS FACTOR'!F$7/2000</f>
        <v>7.418002409239717E-2</v>
      </c>
      <c r="I15" s="159">
        <f>$D15*'RAIL EMIS FACTOR'!G$7/2000</f>
        <v>1.7882476385637735E-2</v>
      </c>
      <c r="J15" s="159">
        <f>$D15*'RAIL EMIS FACTOR'!H$7/2000</f>
        <v>0.17447600512041661</v>
      </c>
      <c r="K15" s="159">
        <f>$D15*'RAIL EMIS FACTOR'!I$7/2000</f>
        <v>1.17968572836576E-3</v>
      </c>
      <c r="L15" s="159">
        <f>$D15*'RAIL EMIS FACTOR'!J$7/2000</f>
        <v>144.69211648568572</v>
      </c>
    </row>
    <row r="16" spans="1:12" x14ac:dyDescent="0.25">
      <c r="A16" s="176" t="s">
        <v>50</v>
      </c>
      <c r="B16" s="159" t="s">
        <v>454</v>
      </c>
      <c r="C16" s="30"/>
      <c r="D16" s="159">
        <v>1225</v>
      </c>
      <c r="E16" s="159">
        <f>$D16*'RAIL EMIS FACTOR'!C$7/2000</f>
        <v>0.33563699331611541</v>
      </c>
      <c r="F16" s="159">
        <f>$D16*'RAIL EMIS FACTOR'!D$7/2000</f>
        <v>3.2991558634144408E-2</v>
      </c>
      <c r="G16" s="159">
        <f>$D16*'RAIL EMIS FACTOR'!E$7/2000</f>
        <v>7.6474251641646569E-3</v>
      </c>
      <c r="H16" s="159">
        <f>$D16*'RAIL EMIS FACTOR'!F$7/2000</f>
        <v>7.4180024092397176E-3</v>
      </c>
      <c r="I16" s="159">
        <f>$D16*'RAIL EMIS FACTOR'!G$7/2000</f>
        <v>1.7882476385637732E-3</v>
      </c>
      <c r="J16" s="159">
        <f>$D16*'RAIL EMIS FACTOR'!H$7/2000</f>
        <v>1.744760051204166E-2</v>
      </c>
      <c r="K16" s="159">
        <f>$D16*'RAIL EMIS FACTOR'!I$7/2000</f>
        <v>1.1796857283657599E-4</v>
      </c>
      <c r="L16" s="159">
        <f>$D16*'RAIL EMIS FACTOR'!J$7/2000</f>
        <v>14.469211648568573</v>
      </c>
    </row>
    <row r="17" spans="1:12" x14ac:dyDescent="0.25">
      <c r="A17" s="176" t="s">
        <v>67</v>
      </c>
      <c r="B17" s="159" t="s">
        <v>531</v>
      </c>
      <c r="C17" s="30"/>
      <c r="D17" s="159">
        <v>11025</v>
      </c>
      <c r="E17" s="159">
        <f>$D17*'RAIL EMIS FACTOR'!C$7/2000</f>
        <v>3.0207329398450384</v>
      </c>
      <c r="F17" s="159">
        <f>$D17*'RAIL EMIS FACTOR'!D$7/2000</f>
        <v>0.2969240277072997</v>
      </c>
      <c r="G17" s="159">
        <f>$D17*'RAIL EMIS FACTOR'!E$7/2000</f>
        <v>6.8826826477481923E-2</v>
      </c>
      <c r="H17" s="159">
        <f>$D17*'RAIL EMIS FACTOR'!F$7/2000</f>
        <v>6.6762021683157452E-2</v>
      </c>
      <c r="I17" s="159">
        <f>$D17*'RAIL EMIS FACTOR'!G$7/2000</f>
        <v>1.609422874707396E-2</v>
      </c>
      <c r="J17" s="159">
        <f>$D17*'RAIL EMIS FACTOR'!H$7/2000</f>
        <v>0.15702840460837494</v>
      </c>
      <c r="K17" s="159">
        <f>$D17*'RAIL EMIS FACTOR'!I$7/2000</f>
        <v>1.0617171555291839E-3</v>
      </c>
      <c r="L17" s="159">
        <f>$D17*'RAIL EMIS FACTOR'!J$7/2000</f>
        <v>130.22290483711714</v>
      </c>
    </row>
    <row r="18" spans="1:12" ht="17.25" x14ac:dyDescent="0.25">
      <c r="A18" s="178" t="s">
        <v>533</v>
      </c>
    </row>
    <row r="19" spans="1:12" ht="17.25" x14ac:dyDescent="0.25">
      <c r="A19" s="178" t="s">
        <v>828</v>
      </c>
    </row>
    <row r="20" spans="1:12" ht="17.25" x14ac:dyDescent="0.25">
      <c r="A20" s="177" t="s">
        <v>1049</v>
      </c>
    </row>
    <row r="21" spans="1:12" x14ac:dyDescent="0.25">
      <c r="A21" s="295"/>
      <c r="B21" s="295"/>
      <c r="C21" s="295"/>
      <c r="D21" s="295" t="s">
        <v>712</v>
      </c>
      <c r="E21" s="171" t="s">
        <v>96</v>
      </c>
      <c r="F21" s="171" t="s">
        <v>10</v>
      </c>
      <c r="G21" s="171" t="s">
        <v>7</v>
      </c>
      <c r="H21" s="172" t="s">
        <v>95</v>
      </c>
      <c r="I21" s="173" t="s">
        <v>17</v>
      </c>
      <c r="J21" s="171" t="s">
        <v>69</v>
      </c>
      <c r="K21" s="174" t="s">
        <v>16</v>
      </c>
      <c r="L21" s="175" t="s">
        <v>94</v>
      </c>
    </row>
    <row r="22" spans="1:12" x14ac:dyDescent="0.25">
      <c r="A22" s="150" t="s">
        <v>65</v>
      </c>
      <c r="B22" s="30" t="s">
        <v>338</v>
      </c>
      <c r="C22" s="30"/>
      <c r="D22" s="30">
        <f>36750*0.25</f>
        <v>9187.5</v>
      </c>
      <c r="E22" s="159">
        <f>$D22*'RAIL EMIS FACTOR'!C$7/2000</f>
        <v>2.5172774498708654</v>
      </c>
      <c r="F22" s="159">
        <f>$D22*'RAIL EMIS FACTOR'!D$7/2000</f>
        <v>0.24743668975608307</v>
      </c>
      <c r="G22" s="159">
        <f>$D22*'RAIL EMIS FACTOR'!E$7/2000</f>
        <v>5.7355688731234929E-2</v>
      </c>
      <c r="H22" s="159">
        <f>$D22*'RAIL EMIS FACTOR'!F$7/2000</f>
        <v>5.5635018069297888E-2</v>
      </c>
      <c r="I22" s="159">
        <f>$D22*'RAIL EMIS FACTOR'!G$7/2000</f>
        <v>1.34118572892283E-2</v>
      </c>
      <c r="J22" s="159">
        <f>$D22*'RAIL EMIS FACTOR'!H$7/2000</f>
        <v>0.13085700384031249</v>
      </c>
      <c r="K22" s="159">
        <f>$D22*'RAIL EMIS FACTOR'!I$7/2000</f>
        <v>8.8476429627431998E-4</v>
      </c>
      <c r="L22" s="159">
        <f>$D22*'RAIL EMIS FACTOR'!J$7/2000</f>
        <v>108.51908736426429</v>
      </c>
    </row>
    <row r="23" spans="1:12" ht="17.25" x14ac:dyDescent="0.25">
      <c r="A23" s="65" t="s">
        <v>832</v>
      </c>
    </row>
    <row r="24" spans="1:12" ht="17.25" x14ac:dyDescent="0.25">
      <c r="A24" s="65" t="s">
        <v>829</v>
      </c>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8"/>
  <sheetViews>
    <sheetView workbookViewId="0">
      <selection activeCell="A3" sqref="A3"/>
    </sheetView>
  </sheetViews>
  <sheetFormatPr defaultRowHeight="15" x14ac:dyDescent="0.25"/>
  <cols>
    <col min="1" max="1" width="20" customWidth="1"/>
    <col min="2" max="2" width="12.42578125" customWidth="1"/>
    <col min="8" max="8" width="6.85546875" customWidth="1"/>
    <col min="9" max="9" width="7.42578125" customWidth="1"/>
    <col min="10" max="10" width="6.42578125" customWidth="1"/>
    <col min="11" max="11" width="9.140625" customWidth="1"/>
    <col min="13" max="13" width="11.42578125" customWidth="1"/>
    <col min="14" max="14" width="10.42578125" customWidth="1"/>
    <col min="15" max="15" width="11.42578125" customWidth="1"/>
    <col min="16" max="17" width="7.5703125" customWidth="1"/>
    <col min="18" max="18" width="7.42578125" customWidth="1"/>
    <col min="19" max="19" width="8.42578125" customWidth="1"/>
  </cols>
  <sheetData>
    <row r="1" spans="1:24" x14ac:dyDescent="0.25">
      <c r="A1" s="143"/>
    </row>
    <row r="2" spans="1:24" x14ac:dyDescent="0.25">
      <c r="A2" s="139" t="s">
        <v>1050</v>
      </c>
      <c r="B2" s="139"/>
      <c r="C2" s="139"/>
      <c r="D2" s="139"/>
      <c r="E2" s="139"/>
      <c r="F2" s="139"/>
    </row>
    <row r="3" spans="1:24" x14ac:dyDescent="0.25">
      <c r="A3" s="179" t="s">
        <v>534</v>
      </c>
      <c r="B3" s="159"/>
      <c r="C3" s="159" t="s">
        <v>535</v>
      </c>
      <c r="D3" s="159"/>
      <c r="E3" s="159"/>
      <c r="F3" s="159"/>
      <c r="G3" s="159"/>
      <c r="H3" s="159"/>
      <c r="I3" s="159"/>
      <c r="J3" s="159"/>
      <c r="K3" s="159"/>
      <c r="L3" s="159"/>
      <c r="M3" s="159"/>
      <c r="N3" s="159"/>
      <c r="O3" s="159"/>
      <c r="P3" s="159"/>
      <c r="Q3" s="159"/>
      <c r="R3" s="180"/>
      <c r="S3" s="159"/>
      <c r="T3" s="6"/>
      <c r="U3" s="6"/>
      <c r="V3" s="6"/>
      <c r="W3" s="6"/>
      <c r="X3" s="6"/>
    </row>
    <row r="4" spans="1:24" x14ac:dyDescent="0.25">
      <c r="A4" s="107" t="s">
        <v>536</v>
      </c>
      <c r="B4" s="179" t="s">
        <v>536</v>
      </c>
      <c r="C4" s="179"/>
      <c r="D4" s="179"/>
      <c r="E4" s="179"/>
      <c r="F4" s="159"/>
      <c r="G4" s="159"/>
      <c r="H4" s="159"/>
      <c r="I4" s="159"/>
      <c r="J4" s="159"/>
      <c r="K4" s="159" t="s">
        <v>537</v>
      </c>
      <c r="L4" s="159" t="s">
        <v>538</v>
      </c>
      <c r="M4" s="159" t="s">
        <v>539</v>
      </c>
      <c r="N4" s="159"/>
      <c r="O4" s="159"/>
      <c r="P4" s="159"/>
      <c r="Q4" s="159"/>
      <c r="R4" s="180"/>
      <c r="S4" s="159"/>
      <c r="T4" s="6"/>
      <c r="U4" s="6"/>
      <c r="V4" s="6"/>
      <c r="W4" s="6"/>
      <c r="X4" s="6"/>
    </row>
    <row r="5" spans="1:24" x14ac:dyDescent="0.25">
      <c r="A5" s="107" t="s">
        <v>536</v>
      </c>
      <c r="B5" s="101" t="s">
        <v>540</v>
      </c>
      <c r="C5" s="101"/>
      <c r="D5" s="101"/>
      <c r="E5" s="101"/>
      <c r="F5" s="159"/>
      <c r="G5" s="159" t="s">
        <v>541</v>
      </c>
      <c r="H5" s="159" t="s">
        <v>542</v>
      </c>
      <c r="I5" s="159" t="s">
        <v>543</v>
      </c>
      <c r="J5" s="159" t="s">
        <v>544</v>
      </c>
      <c r="K5" s="159" t="s">
        <v>545</v>
      </c>
      <c r="L5" s="159" t="s">
        <v>546</v>
      </c>
      <c r="M5" s="159" t="s">
        <v>547</v>
      </c>
      <c r="N5" s="159"/>
      <c r="O5" s="159"/>
      <c r="P5" s="159"/>
      <c r="Q5" s="159"/>
      <c r="R5" s="180"/>
      <c r="S5" s="159"/>
      <c r="T5" s="6"/>
      <c r="U5" s="6"/>
      <c r="V5" s="6"/>
      <c r="W5" s="6"/>
      <c r="X5" s="6"/>
    </row>
    <row r="6" spans="1:24" x14ac:dyDescent="0.25">
      <c r="A6" s="107" t="s">
        <v>536</v>
      </c>
      <c r="B6" s="159" t="s">
        <v>548</v>
      </c>
      <c r="C6" s="176" t="s">
        <v>549</v>
      </c>
      <c r="D6" s="176"/>
      <c r="E6" s="176"/>
      <c r="F6" s="176" t="s">
        <v>550</v>
      </c>
      <c r="G6" s="159">
        <f>1.25+0.75</f>
        <v>2</v>
      </c>
      <c r="H6" s="159">
        <v>1.25</v>
      </c>
      <c r="I6" s="159">
        <f>G6/H6</f>
        <v>1.6</v>
      </c>
      <c r="J6" s="159">
        <f>5*52</f>
        <v>260</v>
      </c>
      <c r="K6" s="159">
        <f>130*20</f>
        <v>2600</v>
      </c>
      <c r="L6" s="159">
        <f>I6*J6*K6</f>
        <v>1081600</v>
      </c>
      <c r="M6" s="181">
        <f>L6/$L$46</f>
        <v>5732.648930481284</v>
      </c>
      <c r="N6" s="181"/>
      <c r="O6" s="181"/>
      <c r="P6" s="181"/>
      <c r="Q6" s="181"/>
      <c r="R6" s="182"/>
      <c r="S6" s="181"/>
      <c r="T6" s="6"/>
      <c r="U6" s="6"/>
      <c r="V6" s="6"/>
      <c r="W6" s="6"/>
      <c r="X6" s="6"/>
    </row>
    <row r="7" spans="1:24" x14ac:dyDescent="0.25">
      <c r="A7" s="107" t="s">
        <v>536</v>
      </c>
      <c r="B7" s="159" t="s">
        <v>551</v>
      </c>
      <c r="C7" s="176" t="s">
        <v>549</v>
      </c>
      <c r="D7" s="176"/>
      <c r="E7" s="176"/>
      <c r="F7" s="176" t="s">
        <v>552</v>
      </c>
      <c r="G7" s="159">
        <f>4.125+2.125</f>
        <v>6.25</v>
      </c>
      <c r="H7" s="159">
        <v>1.25</v>
      </c>
      <c r="I7" s="159">
        <f>G7/H7</f>
        <v>5</v>
      </c>
      <c r="J7" s="159">
        <f>5*52</f>
        <v>260</v>
      </c>
      <c r="K7" s="159">
        <f>130*20</f>
        <v>2600</v>
      </c>
      <c r="L7" s="159">
        <f>I7*J7*K7</f>
        <v>3380000</v>
      </c>
      <c r="M7" s="181">
        <f>L7/$L$46</f>
        <v>17914.527907754011</v>
      </c>
      <c r="N7" s="181"/>
      <c r="O7" s="181"/>
      <c r="P7" s="181"/>
      <c r="Q7" s="181"/>
      <c r="R7" s="182"/>
      <c r="S7" s="181"/>
      <c r="T7" s="6"/>
      <c r="U7" s="6"/>
      <c r="V7" s="6"/>
      <c r="W7" s="6"/>
      <c r="X7" s="6"/>
    </row>
    <row r="8" spans="1:24" x14ac:dyDescent="0.25">
      <c r="A8" s="107" t="s">
        <v>536</v>
      </c>
      <c r="B8" s="159" t="s">
        <v>553</v>
      </c>
      <c r="C8" s="176" t="s">
        <v>549</v>
      </c>
      <c r="D8" s="176"/>
      <c r="E8" s="176"/>
      <c r="F8" s="176" t="s">
        <v>554</v>
      </c>
      <c r="G8" s="159">
        <f>1.5+3.375+0.5</f>
        <v>5.375</v>
      </c>
      <c r="H8" s="159">
        <v>1.25</v>
      </c>
      <c r="I8" s="159">
        <f>G8/H8</f>
        <v>4.3</v>
      </c>
      <c r="J8" s="159">
        <f>5*52</f>
        <v>260</v>
      </c>
      <c r="K8" s="159">
        <f>130*20</f>
        <v>2600</v>
      </c>
      <c r="L8" s="159">
        <f>I8*J8*K8</f>
        <v>2906800</v>
      </c>
      <c r="M8" s="181">
        <f>L8/$L$46</f>
        <v>15406.49400066845</v>
      </c>
      <c r="N8" s="181"/>
      <c r="O8" s="181"/>
      <c r="P8" s="181"/>
      <c r="Q8" s="181"/>
      <c r="R8" s="182"/>
      <c r="S8" s="181"/>
      <c r="T8" s="6"/>
      <c r="U8" s="6"/>
      <c r="V8" s="6"/>
      <c r="W8" s="6"/>
      <c r="X8" s="6"/>
    </row>
    <row r="9" spans="1:24" x14ac:dyDescent="0.25">
      <c r="A9" s="107" t="s">
        <v>536</v>
      </c>
      <c r="B9" s="159" t="s">
        <v>555</v>
      </c>
      <c r="C9" s="176" t="s">
        <v>549</v>
      </c>
      <c r="D9" s="176"/>
      <c r="E9" s="176"/>
      <c r="F9" s="176" t="s">
        <v>556</v>
      </c>
      <c r="G9" s="159">
        <f>2.125+1+1.75</f>
        <v>4.875</v>
      </c>
      <c r="H9" s="159">
        <v>1.25</v>
      </c>
      <c r="I9" s="159">
        <f>G9/H9</f>
        <v>3.9</v>
      </c>
      <c r="J9" s="159">
        <f>5*52</f>
        <v>260</v>
      </c>
      <c r="K9" s="159">
        <f>130*20</f>
        <v>2600</v>
      </c>
      <c r="L9" s="159">
        <f>I9*J9*K9</f>
        <v>2636400</v>
      </c>
      <c r="M9" s="181">
        <f>L9/$L$46</f>
        <v>13973.331768048129</v>
      </c>
      <c r="N9" s="181"/>
      <c r="O9" s="181"/>
      <c r="P9" s="181"/>
      <c r="Q9" s="181"/>
      <c r="R9" s="182"/>
      <c r="S9" s="181"/>
      <c r="T9" s="6"/>
      <c r="U9" s="6"/>
      <c r="V9" s="6"/>
      <c r="W9" s="6"/>
      <c r="X9" s="6"/>
    </row>
    <row r="10" spans="1:24" x14ac:dyDescent="0.25">
      <c r="A10" s="107" t="s">
        <v>536</v>
      </c>
      <c r="B10" s="159" t="s">
        <v>557</v>
      </c>
      <c r="C10" s="176" t="s">
        <v>549</v>
      </c>
      <c r="D10" s="176"/>
      <c r="E10" s="176"/>
      <c r="F10" s="176" t="s">
        <v>558</v>
      </c>
      <c r="G10" s="159">
        <v>4</v>
      </c>
      <c r="H10" s="159">
        <v>1.25</v>
      </c>
      <c r="I10" s="159">
        <f>G10/H10</f>
        <v>3.2</v>
      </c>
      <c r="J10" s="159">
        <f>5*52</f>
        <v>260</v>
      </c>
      <c r="K10" s="159">
        <f>130*20</f>
        <v>2600</v>
      </c>
      <c r="L10" s="159">
        <f>I10*J10*K10</f>
        <v>2163200</v>
      </c>
      <c r="M10" s="181">
        <f>L10/$L$46</f>
        <v>11465.297860962568</v>
      </c>
      <c r="N10" s="181"/>
      <c r="O10" s="181"/>
      <c r="P10" s="181"/>
      <c r="Q10" s="181"/>
      <c r="R10" s="182"/>
      <c r="S10" s="181"/>
      <c r="T10" s="6"/>
      <c r="U10" s="6"/>
      <c r="V10" s="6"/>
      <c r="W10" s="6"/>
      <c r="X10" s="6"/>
    </row>
    <row r="11" spans="1:24" x14ac:dyDescent="0.25">
      <c r="A11" s="107" t="s">
        <v>536</v>
      </c>
      <c r="B11" s="159"/>
      <c r="C11" s="159"/>
      <c r="D11" s="159"/>
      <c r="E11" s="159"/>
      <c r="F11" s="159"/>
      <c r="G11" s="159"/>
      <c r="H11" s="159"/>
      <c r="I11" s="159">
        <f>SUM(I6:I10)</f>
        <v>18</v>
      </c>
      <c r="J11" s="159"/>
      <c r="K11" s="159"/>
      <c r="L11" s="159"/>
      <c r="M11" s="181"/>
      <c r="N11" s="181"/>
      <c r="O11" s="181"/>
      <c r="P11" s="181"/>
      <c r="Q11" s="181"/>
      <c r="R11" s="182"/>
      <c r="S11" s="181"/>
      <c r="T11" s="6"/>
      <c r="U11" s="6"/>
      <c r="V11" s="6"/>
      <c r="W11" s="6"/>
      <c r="X11" s="6"/>
    </row>
    <row r="12" spans="1:24" x14ac:dyDescent="0.25">
      <c r="A12" s="107" t="s">
        <v>536</v>
      </c>
      <c r="B12" s="101" t="s">
        <v>559</v>
      </c>
      <c r="C12" s="101"/>
      <c r="D12" s="101"/>
      <c r="E12" s="101"/>
      <c r="F12" s="159"/>
      <c r="G12" s="159" t="s">
        <v>541</v>
      </c>
      <c r="H12" s="159" t="s">
        <v>542</v>
      </c>
      <c r="I12" s="159" t="s">
        <v>543</v>
      </c>
      <c r="J12" s="159" t="s">
        <v>544</v>
      </c>
      <c r="K12" s="159" t="s">
        <v>545</v>
      </c>
      <c r="L12" s="159" t="s">
        <v>546</v>
      </c>
      <c r="M12" s="181" t="s">
        <v>547</v>
      </c>
      <c r="N12" s="159"/>
      <c r="O12" s="159"/>
      <c r="P12" s="159"/>
      <c r="Q12" s="159"/>
      <c r="R12" s="180"/>
      <c r="S12" s="159"/>
      <c r="T12" s="6"/>
      <c r="U12" s="6"/>
      <c r="V12" s="6"/>
      <c r="W12" s="6"/>
      <c r="X12" s="6"/>
    </row>
    <row r="13" spans="1:24" x14ac:dyDescent="0.25">
      <c r="A13" s="107" t="s">
        <v>536</v>
      </c>
      <c r="B13" s="159" t="s">
        <v>548</v>
      </c>
      <c r="C13" s="176" t="s">
        <v>549</v>
      </c>
      <c r="D13" s="176"/>
      <c r="E13" s="176"/>
      <c r="F13" s="176" t="s">
        <v>550</v>
      </c>
      <c r="G13" s="159">
        <f>1.25+0.75</f>
        <v>2</v>
      </c>
      <c r="H13" s="159">
        <v>1.25</v>
      </c>
      <c r="I13" s="159">
        <f>G13/H13</f>
        <v>1.6</v>
      </c>
      <c r="J13" s="159">
        <f>5*52</f>
        <v>260</v>
      </c>
      <c r="K13" s="159">
        <f>20*30</f>
        <v>600</v>
      </c>
      <c r="L13" s="159">
        <f>I13*J13*K13</f>
        <v>249600</v>
      </c>
      <c r="M13" s="181">
        <f>L13/$L$46</f>
        <v>1322.9189839572193</v>
      </c>
      <c r="N13" s="181"/>
      <c r="O13" s="181"/>
      <c r="P13" s="181"/>
      <c r="Q13" s="181"/>
      <c r="R13" s="182"/>
      <c r="S13" s="181"/>
      <c r="T13" s="6"/>
      <c r="U13" s="6"/>
      <c r="V13" s="6"/>
      <c r="W13" s="6"/>
      <c r="X13" s="6"/>
    </row>
    <row r="14" spans="1:24" x14ac:dyDescent="0.25">
      <c r="A14" s="107" t="s">
        <v>536</v>
      </c>
      <c r="B14" s="159" t="s">
        <v>551</v>
      </c>
      <c r="C14" s="176" t="s">
        <v>549</v>
      </c>
      <c r="D14" s="176"/>
      <c r="E14" s="176"/>
      <c r="F14" s="176" t="s">
        <v>552</v>
      </c>
      <c r="G14" s="159">
        <f>4.125+2.125</f>
        <v>6.25</v>
      </c>
      <c r="H14" s="159">
        <v>1.25</v>
      </c>
      <c r="I14" s="159">
        <f>G14/H14</f>
        <v>5</v>
      </c>
      <c r="J14" s="159">
        <f>5*52</f>
        <v>260</v>
      </c>
      <c r="K14" s="159">
        <f>20*30</f>
        <v>600</v>
      </c>
      <c r="L14" s="159">
        <f>I14*J14*K14</f>
        <v>780000</v>
      </c>
      <c r="M14" s="181">
        <f>L14/$L$46</f>
        <v>4134.1218248663099</v>
      </c>
      <c r="N14" s="181"/>
      <c r="O14" s="181"/>
      <c r="P14" s="181"/>
      <c r="Q14" s="181"/>
      <c r="R14" s="182"/>
      <c r="S14" s="181"/>
      <c r="T14" s="6"/>
      <c r="U14" s="6"/>
      <c r="V14" s="6"/>
      <c r="W14" s="6"/>
      <c r="X14" s="6"/>
    </row>
    <row r="15" spans="1:24" x14ac:dyDescent="0.25">
      <c r="A15" s="107" t="s">
        <v>536</v>
      </c>
      <c r="B15" s="159" t="s">
        <v>553</v>
      </c>
      <c r="C15" s="176" t="s">
        <v>549</v>
      </c>
      <c r="D15" s="176"/>
      <c r="E15" s="176"/>
      <c r="F15" s="176" t="s">
        <v>554</v>
      </c>
      <c r="G15" s="159">
        <f>1.5+3.375+0.5</f>
        <v>5.375</v>
      </c>
      <c r="H15" s="159">
        <v>1.25</v>
      </c>
      <c r="I15" s="159">
        <f>G15/H15</f>
        <v>4.3</v>
      </c>
      <c r="J15" s="159">
        <f>5*52</f>
        <v>260</v>
      </c>
      <c r="K15" s="159">
        <f>20*30</f>
        <v>600</v>
      </c>
      <c r="L15" s="159">
        <f>I15*J15*K15</f>
        <v>670800</v>
      </c>
      <c r="M15" s="181">
        <f>L15/$L$46</f>
        <v>3555.3447693850267</v>
      </c>
      <c r="N15" s="181"/>
      <c r="O15" s="181"/>
      <c r="P15" s="181"/>
      <c r="Q15" s="181"/>
      <c r="R15" s="182"/>
      <c r="S15" s="181"/>
      <c r="T15" s="6"/>
      <c r="U15" s="6"/>
      <c r="V15" s="6"/>
      <c r="W15" s="6"/>
      <c r="X15" s="6"/>
    </row>
    <row r="16" spans="1:24" x14ac:dyDescent="0.25">
      <c r="A16" s="107" t="s">
        <v>536</v>
      </c>
      <c r="B16" s="159" t="s">
        <v>555</v>
      </c>
      <c r="C16" s="176" t="s">
        <v>549</v>
      </c>
      <c r="D16" s="176"/>
      <c r="E16" s="176"/>
      <c r="F16" s="176" t="s">
        <v>556</v>
      </c>
      <c r="G16" s="159">
        <f>2.125+1+1.75</f>
        <v>4.875</v>
      </c>
      <c r="H16" s="159">
        <v>1.25</v>
      </c>
      <c r="I16" s="159">
        <f>G16/H16</f>
        <v>3.9</v>
      </c>
      <c r="J16" s="159">
        <f>5*52</f>
        <v>260</v>
      </c>
      <c r="K16" s="159">
        <f>20*30</f>
        <v>600</v>
      </c>
      <c r="L16" s="159">
        <f>I16*J16*K16</f>
        <v>608400</v>
      </c>
      <c r="M16" s="181">
        <f>L16/$L$46</f>
        <v>3224.6150233957219</v>
      </c>
      <c r="N16" s="181"/>
      <c r="O16" s="181"/>
      <c r="P16" s="181"/>
      <c r="Q16" s="181"/>
      <c r="R16" s="182"/>
      <c r="S16" s="181"/>
      <c r="T16" s="6"/>
      <c r="U16" s="6"/>
      <c r="V16" s="6"/>
      <c r="W16" s="6"/>
      <c r="X16" s="6"/>
    </row>
    <row r="17" spans="1:24" x14ac:dyDescent="0.25">
      <c r="A17" s="107" t="s">
        <v>536</v>
      </c>
      <c r="B17" s="159" t="s">
        <v>557</v>
      </c>
      <c r="C17" s="176" t="s">
        <v>549</v>
      </c>
      <c r="D17" s="176"/>
      <c r="E17" s="176"/>
      <c r="F17" s="176" t="s">
        <v>558</v>
      </c>
      <c r="G17" s="159">
        <v>4</v>
      </c>
      <c r="H17" s="159">
        <v>1.25</v>
      </c>
      <c r="I17" s="159">
        <f>G17/H17</f>
        <v>3.2</v>
      </c>
      <c r="J17" s="159">
        <f>5*52</f>
        <v>260</v>
      </c>
      <c r="K17" s="159">
        <f>20*30</f>
        <v>600</v>
      </c>
      <c r="L17" s="159">
        <f>I17*J17*K17</f>
        <v>499200</v>
      </c>
      <c r="M17" s="181">
        <f>L17/$L$46</f>
        <v>2645.8379679144387</v>
      </c>
      <c r="N17" s="181"/>
      <c r="O17" s="181"/>
      <c r="P17" s="181"/>
      <c r="Q17" s="181"/>
      <c r="R17" s="182"/>
      <c r="S17" s="181"/>
      <c r="T17" s="6"/>
      <c r="U17" s="6"/>
      <c r="V17" s="6"/>
      <c r="W17" s="6"/>
      <c r="X17" s="6"/>
    </row>
    <row r="18" spans="1:24" x14ac:dyDescent="0.25">
      <c r="A18" s="107" t="s">
        <v>536</v>
      </c>
      <c r="B18" s="159"/>
      <c r="C18" s="159"/>
      <c r="D18" s="159"/>
      <c r="E18" s="159"/>
      <c r="F18" s="159"/>
      <c r="G18" s="159"/>
      <c r="H18" s="159"/>
      <c r="I18" s="159"/>
      <c r="J18" s="159"/>
      <c r="K18" s="159"/>
      <c r="L18" s="159"/>
      <c r="M18" s="181"/>
      <c r="N18" s="181"/>
      <c r="O18" s="181"/>
      <c r="P18" s="181"/>
      <c r="Q18" s="181"/>
      <c r="R18" s="182"/>
      <c r="S18" s="181"/>
      <c r="T18" s="6"/>
      <c r="U18" s="6"/>
      <c r="V18" s="6"/>
      <c r="W18" s="6"/>
      <c r="X18" s="6"/>
    </row>
    <row r="19" spans="1:24" x14ac:dyDescent="0.25">
      <c r="A19" s="107" t="s">
        <v>536</v>
      </c>
      <c r="B19" s="101" t="s">
        <v>560</v>
      </c>
      <c r="C19" s="101"/>
      <c r="D19" s="101"/>
      <c r="E19" s="101"/>
      <c r="F19" s="159"/>
      <c r="G19" s="159" t="s">
        <v>541</v>
      </c>
      <c r="H19" s="159" t="s">
        <v>542</v>
      </c>
      <c r="I19" s="159" t="s">
        <v>543</v>
      </c>
      <c r="J19" s="159" t="s">
        <v>544</v>
      </c>
      <c r="K19" s="159" t="s">
        <v>545</v>
      </c>
      <c r="L19" s="159" t="s">
        <v>546</v>
      </c>
      <c r="M19" s="181" t="s">
        <v>547</v>
      </c>
      <c r="N19" s="159"/>
      <c r="O19" s="159"/>
      <c r="P19" s="159"/>
      <c r="Q19" s="159"/>
      <c r="R19" s="180"/>
      <c r="S19" s="159"/>
      <c r="T19" s="6"/>
      <c r="U19" s="6"/>
      <c r="V19" s="6"/>
      <c r="W19" s="6"/>
      <c r="X19" s="6"/>
    </row>
    <row r="20" spans="1:24" x14ac:dyDescent="0.25">
      <c r="A20" s="107" t="s">
        <v>536</v>
      </c>
      <c r="B20" s="159" t="s">
        <v>561</v>
      </c>
      <c r="C20" s="176" t="s">
        <v>549</v>
      </c>
      <c r="D20" s="176"/>
      <c r="E20" s="176"/>
      <c r="F20" s="176" t="s">
        <v>558</v>
      </c>
      <c r="G20" s="159">
        <v>1.25</v>
      </c>
      <c r="H20" s="159">
        <v>1.25</v>
      </c>
      <c r="I20" s="159">
        <f t="shared" ref="I20:I25" si="0">G20/H20</f>
        <v>1</v>
      </c>
      <c r="J20" s="159">
        <f t="shared" ref="J20:J25" si="1">5*52</f>
        <v>260</v>
      </c>
      <c r="K20" s="159">
        <v>2600</v>
      </c>
      <c r="L20" s="159">
        <f t="shared" ref="L20:L25" si="2">I20*J20*K20</f>
        <v>676000</v>
      </c>
      <c r="M20" s="181">
        <f t="shared" ref="M20:M25" si="3">L20/$L$46</f>
        <v>3582.9055815508023</v>
      </c>
      <c r="N20" s="181"/>
      <c r="O20" s="181"/>
      <c r="P20" s="181"/>
      <c r="Q20" s="181"/>
      <c r="R20" s="182"/>
      <c r="S20" s="181"/>
      <c r="T20" s="6"/>
      <c r="U20" s="6"/>
      <c r="V20" s="6"/>
      <c r="W20" s="6"/>
      <c r="X20" s="6"/>
    </row>
    <row r="21" spans="1:24" x14ac:dyDescent="0.25">
      <c r="A21" s="107" t="s">
        <v>536</v>
      </c>
      <c r="B21" s="159" t="s">
        <v>562</v>
      </c>
      <c r="C21" s="176" t="s">
        <v>549</v>
      </c>
      <c r="D21" s="176"/>
      <c r="E21" s="176"/>
      <c r="F21" s="176" t="s">
        <v>563</v>
      </c>
      <c r="G21" s="159">
        <v>3</v>
      </c>
      <c r="H21" s="159">
        <v>1.25</v>
      </c>
      <c r="I21" s="159">
        <f t="shared" si="0"/>
        <v>2.4</v>
      </c>
      <c r="J21" s="159">
        <f t="shared" si="1"/>
        <v>260</v>
      </c>
      <c r="K21" s="159">
        <v>2600</v>
      </c>
      <c r="L21" s="159">
        <f t="shared" si="2"/>
        <v>1622400</v>
      </c>
      <c r="M21" s="181">
        <f t="shared" si="3"/>
        <v>8598.973395721925</v>
      </c>
      <c r="N21" s="181"/>
      <c r="O21" s="181"/>
      <c r="P21" s="181"/>
      <c r="Q21" s="181"/>
      <c r="R21" s="182"/>
      <c r="S21" s="181"/>
      <c r="T21" s="6"/>
      <c r="U21" s="6"/>
      <c r="V21" s="6"/>
      <c r="W21" s="6"/>
      <c r="X21" s="6"/>
    </row>
    <row r="22" spans="1:24" x14ac:dyDescent="0.25">
      <c r="A22" s="107" t="s">
        <v>536</v>
      </c>
      <c r="B22" s="159" t="s">
        <v>564</v>
      </c>
      <c r="C22" s="176" t="s">
        <v>549</v>
      </c>
      <c r="D22" s="176"/>
      <c r="E22" s="176"/>
      <c r="F22" s="176" t="s">
        <v>565</v>
      </c>
      <c r="G22" s="159">
        <v>3.625</v>
      </c>
      <c r="H22" s="159">
        <v>1.25</v>
      </c>
      <c r="I22" s="159">
        <f t="shared" si="0"/>
        <v>2.9</v>
      </c>
      <c r="J22" s="159">
        <f t="shared" si="1"/>
        <v>260</v>
      </c>
      <c r="K22" s="159">
        <v>2600</v>
      </c>
      <c r="L22" s="159">
        <f t="shared" si="2"/>
        <v>1960400</v>
      </c>
      <c r="M22" s="181">
        <f t="shared" si="3"/>
        <v>10390.426186497327</v>
      </c>
      <c r="N22" s="181"/>
      <c r="O22" s="181"/>
      <c r="P22" s="181"/>
      <c r="Q22" s="181"/>
      <c r="R22" s="182"/>
      <c r="S22" s="181"/>
      <c r="T22" s="6"/>
      <c r="U22" s="6"/>
      <c r="V22" s="6"/>
      <c r="W22" s="6"/>
      <c r="X22" s="6"/>
    </row>
    <row r="23" spans="1:24" x14ac:dyDescent="0.25">
      <c r="A23" s="107" t="s">
        <v>536</v>
      </c>
      <c r="B23" s="159" t="s">
        <v>566</v>
      </c>
      <c r="C23" s="176" t="s">
        <v>567</v>
      </c>
      <c r="D23" s="176"/>
      <c r="E23" s="176"/>
      <c r="F23" s="176" t="s">
        <v>568</v>
      </c>
      <c r="G23" s="159">
        <v>3.125</v>
      </c>
      <c r="H23" s="159">
        <v>1.25</v>
      </c>
      <c r="I23" s="159">
        <f t="shared" si="0"/>
        <v>2.5</v>
      </c>
      <c r="J23" s="159">
        <f t="shared" si="1"/>
        <v>260</v>
      </c>
      <c r="K23" s="159">
        <v>2600</v>
      </c>
      <c r="L23" s="159">
        <f t="shared" si="2"/>
        <v>1690000</v>
      </c>
      <c r="M23" s="181">
        <f t="shared" si="3"/>
        <v>8957.2639538770054</v>
      </c>
      <c r="N23" s="181"/>
      <c r="O23" s="181"/>
      <c r="P23" s="181"/>
      <c r="Q23" s="181"/>
      <c r="R23" s="182"/>
      <c r="S23" s="181"/>
      <c r="T23" s="6"/>
      <c r="U23" s="6"/>
      <c r="V23" s="6"/>
      <c r="W23" s="6"/>
      <c r="X23" s="6"/>
    </row>
    <row r="24" spans="1:24" x14ac:dyDescent="0.25">
      <c r="A24" s="107" t="s">
        <v>536</v>
      </c>
      <c r="B24" s="159" t="s">
        <v>569</v>
      </c>
      <c r="C24" s="176" t="s">
        <v>549</v>
      </c>
      <c r="D24" s="176"/>
      <c r="E24" s="176"/>
      <c r="F24" s="176" t="s">
        <v>570</v>
      </c>
      <c r="G24" s="159">
        <f>3.25+5.25</f>
        <v>8.5</v>
      </c>
      <c r="H24" s="159">
        <v>1.25</v>
      </c>
      <c r="I24" s="159">
        <f t="shared" si="0"/>
        <v>6.8</v>
      </c>
      <c r="J24" s="159">
        <f t="shared" si="1"/>
        <v>260</v>
      </c>
      <c r="K24" s="159">
        <v>2600</v>
      </c>
      <c r="L24" s="159">
        <f t="shared" si="2"/>
        <v>4596800</v>
      </c>
      <c r="M24" s="181">
        <f t="shared" si="3"/>
        <v>24363.757954545454</v>
      </c>
      <c r="N24" s="181"/>
      <c r="O24" s="181"/>
      <c r="P24" s="181"/>
      <c r="Q24" s="181"/>
      <c r="R24" s="182"/>
      <c r="S24" s="181"/>
      <c r="T24" s="6"/>
      <c r="U24" s="6"/>
      <c r="V24" s="6"/>
      <c r="W24" s="6"/>
      <c r="X24" s="6"/>
    </row>
    <row r="25" spans="1:24" x14ac:dyDescent="0.25">
      <c r="A25" s="107" t="s">
        <v>536</v>
      </c>
      <c r="B25" s="159" t="s">
        <v>571</v>
      </c>
      <c r="C25" s="176" t="s">
        <v>549</v>
      </c>
      <c r="D25" s="176"/>
      <c r="E25" s="176"/>
      <c r="F25" s="176" t="s">
        <v>572</v>
      </c>
      <c r="G25" s="159">
        <v>1.75</v>
      </c>
      <c r="H25" s="159">
        <v>1.25</v>
      </c>
      <c r="I25" s="159">
        <f t="shared" si="0"/>
        <v>1.4</v>
      </c>
      <c r="J25" s="159">
        <f t="shared" si="1"/>
        <v>260</v>
      </c>
      <c r="K25" s="159">
        <v>2600</v>
      </c>
      <c r="L25" s="159">
        <f t="shared" si="2"/>
        <v>946400</v>
      </c>
      <c r="M25" s="181">
        <f t="shared" si="3"/>
        <v>5016.0678141711232</v>
      </c>
      <c r="N25" s="181"/>
      <c r="O25" s="181"/>
      <c r="P25" s="181"/>
      <c r="Q25" s="181"/>
      <c r="R25" s="182"/>
      <c r="S25" s="181"/>
      <c r="T25" s="6"/>
      <c r="U25" s="6"/>
      <c r="V25" s="6"/>
      <c r="W25" s="6"/>
      <c r="X25" s="6"/>
    </row>
    <row r="26" spans="1:24" x14ac:dyDescent="0.25">
      <c r="A26" s="107" t="s">
        <v>536</v>
      </c>
      <c r="B26" s="159"/>
      <c r="C26" s="159"/>
      <c r="D26" s="159"/>
      <c r="E26" s="159"/>
      <c r="F26" s="159"/>
      <c r="G26" s="159"/>
      <c r="H26" s="159"/>
      <c r="I26" s="159">
        <f>SUM(I20:I25)</f>
        <v>17</v>
      </c>
      <c r="J26" s="159"/>
      <c r="K26" s="159"/>
      <c r="L26" s="159"/>
      <c r="M26" s="181"/>
      <c r="N26" s="181"/>
      <c r="O26" s="181"/>
      <c r="P26" s="181"/>
      <c r="Q26" s="181"/>
      <c r="R26" s="182"/>
      <c r="S26" s="181"/>
      <c r="T26" s="6"/>
      <c r="U26" s="6"/>
      <c r="V26" s="6"/>
      <c r="W26" s="6"/>
      <c r="X26" s="6"/>
    </row>
    <row r="27" spans="1:24" x14ac:dyDescent="0.25">
      <c r="A27" s="107" t="s">
        <v>536</v>
      </c>
      <c r="B27" s="101" t="s">
        <v>573</v>
      </c>
      <c r="C27" s="101"/>
      <c r="D27" s="101"/>
      <c r="E27" s="101"/>
      <c r="F27" s="159"/>
      <c r="G27" s="159" t="s">
        <v>541</v>
      </c>
      <c r="H27" s="159" t="s">
        <v>542</v>
      </c>
      <c r="I27" s="159" t="s">
        <v>543</v>
      </c>
      <c r="J27" s="159" t="s">
        <v>544</v>
      </c>
      <c r="K27" s="159" t="s">
        <v>545</v>
      </c>
      <c r="L27" s="159" t="s">
        <v>546</v>
      </c>
      <c r="M27" s="181" t="s">
        <v>547</v>
      </c>
      <c r="N27" s="159"/>
      <c r="O27" s="159"/>
      <c r="P27" s="159"/>
      <c r="Q27" s="159"/>
      <c r="R27" s="180"/>
      <c r="S27" s="159"/>
      <c r="T27" s="6"/>
      <c r="U27" s="6"/>
      <c r="V27" s="6"/>
      <c r="W27" s="6"/>
      <c r="X27" s="6"/>
    </row>
    <row r="28" spans="1:24" x14ac:dyDescent="0.25">
      <c r="A28" s="107" t="s">
        <v>536</v>
      </c>
      <c r="B28" s="159" t="s">
        <v>561</v>
      </c>
      <c r="C28" s="176" t="s">
        <v>549</v>
      </c>
      <c r="D28" s="176"/>
      <c r="E28" s="176"/>
      <c r="F28" s="176" t="s">
        <v>558</v>
      </c>
      <c r="G28" s="159">
        <v>1.25</v>
      </c>
      <c r="H28" s="159">
        <v>1.25</v>
      </c>
      <c r="I28" s="159">
        <f t="shared" ref="I28:I33" si="4">G28/H28</f>
        <v>1</v>
      </c>
      <c r="J28" s="159">
        <f t="shared" ref="J28:J33" si="5">5*52</f>
        <v>260</v>
      </c>
      <c r="K28" s="159">
        <v>600</v>
      </c>
      <c r="L28" s="159">
        <f t="shared" ref="L28:L33" si="6">I28*J28*K28</f>
        <v>156000</v>
      </c>
      <c r="M28" s="181">
        <f t="shared" ref="M28:M33" si="7">L28/$L$46</f>
        <v>826.82436497326205</v>
      </c>
      <c r="N28" s="181"/>
      <c r="O28" s="181"/>
      <c r="P28" s="181"/>
      <c r="Q28" s="181"/>
      <c r="R28" s="182"/>
      <c r="S28" s="181"/>
      <c r="T28" s="6"/>
      <c r="U28" s="6"/>
      <c r="V28" s="6"/>
      <c r="W28" s="6"/>
      <c r="X28" s="6"/>
    </row>
    <row r="29" spans="1:24" x14ac:dyDescent="0.25">
      <c r="A29" s="107" t="s">
        <v>536</v>
      </c>
      <c r="B29" s="159" t="s">
        <v>562</v>
      </c>
      <c r="C29" s="176" t="s">
        <v>549</v>
      </c>
      <c r="D29" s="176"/>
      <c r="E29" s="176"/>
      <c r="F29" s="176" t="s">
        <v>563</v>
      </c>
      <c r="G29" s="159">
        <v>3</v>
      </c>
      <c r="H29" s="159">
        <v>1.25</v>
      </c>
      <c r="I29" s="159">
        <f t="shared" si="4"/>
        <v>2.4</v>
      </c>
      <c r="J29" s="159">
        <f t="shared" si="5"/>
        <v>260</v>
      </c>
      <c r="K29" s="159">
        <v>600</v>
      </c>
      <c r="L29" s="159">
        <f t="shared" si="6"/>
        <v>374400</v>
      </c>
      <c r="M29" s="181">
        <f t="shared" si="7"/>
        <v>1984.3784759358289</v>
      </c>
      <c r="N29" s="181"/>
      <c r="O29" s="181"/>
      <c r="P29" s="181"/>
      <c r="Q29" s="181"/>
      <c r="R29" s="182"/>
      <c r="S29" s="181"/>
      <c r="T29" s="6"/>
      <c r="U29" s="6"/>
      <c r="V29" s="6"/>
      <c r="W29" s="6"/>
      <c r="X29" s="6"/>
    </row>
    <row r="30" spans="1:24" x14ac:dyDescent="0.25">
      <c r="A30" s="107" t="s">
        <v>536</v>
      </c>
      <c r="B30" s="159" t="s">
        <v>564</v>
      </c>
      <c r="C30" s="176" t="s">
        <v>549</v>
      </c>
      <c r="D30" s="176"/>
      <c r="E30" s="176"/>
      <c r="F30" s="176" t="s">
        <v>565</v>
      </c>
      <c r="G30" s="159">
        <v>3.625</v>
      </c>
      <c r="H30" s="159">
        <v>1.25</v>
      </c>
      <c r="I30" s="159">
        <f t="shared" si="4"/>
        <v>2.9</v>
      </c>
      <c r="J30" s="159">
        <f t="shared" si="5"/>
        <v>260</v>
      </c>
      <c r="K30" s="159">
        <v>600</v>
      </c>
      <c r="L30" s="159">
        <f t="shared" si="6"/>
        <v>452400</v>
      </c>
      <c r="M30" s="181">
        <f t="shared" si="7"/>
        <v>2397.7906584224602</v>
      </c>
      <c r="N30" s="181"/>
      <c r="O30" s="181"/>
      <c r="P30" s="181"/>
      <c r="Q30" s="181"/>
      <c r="R30" s="182"/>
      <c r="S30" s="181"/>
      <c r="T30" s="6"/>
      <c r="U30" s="6"/>
      <c r="V30" s="6"/>
      <c r="W30" s="6"/>
      <c r="X30" s="6"/>
    </row>
    <row r="31" spans="1:24" x14ac:dyDescent="0.25">
      <c r="A31" s="107" t="s">
        <v>536</v>
      </c>
      <c r="B31" s="159" t="s">
        <v>566</v>
      </c>
      <c r="C31" s="176" t="s">
        <v>567</v>
      </c>
      <c r="D31" s="176"/>
      <c r="E31" s="176"/>
      <c r="F31" s="176" t="s">
        <v>568</v>
      </c>
      <c r="G31" s="159">
        <v>3.125</v>
      </c>
      <c r="H31" s="159">
        <v>1.25</v>
      </c>
      <c r="I31" s="159">
        <f t="shared" si="4"/>
        <v>2.5</v>
      </c>
      <c r="J31" s="159">
        <f t="shared" si="5"/>
        <v>260</v>
      </c>
      <c r="K31" s="159">
        <v>600</v>
      </c>
      <c r="L31" s="159">
        <f t="shared" si="6"/>
        <v>390000</v>
      </c>
      <c r="M31" s="181">
        <f t="shared" si="7"/>
        <v>2067.060912433155</v>
      </c>
      <c r="N31" s="181">
        <f>L31/L44</f>
        <v>1.2533422459893048E-2</v>
      </c>
      <c r="O31" s="181">
        <f>N31*164923.9</f>
        <v>2067.060912433155</v>
      </c>
      <c r="P31" s="181"/>
      <c r="Q31" s="181"/>
      <c r="R31" s="182"/>
      <c r="S31" s="181"/>
      <c r="T31" s="6"/>
      <c r="U31" s="6"/>
      <c r="V31" s="6"/>
      <c r="W31" s="6"/>
      <c r="X31" s="6"/>
    </row>
    <row r="32" spans="1:24" x14ac:dyDescent="0.25">
      <c r="A32" s="107" t="s">
        <v>536</v>
      </c>
      <c r="B32" s="159" t="s">
        <v>569</v>
      </c>
      <c r="C32" s="176" t="s">
        <v>549</v>
      </c>
      <c r="D32" s="176"/>
      <c r="E32" s="176"/>
      <c r="F32" s="176" t="s">
        <v>570</v>
      </c>
      <c r="G32" s="159">
        <f>3.25+5.25</f>
        <v>8.5</v>
      </c>
      <c r="H32" s="159">
        <v>1.25</v>
      </c>
      <c r="I32" s="159">
        <f t="shared" si="4"/>
        <v>6.8</v>
      </c>
      <c r="J32" s="159">
        <f t="shared" si="5"/>
        <v>260</v>
      </c>
      <c r="K32" s="159">
        <v>600</v>
      </c>
      <c r="L32" s="159">
        <f t="shared" si="6"/>
        <v>1060800</v>
      </c>
      <c r="M32" s="181">
        <f t="shared" si="7"/>
        <v>5622.4056818181816</v>
      </c>
      <c r="N32" s="181"/>
      <c r="O32" s="181"/>
      <c r="P32" s="181"/>
      <c r="Q32" s="181"/>
      <c r="R32" s="182"/>
      <c r="S32" s="181"/>
      <c r="T32" s="6"/>
      <c r="U32" s="6"/>
      <c r="V32" s="6"/>
      <c r="W32" s="6"/>
      <c r="X32" s="6"/>
    </row>
    <row r="33" spans="1:24" x14ac:dyDescent="0.25">
      <c r="A33" s="107" t="s">
        <v>536</v>
      </c>
      <c r="B33" s="159" t="s">
        <v>571</v>
      </c>
      <c r="C33" s="176" t="s">
        <v>549</v>
      </c>
      <c r="D33" s="176"/>
      <c r="E33" s="176"/>
      <c r="F33" s="176" t="s">
        <v>572</v>
      </c>
      <c r="G33" s="159">
        <v>1.75</v>
      </c>
      <c r="H33" s="159">
        <v>1.25</v>
      </c>
      <c r="I33" s="159">
        <f t="shared" si="4"/>
        <v>1.4</v>
      </c>
      <c r="J33" s="159">
        <f t="shared" si="5"/>
        <v>260</v>
      </c>
      <c r="K33" s="159">
        <v>600</v>
      </c>
      <c r="L33" s="159">
        <f t="shared" si="6"/>
        <v>218400</v>
      </c>
      <c r="M33" s="181">
        <f t="shared" si="7"/>
        <v>1157.5541109625669</v>
      </c>
      <c r="N33" s="181"/>
      <c r="O33" s="181"/>
      <c r="P33" s="181"/>
      <c r="Q33" s="181"/>
      <c r="R33" s="182"/>
      <c r="S33" s="181"/>
      <c r="T33" s="6"/>
      <c r="U33" s="6"/>
      <c r="V33" s="6"/>
      <c r="W33" s="6"/>
      <c r="X33" s="6"/>
    </row>
    <row r="34" spans="1:24" x14ac:dyDescent="0.25">
      <c r="A34" s="107" t="s">
        <v>536</v>
      </c>
      <c r="B34" s="159"/>
      <c r="C34" s="159"/>
      <c r="D34" s="159"/>
      <c r="E34" s="159"/>
      <c r="F34" s="159"/>
      <c r="G34" s="159"/>
      <c r="H34" s="159"/>
      <c r="I34" s="159"/>
      <c r="J34" s="159"/>
      <c r="K34" s="159"/>
      <c r="L34" s="159"/>
      <c r="M34" s="181"/>
      <c r="N34" s="181"/>
      <c r="O34" s="181"/>
      <c r="P34" s="181"/>
      <c r="Q34" s="181"/>
      <c r="R34" s="182"/>
      <c r="S34" s="181"/>
      <c r="T34" s="6"/>
      <c r="U34" s="6"/>
      <c r="V34" s="6"/>
      <c r="W34" s="6"/>
      <c r="X34" s="6"/>
    </row>
    <row r="35" spans="1:24" x14ac:dyDescent="0.25">
      <c r="A35" s="107" t="s">
        <v>536</v>
      </c>
      <c r="B35" s="101" t="s">
        <v>574</v>
      </c>
      <c r="C35" s="101"/>
      <c r="D35" s="101"/>
      <c r="E35" s="101"/>
      <c r="F35" s="159"/>
      <c r="G35" s="159" t="s">
        <v>541</v>
      </c>
      <c r="H35" s="159" t="s">
        <v>542</v>
      </c>
      <c r="I35" s="159" t="s">
        <v>543</v>
      </c>
      <c r="J35" s="159" t="s">
        <v>544</v>
      </c>
      <c r="K35" s="159" t="s">
        <v>545</v>
      </c>
      <c r="L35" s="159" t="s">
        <v>546</v>
      </c>
      <c r="M35" s="181" t="s">
        <v>547</v>
      </c>
      <c r="N35" s="159"/>
      <c r="O35" s="159"/>
      <c r="P35" s="159"/>
      <c r="Q35" s="159"/>
      <c r="R35" s="180"/>
      <c r="S35" s="159"/>
      <c r="T35" s="6"/>
      <c r="U35" s="6"/>
      <c r="V35" s="6"/>
      <c r="W35" s="6"/>
      <c r="X35" s="6"/>
    </row>
    <row r="36" spans="1:24" x14ac:dyDescent="0.25">
      <c r="A36" s="107" t="s">
        <v>536</v>
      </c>
      <c r="B36" s="159" t="s">
        <v>571</v>
      </c>
      <c r="C36" s="176" t="s">
        <v>549</v>
      </c>
      <c r="D36" s="176"/>
      <c r="E36" s="176"/>
      <c r="F36" s="176" t="s">
        <v>572</v>
      </c>
      <c r="G36" s="159">
        <v>5.5</v>
      </c>
      <c r="H36" s="159">
        <v>1.25</v>
      </c>
      <c r="I36" s="159">
        <f>G36/H36</f>
        <v>4.4000000000000004</v>
      </c>
      <c r="J36" s="159">
        <v>52</v>
      </c>
      <c r="K36" s="159">
        <v>600</v>
      </c>
      <c r="L36" s="159">
        <f>I36*J36*K36</f>
        <v>137280</v>
      </c>
      <c r="M36" s="181">
        <f>L36/$L$46</f>
        <v>727.60544117647066</v>
      </c>
      <c r="N36" s="181"/>
      <c r="O36" s="181"/>
      <c r="P36" s="181"/>
      <c r="Q36" s="181"/>
      <c r="R36" s="182"/>
      <c r="S36" s="181"/>
      <c r="T36" s="6"/>
      <c r="U36" s="6"/>
      <c r="V36" s="6"/>
      <c r="W36" s="6"/>
      <c r="X36" s="6"/>
    </row>
    <row r="37" spans="1:24" x14ac:dyDescent="0.25">
      <c r="A37" s="107" t="s">
        <v>536</v>
      </c>
      <c r="B37" s="159" t="s">
        <v>575</v>
      </c>
      <c r="C37" s="176" t="s">
        <v>549</v>
      </c>
      <c r="D37" s="176"/>
      <c r="E37" s="176"/>
      <c r="F37" s="176" t="s">
        <v>576</v>
      </c>
      <c r="G37" s="159">
        <v>9.5</v>
      </c>
      <c r="H37" s="159">
        <v>1.25</v>
      </c>
      <c r="I37" s="159">
        <f>G37/H37</f>
        <v>7.6</v>
      </c>
      <c r="J37" s="159">
        <v>52</v>
      </c>
      <c r="K37" s="159">
        <v>600</v>
      </c>
      <c r="L37" s="159">
        <f>I37*J37*K37</f>
        <v>237120</v>
      </c>
      <c r="M37" s="181">
        <f>L37/$L$46</f>
        <v>1256.7730347593583</v>
      </c>
      <c r="N37" s="181"/>
      <c r="O37" s="181"/>
      <c r="P37" s="181"/>
      <c r="Q37" s="181"/>
      <c r="R37" s="182"/>
      <c r="S37" s="181"/>
      <c r="T37" s="6"/>
      <c r="U37" s="6"/>
      <c r="V37" s="6"/>
      <c r="W37" s="6"/>
      <c r="X37" s="6"/>
    </row>
    <row r="38" spans="1:24" x14ac:dyDescent="0.25">
      <c r="A38" s="107" t="s">
        <v>536</v>
      </c>
      <c r="B38" s="159"/>
      <c r="C38" s="159"/>
      <c r="D38" s="159"/>
      <c r="E38" s="159"/>
      <c r="F38" s="159"/>
      <c r="G38" s="159"/>
      <c r="H38" s="159"/>
      <c r="I38" s="159">
        <f>SUM(I36:I37)</f>
        <v>12</v>
      </c>
      <c r="J38" s="159"/>
      <c r="K38" s="159"/>
      <c r="L38" s="159"/>
      <c r="M38" s="181"/>
      <c r="N38" s="181"/>
      <c r="O38" s="181"/>
      <c r="P38" s="181"/>
      <c r="Q38" s="181"/>
      <c r="R38" s="182"/>
      <c r="S38" s="181"/>
      <c r="T38" s="6"/>
      <c r="U38" s="6"/>
      <c r="V38" s="6"/>
      <c r="W38" s="6"/>
      <c r="X38" s="6"/>
    </row>
    <row r="39" spans="1:24" x14ac:dyDescent="0.25">
      <c r="A39" s="107" t="s">
        <v>536</v>
      </c>
      <c r="B39" s="159"/>
      <c r="C39" s="159"/>
      <c r="D39" s="159"/>
      <c r="E39" s="159"/>
      <c r="F39" s="159"/>
      <c r="G39" s="159"/>
      <c r="H39" s="159"/>
      <c r="I39" s="159"/>
      <c r="J39" s="159"/>
      <c r="K39" s="159"/>
      <c r="L39" s="159"/>
      <c r="M39" s="181"/>
      <c r="N39" s="181"/>
      <c r="O39" s="181"/>
      <c r="P39" s="181"/>
      <c r="Q39" s="181"/>
      <c r="R39" s="182"/>
      <c r="S39" s="181"/>
      <c r="T39" s="6"/>
      <c r="U39" s="6"/>
      <c r="V39" s="6"/>
      <c r="W39" s="6"/>
      <c r="X39" s="6"/>
    </row>
    <row r="40" spans="1:24" x14ac:dyDescent="0.25">
      <c r="A40" s="107" t="s">
        <v>536</v>
      </c>
      <c r="B40" s="159"/>
      <c r="C40" s="159"/>
      <c r="D40" s="159"/>
      <c r="E40" s="159"/>
      <c r="F40" s="159"/>
      <c r="G40" s="159"/>
      <c r="H40" s="159"/>
      <c r="I40" s="159"/>
      <c r="J40" s="159"/>
      <c r="K40" s="159"/>
      <c r="L40" s="159"/>
      <c r="M40" s="181"/>
      <c r="N40" s="181"/>
      <c r="O40" s="181"/>
      <c r="P40" s="181"/>
      <c r="Q40" s="181"/>
      <c r="R40" s="182"/>
      <c r="S40" s="181"/>
      <c r="T40" s="6"/>
      <c r="U40" s="6"/>
      <c r="V40" s="6"/>
      <c r="W40" s="6"/>
      <c r="X40" s="6"/>
    </row>
    <row r="41" spans="1:24" x14ac:dyDescent="0.25">
      <c r="A41" s="107" t="s">
        <v>536</v>
      </c>
      <c r="B41" s="101" t="s">
        <v>577</v>
      </c>
      <c r="C41" s="101"/>
      <c r="D41" s="101"/>
      <c r="E41" s="101"/>
      <c r="F41" s="159"/>
      <c r="G41" s="159" t="s">
        <v>541</v>
      </c>
      <c r="H41" s="159" t="s">
        <v>542</v>
      </c>
      <c r="I41" s="159" t="s">
        <v>543</v>
      </c>
      <c r="J41" s="159" t="s">
        <v>544</v>
      </c>
      <c r="K41" s="159" t="s">
        <v>545</v>
      </c>
      <c r="L41" s="159" t="s">
        <v>546</v>
      </c>
      <c r="M41" s="181" t="s">
        <v>547</v>
      </c>
      <c r="N41" s="159"/>
      <c r="O41" s="159"/>
      <c r="P41" s="159"/>
      <c r="Q41" s="159"/>
      <c r="R41" s="180"/>
      <c r="S41" s="159"/>
      <c r="T41" s="6"/>
      <c r="U41" s="6"/>
      <c r="V41" s="6"/>
      <c r="W41" s="6"/>
      <c r="X41" s="6"/>
    </row>
    <row r="42" spans="1:24" x14ac:dyDescent="0.25">
      <c r="A42" s="107" t="s">
        <v>536</v>
      </c>
      <c r="B42" s="159" t="s">
        <v>571</v>
      </c>
      <c r="C42" s="176" t="s">
        <v>549</v>
      </c>
      <c r="D42" s="176"/>
      <c r="E42" s="176"/>
      <c r="F42" s="176" t="s">
        <v>572</v>
      </c>
      <c r="G42" s="159">
        <v>5.5</v>
      </c>
      <c r="H42" s="159">
        <v>1.25</v>
      </c>
      <c r="I42" s="159">
        <f>G42/H42</f>
        <v>4.4000000000000004</v>
      </c>
      <c r="J42" s="159">
        <v>52</v>
      </c>
      <c r="K42" s="159">
        <v>2600</v>
      </c>
      <c r="L42" s="159">
        <f>I42*J42*K42</f>
        <v>594880</v>
      </c>
      <c r="M42" s="181">
        <f>L42/$L$46</f>
        <v>3152.9569117647061</v>
      </c>
      <c r="N42" s="181"/>
      <c r="O42" s="181"/>
      <c r="P42" s="181"/>
      <c r="Q42" s="181"/>
      <c r="R42" s="182"/>
      <c r="S42" s="181"/>
      <c r="T42" s="6"/>
      <c r="U42" s="6"/>
      <c r="V42" s="6"/>
      <c r="W42" s="6"/>
      <c r="X42" s="6"/>
    </row>
    <row r="43" spans="1:24" x14ac:dyDescent="0.25">
      <c r="A43" s="107" t="s">
        <v>536</v>
      </c>
      <c r="B43" s="159" t="s">
        <v>575</v>
      </c>
      <c r="C43" s="176" t="s">
        <v>549</v>
      </c>
      <c r="D43" s="176"/>
      <c r="E43" s="176"/>
      <c r="F43" s="176" t="s">
        <v>576</v>
      </c>
      <c r="G43" s="159">
        <v>9.5</v>
      </c>
      <c r="H43" s="159">
        <v>1.25</v>
      </c>
      <c r="I43" s="159">
        <f>G43/H43</f>
        <v>7.6</v>
      </c>
      <c r="J43" s="159">
        <v>52</v>
      </c>
      <c r="K43" s="159">
        <v>2600</v>
      </c>
      <c r="L43" s="159">
        <f>I43*J43*K43</f>
        <v>1027520</v>
      </c>
      <c r="M43" s="181">
        <f>L43/$L$46</f>
        <v>5446.0164839572199</v>
      </c>
      <c r="N43" s="181"/>
      <c r="O43" s="181"/>
      <c r="P43" s="181"/>
      <c r="Q43" s="181"/>
      <c r="R43" s="182"/>
      <c r="S43" s="181"/>
      <c r="T43" s="6"/>
      <c r="U43" s="6"/>
      <c r="V43" s="6"/>
      <c r="W43" s="6"/>
      <c r="X43" s="6"/>
    </row>
    <row r="44" spans="1:24" x14ac:dyDescent="0.25">
      <c r="A44" s="107" t="s">
        <v>536</v>
      </c>
      <c r="B44" s="159"/>
      <c r="C44" s="159"/>
      <c r="D44" s="159"/>
      <c r="E44" s="159"/>
      <c r="F44" s="159"/>
      <c r="G44" s="159"/>
      <c r="H44" s="159"/>
      <c r="I44" s="159">
        <f>SUM(I42:I43)</f>
        <v>12</v>
      </c>
      <c r="J44" s="159"/>
      <c r="K44" s="159" t="s">
        <v>578</v>
      </c>
      <c r="L44" s="159">
        <f>SUM(L6:L43)</f>
        <v>31116800</v>
      </c>
      <c r="M44" s="181">
        <f>SUM(M6:M43)</f>
        <v>164923.90000000002</v>
      </c>
      <c r="N44" s="181">
        <f>1-N31</f>
        <v>0.98746657754010692</v>
      </c>
      <c r="O44" s="181">
        <f>N44*164923.9</f>
        <v>162856.83908756683</v>
      </c>
      <c r="P44" s="181"/>
      <c r="Q44" s="181"/>
      <c r="R44" s="182"/>
      <c r="S44" s="181"/>
      <c r="T44" s="6"/>
      <c r="U44" s="6"/>
      <c r="V44" s="6"/>
      <c r="W44" s="6"/>
      <c r="X44" s="6"/>
    </row>
    <row r="45" spans="1:24" x14ac:dyDescent="0.25">
      <c r="A45" s="107" t="s">
        <v>536</v>
      </c>
      <c r="B45" s="159"/>
      <c r="C45" s="159"/>
      <c r="D45" s="159"/>
      <c r="E45" s="159"/>
      <c r="F45" s="159"/>
      <c r="G45" s="159"/>
      <c r="H45" s="159"/>
      <c r="I45" s="159"/>
      <c r="J45" s="159"/>
      <c r="K45" s="159" t="s">
        <v>580</v>
      </c>
      <c r="L45" s="159">
        <v>164923.9</v>
      </c>
      <c r="M45" s="181" t="s">
        <v>581</v>
      </c>
      <c r="N45" s="181"/>
      <c r="O45" s="181"/>
      <c r="P45" s="181"/>
      <c r="Q45" s="181"/>
      <c r="R45" s="182"/>
      <c r="S45" s="181"/>
      <c r="T45" s="6"/>
      <c r="U45" s="6"/>
      <c r="V45" s="6"/>
      <c r="W45" s="6"/>
      <c r="X45" s="6"/>
    </row>
    <row r="46" spans="1:24" x14ac:dyDescent="0.25">
      <c r="A46" s="107" t="s">
        <v>536</v>
      </c>
      <c r="B46" s="159"/>
      <c r="C46" s="159"/>
      <c r="D46" s="159"/>
      <c r="E46" s="159"/>
      <c r="F46" s="159"/>
      <c r="G46" s="159"/>
      <c r="H46" s="159"/>
      <c r="I46" s="159"/>
      <c r="J46" s="159" t="s">
        <v>582</v>
      </c>
      <c r="K46" s="159" t="s">
        <v>583</v>
      </c>
      <c r="L46" s="159">
        <f>L44/L45</f>
        <v>188.67368525726107</v>
      </c>
      <c r="M46" s="181" t="s">
        <v>584</v>
      </c>
      <c r="N46" s="181"/>
      <c r="O46" s="181">
        <f>SUM(O31:O45)</f>
        <v>164923.9</v>
      </c>
      <c r="P46" s="181"/>
      <c r="Q46" s="181"/>
      <c r="R46" s="182"/>
      <c r="S46" s="181"/>
      <c r="T46" s="6"/>
      <c r="U46" s="6"/>
      <c r="V46" s="6"/>
      <c r="W46" s="6"/>
      <c r="X46" s="6"/>
    </row>
    <row r="47" spans="1:24" ht="15.75" thickBot="1" x14ac:dyDescent="0.3">
      <c r="A47" s="183" t="s">
        <v>585</v>
      </c>
      <c r="B47" s="183"/>
      <c r="C47" s="183"/>
      <c r="D47" s="183"/>
      <c r="E47" s="183"/>
      <c r="F47" s="183"/>
      <c r="G47" s="183"/>
      <c r="H47" s="183"/>
      <c r="I47" s="183"/>
      <c r="J47" s="183"/>
      <c r="K47" s="183"/>
      <c r="L47" s="183"/>
      <c r="M47" s="184"/>
      <c r="N47" s="184"/>
      <c r="O47" s="184"/>
      <c r="P47" s="184"/>
      <c r="Q47" s="184"/>
      <c r="R47" s="185"/>
      <c r="S47" s="181"/>
      <c r="T47" s="6"/>
      <c r="U47" s="6"/>
      <c r="V47" s="6"/>
      <c r="W47" s="6"/>
      <c r="X47" s="6"/>
    </row>
    <row r="48" spans="1:24" x14ac:dyDescent="0.25">
      <c r="A48" s="186" t="s">
        <v>586</v>
      </c>
      <c r="B48" s="187" t="s">
        <v>586</v>
      </c>
      <c r="C48" s="187"/>
      <c r="D48" s="187"/>
      <c r="E48" s="187"/>
      <c r="F48" s="162"/>
      <c r="G48" s="162"/>
      <c r="H48" s="162">
        <f>3/8</f>
        <v>0.375</v>
      </c>
      <c r="I48" s="162"/>
      <c r="J48" s="162"/>
      <c r="K48" s="162"/>
      <c r="L48" s="162"/>
      <c r="M48" s="188"/>
      <c r="N48" s="188"/>
      <c r="O48" s="188"/>
      <c r="P48" s="188"/>
      <c r="Q48" s="188"/>
      <c r="R48" s="189"/>
      <c r="S48" s="103"/>
      <c r="T48" s="6"/>
      <c r="U48" s="6"/>
      <c r="V48" s="6"/>
      <c r="W48" s="6"/>
      <c r="X48" s="6"/>
    </row>
    <row r="49" spans="1:24" x14ac:dyDescent="0.25">
      <c r="A49" s="190" t="s">
        <v>586</v>
      </c>
      <c r="B49" s="101" t="s">
        <v>588</v>
      </c>
      <c r="C49" s="101"/>
      <c r="D49" s="101"/>
      <c r="E49" s="101"/>
      <c r="F49" s="30"/>
      <c r="G49" s="30" t="s">
        <v>541</v>
      </c>
      <c r="H49" s="30" t="s">
        <v>542</v>
      </c>
      <c r="I49" s="30" t="s">
        <v>543</v>
      </c>
      <c r="J49" s="30" t="s">
        <v>544</v>
      </c>
      <c r="K49" s="30" t="s">
        <v>545</v>
      </c>
      <c r="L49" s="30" t="s">
        <v>546</v>
      </c>
      <c r="M49" s="103" t="s">
        <v>547</v>
      </c>
      <c r="N49" s="30"/>
      <c r="O49" s="30"/>
      <c r="P49" s="30"/>
      <c r="Q49" s="30"/>
      <c r="R49" s="180"/>
      <c r="S49" s="30"/>
      <c r="T49" s="6"/>
      <c r="U49" s="6"/>
      <c r="V49" s="6"/>
      <c r="W49" s="6"/>
      <c r="X49" s="6"/>
    </row>
    <row r="50" spans="1:24" x14ac:dyDescent="0.25">
      <c r="A50" s="190" t="s">
        <v>586</v>
      </c>
      <c r="B50" s="30" t="s">
        <v>87</v>
      </c>
      <c r="C50" s="150" t="s">
        <v>38</v>
      </c>
      <c r="D50" s="150"/>
      <c r="E50" s="150">
        <v>1.3333333333333333</v>
      </c>
      <c r="F50" s="150">
        <f>E50/E60*10915</f>
        <v>297.17526942711282</v>
      </c>
      <c r="G50" s="30">
        <v>2</v>
      </c>
      <c r="H50" s="30">
        <v>1.5</v>
      </c>
      <c r="I50" s="30">
        <f>G50/H50</f>
        <v>1.3333333333333333</v>
      </c>
      <c r="J50" s="30">
        <f>4*52</f>
        <v>208</v>
      </c>
      <c r="K50" s="30">
        <f>4*30</f>
        <v>120</v>
      </c>
      <c r="L50" s="30">
        <f>I50*J50*K50</f>
        <v>33280</v>
      </c>
      <c r="M50" s="184">
        <f>L50/L59</f>
        <v>6.1844802342606142E-2</v>
      </c>
      <c r="N50" s="103">
        <f>10915</f>
        <v>10915</v>
      </c>
      <c r="O50" s="103">
        <f>N50*M50</f>
        <v>675.03601756954606</v>
      </c>
      <c r="P50" s="103"/>
      <c r="Q50" s="103"/>
      <c r="R50" s="182"/>
      <c r="S50" s="103"/>
      <c r="T50" s="6"/>
      <c r="U50" s="6"/>
      <c r="V50" s="6"/>
      <c r="W50" s="6"/>
      <c r="X50" s="6"/>
    </row>
    <row r="51" spans="1:24" x14ac:dyDescent="0.25">
      <c r="A51" s="190" t="s">
        <v>586</v>
      </c>
      <c r="B51" s="30" t="s">
        <v>120</v>
      </c>
      <c r="C51" s="150" t="s">
        <v>37</v>
      </c>
      <c r="D51" s="150"/>
      <c r="E51" s="150">
        <v>29.888888888888893</v>
      </c>
      <c r="F51" s="150">
        <f>E51/E60*10915</f>
        <v>6661.6789563244465</v>
      </c>
      <c r="G51" s="30">
        <v>4.75</v>
      </c>
      <c r="H51" s="30">
        <v>1.125</v>
      </c>
      <c r="I51" s="30">
        <f>G51/H51</f>
        <v>4.2222222222222223</v>
      </c>
      <c r="J51" s="30">
        <f>4*52</f>
        <v>208</v>
      </c>
      <c r="K51" s="30">
        <f>4*30</f>
        <v>120</v>
      </c>
      <c r="L51" s="30">
        <f>I51*J51*K51</f>
        <v>105386.66666666667</v>
      </c>
      <c r="M51" s="184">
        <f>L51/L59</f>
        <v>0.19584187408491946</v>
      </c>
      <c r="N51" s="181">
        <f>10915</f>
        <v>10915</v>
      </c>
      <c r="O51" s="103">
        <f>N51*M51</f>
        <v>2137.614055636896</v>
      </c>
      <c r="P51" s="103"/>
      <c r="Q51" s="103"/>
      <c r="R51" s="182"/>
      <c r="S51" s="103"/>
      <c r="T51" s="6"/>
      <c r="U51" s="6"/>
      <c r="V51" s="6"/>
      <c r="W51" s="6"/>
      <c r="X51" s="6"/>
    </row>
    <row r="52" spans="1:24" x14ac:dyDescent="0.25">
      <c r="A52" s="190" t="s">
        <v>586</v>
      </c>
      <c r="B52" s="30"/>
      <c r="C52" s="30"/>
      <c r="D52" s="30"/>
      <c r="E52" s="30">
        <f>SUM(E50:E51)</f>
        <v>31.222222222222225</v>
      </c>
      <c r="F52" s="30"/>
      <c r="G52" s="30"/>
      <c r="H52" s="30"/>
      <c r="I52" s="30"/>
      <c r="J52" s="30"/>
      <c r="K52" s="30"/>
      <c r="L52" s="30"/>
      <c r="M52" s="103"/>
      <c r="N52" s="103"/>
      <c r="O52" s="103"/>
      <c r="P52" s="103"/>
      <c r="Q52" s="103"/>
      <c r="R52" s="182"/>
      <c r="S52" s="103"/>
      <c r="T52" s="6"/>
      <c r="U52" s="6"/>
      <c r="V52" s="6"/>
      <c r="W52" s="6"/>
      <c r="X52" s="6"/>
    </row>
    <row r="53" spans="1:24" x14ac:dyDescent="0.25">
      <c r="A53" s="190" t="s">
        <v>586</v>
      </c>
      <c r="B53" s="30" t="s">
        <v>589</v>
      </c>
      <c r="C53" s="30"/>
      <c r="D53" s="30"/>
      <c r="E53" s="30"/>
      <c r="F53" s="30"/>
      <c r="G53" s="30"/>
      <c r="H53" s="30"/>
      <c r="I53" s="30"/>
      <c r="J53" s="30"/>
      <c r="K53" s="30"/>
      <c r="L53" s="30"/>
      <c r="M53" s="103"/>
      <c r="N53" s="103"/>
      <c r="O53" s="103"/>
      <c r="P53" s="103"/>
      <c r="Q53" s="103"/>
      <c r="R53" s="182"/>
      <c r="S53" s="103"/>
      <c r="T53" s="6"/>
      <c r="U53" s="6"/>
      <c r="V53" s="6"/>
      <c r="W53" s="6"/>
      <c r="X53" s="6"/>
    </row>
    <row r="54" spans="1:24" x14ac:dyDescent="0.25">
      <c r="A54" s="190" t="s">
        <v>586</v>
      </c>
      <c r="B54" s="30"/>
      <c r="C54" s="30"/>
      <c r="D54" s="30"/>
      <c r="E54" s="30"/>
      <c r="F54" s="30"/>
      <c r="G54" s="30"/>
      <c r="H54" s="30"/>
      <c r="I54" s="30"/>
      <c r="J54" s="30"/>
      <c r="K54" s="30"/>
      <c r="L54" s="30"/>
      <c r="M54" s="103"/>
      <c r="N54" s="103"/>
      <c r="O54" s="103"/>
      <c r="P54" s="103"/>
      <c r="Q54" s="103"/>
      <c r="R54" s="182"/>
      <c r="S54" s="103"/>
      <c r="T54" s="6"/>
      <c r="U54" s="6"/>
      <c r="V54" s="6"/>
      <c r="W54" s="6"/>
      <c r="X54" s="6"/>
    </row>
    <row r="55" spans="1:24" x14ac:dyDescent="0.25">
      <c r="A55" s="190" t="s">
        <v>586</v>
      </c>
      <c r="B55" s="101" t="s">
        <v>590</v>
      </c>
      <c r="C55" s="101"/>
      <c r="D55" s="101"/>
      <c r="E55" s="101"/>
      <c r="F55" s="30"/>
      <c r="G55" s="30" t="s">
        <v>541</v>
      </c>
      <c r="H55" s="30" t="s">
        <v>542</v>
      </c>
      <c r="I55" s="30" t="s">
        <v>543</v>
      </c>
      <c r="J55" s="30" t="s">
        <v>544</v>
      </c>
      <c r="K55" s="30" t="s">
        <v>545</v>
      </c>
      <c r="L55" s="30" t="s">
        <v>546</v>
      </c>
      <c r="M55" s="103" t="s">
        <v>547</v>
      </c>
      <c r="N55" s="30"/>
      <c r="O55" s="30"/>
      <c r="P55" s="30"/>
      <c r="Q55" s="30"/>
      <c r="R55" s="180"/>
      <c r="S55" s="30"/>
      <c r="T55" s="6"/>
      <c r="U55" s="6"/>
      <c r="V55" s="6"/>
      <c r="W55" s="6"/>
      <c r="X55" s="6"/>
    </row>
    <row r="56" spans="1:24" x14ac:dyDescent="0.25">
      <c r="A56" s="190"/>
      <c r="B56" s="30"/>
      <c r="C56" s="150"/>
      <c r="D56" s="150"/>
      <c r="E56" s="150"/>
      <c r="F56" s="150"/>
      <c r="G56" s="30"/>
      <c r="H56" s="30"/>
      <c r="I56" s="30"/>
      <c r="J56" s="30"/>
      <c r="K56" s="30"/>
      <c r="L56" s="30"/>
      <c r="M56" s="184"/>
      <c r="N56" s="103"/>
      <c r="O56" s="103"/>
      <c r="P56" s="103"/>
      <c r="Q56" s="103"/>
      <c r="R56" s="182"/>
      <c r="S56" s="103"/>
      <c r="T56" s="6"/>
      <c r="U56" s="6"/>
      <c r="V56" s="6"/>
      <c r="W56" s="6"/>
      <c r="X56" s="6"/>
    </row>
    <row r="57" spans="1:24" x14ac:dyDescent="0.25">
      <c r="A57" s="190" t="s">
        <v>586</v>
      </c>
      <c r="B57" s="30" t="s">
        <v>123</v>
      </c>
      <c r="C57" s="150" t="s">
        <v>41</v>
      </c>
      <c r="E57" s="150">
        <v>4</v>
      </c>
      <c r="F57" s="150">
        <f>E57/E60*10915</f>
        <v>891.52580828133853</v>
      </c>
      <c r="G57" s="30">
        <v>4</v>
      </c>
      <c r="H57" s="30">
        <v>1.375</v>
      </c>
      <c r="I57" s="30">
        <f>G57/H57</f>
        <v>2.9090909090909092</v>
      </c>
      <c r="J57" s="30">
        <f>2*52</f>
        <v>104</v>
      </c>
      <c r="K57" s="30">
        <f>5*130</f>
        <v>650</v>
      </c>
      <c r="L57" s="30">
        <f>I57*J57*K57</f>
        <v>196654.54545454547</v>
      </c>
      <c r="M57" s="184">
        <f>L57/L59</f>
        <v>0.36544655929721814</v>
      </c>
      <c r="N57" s="181">
        <f>10915</f>
        <v>10915</v>
      </c>
      <c r="O57" s="103">
        <f>N57*M57</f>
        <v>3988.8491947291359</v>
      </c>
      <c r="P57" s="103"/>
      <c r="Q57" s="103"/>
      <c r="R57" s="182"/>
      <c r="S57" s="103"/>
      <c r="T57" s="6"/>
      <c r="U57" s="6"/>
      <c r="V57" s="6"/>
      <c r="W57" s="6"/>
      <c r="X57" s="6"/>
    </row>
    <row r="58" spans="1:24" x14ac:dyDescent="0.25">
      <c r="A58" s="190" t="s">
        <v>586</v>
      </c>
      <c r="B58" s="30" t="s">
        <v>130</v>
      </c>
      <c r="C58" s="150" t="s">
        <v>46</v>
      </c>
      <c r="E58" s="150">
        <v>13.75</v>
      </c>
      <c r="F58" s="150">
        <f>E58/E60*10915</f>
        <v>3064.6199659671011</v>
      </c>
      <c r="G58" s="30">
        <v>3</v>
      </c>
      <c r="H58" s="30">
        <v>1</v>
      </c>
      <c r="I58" s="30">
        <f>G58/H58</f>
        <v>3</v>
      </c>
      <c r="J58" s="30">
        <f>2*52</f>
        <v>104</v>
      </c>
      <c r="K58" s="30">
        <f>5*130</f>
        <v>650</v>
      </c>
      <c r="L58" s="30">
        <f>I58*J58*K58</f>
        <v>202800</v>
      </c>
      <c r="M58" s="184">
        <f>L58/L59</f>
        <v>0.37686676427525617</v>
      </c>
      <c r="N58" s="181">
        <f>10915</f>
        <v>10915</v>
      </c>
      <c r="O58" s="103">
        <f>N58*M58</f>
        <v>4113.5007320644208</v>
      </c>
      <c r="P58" s="103"/>
      <c r="Q58" s="103"/>
      <c r="R58" s="182"/>
      <c r="S58" s="103"/>
      <c r="T58" s="6"/>
      <c r="U58" s="6"/>
      <c r="V58" s="6"/>
      <c r="W58" s="6"/>
      <c r="X58" s="6"/>
    </row>
    <row r="59" spans="1:24" x14ac:dyDescent="0.25">
      <c r="A59" s="190"/>
      <c r="B59" s="30"/>
      <c r="C59" s="150"/>
      <c r="D59" s="150"/>
      <c r="E59" s="150">
        <f>SUM(E57:E58)</f>
        <v>17.75</v>
      </c>
      <c r="F59" s="150">
        <f>SUM(F50:F58)</f>
        <v>10915</v>
      </c>
      <c r="G59" s="30"/>
      <c r="H59" s="30"/>
      <c r="I59" s="30"/>
      <c r="J59" s="30"/>
      <c r="K59" s="30"/>
      <c r="L59" s="30">
        <f>SUM(L50:L58)</f>
        <v>538121.21212121216</v>
      </c>
      <c r="M59" s="184"/>
      <c r="N59" s="103"/>
      <c r="O59" s="103">
        <f>SUM(O50:O58)</f>
        <v>10915</v>
      </c>
      <c r="P59" s="103"/>
      <c r="Q59" s="103"/>
      <c r="R59" s="182"/>
      <c r="S59" s="103"/>
      <c r="T59" s="6"/>
      <c r="U59" s="6"/>
      <c r="V59" s="6"/>
      <c r="W59" s="6"/>
      <c r="X59" s="6"/>
    </row>
    <row r="60" spans="1:24" x14ac:dyDescent="0.25">
      <c r="A60" s="190"/>
      <c r="B60" s="30"/>
      <c r="C60" s="150"/>
      <c r="D60" s="150"/>
      <c r="E60" s="150">
        <f>E59+E52</f>
        <v>48.972222222222229</v>
      </c>
      <c r="F60" s="150"/>
      <c r="G60" s="30"/>
      <c r="H60" s="30"/>
      <c r="I60" s="30"/>
      <c r="J60" s="30"/>
      <c r="K60" s="30"/>
      <c r="L60" s="30"/>
      <c r="M60" s="184"/>
      <c r="N60" s="103"/>
      <c r="O60" s="103"/>
      <c r="P60" s="103"/>
      <c r="Q60" s="103"/>
      <c r="R60" s="182"/>
      <c r="S60" s="103"/>
      <c r="T60" s="6"/>
      <c r="U60" s="6"/>
      <c r="V60" s="6"/>
      <c r="W60" s="6"/>
      <c r="X60" s="6"/>
    </row>
    <row r="61" spans="1:24" x14ac:dyDescent="0.25">
      <c r="A61" s="190"/>
      <c r="B61" s="30"/>
      <c r="C61" s="150"/>
      <c r="D61" s="150"/>
      <c r="E61" s="150"/>
      <c r="F61" s="150"/>
      <c r="G61" s="30"/>
      <c r="H61" s="30"/>
      <c r="I61" s="30"/>
      <c r="J61" s="30"/>
      <c r="K61" s="30"/>
      <c r="L61" s="30"/>
      <c r="M61" s="184"/>
      <c r="N61" s="103"/>
      <c r="O61" s="103"/>
      <c r="P61" s="103"/>
      <c r="Q61" s="103"/>
      <c r="R61" s="182"/>
      <c r="S61" s="103"/>
      <c r="T61" s="6"/>
      <c r="U61" s="6"/>
      <c r="V61" s="6"/>
      <c r="W61" s="6"/>
      <c r="X61" s="6"/>
    </row>
    <row r="62" spans="1:24" x14ac:dyDescent="0.25">
      <c r="A62" s="190"/>
      <c r="B62" s="30"/>
      <c r="C62" s="150"/>
      <c r="D62" s="150"/>
      <c r="E62" s="150"/>
      <c r="F62" s="150"/>
      <c r="G62" s="30"/>
      <c r="H62" s="30"/>
      <c r="I62" s="30"/>
      <c r="J62" s="30"/>
      <c r="K62" s="30"/>
      <c r="L62" s="30"/>
      <c r="M62" s="184"/>
      <c r="N62" s="103"/>
      <c r="O62" s="103"/>
      <c r="P62" s="103"/>
      <c r="Q62" s="103"/>
      <c r="R62" s="182"/>
      <c r="S62" s="103"/>
      <c r="T62" s="6"/>
      <c r="U62" s="6"/>
      <c r="V62" s="6"/>
      <c r="W62" s="6"/>
      <c r="X62" s="6"/>
    </row>
    <row r="63" spans="1:24" x14ac:dyDescent="0.25">
      <c r="A63" s="190"/>
      <c r="B63" s="30"/>
      <c r="C63" s="150"/>
      <c r="D63" s="150"/>
      <c r="E63" s="150"/>
      <c r="F63" s="150"/>
      <c r="G63" s="30"/>
      <c r="H63" s="30"/>
      <c r="I63" s="30"/>
      <c r="J63" s="30"/>
      <c r="K63" s="30"/>
      <c r="L63" s="30"/>
      <c r="M63" s="184"/>
      <c r="N63" s="103"/>
      <c r="O63" s="103"/>
      <c r="P63" s="103"/>
      <c r="Q63" s="103"/>
      <c r="R63" s="182"/>
      <c r="S63" s="103"/>
      <c r="T63" s="6"/>
      <c r="U63" s="6"/>
      <c r="V63" s="6"/>
      <c r="W63" s="6"/>
      <c r="X63" s="6"/>
    </row>
    <row r="64" spans="1:24" x14ac:dyDescent="0.25">
      <c r="A64" s="190"/>
      <c r="B64" s="30"/>
      <c r="C64" s="30"/>
      <c r="D64" s="30"/>
      <c r="E64" s="30"/>
      <c r="F64" s="30"/>
      <c r="G64" s="30"/>
      <c r="H64" s="30"/>
      <c r="I64" s="101"/>
      <c r="J64" s="30"/>
      <c r="K64" s="30"/>
      <c r="L64" s="30"/>
      <c r="M64" s="103"/>
      <c r="N64" s="103"/>
      <c r="O64" s="103"/>
      <c r="P64" s="103"/>
      <c r="Q64" s="103"/>
      <c r="R64" s="182"/>
      <c r="S64" s="103"/>
      <c r="T64" s="6"/>
      <c r="U64" s="6"/>
      <c r="V64" s="6"/>
      <c r="W64" s="6"/>
      <c r="X64" s="6"/>
    </row>
    <row r="65" spans="1:24" x14ac:dyDescent="0.25">
      <c r="A65" s="190"/>
      <c r="B65" s="101"/>
      <c r="C65" s="101"/>
      <c r="D65" s="101"/>
      <c r="E65" s="101"/>
      <c r="F65" s="30"/>
      <c r="G65" s="30"/>
      <c r="H65" s="30"/>
      <c r="I65" s="30"/>
      <c r="J65" s="30"/>
      <c r="K65" s="30"/>
      <c r="L65" s="30"/>
      <c r="M65" s="103"/>
      <c r="N65" s="30"/>
      <c r="O65" s="30"/>
      <c r="P65" s="30"/>
      <c r="Q65" s="30"/>
      <c r="R65" s="180"/>
      <c r="S65" s="30"/>
      <c r="T65" s="6"/>
      <c r="U65" s="6"/>
      <c r="V65" s="6"/>
      <c r="W65" s="6"/>
      <c r="X65" s="6"/>
    </row>
    <row r="66" spans="1:24" x14ac:dyDescent="0.25">
      <c r="A66" s="190"/>
      <c r="B66" s="30"/>
      <c r="C66" s="150"/>
      <c r="D66" s="150"/>
      <c r="E66" s="150"/>
      <c r="F66" s="150"/>
      <c r="G66" s="30"/>
      <c r="H66" s="30"/>
      <c r="I66" s="30"/>
      <c r="J66" s="30"/>
      <c r="K66" s="30"/>
      <c r="L66" s="30"/>
      <c r="M66" s="184"/>
      <c r="N66" s="103"/>
      <c r="O66" s="103"/>
      <c r="P66" s="103"/>
      <c r="Q66" s="103"/>
      <c r="R66" s="182"/>
      <c r="S66" s="103"/>
      <c r="T66" s="6"/>
      <c r="U66" s="6"/>
      <c r="V66" s="6"/>
      <c r="W66" s="6"/>
      <c r="X66" s="6"/>
    </row>
    <row r="67" spans="1:24" x14ac:dyDescent="0.25">
      <c r="A67" s="190"/>
      <c r="B67" s="30"/>
      <c r="C67" s="150"/>
      <c r="D67" s="150"/>
      <c r="E67" s="150"/>
      <c r="F67" s="150"/>
      <c r="G67" s="30"/>
      <c r="H67" s="30"/>
      <c r="I67" s="30"/>
      <c r="J67" s="30"/>
      <c r="K67" s="30"/>
      <c r="L67" s="30"/>
      <c r="M67" s="184"/>
      <c r="N67" s="103"/>
      <c r="O67" s="103"/>
      <c r="P67" s="103"/>
      <c r="Q67" s="103"/>
      <c r="R67" s="182"/>
      <c r="S67" s="103"/>
      <c r="T67" s="6"/>
      <c r="U67" s="6"/>
      <c r="V67" s="6"/>
      <c r="W67" s="6"/>
      <c r="X67" s="6"/>
    </row>
    <row r="68" spans="1:24" x14ac:dyDescent="0.25">
      <c r="A68" s="190"/>
      <c r="B68" s="30"/>
      <c r="C68" s="150"/>
      <c r="D68" s="150"/>
      <c r="E68" s="150"/>
      <c r="F68" s="150"/>
      <c r="G68" s="30"/>
      <c r="H68" s="30"/>
      <c r="I68" s="30"/>
      <c r="J68" s="30"/>
      <c r="K68" s="30"/>
      <c r="L68" s="30"/>
      <c r="M68" s="184"/>
      <c r="N68" s="103"/>
      <c r="O68" s="103"/>
      <c r="P68" s="103"/>
      <c r="Q68" s="103"/>
      <c r="R68" s="182"/>
      <c r="S68" s="103"/>
      <c r="T68" s="6"/>
      <c r="U68" s="6"/>
      <c r="V68" s="6"/>
      <c r="W68" s="6"/>
      <c r="X68" s="6"/>
    </row>
    <row r="69" spans="1:24" x14ac:dyDescent="0.25">
      <c r="A69" s="190"/>
      <c r="B69" s="30"/>
      <c r="C69" s="150"/>
      <c r="D69" s="150"/>
      <c r="E69" s="150"/>
      <c r="F69" s="150"/>
      <c r="G69" s="30"/>
      <c r="H69" s="30"/>
      <c r="I69" s="30"/>
      <c r="J69" s="30"/>
      <c r="K69" s="30"/>
      <c r="L69" s="30"/>
      <c r="M69" s="184"/>
      <c r="N69" s="103"/>
      <c r="O69" s="103"/>
      <c r="P69" s="103"/>
      <c r="Q69" s="103"/>
      <c r="R69" s="182"/>
      <c r="S69" s="103"/>
      <c r="T69" s="6"/>
      <c r="U69" s="6"/>
      <c r="V69" s="6"/>
      <c r="W69" s="6"/>
      <c r="X69" s="6"/>
    </row>
    <row r="70" spans="1:24" x14ac:dyDescent="0.25">
      <c r="A70" s="190"/>
      <c r="B70" s="30"/>
      <c r="C70" s="150"/>
      <c r="D70" s="150"/>
      <c r="E70" s="150"/>
      <c r="F70" s="150"/>
      <c r="G70" s="30"/>
      <c r="H70" s="30"/>
      <c r="I70" s="30"/>
      <c r="J70" s="30"/>
      <c r="K70" s="30"/>
      <c r="L70" s="30"/>
      <c r="M70" s="184"/>
      <c r="N70" s="103"/>
      <c r="O70" s="103"/>
      <c r="P70" s="103"/>
      <c r="Q70" s="103"/>
      <c r="R70" s="182"/>
      <c r="S70" s="103"/>
      <c r="T70" s="6"/>
      <c r="U70" s="6"/>
      <c r="V70" s="6"/>
      <c r="W70" s="6"/>
      <c r="X70" s="6"/>
    </row>
    <row r="71" spans="1:24" x14ac:dyDescent="0.25">
      <c r="A71" s="190"/>
      <c r="B71" s="30"/>
      <c r="C71" s="150"/>
      <c r="D71" s="150"/>
      <c r="E71" s="150"/>
      <c r="F71" s="150"/>
      <c r="G71" s="30"/>
      <c r="H71" s="30"/>
      <c r="I71" s="30"/>
      <c r="J71" s="30"/>
      <c r="K71" s="30"/>
      <c r="L71" s="30"/>
      <c r="M71" s="184"/>
      <c r="N71" s="103"/>
      <c r="O71" s="103"/>
      <c r="P71" s="103"/>
      <c r="Q71" s="103"/>
      <c r="R71" s="182"/>
      <c r="S71" s="103"/>
      <c r="T71" s="6"/>
      <c r="U71" s="6"/>
      <c r="V71" s="6"/>
      <c r="W71" s="6"/>
      <c r="X71" s="6"/>
    </row>
    <row r="72" spans="1:24" x14ac:dyDescent="0.25">
      <c r="A72" s="190"/>
      <c r="B72" s="30"/>
      <c r="C72" s="150"/>
      <c r="D72" s="150"/>
      <c r="E72" s="150"/>
      <c r="F72" s="150"/>
      <c r="G72" s="30"/>
      <c r="H72" s="30"/>
      <c r="I72" s="30"/>
      <c r="J72" s="30"/>
      <c r="K72" s="30"/>
      <c r="L72" s="30"/>
      <c r="M72" s="184"/>
      <c r="N72" s="103"/>
      <c r="O72" s="103"/>
      <c r="P72" s="103"/>
      <c r="Q72" s="103"/>
      <c r="R72" s="182"/>
      <c r="S72" s="103"/>
      <c r="T72" s="6"/>
      <c r="U72" s="6"/>
      <c r="V72" s="6"/>
      <c r="W72" s="6"/>
      <c r="X72" s="6"/>
    </row>
    <row r="73" spans="1:24" x14ac:dyDescent="0.25">
      <c r="A73" s="191"/>
      <c r="B73" s="183"/>
      <c r="C73" s="150"/>
      <c r="D73" s="192"/>
      <c r="E73" s="192"/>
      <c r="F73" s="192"/>
      <c r="G73" s="183"/>
      <c r="H73" s="183"/>
      <c r="I73" s="183"/>
      <c r="J73" s="183"/>
      <c r="K73" s="183"/>
      <c r="L73" s="183"/>
      <c r="M73" s="184"/>
      <c r="N73" s="103"/>
      <c r="O73" s="103"/>
      <c r="P73" s="103"/>
      <c r="Q73" s="103"/>
      <c r="R73" s="182"/>
      <c r="S73" s="103"/>
      <c r="T73" s="6"/>
      <c r="U73" s="6"/>
      <c r="V73" s="6"/>
      <c r="W73" s="6"/>
      <c r="X73" s="6"/>
    </row>
    <row r="74" spans="1:24" x14ac:dyDescent="0.25">
      <c r="A74" s="183"/>
      <c r="B74" s="183"/>
      <c r="C74" s="183"/>
      <c r="D74" s="183"/>
      <c r="E74" s="183"/>
      <c r="F74" s="183"/>
      <c r="G74" s="183"/>
      <c r="H74" s="183"/>
      <c r="I74" s="193"/>
      <c r="J74" s="183"/>
      <c r="K74" s="193"/>
      <c r="L74" s="183"/>
      <c r="M74" s="184"/>
      <c r="N74" s="184"/>
      <c r="O74" s="184"/>
      <c r="P74" s="184"/>
      <c r="Q74" s="184"/>
      <c r="R74" s="185"/>
      <c r="S74" s="103"/>
      <c r="T74" s="6"/>
      <c r="U74" s="6"/>
      <c r="V74" s="6"/>
      <c r="W74" s="6"/>
      <c r="X74" s="6"/>
    </row>
    <row r="75" spans="1:24" x14ac:dyDescent="0.25">
      <c r="A75" s="183"/>
      <c r="B75" s="183"/>
      <c r="C75" s="183"/>
      <c r="D75" s="183"/>
      <c r="E75" s="183"/>
      <c r="F75" s="183"/>
      <c r="G75" s="183"/>
      <c r="H75" s="183"/>
      <c r="I75" s="193"/>
      <c r="J75" s="183"/>
      <c r="K75" s="193"/>
      <c r="L75" s="183"/>
      <c r="M75" s="184"/>
      <c r="N75" s="103"/>
      <c r="O75" s="184"/>
      <c r="P75" s="184"/>
      <c r="Q75" s="184"/>
      <c r="R75" s="185"/>
      <c r="S75" s="103"/>
      <c r="T75" s="6"/>
      <c r="U75" s="6"/>
      <c r="V75" s="6"/>
      <c r="W75" s="6"/>
      <c r="X75" s="6"/>
    </row>
    <row r="76" spans="1:24" ht="15.75" thickBot="1" x14ac:dyDescent="0.3">
      <c r="A76" s="93"/>
      <c r="B76" s="93"/>
      <c r="C76" s="93"/>
      <c r="D76" s="93"/>
      <c r="E76" s="93"/>
      <c r="F76" s="93"/>
      <c r="G76" s="93"/>
      <c r="H76" s="93"/>
      <c r="I76" s="93"/>
      <c r="J76" s="93"/>
      <c r="K76" s="102"/>
      <c r="L76" s="93"/>
      <c r="M76" s="105"/>
      <c r="N76" s="105"/>
      <c r="O76" s="105"/>
      <c r="P76" s="105"/>
      <c r="Q76" s="105"/>
      <c r="R76" s="194"/>
      <c r="S76" s="184"/>
      <c r="T76" s="6"/>
      <c r="U76" s="6"/>
      <c r="V76" s="6"/>
      <c r="W76" s="6"/>
      <c r="X76" s="6"/>
    </row>
    <row r="77" spans="1:24" x14ac:dyDescent="0.25">
      <c r="A77" s="106" t="s">
        <v>592</v>
      </c>
      <c r="B77" s="195" t="s">
        <v>592</v>
      </c>
      <c r="C77" s="195"/>
      <c r="D77" s="195"/>
      <c r="E77" s="195"/>
      <c r="F77" s="106"/>
      <c r="G77" s="106"/>
      <c r="H77" s="106"/>
      <c r="I77" s="106"/>
      <c r="J77" s="106"/>
      <c r="K77" s="106"/>
      <c r="L77" s="106"/>
      <c r="M77" s="196"/>
      <c r="N77" s="196"/>
      <c r="O77" s="196"/>
      <c r="P77" s="196"/>
      <c r="Q77" s="196"/>
      <c r="R77" s="197"/>
      <c r="S77" s="188"/>
      <c r="T77" s="6"/>
      <c r="U77" s="6"/>
      <c r="V77" s="6"/>
      <c r="W77" s="6"/>
      <c r="X77" s="6"/>
    </row>
    <row r="78" spans="1:24" x14ac:dyDescent="0.25">
      <c r="A78" s="106"/>
      <c r="B78" s="195"/>
      <c r="C78" s="195"/>
      <c r="D78" s="195"/>
      <c r="E78" s="195"/>
      <c r="F78" s="106"/>
      <c r="G78" s="106"/>
      <c r="H78" s="106"/>
      <c r="I78" s="106"/>
      <c r="J78" s="106"/>
      <c r="K78" s="106"/>
      <c r="L78" s="106"/>
      <c r="M78" s="196"/>
      <c r="N78" s="196"/>
      <c r="O78" s="196"/>
      <c r="P78" s="196"/>
      <c r="Q78" s="196"/>
      <c r="R78" s="197"/>
      <c r="S78" s="103"/>
      <c r="T78" s="6"/>
      <c r="U78" s="6"/>
      <c r="V78" s="6"/>
      <c r="W78" s="6"/>
      <c r="X78" s="6"/>
    </row>
    <row r="79" spans="1:24" x14ac:dyDescent="0.25">
      <c r="A79" s="179" t="s">
        <v>593</v>
      </c>
      <c r="F79" s="179"/>
      <c r="G79" s="30"/>
      <c r="H79" s="30"/>
      <c r="I79" s="30"/>
      <c r="J79" s="30"/>
      <c r="K79" s="30"/>
      <c r="L79" s="30"/>
      <c r="M79" s="103"/>
      <c r="N79" s="103"/>
      <c r="O79" s="103"/>
      <c r="P79" s="103"/>
      <c r="Q79" s="103"/>
      <c r="R79" s="182"/>
      <c r="S79" s="103"/>
      <c r="T79" s="6"/>
      <c r="U79" s="6"/>
      <c r="V79" s="6"/>
      <c r="W79" s="6"/>
      <c r="X79" s="6"/>
    </row>
    <row r="80" spans="1:24" x14ac:dyDescent="0.25">
      <c r="A80" s="30" t="s">
        <v>592</v>
      </c>
      <c r="B80" s="101" t="s">
        <v>594</v>
      </c>
      <c r="C80" s="101"/>
      <c r="D80" s="101"/>
      <c r="E80" s="101"/>
      <c r="F80" s="30"/>
      <c r="G80" s="30" t="s">
        <v>541</v>
      </c>
      <c r="H80" s="30" t="s">
        <v>542</v>
      </c>
      <c r="I80" s="30" t="s">
        <v>543</v>
      </c>
      <c r="J80" s="30" t="s">
        <v>544</v>
      </c>
      <c r="K80" s="30" t="s">
        <v>545</v>
      </c>
      <c r="L80" s="30" t="s">
        <v>546</v>
      </c>
      <c r="M80" s="103" t="s">
        <v>547</v>
      </c>
      <c r="N80" s="30"/>
      <c r="O80" s="30"/>
      <c r="P80" s="30"/>
      <c r="Q80" s="30"/>
      <c r="R80" s="180"/>
      <c r="S80" s="30"/>
      <c r="T80" s="6"/>
      <c r="U80" s="6"/>
      <c r="V80" s="6"/>
      <c r="W80" s="6"/>
      <c r="X80" s="6"/>
    </row>
    <row r="81" spans="1:24" x14ac:dyDescent="0.25">
      <c r="A81" s="30" t="s">
        <v>592</v>
      </c>
      <c r="B81" s="30" t="s">
        <v>595</v>
      </c>
      <c r="C81" s="150" t="s">
        <v>456</v>
      </c>
      <c r="D81" s="150"/>
      <c r="E81" s="150"/>
      <c r="F81" s="150" t="s">
        <v>596</v>
      </c>
      <c r="G81" s="30">
        <v>5.25</v>
      </c>
      <c r="H81" s="30">
        <v>1.3125</v>
      </c>
      <c r="I81" s="101">
        <f>G81/H81</f>
        <v>4</v>
      </c>
      <c r="J81" s="30">
        <f>2.5*52</f>
        <v>130</v>
      </c>
      <c r="K81" s="30">
        <f>3*100</f>
        <v>300</v>
      </c>
      <c r="L81" s="30">
        <f>I81*J81*K81</f>
        <v>156000</v>
      </c>
      <c r="M81" s="103">
        <f>L81/$L$172</f>
        <v>755.20677727541283</v>
      </c>
      <c r="N81" s="103"/>
      <c r="O81" s="103"/>
      <c r="P81" s="103"/>
      <c r="Q81" s="103"/>
      <c r="R81" s="182"/>
      <c r="S81" s="103"/>
      <c r="T81" s="6"/>
      <c r="U81" s="6"/>
      <c r="V81" s="6"/>
      <c r="W81" s="6"/>
      <c r="X81" s="6"/>
    </row>
    <row r="82" spans="1:24" x14ac:dyDescent="0.25">
      <c r="A82" s="179" t="s">
        <v>593</v>
      </c>
      <c r="B82" s="179"/>
      <c r="C82" s="179"/>
      <c r="D82" s="179"/>
      <c r="E82" s="179"/>
      <c r="F82" s="179"/>
      <c r="G82" s="30"/>
      <c r="H82" s="30"/>
      <c r="I82" s="30"/>
      <c r="J82" s="30"/>
      <c r="K82" s="30"/>
      <c r="L82" s="30"/>
      <c r="M82" s="103"/>
      <c r="N82" s="103"/>
      <c r="O82" s="103"/>
      <c r="P82" s="103"/>
      <c r="Q82" s="103"/>
      <c r="R82" s="182"/>
      <c r="S82" s="103"/>
      <c r="T82" s="6"/>
      <c r="U82" s="6"/>
      <c r="V82" s="6"/>
      <c r="W82" s="6"/>
      <c r="X82" s="6"/>
    </row>
    <row r="83" spans="1:24" x14ac:dyDescent="0.25">
      <c r="A83" s="30" t="s">
        <v>592</v>
      </c>
      <c r="B83" s="101" t="s">
        <v>597</v>
      </c>
      <c r="C83" s="101"/>
      <c r="D83" s="101"/>
      <c r="E83" s="101"/>
      <c r="F83" s="30"/>
      <c r="G83" s="30" t="s">
        <v>541</v>
      </c>
      <c r="H83" s="30" t="s">
        <v>542</v>
      </c>
      <c r="I83" s="30" t="s">
        <v>543</v>
      </c>
      <c r="J83" s="30" t="s">
        <v>544</v>
      </c>
      <c r="K83" s="30" t="s">
        <v>545</v>
      </c>
      <c r="L83" s="30" t="s">
        <v>546</v>
      </c>
      <c r="M83" s="103" t="s">
        <v>547</v>
      </c>
      <c r="N83" s="30"/>
      <c r="O83" s="30"/>
      <c r="P83" s="30"/>
      <c r="Q83" s="30"/>
      <c r="R83" s="180"/>
      <c r="S83" s="30"/>
      <c r="T83" s="6"/>
      <c r="U83" s="6"/>
      <c r="V83" s="6"/>
      <c r="W83" s="6"/>
      <c r="X83" s="6"/>
    </row>
    <row r="84" spans="1:24" x14ac:dyDescent="0.25">
      <c r="A84" s="30" t="s">
        <v>592</v>
      </c>
      <c r="B84" s="30" t="s">
        <v>595</v>
      </c>
      <c r="C84" s="150" t="s">
        <v>456</v>
      </c>
      <c r="D84" s="150"/>
      <c r="E84" s="150"/>
      <c r="F84" s="150" t="s">
        <v>596</v>
      </c>
      <c r="G84" s="30">
        <v>5.25</v>
      </c>
      <c r="H84" s="30">
        <v>1.3125</v>
      </c>
      <c r="I84" s="101">
        <f>G84/H84</f>
        <v>4</v>
      </c>
      <c r="J84" s="30">
        <f>2.5*52</f>
        <v>130</v>
      </c>
      <c r="K84" s="30">
        <f>30*3</f>
        <v>90</v>
      </c>
      <c r="L84" s="30">
        <f>I84*J84*K84</f>
        <v>46800</v>
      </c>
      <c r="M84" s="103">
        <f>L84/$L$172</f>
        <v>226.56203318262385</v>
      </c>
      <c r="N84" s="103"/>
      <c r="O84" s="103"/>
      <c r="P84" s="103"/>
      <c r="Q84" s="103"/>
      <c r="R84" s="182"/>
      <c r="S84" s="103"/>
      <c r="T84" s="6"/>
      <c r="U84" s="6"/>
      <c r="V84" s="6"/>
      <c r="W84" s="6"/>
      <c r="X84" s="6"/>
    </row>
    <row r="85" spans="1:24" x14ac:dyDescent="0.25">
      <c r="A85" s="30"/>
      <c r="B85" s="30"/>
      <c r="C85" s="30"/>
      <c r="D85" s="30"/>
      <c r="E85" s="30"/>
      <c r="F85" s="30"/>
      <c r="G85" s="30"/>
      <c r="H85" s="30"/>
      <c r="I85" s="30"/>
      <c r="J85" s="30"/>
      <c r="K85" s="30"/>
      <c r="L85" s="30"/>
      <c r="M85" s="103"/>
      <c r="N85" s="103"/>
      <c r="O85" s="103"/>
      <c r="P85" s="103"/>
      <c r="Q85" s="103"/>
      <c r="R85" s="182"/>
      <c r="S85" s="103"/>
      <c r="T85" s="6"/>
      <c r="U85" s="6"/>
      <c r="V85" s="6"/>
      <c r="W85" s="6"/>
      <c r="X85" s="6"/>
    </row>
    <row r="86" spans="1:24" x14ac:dyDescent="0.25">
      <c r="A86" s="179" t="s">
        <v>598</v>
      </c>
      <c r="B86" s="30"/>
      <c r="C86" s="30"/>
      <c r="D86" s="30"/>
      <c r="E86" s="30"/>
      <c r="F86" s="30"/>
      <c r="G86" s="30"/>
      <c r="H86" s="30"/>
      <c r="I86" s="30"/>
      <c r="J86" s="30"/>
      <c r="K86" s="30"/>
      <c r="L86" s="30"/>
      <c r="M86" s="103"/>
      <c r="N86" s="103"/>
      <c r="O86" s="103"/>
      <c r="P86" s="103"/>
      <c r="Q86" s="103"/>
      <c r="R86" s="182"/>
      <c r="S86" s="103"/>
      <c r="T86" s="6"/>
      <c r="U86" s="6"/>
      <c r="V86" s="6"/>
      <c r="W86" s="6"/>
      <c r="X86" s="6"/>
    </row>
    <row r="87" spans="1:24" x14ac:dyDescent="0.25">
      <c r="A87" s="30" t="s">
        <v>592</v>
      </c>
      <c r="B87" s="101" t="s">
        <v>599</v>
      </c>
      <c r="C87" s="101"/>
      <c r="D87" s="101"/>
      <c r="E87" s="101"/>
      <c r="F87" s="30"/>
      <c r="H87" s="30"/>
      <c r="I87" s="30"/>
      <c r="J87" s="30"/>
      <c r="K87" s="30"/>
      <c r="L87" s="30"/>
      <c r="M87" s="103"/>
      <c r="N87" s="103"/>
      <c r="O87" s="103"/>
      <c r="P87" s="103"/>
      <c r="Q87" s="103"/>
      <c r="R87" s="182"/>
      <c r="S87" s="103"/>
      <c r="T87" s="6"/>
      <c r="U87" s="6"/>
      <c r="V87" s="6"/>
      <c r="W87" s="6"/>
      <c r="X87" s="6"/>
    </row>
    <row r="88" spans="1:24" x14ac:dyDescent="0.25">
      <c r="A88" s="30" t="s">
        <v>592</v>
      </c>
      <c r="B88" s="30"/>
      <c r="C88" s="30"/>
      <c r="D88" s="30"/>
      <c r="E88" s="30"/>
      <c r="F88" s="30"/>
      <c r="G88" s="30" t="s">
        <v>541</v>
      </c>
      <c r="H88" s="30" t="s">
        <v>542</v>
      </c>
      <c r="I88" s="30" t="s">
        <v>543</v>
      </c>
      <c r="J88" s="30" t="s">
        <v>544</v>
      </c>
      <c r="K88" s="30" t="s">
        <v>545</v>
      </c>
      <c r="L88" s="30" t="s">
        <v>546</v>
      </c>
      <c r="M88" s="103" t="s">
        <v>547</v>
      </c>
      <c r="N88" s="30"/>
      <c r="O88" s="30"/>
      <c r="P88" s="30"/>
      <c r="Q88" s="30"/>
      <c r="R88" s="180"/>
      <c r="S88" s="30"/>
      <c r="T88" s="6"/>
      <c r="U88" s="6"/>
      <c r="V88" s="6"/>
      <c r="W88" s="6"/>
      <c r="X88" s="6"/>
    </row>
    <row r="89" spans="1:24" x14ac:dyDescent="0.25">
      <c r="A89" s="30" t="s">
        <v>592</v>
      </c>
      <c r="B89" s="30" t="s">
        <v>600</v>
      </c>
      <c r="C89" s="150" t="s">
        <v>456</v>
      </c>
      <c r="D89" s="150"/>
      <c r="E89" s="150"/>
      <c r="F89" s="150" t="s">
        <v>596</v>
      </c>
      <c r="G89" s="30">
        <v>6</v>
      </c>
      <c r="H89" s="30">
        <v>1.3125</v>
      </c>
      <c r="I89" s="101">
        <f>G89/H89</f>
        <v>4.5714285714285712</v>
      </c>
      <c r="J89" s="30">
        <f>4*52</f>
        <v>208</v>
      </c>
      <c r="K89" s="30">
        <f>4.5*40</f>
        <v>180</v>
      </c>
      <c r="L89" s="30">
        <f>I89*J89*K89</f>
        <v>171154.28571428571</v>
      </c>
      <c r="M89" s="103">
        <f>L89/$L$172</f>
        <v>828.5697213535957</v>
      </c>
      <c r="N89" s="103"/>
      <c r="O89" s="103"/>
      <c r="P89" s="103"/>
      <c r="Q89" s="103"/>
      <c r="R89" s="182"/>
      <c r="S89" s="103"/>
      <c r="T89" s="6"/>
      <c r="U89" s="6"/>
      <c r="V89" s="6"/>
      <c r="W89" s="6"/>
      <c r="X89" s="6"/>
    </row>
    <row r="90" spans="1:24" x14ac:dyDescent="0.25">
      <c r="A90" s="30" t="s">
        <v>592</v>
      </c>
      <c r="B90" s="30" t="s">
        <v>601</v>
      </c>
      <c r="C90" s="150" t="s">
        <v>456</v>
      </c>
      <c r="D90" s="150"/>
      <c r="E90" s="150"/>
      <c r="F90" s="150" t="s">
        <v>602</v>
      </c>
      <c r="G90" s="30">
        <v>3.25</v>
      </c>
      <c r="H90" s="30">
        <v>1.3125</v>
      </c>
      <c r="I90" s="101">
        <f>G90/H90</f>
        <v>2.4761904761904763</v>
      </c>
      <c r="J90" s="30">
        <f>4*52</f>
        <v>208</v>
      </c>
      <c r="K90" s="30">
        <f>4.5*40</f>
        <v>180</v>
      </c>
      <c r="L90" s="30">
        <f>I90*J90*K90</f>
        <v>92708.57142857142</v>
      </c>
      <c r="M90" s="103">
        <f>L90/$L$172</f>
        <v>448.80859906653097</v>
      </c>
      <c r="N90" s="103"/>
      <c r="O90" s="103"/>
      <c r="P90" s="103"/>
      <c r="Q90" s="103"/>
      <c r="R90" s="182"/>
      <c r="S90" s="103"/>
      <c r="T90" s="6"/>
      <c r="U90" s="6"/>
      <c r="V90" s="6"/>
      <c r="W90" s="6"/>
      <c r="X90" s="6"/>
    </row>
    <row r="91" spans="1:24" x14ac:dyDescent="0.25">
      <c r="A91" s="30"/>
      <c r="B91" s="30"/>
      <c r="C91" s="30"/>
      <c r="D91" s="30"/>
      <c r="E91" s="30"/>
      <c r="F91" s="30"/>
      <c r="G91" s="30"/>
      <c r="H91" s="30"/>
      <c r="I91" s="101">
        <f>SUM(I89:I90)</f>
        <v>7.0476190476190474</v>
      </c>
      <c r="J91" s="30"/>
      <c r="K91" s="30"/>
      <c r="L91" s="30"/>
      <c r="M91" s="103"/>
      <c r="N91" s="103"/>
      <c r="O91" s="103"/>
      <c r="P91" s="103"/>
      <c r="Q91" s="103"/>
      <c r="R91" s="182"/>
      <c r="S91" s="103"/>
      <c r="T91" s="6"/>
      <c r="U91" s="6"/>
      <c r="V91" s="6"/>
      <c r="W91" s="6"/>
      <c r="X91" s="6"/>
    </row>
    <row r="92" spans="1:24" x14ac:dyDescent="0.25">
      <c r="A92" s="179" t="s">
        <v>603</v>
      </c>
      <c r="B92" s="101" t="s">
        <v>604</v>
      </c>
      <c r="C92" s="101"/>
      <c r="D92" s="101"/>
      <c r="E92" s="101"/>
      <c r="F92" s="30"/>
      <c r="G92" s="30"/>
      <c r="H92" s="30"/>
      <c r="I92" s="30"/>
      <c r="J92" s="30"/>
      <c r="K92" s="30"/>
      <c r="L92" s="30"/>
      <c r="M92" s="103"/>
      <c r="N92" s="103"/>
      <c r="O92" s="103"/>
      <c r="P92" s="103"/>
      <c r="Q92" s="103"/>
      <c r="R92" s="182"/>
      <c r="S92" s="103"/>
      <c r="T92" s="6"/>
      <c r="U92" s="6"/>
      <c r="V92" s="6"/>
      <c r="W92" s="6"/>
      <c r="X92" s="6"/>
    </row>
    <row r="93" spans="1:24" x14ac:dyDescent="0.25">
      <c r="A93" s="30" t="s">
        <v>592</v>
      </c>
      <c r="F93" s="30"/>
      <c r="G93" s="30" t="s">
        <v>541</v>
      </c>
      <c r="H93" s="30" t="s">
        <v>542</v>
      </c>
      <c r="I93" s="30" t="s">
        <v>543</v>
      </c>
      <c r="J93" s="30" t="s">
        <v>544</v>
      </c>
      <c r="K93" s="30" t="s">
        <v>545</v>
      </c>
      <c r="L93" s="30" t="s">
        <v>546</v>
      </c>
      <c r="M93" s="103" t="s">
        <v>547</v>
      </c>
      <c r="N93" s="30"/>
      <c r="O93" s="30"/>
      <c r="P93" s="30"/>
      <c r="Q93" s="30"/>
      <c r="R93" s="180"/>
      <c r="S93" s="30"/>
      <c r="T93" s="6"/>
      <c r="U93" s="6"/>
      <c r="V93" s="6"/>
      <c r="W93" s="6"/>
      <c r="X93" s="6"/>
    </row>
    <row r="94" spans="1:24" x14ac:dyDescent="0.25">
      <c r="A94" s="30" t="s">
        <v>592</v>
      </c>
      <c r="B94" s="30" t="s">
        <v>600</v>
      </c>
      <c r="C94" s="150" t="s">
        <v>456</v>
      </c>
      <c r="D94" s="150"/>
      <c r="E94" s="150"/>
      <c r="F94" s="150" t="s">
        <v>596</v>
      </c>
      <c r="G94" s="30">
        <v>6</v>
      </c>
      <c r="H94" s="30">
        <v>1.3125</v>
      </c>
      <c r="I94" s="101">
        <f>G94/H94</f>
        <v>4.5714285714285712</v>
      </c>
      <c r="J94" s="30">
        <f>4*52</f>
        <v>208</v>
      </c>
      <c r="K94" s="30">
        <f>4.5*30</f>
        <v>135</v>
      </c>
      <c r="L94" s="30">
        <f>I94*J94*K94</f>
        <v>128365.71428571428</v>
      </c>
      <c r="M94" s="103">
        <f>L94/$L$172</f>
        <v>621.42729101519683</v>
      </c>
      <c r="N94" s="103"/>
      <c r="O94" s="103"/>
      <c r="P94" s="103"/>
      <c r="Q94" s="103"/>
      <c r="R94" s="182"/>
      <c r="S94" s="103"/>
      <c r="T94" s="6"/>
      <c r="U94" s="6"/>
      <c r="V94" s="6"/>
      <c r="W94" s="6"/>
      <c r="X94" s="6"/>
    </row>
    <row r="95" spans="1:24" x14ac:dyDescent="0.25">
      <c r="A95" s="30" t="s">
        <v>592</v>
      </c>
      <c r="B95" s="30" t="s">
        <v>601</v>
      </c>
      <c r="C95" s="150" t="s">
        <v>456</v>
      </c>
      <c r="D95" s="150"/>
      <c r="E95" s="150"/>
      <c r="F95" s="150" t="s">
        <v>602</v>
      </c>
      <c r="G95" s="30">
        <v>3.25</v>
      </c>
      <c r="H95" s="30">
        <v>1.3125</v>
      </c>
      <c r="I95" s="101">
        <f>G95/H95</f>
        <v>2.4761904761904763</v>
      </c>
      <c r="J95" s="30">
        <f>4*52</f>
        <v>208</v>
      </c>
      <c r="K95" s="30">
        <f>4.5*30</f>
        <v>135</v>
      </c>
      <c r="L95" s="30">
        <f>I95*J95*K95</f>
        <v>69531.428571428565</v>
      </c>
      <c r="M95" s="103">
        <f>L95/$L$172</f>
        <v>336.60644929989826</v>
      </c>
      <c r="N95" s="103"/>
      <c r="O95" s="103"/>
      <c r="P95" s="103"/>
      <c r="Q95" s="103"/>
      <c r="R95" s="182"/>
      <c r="S95" s="103"/>
      <c r="T95" s="6"/>
      <c r="U95" s="6"/>
      <c r="V95" s="6"/>
      <c r="W95" s="6"/>
      <c r="X95" s="6"/>
    </row>
    <row r="96" spans="1:24" x14ac:dyDescent="0.25">
      <c r="A96" s="30" t="s">
        <v>592</v>
      </c>
      <c r="B96" s="30"/>
      <c r="C96" s="30"/>
      <c r="D96" s="30"/>
      <c r="E96" s="30"/>
      <c r="F96" s="30"/>
      <c r="G96" s="30"/>
      <c r="H96" s="30"/>
      <c r="I96" s="101">
        <f>SUM(I94:I95)</f>
        <v>7.0476190476190474</v>
      </c>
      <c r="J96" s="30"/>
      <c r="K96" s="30"/>
      <c r="L96" s="30"/>
      <c r="M96" s="103"/>
      <c r="N96" s="103"/>
      <c r="O96" s="103"/>
      <c r="P96" s="103"/>
      <c r="Q96" s="103"/>
      <c r="R96" s="182"/>
      <c r="S96" s="103"/>
      <c r="T96" s="6"/>
      <c r="U96" s="6"/>
      <c r="V96" s="6"/>
      <c r="W96" s="6"/>
      <c r="X96" s="6"/>
    </row>
    <row r="97" spans="1:24" x14ac:dyDescent="0.25">
      <c r="A97" s="30"/>
      <c r="B97" s="30"/>
      <c r="C97" s="30"/>
      <c r="D97" s="30"/>
      <c r="E97" s="30"/>
      <c r="F97" s="30"/>
      <c r="G97" s="30"/>
      <c r="H97" s="30"/>
      <c r="I97" s="30"/>
      <c r="J97" s="30"/>
      <c r="K97" s="30"/>
      <c r="L97" s="30"/>
      <c r="M97" s="103"/>
      <c r="N97" s="103"/>
      <c r="O97" s="103"/>
      <c r="P97" s="103"/>
      <c r="Q97" s="103"/>
      <c r="R97" s="182"/>
      <c r="S97" s="103"/>
      <c r="T97" s="6"/>
      <c r="U97" s="6"/>
      <c r="V97" s="6"/>
      <c r="W97" s="6"/>
      <c r="X97" s="6"/>
    </row>
    <row r="98" spans="1:24" x14ac:dyDescent="0.25">
      <c r="A98" s="179" t="s">
        <v>605</v>
      </c>
      <c r="B98" s="101"/>
      <c r="C98" s="101"/>
      <c r="D98" s="101"/>
      <c r="E98" s="101"/>
      <c r="F98" s="30"/>
      <c r="G98" s="30"/>
      <c r="H98" s="30"/>
      <c r="I98" s="30"/>
      <c r="J98" s="30"/>
      <c r="K98" s="30"/>
      <c r="L98" s="30"/>
      <c r="M98" s="103"/>
      <c r="N98" s="103"/>
      <c r="O98" s="103"/>
      <c r="P98" s="103"/>
      <c r="Q98" s="103"/>
      <c r="R98" s="182"/>
      <c r="S98" s="103"/>
      <c r="T98" s="6"/>
      <c r="U98" s="6"/>
      <c r="V98" s="6"/>
      <c r="W98" s="6"/>
      <c r="X98" s="6"/>
    </row>
    <row r="99" spans="1:24" x14ac:dyDescent="0.25">
      <c r="A99" s="30" t="s">
        <v>592</v>
      </c>
      <c r="B99" s="101"/>
      <c r="C99" s="101"/>
      <c r="D99" s="101"/>
      <c r="E99" s="101"/>
      <c r="F99" s="30"/>
      <c r="G99" s="30"/>
      <c r="H99" s="30"/>
      <c r="I99" s="30"/>
      <c r="J99" s="30"/>
      <c r="K99" s="30"/>
      <c r="L99" s="30"/>
      <c r="M99" s="103"/>
      <c r="N99" s="103"/>
      <c r="O99" s="103"/>
      <c r="P99" s="103"/>
      <c r="Q99" s="103"/>
      <c r="R99" s="182"/>
      <c r="S99" s="103"/>
      <c r="T99" s="6"/>
      <c r="U99" s="6"/>
      <c r="V99" s="6"/>
      <c r="W99" s="6"/>
      <c r="X99" s="6"/>
    </row>
    <row r="100" spans="1:24" x14ac:dyDescent="0.25">
      <c r="A100" s="30" t="s">
        <v>592</v>
      </c>
      <c r="B100" s="101" t="s">
        <v>606</v>
      </c>
      <c r="C100" s="101"/>
      <c r="D100" s="101"/>
      <c r="E100" s="101"/>
      <c r="F100" s="30"/>
      <c r="G100" s="30"/>
      <c r="H100" s="30" t="s">
        <v>351</v>
      </c>
      <c r="I100" s="30"/>
      <c r="J100" s="30"/>
      <c r="K100" s="30"/>
      <c r="L100" s="30"/>
      <c r="M100" s="103"/>
      <c r="N100" s="103"/>
      <c r="O100" s="103"/>
      <c r="P100" s="103"/>
      <c r="Q100" s="103"/>
      <c r="R100" s="182"/>
      <c r="S100" s="103"/>
      <c r="T100" s="6"/>
      <c r="U100" s="6"/>
      <c r="V100" s="6"/>
      <c r="W100" s="6"/>
      <c r="X100" s="6"/>
    </row>
    <row r="101" spans="1:24" x14ac:dyDescent="0.25">
      <c r="A101" s="30" t="s">
        <v>592</v>
      </c>
      <c r="B101" s="101" t="s">
        <v>607</v>
      </c>
      <c r="C101" s="101"/>
      <c r="D101" s="101"/>
      <c r="E101" s="101"/>
      <c r="F101" s="30"/>
      <c r="G101" s="30" t="s">
        <v>541</v>
      </c>
      <c r="H101" s="30" t="s">
        <v>542</v>
      </c>
      <c r="I101" s="30" t="s">
        <v>543</v>
      </c>
      <c r="J101" s="30" t="s">
        <v>544</v>
      </c>
      <c r="K101" s="30" t="s">
        <v>545</v>
      </c>
      <c r="L101" s="30" t="s">
        <v>546</v>
      </c>
      <c r="M101" s="103" t="s">
        <v>547</v>
      </c>
      <c r="N101" s="30"/>
      <c r="O101" s="30"/>
      <c r="P101" s="30"/>
      <c r="Q101" s="30"/>
      <c r="R101" s="180"/>
      <c r="S101" s="30"/>
      <c r="T101" s="6"/>
      <c r="U101" s="6"/>
      <c r="V101" s="6"/>
      <c r="W101" s="6"/>
      <c r="X101" s="6"/>
    </row>
    <row r="102" spans="1:24" x14ac:dyDescent="0.25">
      <c r="A102" s="30" t="s">
        <v>592</v>
      </c>
      <c r="B102" s="30" t="s">
        <v>600</v>
      </c>
      <c r="C102" s="150" t="s">
        <v>456</v>
      </c>
      <c r="D102" s="150"/>
      <c r="E102" s="150"/>
      <c r="F102" s="150" t="s">
        <v>596</v>
      </c>
      <c r="G102" s="30">
        <v>0.75</v>
      </c>
      <c r="H102" s="30">
        <v>1.3125</v>
      </c>
      <c r="I102" s="30">
        <f t="shared" ref="I102:I112" si="8">G102/H102</f>
        <v>0.5714285714285714</v>
      </c>
      <c r="J102" s="30">
        <v>0</v>
      </c>
      <c r="K102" s="30"/>
      <c r="L102" s="30">
        <f>I102*J102*K102</f>
        <v>0</v>
      </c>
      <c r="M102" s="103">
        <f t="shared" ref="M102:M112" si="9">L102/$L$172</f>
        <v>0</v>
      </c>
      <c r="N102" s="103"/>
      <c r="O102" s="103"/>
      <c r="P102" s="103"/>
      <c r="Q102" s="103"/>
      <c r="R102" s="182"/>
      <c r="S102" s="103"/>
      <c r="T102" s="6"/>
      <c r="U102" s="6"/>
      <c r="V102" s="6"/>
      <c r="W102" s="6"/>
      <c r="X102" s="6"/>
    </row>
    <row r="103" spans="1:24" x14ac:dyDescent="0.25">
      <c r="A103" s="30" t="s">
        <v>592</v>
      </c>
      <c r="B103" s="30" t="s">
        <v>608</v>
      </c>
      <c r="C103" s="150" t="s">
        <v>456</v>
      </c>
      <c r="D103" s="150"/>
      <c r="E103" s="150"/>
      <c r="F103" s="150" t="s">
        <v>609</v>
      </c>
      <c r="G103" s="30">
        <v>0.125</v>
      </c>
      <c r="H103" s="30">
        <v>1.3125</v>
      </c>
      <c r="I103" s="30">
        <f t="shared" si="8"/>
        <v>9.5238095238095233E-2</v>
      </c>
      <c r="J103" s="30">
        <v>0</v>
      </c>
      <c r="K103" s="30"/>
      <c r="L103" s="30">
        <f>I103*J103*K103</f>
        <v>0</v>
      </c>
      <c r="M103" s="103">
        <f t="shared" si="9"/>
        <v>0</v>
      </c>
      <c r="N103" s="103"/>
      <c r="O103" s="103"/>
      <c r="P103" s="103"/>
      <c r="Q103" s="103"/>
      <c r="R103" s="182"/>
      <c r="S103" s="103"/>
      <c r="T103" s="6"/>
      <c r="U103" s="6"/>
      <c r="V103" s="6"/>
      <c r="W103" s="6"/>
      <c r="X103" s="6"/>
    </row>
    <row r="104" spans="1:24" x14ac:dyDescent="0.25">
      <c r="A104" s="30" t="s">
        <v>592</v>
      </c>
      <c r="B104" s="30" t="s">
        <v>610</v>
      </c>
      <c r="C104" s="150" t="s">
        <v>456</v>
      </c>
      <c r="D104" s="150"/>
      <c r="E104" s="150"/>
      <c r="F104" s="150" t="s">
        <v>611</v>
      </c>
      <c r="G104" s="30">
        <v>0.25</v>
      </c>
      <c r="H104" s="30">
        <v>1.3125</v>
      </c>
      <c r="I104" s="30">
        <f t="shared" si="8"/>
        <v>0.19047619047619047</v>
      </c>
      <c r="J104" s="30">
        <v>0</v>
      </c>
      <c r="K104" s="30"/>
      <c r="L104" s="30">
        <f>I104*J104*K104</f>
        <v>0</v>
      </c>
      <c r="M104" s="103">
        <f t="shared" si="9"/>
        <v>0</v>
      </c>
      <c r="N104" s="103"/>
      <c r="O104" s="103"/>
      <c r="P104" s="103"/>
      <c r="Q104" s="103"/>
      <c r="R104" s="182"/>
      <c r="S104" s="103"/>
      <c r="T104" s="6"/>
      <c r="U104" s="6"/>
      <c r="V104" s="6"/>
      <c r="W104" s="6"/>
      <c r="X104" s="6"/>
    </row>
    <row r="105" spans="1:24" x14ac:dyDescent="0.25">
      <c r="A105" s="30" t="s">
        <v>592</v>
      </c>
      <c r="B105" s="30" t="s">
        <v>612</v>
      </c>
      <c r="C105" s="150" t="s">
        <v>456</v>
      </c>
      <c r="D105" s="150"/>
      <c r="E105" s="150"/>
      <c r="F105" s="150" t="s">
        <v>613</v>
      </c>
      <c r="G105" s="30">
        <v>2.625</v>
      </c>
      <c r="H105" s="30">
        <v>1.3125</v>
      </c>
      <c r="I105" s="30">
        <f t="shared" si="8"/>
        <v>2</v>
      </c>
      <c r="J105" s="30">
        <v>0</v>
      </c>
      <c r="K105" s="30"/>
      <c r="L105" s="30">
        <f>I105*J105*K105</f>
        <v>0</v>
      </c>
      <c r="M105" s="103">
        <f t="shared" si="9"/>
        <v>0</v>
      </c>
      <c r="N105" s="103"/>
      <c r="O105" s="103"/>
      <c r="P105" s="103"/>
      <c r="Q105" s="103"/>
      <c r="R105" s="182"/>
      <c r="S105" s="103"/>
      <c r="T105" s="6"/>
      <c r="U105" s="6"/>
      <c r="V105" s="6"/>
      <c r="W105" s="6"/>
      <c r="X105" s="6"/>
    </row>
    <row r="106" spans="1:24" x14ac:dyDescent="0.25">
      <c r="A106" s="30" t="s">
        <v>592</v>
      </c>
      <c r="B106" s="101" t="s">
        <v>614</v>
      </c>
      <c r="C106" s="150" t="s">
        <v>456</v>
      </c>
      <c r="D106" s="150"/>
      <c r="E106" s="150"/>
      <c r="F106" s="150" t="s">
        <v>615</v>
      </c>
      <c r="G106" s="30">
        <v>1.25</v>
      </c>
      <c r="H106" s="30">
        <v>1.3125</v>
      </c>
      <c r="I106" s="101">
        <f t="shared" si="8"/>
        <v>0.95238095238095233</v>
      </c>
      <c r="J106" s="30">
        <f t="shared" ref="J106:J111" si="10">1.5*52</f>
        <v>78</v>
      </c>
      <c r="K106" s="30">
        <f>3*100</f>
        <v>300</v>
      </c>
      <c r="L106" s="30">
        <f>I106*J106*K106</f>
        <v>22285.714285714283</v>
      </c>
      <c r="M106" s="103">
        <f t="shared" si="9"/>
        <v>107.8866824679161</v>
      </c>
      <c r="N106" s="103"/>
      <c r="O106" s="103"/>
      <c r="P106" s="103"/>
      <c r="Q106" s="103"/>
      <c r="R106" s="182"/>
      <c r="S106" s="103"/>
      <c r="T106" s="6"/>
      <c r="U106" s="6"/>
      <c r="V106" s="6"/>
      <c r="W106" s="6"/>
      <c r="X106" s="6"/>
    </row>
    <row r="107" spans="1:24" x14ac:dyDescent="0.25">
      <c r="A107" s="30" t="s">
        <v>592</v>
      </c>
      <c r="B107" s="101" t="s">
        <v>616</v>
      </c>
      <c r="C107" s="150" t="s">
        <v>456</v>
      </c>
      <c r="D107" s="150"/>
      <c r="E107" s="150"/>
      <c r="F107" s="150" t="s">
        <v>617</v>
      </c>
      <c r="G107" s="30">
        <v>1.25</v>
      </c>
      <c r="H107" s="30">
        <v>1.3125</v>
      </c>
      <c r="I107" s="101">
        <f t="shared" si="8"/>
        <v>0.95238095238095233</v>
      </c>
      <c r="J107" s="30">
        <f t="shared" si="10"/>
        <v>78</v>
      </c>
      <c r="K107" s="30">
        <f t="shared" ref="K107:K112" si="11">3*100</f>
        <v>300</v>
      </c>
      <c r="L107" s="30">
        <f t="shared" ref="L107:L112" si="12">I107*J107*K107</f>
        <v>22285.714285714283</v>
      </c>
      <c r="M107" s="103">
        <f t="shared" si="9"/>
        <v>107.8866824679161</v>
      </c>
      <c r="N107" s="103"/>
      <c r="O107" s="103"/>
      <c r="P107" s="103"/>
      <c r="Q107" s="103"/>
      <c r="R107" s="182"/>
      <c r="S107" s="103"/>
      <c r="T107" s="6"/>
      <c r="U107" s="6"/>
      <c r="V107" s="6"/>
      <c r="W107" s="6"/>
      <c r="X107" s="6"/>
    </row>
    <row r="108" spans="1:24" x14ac:dyDescent="0.25">
      <c r="A108" s="30" t="s">
        <v>592</v>
      </c>
      <c r="B108" s="101" t="s">
        <v>618</v>
      </c>
      <c r="C108" s="150" t="s">
        <v>456</v>
      </c>
      <c r="D108" s="150"/>
      <c r="E108" s="150"/>
      <c r="F108" s="150" t="s">
        <v>619</v>
      </c>
      <c r="G108" s="30">
        <v>0.25</v>
      </c>
      <c r="H108" s="30">
        <v>1.3125</v>
      </c>
      <c r="I108" s="101">
        <f t="shared" si="8"/>
        <v>0.19047619047619047</v>
      </c>
      <c r="J108" s="30">
        <f t="shared" si="10"/>
        <v>78</v>
      </c>
      <c r="K108" s="30">
        <f t="shared" si="11"/>
        <v>300</v>
      </c>
      <c r="L108" s="30">
        <f t="shared" si="12"/>
        <v>4457.1428571428569</v>
      </c>
      <c r="M108" s="103">
        <f t="shared" si="9"/>
        <v>21.577336493583221</v>
      </c>
      <c r="N108" s="103"/>
      <c r="O108" s="103"/>
      <c r="P108" s="103"/>
      <c r="Q108" s="103"/>
      <c r="R108" s="182"/>
      <c r="S108" s="103"/>
      <c r="T108" s="6"/>
      <c r="U108" s="6"/>
      <c r="V108" s="6"/>
      <c r="W108" s="6"/>
      <c r="X108" s="6"/>
    </row>
    <row r="109" spans="1:24" x14ac:dyDescent="0.25">
      <c r="A109" s="30" t="s">
        <v>592</v>
      </c>
      <c r="B109" s="101" t="s">
        <v>620</v>
      </c>
      <c r="C109" s="150" t="s">
        <v>456</v>
      </c>
      <c r="D109" s="150"/>
      <c r="E109" s="150"/>
      <c r="F109" s="150" t="s">
        <v>621</v>
      </c>
      <c r="G109" s="30">
        <v>2.5</v>
      </c>
      <c r="H109" s="30">
        <v>1.3125</v>
      </c>
      <c r="I109" s="101">
        <f t="shared" si="8"/>
        <v>1.9047619047619047</v>
      </c>
      <c r="J109" s="30">
        <f t="shared" si="10"/>
        <v>78</v>
      </c>
      <c r="K109" s="30">
        <f t="shared" si="11"/>
        <v>300</v>
      </c>
      <c r="L109" s="30">
        <f t="shared" si="12"/>
        <v>44571.428571428565</v>
      </c>
      <c r="M109" s="103">
        <f t="shared" si="9"/>
        <v>215.77336493583221</v>
      </c>
      <c r="N109" s="103"/>
      <c r="O109" s="103"/>
      <c r="P109" s="103"/>
      <c r="Q109" s="103"/>
      <c r="R109" s="182"/>
      <c r="S109" s="103"/>
      <c r="T109" s="6"/>
      <c r="U109" s="6"/>
      <c r="V109" s="6"/>
      <c r="W109" s="6"/>
      <c r="X109" s="6"/>
    </row>
    <row r="110" spans="1:24" x14ac:dyDescent="0.25">
      <c r="A110" s="30" t="s">
        <v>592</v>
      </c>
      <c r="B110" s="101" t="s">
        <v>610</v>
      </c>
      <c r="C110" s="150" t="s">
        <v>456</v>
      </c>
      <c r="D110" s="150"/>
      <c r="E110" s="150"/>
      <c r="F110" s="150" t="s">
        <v>611</v>
      </c>
      <c r="G110" s="30">
        <v>4</v>
      </c>
      <c r="H110" s="30">
        <v>1.3125</v>
      </c>
      <c r="I110" s="101">
        <f t="shared" si="8"/>
        <v>3.0476190476190474</v>
      </c>
      <c r="J110" s="30">
        <f t="shared" si="10"/>
        <v>78</v>
      </c>
      <c r="K110" s="30">
        <f t="shared" si="11"/>
        <v>300</v>
      </c>
      <c r="L110" s="30">
        <f t="shared" si="12"/>
        <v>71314.28571428571</v>
      </c>
      <c r="M110" s="103">
        <f t="shared" si="9"/>
        <v>345.23738389733154</v>
      </c>
      <c r="N110" s="103"/>
      <c r="O110" s="103"/>
      <c r="P110" s="103"/>
      <c r="Q110" s="103"/>
      <c r="R110" s="182"/>
      <c r="S110" s="103"/>
      <c r="T110" s="6"/>
      <c r="U110" s="6"/>
      <c r="V110" s="6"/>
      <c r="W110" s="6"/>
      <c r="X110" s="6"/>
    </row>
    <row r="111" spans="1:24" x14ac:dyDescent="0.25">
      <c r="A111" s="30" t="s">
        <v>592</v>
      </c>
      <c r="B111" s="101" t="s">
        <v>620</v>
      </c>
      <c r="C111" s="150" t="s">
        <v>456</v>
      </c>
      <c r="D111" s="150"/>
      <c r="E111" s="150"/>
      <c r="F111" s="150" t="s">
        <v>621</v>
      </c>
      <c r="G111" s="30">
        <v>1.375</v>
      </c>
      <c r="H111" s="30">
        <v>1.3125</v>
      </c>
      <c r="I111" s="101">
        <f t="shared" si="8"/>
        <v>1.0476190476190477</v>
      </c>
      <c r="J111" s="30">
        <f t="shared" si="10"/>
        <v>78</v>
      </c>
      <c r="K111" s="30">
        <f t="shared" si="11"/>
        <v>300</v>
      </c>
      <c r="L111" s="30">
        <f t="shared" si="12"/>
        <v>24514.285714285717</v>
      </c>
      <c r="M111" s="103">
        <f t="shared" si="9"/>
        <v>118.67535071470775</v>
      </c>
      <c r="N111" s="103"/>
      <c r="O111" s="103"/>
      <c r="P111" s="103"/>
      <c r="Q111" s="103"/>
      <c r="R111" s="182"/>
      <c r="S111" s="103"/>
      <c r="T111" s="6"/>
      <c r="U111" s="6"/>
      <c r="V111" s="6"/>
      <c r="W111" s="6"/>
      <c r="X111" s="6"/>
    </row>
    <row r="112" spans="1:24" x14ac:dyDescent="0.25">
      <c r="A112" s="30" t="s">
        <v>592</v>
      </c>
      <c r="B112" s="101" t="s">
        <v>610</v>
      </c>
      <c r="C112" s="150" t="s">
        <v>456</v>
      </c>
      <c r="D112" s="150"/>
      <c r="E112" s="150"/>
      <c r="F112" s="150" t="s">
        <v>611</v>
      </c>
      <c r="G112" s="30">
        <v>2.75</v>
      </c>
      <c r="H112" s="30">
        <v>1.3125</v>
      </c>
      <c r="I112" s="101">
        <f t="shared" si="8"/>
        <v>2.0952380952380953</v>
      </c>
      <c r="J112" s="30">
        <f>1.5*52</f>
        <v>78</v>
      </c>
      <c r="K112" s="30">
        <f t="shared" si="11"/>
        <v>300</v>
      </c>
      <c r="L112" s="30">
        <f t="shared" si="12"/>
        <v>49028.571428571435</v>
      </c>
      <c r="M112" s="103">
        <f t="shared" si="9"/>
        <v>237.35070142941549</v>
      </c>
      <c r="N112" s="103"/>
      <c r="O112" s="103"/>
      <c r="P112" s="103"/>
      <c r="Q112" s="103"/>
      <c r="R112" s="182"/>
      <c r="S112" s="103"/>
      <c r="T112" s="6"/>
      <c r="U112" s="6"/>
      <c r="V112" s="6"/>
      <c r="W112" s="6"/>
      <c r="X112" s="6"/>
    </row>
    <row r="113" spans="1:24" x14ac:dyDescent="0.25">
      <c r="A113" s="30" t="s">
        <v>592</v>
      </c>
      <c r="B113" s="30"/>
      <c r="C113" s="30"/>
      <c r="D113" s="30"/>
      <c r="E113" s="30"/>
      <c r="F113" s="30"/>
      <c r="G113" s="30"/>
      <c r="H113" s="30"/>
      <c r="I113" s="101">
        <f>SUM(I106:I110)</f>
        <v>7.0476190476190474</v>
      </c>
      <c r="J113" s="30"/>
      <c r="K113" s="30"/>
      <c r="L113" s="30"/>
      <c r="M113" s="103"/>
      <c r="N113" s="103"/>
      <c r="O113" s="103"/>
      <c r="P113" s="103"/>
      <c r="Q113" s="103"/>
      <c r="R113" s="182"/>
      <c r="S113" s="103"/>
      <c r="T113" s="6"/>
      <c r="U113" s="6"/>
      <c r="V113" s="6"/>
      <c r="W113" s="6"/>
      <c r="X113" s="6"/>
    </row>
    <row r="114" spans="1:24" x14ac:dyDescent="0.25">
      <c r="A114" s="30"/>
      <c r="B114" s="30"/>
      <c r="C114" s="30"/>
      <c r="D114" s="30"/>
      <c r="E114" s="30"/>
      <c r="F114" s="30"/>
      <c r="G114" s="30"/>
      <c r="H114" s="30"/>
      <c r="I114" s="30"/>
      <c r="J114" s="30"/>
      <c r="K114" s="30"/>
      <c r="L114" s="30"/>
      <c r="M114" s="103"/>
      <c r="N114" s="103"/>
      <c r="O114" s="103"/>
      <c r="P114" s="103"/>
      <c r="Q114" s="103"/>
      <c r="R114" s="182"/>
      <c r="S114" s="103"/>
      <c r="T114" s="6"/>
      <c r="U114" s="6"/>
      <c r="V114" s="6"/>
      <c r="W114" s="6"/>
      <c r="X114" s="6"/>
    </row>
    <row r="115" spans="1:24" x14ac:dyDescent="0.25">
      <c r="A115" s="179" t="s">
        <v>605</v>
      </c>
      <c r="B115" s="30"/>
      <c r="C115" s="30"/>
      <c r="D115" s="30"/>
      <c r="E115" s="30"/>
      <c r="F115" s="30"/>
      <c r="G115" s="30"/>
      <c r="H115" s="30"/>
      <c r="I115" s="30"/>
      <c r="J115" s="30"/>
      <c r="K115" s="30"/>
      <c r="L115" s="30"/>
      <c r="M115" s="103"/>
      <c r="N115" s="103"/>
      <c r="O115" s="103"/>
      <c r="P115" s="103"/>
      <c r="Q115" s="103"/>
      <c r="R115" s="182"/>
      <c r="S115" s="103"/>
      <c r="T115" s="6"/>
      <c r="U115" s="6"/>
      <c r="V115" s="6"/>
      <c r="W115" s="6"/>
      <c r="X115" s="6"/>
    </row>
    <row r="116" spans="1:24" x14ac:dyDescent="0.25">
      <c r="A116" s="30" t="s">
        <v>592</v>
      </c>
      <c r="B116" s="101"/>
      <c r="C116" s="101"/>
      <c r="D116" s="101"/>
      <c r="E116" s="101"/>
      <c r="F116" s="30"/>
      <c r="G116" s="30"/>
      <c r="H116" s="30"/>
      <c r="I116" s="30"/>
      <c r="J116" s="30"/>
      <c r="K116" s="30"/>
      <c r="L116" s="30"/>
      <c r="M116" s="103"/>
      <c r="N116" s="103"/>
      <c r="O116" s="103"/>
      <c r="P116" s="103"/>
      <c r="Q116" s="103"/>
      <c r="R116" s="182"/>
      <c r="S116" s="103"/>
      <c r="T116" s="6"/>
      <c r="U116" s="6"/>
      <c r="V116" s="6"/>
      <c r="W116" s="6"/>
      <c r="X116" s="6"/>
    </row>
    <row r="117" spans="1:24" x14ac:dyDescent="0.25">
      <c r="A117" s="30" t="s">
        <v>592</v>
      </c>
      <c r="B117" s="101" t="s">
        <v>606</v>
      </c>
      <c r="C117" s="101"/>
      <c r="D117" s="101"/>
      <c r="E117" s="101"/>
      <c r="F117" s="30"/>
      <c r="G117" s="30"/>
      <c r="H117" s="30" t="s">
        <v>351</v>
      </c>
      <c r="I117" s="30"/>
      <c r="J117" s="30"/>
      <c r="K117" s="30"/>
      <c r="L117" s="30"/>
      <c r="M117" s="103"/>
      <c r="N117" s="103"/>
      <c r="O117" s="103"/>
      <c r="P117" s="103"/>
      <c r="Q117" s="103"/>
      <c r="R117" s="182"/>
      <c r="S117" s="103"/>
      <c r="T117" s="6"/>
      <c r="U117" s="6"/>
      <c r="V117" s="6"/>
      <c r="W117" s="6"/>
      <c r="X117" s="6"/>
    </row>
    <row r="118" spans="1:24" x14ac:dyDescent="0.25">
      <c r="A118" s="30" t="s">
        <v>592</v>
      </c>
      <c r="B118" s="101" t="s">
        <v>607</v>
      </c>
      <c r="C118" s="101"/>
      <c r="D118" s="101"/>
      <c r="E118" s="101"/>
      <c r="F118" s="30"/>
      <c r="G118" s="30" t="s">
        <v>541</v>
      </c>
      <c r="H118" s="30" t="s">
        <v>542</v>
      </c>
      <c r="I118" s="30" t="s">
        <v>543</v>
      </c>
      <c r="J118" s="30" t="s">
        <v>544</v>
      </c>
      <c r="K118" s="30" t="s">
        <v>545</v>
      </c>
      <c r="L118" s="30" t="s">
        <v>546</v>
      </c>
      <c r="M118" s="103" t="s">
        <v>547</v>
      </c>
      <c r="N118" s="30"/>
      <c r="O118" s="30"/>
      <c r="P118" s="30"/>
      <c r="Q118" s="30"/>
      <c r="R118" s="180"/>
      <c r="S118" s="30"/>
      <c r="T118" s="6"/>
      <c r="U118" s="6"/>
      <c r="V118" s="6"/>
      <c r="W118" s="6"/>
      <c r="X118" s="6"/>
    </row>
    <row r="119" spans="1:24" x14ac:dyDescent="0.25">
      <c r="A119" s="30" t="s">
        <v>592</v>
      </c>
      <c r="B119" s="30" t="s">
        <v>600</v>
      </c>
      <c r="C119" s="150" t="s">
        <v>456</v>
      </c>
      <c r="D119" s="150"/>
      <c r="E119" s="150"/>
      <c r="F119" s="150" t="s">
        <v>596</v>
      </c>
      <c r="G119" s="30">
        <v>0.75</v>
      </c>
      <c r="H119" s="30">
        <v>1.3125</v>
      </c>
      <c r="I119" s="30">
        <f t="shared" ref="I119:I129" si="13">G119/H119</f>
        <v>0.5714285714285714</v>
      </c>
      <c r="J119" s="30">
        <v>0</v>
      </c>
      <c r="K119" s="30"/>
      <c r="L119" s="30">
        <f t="shared" ref="L119:L129" si="14">I119*J119*K119</f>
        <v>0</v>
      </c>
      <c r="M119" s="103">
        <f t="shared" ref="M119:M129" si="15">L119/$L$172</f>
        <v>0</v>
      </c>
      <c r="N119" s="103"/>
      <c r="O119" s="103"/>
      <c r="P119" s="103"/>
      <c r="Q119" s="103"/>
      <c r="R119" s="182"/>
      <c r="S119" s="103"/>
      <c r="T119" s="6"/>
      <c r="U119" s="6"/>
      <c r="V119" s="6"/>
      <c r="W119" s="6"/>
      <c r="X119" s="6"/>
    </row>
    <row r="120" spans="1:24" x14ac:dyDescent="0.25">
      <c r="A120" s="30" t="s">
        <v>592</v>
      </c>
      <c r="B120" s="30" t="s">
        <v>608</v>
      </c>
      <c r="C120" s="150" t="s">
        <v>456</v>
      </c>
      <c r="D120" s="150"/>
      <c r="E120" s="150"/>
      <c r="F120" s="150" t="s">
        <v>609</v>
      </c>
      <c r="G120" s="30">
        <v>0.125</v>
      </c>
      <c r="H120" s="30">
        <v>1.3125</v>
      </c>
      <c r="I120" s="30">
        <f t="shared" si="13"/>
        <v>9.5238095238095233E-2</v>
      </c>
      <c r="J120" s="30">
        <v>0</v>
      </c>
      <c r="K120" s="30"/>
      <c r="L120" s="30">
        <f t="shared" si="14"/>
        <v>0</v>
      </c>
      <c r="M120" s="103">
        <f t="shared" si="15"/>
        <v>0</v>
      </c>
      <c r="N120" s="103"/>
      <c r="O120" s="103"/>
      <c r="P120" s="103"/>
      <c r="Q120" s="103"/>
      <c r="R120" s="182"/>
      <c r="S120" s="103"/>
      <c r="T120" s="6"/>
      <c r="U120" s="6"/>
      <c r="V120" s="6"/>
      <c r="W120" s="6"/>
      <c r="X120" s="6"/>
    </row>
    <row r="121" spans="1:24" x14ac:dyDescent="0.25">
      <c r="A121" s="30" t="s">
        <v>592</v>
      </c>
      <c r="B121" s="30" t="s">
        <v>610</v>
      </c>
      <c r="C121" s="150" t="s">
        <v>456</v>
      </c>
      <c r="D121" s="150"/>
      <c r="E121" s="150"/>
      <c r="F121" s="150" t="s">
        <v>611</v>
      </c>
      <c r="G121" s="30">
        <v>0.25</v>
      </c>
      <c r="H121" s="30">
        <v>1.3125</v>
      </c>
      <c r="I121" s="30">
        <f t="shared" si="13"/>
        <v>0.19047619047619047</v>
      </c>
      <c r="J121" s="30">
        <v>0</v>
      </c>
      <c r="K121" s="30"/>
      <c r="L121" s="30">
        <f t="shared" si="14"/>
        <v>0</v>
      </c>
      <c r="M121" s="103">
        <f t="shared" si="15"/>
        <v>0</v>
      </c>
      <c r="N121" s="103"/>
      <c r="O121" s="103"/>
      <c r="P121" s="103"/>
      <c r="Q121" s="103"/>
      <c r="R121" s="182"/>
      <c r="S121" s="103"/>
      <c r="T121" s="6"/>
      <c r="U121" s="6"/>
      <c r="V121" s="6"/>
      <c r="W121" s="6"/>
      <c r="X121" s="6"/>
    </row>
    <row r="122" spans="1:24" x14ac:dyDescent="0.25">
      <c r="A122" s="30" t="s">
        <v>592</v>
      </c>
      <c r="B122" s="30" t="s">
        <v>612</v>
      </c>
      <c r="C122" s="150" t="s">
        <v>456</v>
      </c>
      <c r="D122" s="150"/>
      <c r="E122" s="150"/>
      <c r="F122" s="150" t="s">
        <v>613</v>
      </c>
      <c r="G122" s="30">
        <v>2.625</v>
      </c>
      <c r="H122" s="30">
        <v>1.3125</v>
      </c>
      <c r="I122" s="30">
        <f t="shared" si="13"/>
        <v>2</v>
      </c>
      <c r="J122" s="30">
        <v>0</v>
      </c>
      <c r="K122" s="30"/>
      <c r="L122" s="30">
        <f t="shared" si="14"/>
        <v>0</v>
      </c>
      <c r="M122" s="103">
        <f t="shared" si="15"/>
        <v>0</v>
      </c>
      <c r="N122" s="103"/>
      <c r="O122" s="103"/>
      <c r="P122" s="103"/>
      <c r="Q122" s="103"/>
      <c r="R122" s="182"/>
      <c r="S122" s="103"/>
      <c r="T122" s="6"/>
      <c r="U122" s="6"/>
      <c r="V122" s="6"/>
      <c r="W122" s="6"/>
      <c r="X122" s="6"/>
    </row>
    <row r="123" spans="1:24" x14ac:dyDescent="0.25">
      <c r="A123" s="30" t="s">
        <v>592</v>
      </c>
      <c r="B123" s="101" t="s">
        <v>614</v>
      </c>
      <c r="C123" s="150" t="s">
        <v>456</v>
      </c>
      <c r="D123" s="150"/>
      <c r="E123" s="150"/>
      <c r="F123" s="150" t="s">
        <v>615</v>
      </c>
      <c r="G123" s="30">
        <v>1.25</v>
      </c>
      <c r="H123" s="30">
        <v>1.3125</v>
      </c>
      <c r="I123" s="101">
        <f t="shared" si="13"/>
        <v>0.95238095238095233</v>
      </c>
      <c r="J123" s="30">
        <f t="shared" ref="J123:J128" si="16">1.5*52</f>
        <v>78</v>
      </c>
      <c r="K123" s="30">
        <f>3*30</f>
        <v>90</v>
      </c>
      <c r="L123" s="30">
        <f>I123*J123*K123</f>
        <v>6685.7142857142853</v>
      </c>
      <c r="M123" s="103">
        <f t="shared" si="15"/>
        <v>32.366004740374834</v>
      </c>
      <c r="N123" s="103"/>
      <c r="O123" s="103"/>
      <c r="P123" s="103"/>
      <c r="Q123" s="103"/>
      <c r="R123" s="182"/>
      <c r="S123" s="103"/>
      <c r="T123" s="6"/>
      <c r="U123" s="6"/>
      <c r="V123" s="6"/>
      <c r="W123" s="6"/>
      <c r="X123" s="6"/>
    </row>
    <row r="124" spans="1:24" x14ac:dyDescent="0.25">
      <c r="A124" s="150" t="s">
        <v>592</v>
      </c>
      <c r="B124" s="101" t="s">
        <v>616</v>
      </c>
      <c r="C124" s="150" t="s">
        <v>456</v>
      </c>
      <c r="D124" s="150"/>
      <c r="E124" s="150"/>
      <c r="F124" s="150" t="s">
        <v>617</v>
      </c>
      <c r="G124" s="30">
        <v>1.25</v>
      </c>
      <c r="H124" s="30">
        <v>1.3125</v>
      </c>
      <c r="I124" s="101">
        <f t="shared" si="13"/>
        <v>0.95238095238095233</v>
      </c>
      <c r="J124" s="30">
        <f t="shared" si="16"/>
        <v>78</v>
      </c>
      <c r="K124" s="30">
        <f t="shared" ref="K124:K129" si="17">3*30</f>
        <v>90</v>
      </c>
      <c r="L124" s="30">
        <f>I124*J124*K124</f>
        <v>6685.7142857142853</v>
      </c>
      <c r="M124" s="103">
        <f t="shared" si="15"/>
        <v>32.366004740374834</v>
      </c>
      <c r="N124" s="103"/>
      <c r="O124" s="103"/>
      <c r="P124" s="103"/>
      <c r="Q124" s="103"/>
      <c r="R124" s="182"/>
      <c r="S124" s="103"/>
      <c r="T124" s="6"/>
      <c r="U124" s="6"/>
      <c r="V124" s="6"/>
      <c r="W124" s="6"/>
      <c r="X124" s="6"/>
    </row>
    <row r="125" spans="1:24" x14ac:dyDescent="0.25">
      <c r="A125" s="150" t="s">
        <v>592</v>
      </c>
      <c r="B125" s="101" t="s">
        <v>618</v>
      </c>
      <c r="C125" s="150" t="s">
        <v>456</v>
      </c>
      <c r="D125" s="150"/>
      <c r="E125" s="150"/>
      <c r="F125" s="150" t="s">
        <v>619</v>
      </c>
      <c r="G125" s="30">
        <v>0.25</v>
      </c>
      <c r="H125" s="30">
        <v>1.3125</v>
      </c>
      <c r="I125" s="101">
        <f t="shared" si="13"/>
        <v>0.19047619047619047</v>
      </c>
      <c r="J125" s="30">
        <f t="shared" si="16"/>
        <v>78</v>
      </c>
      <c r="K125" s="30">
        <f t="shared" si="17"/>
        <v>90</v>
      </c>
      <c r="L125" s="30">
        <f>I125*J125*K125</f>
        <v>1337.1428571428571</v>
      </c>
      <c r="M125" s="103">
        <f t="shared" si="15"/>
        <v>6.4732009480749664</v>
      </c>
      <c r="N125" s="103"/>
      <c r="O125" s="103"/>
      <c r="P125" s="103"/>
      <c r="Q125" s="103"/>
      <c r="R125" s="182"/>
      <c r="S125" s="103"/>
      <c r="T125" s="6"/>
      <c r="U125" s="6"/>
      <c r="V125" s="6"/>
      <c r="W125" s="6"/>
      <c r="X125" s="6"/>
    </row>
    <row r="126" spans="1:24" x14ac:dyDescent="0.25">
      <c r="A126" s="30" t="s">
        <v>592</v>
      </c>
      <c r="B126" s="101" t="s">
        <v>620</v>
      </c>
      <c r="C126" s="150" t="s">
        <v>456</v>
      </c>
      <c r="D126" s="150"/>
      <c r="E126" s="150"/>
      <c r="F126" s="150" t="s">
        <v>621</v>
      </c>
      <c r="G126" s="30">
        <v>2.5</v>
      </c>
      <c r="H126" s="30">
        <v>1.3125</v>
      </c>
      <c r="I126" s="101">
        <f t="shared" si="13"/>
        <v>1.9047619047619047</v>
      </c>
      <c r="J126" s="30">
        <f t="shared" si="16"/>
        <v>78</v>
      </c>
      <c r="K126" s="30">
        <f t="shared" si="17"/>
        <v>90</v>
      </c>
      <c r="L126" s="30">
        <f>I126*J126*K126</f>
        <v>13371.428571428571</v>
      </c>
      <c r="M126" s="103">
        <f t="shared" si="15"/>
        <v>64.732009480749667</v>
      </c>
      <c r="N126" s="103"/>
      <c r="O126" s="103"/>
      <c r="P126" s="103"/>
      <c r="Q126" s="103"/>
      <c r="R126" s="182"/>
      <c r="S126" s="103"/>
      <c r="T126" s="6"/>
      <c r="U126" s="6"/>
      <c r="V126" s="6"/>
      <c r="W126" s="6"/>
      <c r="X126" s="6"/>
    </row>
    <row r="127" spans="1:24" x14ac:dyDescent="0.25">
      <c r="A127" s="30" t="s">
        <v>592</v>
      </c>
      <c r="B127" s="101" t="s">
        <v>610</v>
      </c>
      <c r="C127" s="150" t="s">
        <v>456</v>
      </c>
      <c r="D127" s="150"/>
      <c r="E127" s="150"/>
      <c r="F127" s="150" t="s">
        <v>611</v>
      </c>
      <c r="G127" s="30">
        <v>4</v>
      </c>
      <c r="H127" s="30">
        <v>1.3125</v>
      </c>
      <c r="I127" s="101">
        <f t="shared" si="13"/>
        <v>3.0476190476190474</v>
      </c>
      <c r="J127" s="30">
        <f t="shared" si="16"/>
        <v>78</v>
      </c>
      <c r="K127" s="30">
        <f t="shared" si="17"/>
        <v>90</v>
      </c>
      <c r="L127" s="30">
        <f>I127*J127*K127</f>
        <v>21394.285714285714</v>
      </c>
      <c r="M127" s="103">
        <f t="shared" si="15"/>
        <v>103.57121516919946</v>
      </c>
      <c r="N127" s="103"/>
      <c r="O127" s="103"/>
      <c r="P127" s="103"/>
      <c r="Q127" s="103"/>
      <c r="R127" s="182"/>
      <c r="S127" s="103"/>
      <c r="T127" s="6"/>
      <c r="U127" s="6"/>
      <c r="V127" s="6"/>
      <c r="W127" s="6"/>
      <c r="X127" s="6"/>
    </row>
    <row r="128" spans="1:24" x14ac:dyDescent="0.25">
      <c r="A128" s="30" t="s">
        <v>592</v>
      </c>
      <c r="B128" s="101" t="s">
        <v>620</v>
      </c>
      <c r="C128" s="150" t="s">
        <v>456</v>
      </c>
      <c r="D128" s="150"/>
      <c r="E128" s="150"/>
      <c r="F128" s="150" t="s">
        <v>621</v>
      </c>
      <c r="G128" s="30">
        <v>1.375</v>
      </c>
      <c r="H128" s="30">
        <v>1.3125</v>
      </c>
      <c r="I128" s="101">
        <f t="shared" si="13"/>
        <v>1.0476190476190477</v>
      </c>
      <c r="J128" s="30">
        <f t="shared" si="16"/>
        <v>78</v>
      </c>
      <c r="K128" s="30">
        <f t="shared" si="17"/>
        <v>90</v>
      </c>
      <c r="L128" s="30">
        <f t="shared" si="14"/>
        <v>7354.2857142857147</v>
      </c>
      <c r="M128" s="103">
        <f t="shared" si="15"/>
        <v>35.602605214412321</v>
      </c>
      <c r="N128" s="103"/>
      <c r="O128" s="103"/>
      <c r="P128" s="103"/>
      <c r="Q128" s="103"/>
      <c r="R128" s="182"/>
      <c r="S128" s="103"/>
      <c r="T128" s="6"/>
      <c r="U128" s="6"/>
      <c r="V128" s="6"/>
      <c r="W128" s="6"/>
      <c r="X128" s="6"/>
    </row>
    <row r="129" spans="1:24" x14ac:dyDescent="0.25">
      <c r="A129" s="30" t="s">
        <v>592</v>
      </c>
      <c r="B129" s="101" t="s">
        <v>610</v>
      </c>
      <c r="C129" s="150" t="s">
        <v>456</v>
      </c>
      <c r="D129" s="150"/>
      <c r="E129" s="150"/>
      <c r="F129" s="150" t="s">
        <v>611</v>
      </c>
      <c r="G129" s="30">
        <v>2.75</v>
      </c>
      <c r="H129" s="30">
        <v>1.3125</v>
      </c>
      <c r="I129" s="101">
        <f t="shared" si="13"/>
        <v>2.0952380952380953</v>
      </c>
      <c r="J129" s="30">
        <f>1.5*52</f>
        <v>78</v>
      </c>
      <c r="K129" s="30">
        <f t="shared" si="17"/>
        <v>90</v>
      </c>
      <c r="L129" s="30">
        <f t="shared" si="14"/>
        <v>14708.571428571429</v>
      </c>
      <c r="M129" s="103">
        <f t="shared" si="15"/>
        <v>71.205210428824643</v>
      </c>
      <c r="N129" s="103"/>
      <c r="O129" s="103"/>
      <c r="P129" s="103"/>
      <c r="Q129" s="103"/>
      <c r="R129" s="182"/>
      <c r="S129" s="103"/>
      <c r="T129" s="6"/>
      <c r="U129" s="6"/>
      <c r="V129" s="6"/>
      <c r="W129" s="6"/>
      <c r="X129" s="6"/>
    </row>
    <row r="130" spans="1:24" x14ac:dyDescent="0.25">
      <c r="A130" s="30" t="s">
        <v>592</v>
      </c>
      <c r="B130" s="30"/>
      <c r="C130" s="30"/>
      <c r="D130" s="30"/>
      <c r="E130" s="30"/>
      <c r="F130" s="30"/>
      <c r="G130" s="30"/>
      <c r="H130" s="30"/>
      <c r="I130" s="101">
        <f>SUM(I123:I127)</f>
        <v>7.0476190476190474</v>
      </c>
      <c r="J130" s="30"/>
      <c r="K130" s="30"/>
      <c r="L130" s="30"/>
      <c r="M130" s="103"/>
      <c r="N130" s="103"/>
      <c r="O130" s="103"/>
      <c r="P130" s="103"/>
      <c r="Q130" s="103"/>
      <c r="R130" s="182"/>
      <c r="S130" s="103"/>
      <c r="T130" s="6"/>
      <c r="U130" s="6"/>
      <c r="V130" s="6"/>
      <c r="W130" s="6"/>
      <c r="X130" s="6"/>
    </row>
    <row r="131" spans="1:24" x14ac:dyDescent="0.25">
      <c r="A131" s="30"/>
      <c r="B131" s="30"/>
      <c r="C131" s="30"/>
      <c r="D131" s="30"/>
      <c r="E131" s="30"/>
      <c r="F131" s="30"/>
      <c r="G131" s="30"/>
      <c r="H131" s="30"/>
      <c r="I131" s="30"/>
      <c r="J131" s="30"/>
      <c r="K131" s="30"/>
      <c r="L131" s="30"/>
      <c r="M131" s="103"/>
      <c r="N131" s="103"/>
      <c r="O131" s="103"/>
      <c r="P131" s="103"/>
      <c r="Q131" s="103"/>
      <c r="R131" s="182"/>
      <c r="S131" s="103"/>
      <c r="T131" s="6"/>
      <c r="U131" s="6"/>
      <c r="V131" s="6"/>
      <c r="W131" s="6"/>
      <c r="X131" s="6"/>
    </row>
    <row r="132" spans="1:24" x14ac:dyDescent="0.25">
      <c r="A132" s="101" t="s">
        <v>622</v>
      </c>
      <c r="B132" s="30"/>
      <c r="C132" s="30"/>
      <c r="D132" s="30"/>
      <c r="E132" s="30"/>
      <c r="F132" s="30"/>
      <c r="G132" s="30"/>
      <c r="H132" s="30"/>
      <c r="I132" s="30"/>
      <c r="J132" s="30"/>
      <c r="K132" s="30"/>
      <c r="L132" s="30"/>
      <c r="M132" s="103"/>
      <c r="N132" s="103"/>
      <c r="O132" s="103"/>
      <c r="P132" s="103"/>
      <c r="Q132" s="103"/>
      <c r="R132" s="182"/>
      <c r="S132" s="103"/>
      <c r="T132" s="6"/>
      <c r="U132" s="6"/>
      <c r="V132" s="6"/>
      <c r="W132" s="6"/>
      <c r="X132" s="6"/>
    </row>
    <row r="133" spans="1:24" x14ac:dyDescent="0.25">
      <c r="A133" s="30" t="s">
        <v>592</v>
      </c>
      <c r="B133" s="101" t="s">
        <v>623</v>
      </c>
      <c r="C133" s="101"/>
      <c r="D133" s="101"/>
      <c r="E133" s="101"/>
      <c r="F133" s="30"/>
      <c r="G133" s="30"/>
      <c r="H133" s="30"/>
      <c r="I133" s="30"/>
      <c r="J133" s="30"/>
      <c r="K133" s="30"/>
      <c r="L133" s="30"/>
      <c r="M133" s="103"/>
      <c r="N133" s="103"/>
      <c r="O133" s="103"/>
      <c r="P133" s="103"/>
      <c r="Q133" s="103"/>
      <c r="R133" s="182"/>
      <c r="S133" s="103"/>
      <c r="T133" s="6"/>
      <c r="U133" s="6"/>
      <c r="V133" s="6"/>
      <c r="W133" s="6"/>
      <c r="X133" s="6"/>
    </row>
    <row r="134" spans="1:24" x14ac:dyDescent="0.25">
      <c r="A134" s="30" t="s">
        <v>592</v>
      </c>
      <c r="B134" s="101" t="s">
        <v>624</v>
      </c>
      <c r="C134" s="101"/>
      <c r="D134" s="101"/>
      <c r="E134" s="101"/>
      <c r="F134" s="30"/>
      <c r="G134" s="30" t="s">
        <v>541</v>
      </c>
      <c r="H134" s="30" t="s">
        <v>542</v>
      </c>
      <c r="I134" s="30" t="s">
        <v>543</v>
      </c>
      <c r="J134" s="30" t="s">
        <v>544</v>
      </c>
      <c r="K134" s="30" t="s">
        <v>545</v>
      </c>
      <c r="L134" s="30" t="s">
        <v>546</v>
      </c>
      <c r="M134" s="103" t="s">
        <v>547</v>
      </c>
      <c r="N134" s="30"/>
      <c r="O134" s="30"/>
      <c r="P134" s="30"/>
      <c r="Q134" s="30"/>
      <c r="R134" s="180"/>
      <c r="S134" s="30"/>
      <c r="T134" s="6"/>
      <c r="U134" s="6"/>
      <c r="V134" s="6"/>
      <c r="W134" s="6"/>
      <c r="X134" s="6"/>
    </row>
    <row r="135" spans="1:24" x14ac:dyDescent="0.25">
      <c r="A135" s="30" t="s">
        <v>592</v>
      </c>
      <c r="B135" s="30" t="s">
        <v>600</v>
      </c>
      <c r="C135" s="150" t="s">
        <v>456</v>
      </c>
      <c r="D135" s="150"/>
      <c r="E135" s="150"/>
      <c r="F135" s="150" t="s">
        <v>596</v>
      </c>
      <c r="G135" s="30">
        <v>0.75</v>
      </c>
      <c r="H135" s="30">
        <v>1.3125</v>
      </c>
      <c r="I135" s="30">
        <f t="shared" ref="I135:I148" si="18">G135/H135</f>
        <v>0.5714285714285714</v>
      </c>
      <c r="J135" s="30">
        <v>0</v>
      </c>
      <c r="K135" s="30">
        <f t="shared" ref="K135:K143" si="19">4*30</f>
        <v>120</v>
      </c>
      <c r="L135" s="30">
        <f t="shared" ref="L135:L148" si="20">I135*J135*K135</f>
        <v>0</v>
      </c>
      <c r="M135" s="103">
        <f t="shared" ref="M135:M148" si="21">L135/$L$172</f>
        <v>0</v>
      </c>
      <c r="N135" s="103"/>
      <c r="O135" s="103"/>
      <c r="P135" s="103"/>
      <c r="Q135" s="103"/>
      <c r="R135" s="182"/>
      <c r="S135" s="103"/>
      <c r="T135" s="6"/>
      <c r="U135" s="6"/>
      <c r="V135" s="6"/>
      <c r="W135" s="6"/>
      <c r="X135" s="6"/>
    </row>
    <row r="136" spans="1:24" x14ac:dyDescent="0.25">
      <c r="A136" s="30" t="s">
        <v>592</v>
      </c>
      <c r="B136" s="30" t="s">
        <v>608</v>
      </c>
      <c r="C136" s="150" t="s">
        <v>456</v>
      </c>
      <c r="D136" s="150"/>
      <c r="E136" s="150"/>
      <c r="F136" s="150" t="s">
        <v>609</v>
      </c>
      <c r="G136" s="30">
        <v>0.125</v>
      </c>
      <c r="H136" s="30">
        <v>1.3125</v>
      </c>
      <c r="I136" s="30">
        <f t="shared" si="18"/>
        <v>9.5238095238095233E-2</v>
      </c>
      <c r="J136" s="30">
        <v>0</v>
      </c>
      <c r="K136" s="30">
        <f t="shared" si="19"/>
        <v>120</v>
      </c>
      <c r="L136" s="30">
        <f t="shared" si="20"/>
        <v>0</v>
      </c>
      <c r="M136" s="103">
        <f t="shared" si="21"/>
        <v>0</v>
      </c>
      <c r="N136" s="103"/>
      <c r="O136" s="103"/>
      <c r="P136" s="103"/>
      <c r="Q136" s="103"/>
      <c r="R136" s="182"/>
      <c r="S136" s="103"/>
      <c r="T136" s="6"/>
      <c r="U136" s="6"/>
      <c r="V136" s="6"/>
      <c r="W136" s="6"/>
      <c r="X136" s="6"/>
    </row>
    <row r="137" spans="1:24" x14ac:dyDescent="0.25">
      <c r="A137" s="30" t="s">
        <v>592</v>
      </c>
      <c r="B137" s="30" t="s">
        <v>610</v>
      </c>
      <c r="C137" s="150" t="s">
        <v>456</v>
      </c>
      <c r="D137" s="150"/>
      <c r="E137" s="150"/>
      <c r="F137" s="150" t="s">
        <v>611</v>
      </c>
      <c r="G137" s="30">
        <v>0.25</v>
      </c>
      <c r="H137" s="30">
        <v>1.3125</v>
      </c>
      <c r="I137" s="30">
        <f t="shared" si="18"/>
        <v>0.19047619047619047</v>
      </c>
      <c r="J137" s="30">
        <v>0</v>
      </c>
      <c r="K137" s="30">
        <f t="shared" si="19"/>
        <v>120</v>
      </c>
      <c r="L137" s="30">
        <f t="shared" si="20"/>
        <v>0</v>
      </c>
      <c r="M137" s="103">
        <f t="shared" si="21"/>
        <v>0</v>
      </c>
      <c r="N137" s="103"/>
      <c r="O137" s="103"/>
      <c r="P137" s="103"/>
      <c r="Q137" s="103"/>
      <c r="R137" s="182"/>
      <c r="S137" s="103"/>
      <c r="T137" s="6"/>
      <c r="U137" s="6"/>
      <c r="V137" s="6"/>
      <c r="W137" s="6"/>
      <c r="X137" s="6"/>
    </row>
    <row r="138" spans="1:24" x14ac:dyDescent="0.25">
      <c r="A138" s="30" t="s">
        <v>592</v>
      </c>
      <c r="B138" s="30" t="s">
        <v>612</v>
      </c>
      <c r="C138" s="150" t="s">
        <v>456</v>
      </c>
      <c r="D138" s="150"/>
      <c r="E138" s="150"/>
      <c r="F138" s="150" t="s">
        <v>613</v>
      </c>
      <c r="G138" s="30">
        <v>4.625</v>
      </c>
      <c r="H138" s="30">
        <v>1.3125</v>
      </c>
      <c r="I138" s="30">
        <f t="shared" si="18"/>
        <v>3.5238095238095237</v>
      </c>
      <c r="J138" s="30">
        <v>0</v>
      </c>
      <c r="K138" s="30">
        <f t="shared" si="19"/>
        <v>120</v>
      </c>
      <c r="L138" s="30">
        <f t="shared" si="20"/>
        <v>0</v>
      </c>
      <c r="M138" s="103">
        <f t="shared" si="21"/>
        <v>0</v>
      </c>
      <c r="N138" s="103"/>
      <c r="O138" s="103"/>
      <c r="P138" s="103"/>
      <c r="Q138" s="103"/>
      <c r="R138" s="182"/>
      <c r="S138" s="103"/>
      <c r="T138" s="6"/>
      <c r="U138" s="6"/>
      <c r="V138" s="6"/>
      <c r="W138" s="6"/>
      <c r="X138" s="6"/>
    </row>
    <row r="139" spans="1:24" x14ac:dyDescent="0.25">
      <c r="A139" s="30" t="s">
        <v>592</v>
      </c>
      <c r="B139" s="30" t="s">
        <v>616</v>
      </c>
      <c r="C139" s="150" t="s">
        <v>456</v>
      </c>
      <c r="D139" s="150"/>
      <c r="E139" s="150"/>
      <c r="F139" s="150" t="s">
        <v>617</v>
      </c>
      <c r="G139" s="30">
        <v>1.25</v>
      </c>
      <c r="H139" s="30">
        <v>1.3125</v>
      </c>
      <c r="I139" s="30">
        <f t="shared" si="18"/>
        <v>0.95238095238095233</v>
      </c>
      <c r="J139" s="30">
        <v>0</v>
      </c>
      <c r="K139" s="30">
        <f t="shared" si="19"/>
        <v>120</v>
      </c>
      <c r="L139" s="30">
        <f t="shared" si="20"/>
        <v>0</v>
      </c>
      <c r="M139" s="103">
        <f t="shared" si="21"/>
        <v>0</v>
      </c>
      <c r="N139" s="103"/>
      <c r="O139" s="103"/>
      <c r="P139" s="103"/>
      <c r="Q139" s="103"/>
      <c r="R139" s="182"/>
      <c r="S139" s="103"/>
      <c r="T139" s="6"/>
      <c r="U139" s="6"/>
      <c r="V139" s="6"/>
      <c r="W139" s="6"/>
      <c r="X139" s="6"/>
    </row>
    <row r="140" spans="1:24" x14ac:dyDescent="0.25">
      <c r="A140" s="30" t="s">
        <v>592</v>
      </c>
      <c r="B140" s="30" t="s">
        <v>618</v>
      </c>
      <c r="C140" s="150" t="s">
        <v>456</v>
      </c>
      <c r="D140" s="150"/>
      <c r="E140" s="150"/>
      <c r="F140" s="150" t="s">
        <v>619</v>
      </c>
      <c r="G140" s="30">
        <v>4</v>
      </c>
      <c r="H140" s="30">
        <v>1.3125</v>
      </c>
      <c r="I140" s="30">
        <f t="shared" si="18"/>
        <v>3.0476190476190474</v>
      </c>
      <c r="J140" s="30">
        <v>0</v>
      </c>
      <c r="K140" s="30">
        <f t="shared" si="19"/>
        <v>120</v>
      </c>
      <c r="L140" s="30">
        <f t="shared" si="20"/>
        <v>0</v>
      </c>
      <c r="M140" s="103">
        <f t="shared" si="21"/>
        <v>0</v>
      </c>
      <c r="N140" s="103"/>
      <c r="O140" s="103"/>
      <c r="P140" s="103"/>
      <c r="Q140" s="103"/>
      <c r="R140" s="182"/>
      <c r="S140" s="103"/>
      <c r="T140" s="6"/>
      <c r="U140" s="6"/>
      <c r="V140" s="6"/>
      <c r="W140" s="6"/>
      <c r="X140" s="6"/>
    </row>
    <row r="141" spans="1:24" x14ac:dyDescent="0.25">
      <c r="A141" s="30" t="s">
        <v>592</v>
      </c>
      <c r="B141" s="30" t="s">
        <v>625</v>
      </c>
      <c r="C141" s="150" t="s">
        <v>456</v>
      </c>
      <c r="D141" s="150"/>
      <c r="E141" s="150"/>
      <c r="F141" s="150" t="s">
        <v>626</v>
      </c>
      <c r="G141" s="30">
        <v>2</v>
      </c>
      <c r="H141" s="30">
        <v>1.3125</v>
      </c>
      <c r="I141" s="30">
        <f t="shared" si="18"/>
        <v>1.5238095238095237</v>
      </c>
      <c r="J141" s="30">
        <v>0</v>
      </c>
      <c r="K141" s="30">
        <f t="shared" si="19"/>
        <v>120</v>
      </c>
      <c r="L141" s="30">
        <f t="shared" si="20"/>
        <v>0</v>
      </c>
      <c r="M141" s="103">
        <f t="shared" si="21"/>
        <v>0</v>
      </c>
      <c r="N141" s="103"/>
      <c r="O141" s="103"/>
      <c r="P141" s="103"/>
      <c r="Q141" s="103"/>
      <c r="R141" s="182"/>
      <c r="S141" s="103"/>
      <c r="T141" s="6"/>
      <c r="U141" s="6"/>
      <c r="V141" s="6"/>
      <c r="W141" s="6"/>
      <c r="X141" s="6"/>
    </row>
    <row r="142" spans="1:24" x14ac:dyDescent="0.25">
      <c r="A142" s="30" t="s">
        <v>592</v>
      </c>
      <c r="B142" s="30" t="s">
        <v>627</v>
      </c>
      <c r="C142" s="150" t="s">
        <v>456</v>
      </c>
      <c r="D142" s="150"/>
      <c r="E142" s="150"/>
      <c r="F142" s="150" t="s">
        <v>628</v>
      </c>
      <c r="G142" s="30">
        <v>2.5</v>
      </c>
      <c r="H142" s="30">
        <v>1.3125</v>
      </c>
      <c r="I142" s="30">
        <f t="shared" si="18"/>
        <v>1.9047619047619047</v>
      </c>
      <c r="J142" s="30">
        <v>0</v>
      </c>
      <c r="K142" s="30">
        <f t="shared" si="19"/>
        <v>120</v>
      </c>
      <c r="L142" s="30">
        <f t="shared" si="20"/>
        <v>0</v>
      </c>
      <c r="M142" s="103">
        <f t="shared" si="21"/>
        <v>0</v>
      </c>
      <c r="N142" s="103"/>
      <c r="O142" s="103"/>
      <c r="P142" s="103"/>
      <c r="Q142" s="103"/>
      <c r="R142" s="182"/>
      <c r="S142" s="103"/>
      <c r="T142" s="6"/>
      <c r="U142" s="6"/>
      <c r="V142" s="6"/>
      <c r="W142" s="6"/>
      <c r="X142" s="6"/>
    </row>
    <row r="143" spans="1:24" x14ac:dyDescent="0.25">
      <c r="A143" s="30" t="s">
        <v>592</v>
      </c>
      <c r="B143" s="30" t="s">
        <v>629</v>
      </c>
      <c r="C143" s="150" t="s">
        <v>456</v>
      </c>
      <c r="D143" s="150"/>
      <c r="E143" s="150"/>
      <c r="F143" s="150" t="s">
        <v>630</v>
      </c>
      <c r="G143" s="30">
        <v>0.75</v>
      </c>
      <c r="H143" s="30">
        <v>1.3125</v>
      </c>
      <c r="I143" s="30">
        <f t="shared" si="18"/>
        <v>0.5714285714285714</v>
      </c>
      <c r="J143" s="30">
        <v>0</v>
      </c>
      <c r="K143" s="30">
        <f t="shared" si="19"/>
        <v>120</v>
      </c>
      <c r="L143" s="30">
        <f t="shared" si="20"/>
        <v>0</v>
      </c>
      <c r="M143" s="103">
        <f t="shared" si="21"/>
        <v>0</v>
      </c>
      <c r="N143" s="103"/>
      <c r="O143" s="103"/>
      <c r="P143" s="103"/>
      <c r="Q143" s="103"/>
      <c r="R143" s="182"/>
      <c r="S143" s="103"/>
      <c r="T143" s="6"/>
      <c r="U143" s="6"/>
      <c r="V143" s="6"/>
      <c r="W143" s="6"/>
      <c r="X143" s="6"/>
    </row>
    <row r="144" spans="1:24" x14ac:dyDescent="0.25">
      <c r="A144" s="30" t="s">
        <v>592</v>
      </c>
      <c r="B144" s="101" t="s">
        <v>631</v>
      </c>
      <c r="C144" s="150" t="s">
        <v>456</v>
      </c>
      <c r="D144" s="150"/>
      <c r="E144" s="150"/>
      <c r="F144" s="150" t="s">
        <v>632</v>
      </c>
      <c r="G144" s="101">
        <v>1.5</v>
      </c>
      <c r="H144" s="30">
        <v>1.3125</v>
      </c>
      <c r="I144" s="101">
        <f t="shared" si="18"/>
        <v>1.1428571428571428</v>
      </c>
      <c r="J144" s="30">
        <f>1.5*52</f>
        <v>78</v>
      </c>
      <c r="K144" s="30">
        <f>4*30</f>
        <v>120</v>
      </c>
      <c r="L144" s="30">
        <f t="shared" si="20"/>
        <v>10697.142857142857</v>
      </c>
      <c r="M144" s="103">
        <f t="shared" si="21"/>
        <v>51.785607584599731</v>
      </c>
      <c r="N144" s="103"/>
      <c r="O144" s="103"/>
      <c r="P144" s="103"/>
      <c r="Q144" s="103"/>
      <c r="R144" s="182"/>
      <c r="S144" s="103"/>
      <c r="T144" s="6"/>
      <c r="U144" s="6"/>
      <c r="V144" s="6"/>
      <c r="W144" s="6"/>
      <c r="X144" s="6"/>
    </row>
    <row r="145" spans="1:24" x14ac:dyDescent="0.25">
      <c r="A145" s="30" t="s">
        <v>592</v>
      </c>
      <c r="B145" s="101" t="s">
        <v>629</v>
      </c>
      <c r="C145" s="150" t="s">
        <v>456</v>
      </c>
      <c r="D145" s="150"/>
      <c r="E145" s="150"/>
      <c r="F145" s="150" t="s">
        <v>630</v>
      </c>
      <c r="G145" s="101">
        <v>0.625</v>
      </c>
      <c r="H145" s="30">
        <v>1.3125</v>
      </c>
      <c r="I145" s="101">
        <f t="shared" si="18"/>
        <v>0.47619047619047616</v>
      </c>
      <c r="J145" s="30">
        <f>1.5*52</f>
        <v>78</v>
      </c>
      <c r="K145" s="30">
        <f>4*30</f>
        <v>120</v>
      </c>
      <c r="L145" s="30">
        <f t="shared" si="20"/>
        <v>4457.1428571428569</v>
      </c>
      <c r="M145" s="103">
        <f t="shared" si="21"/>
        <v>21.577336493583221</v>
      </c>
      <c r="N145" s="103"/>
      <c r="O145" s="103"/>
      <c r="P145" s="103"/>
      <c r="Q145" s="103"/>
      <c r="R145" s="182"/>
      <c r="S145" s="103"/>
      <c r="T145" s="6"/>
      <c r="U145" s="6"/>
      <c r="V145" s="6"/>
      <c r="W145" s="6"/>
      <c r="X145" s="6"/>
    </row>
    <row r="146" spans="1:24" x14ac:dyDescent="0.25">
      <c r="A146" s="30" t="s">
        <v>592</v>
      </c>
      <c r="B146" s="101" t="s">
        <v>633</v>
      </c>
      <c r="C146" s="150" t="s">
        <v>456</v>
      </c>
      <c r="D146" s="150"/>
      <c r="E146" s="150"/>
      <c r="F146" s="150" t="s">
        <v>634</v>
      </c>
      <c r="G146" s="101">
        <v>5.5</v>
      </c>
      <c r="H146" s="30">
        <v>1.3125</v>
      </c>
      <c r="I146" s="101">
        <f t="shared" si="18"/>
        <v>4.1904761904761907</v>
      </c>
      <c r="J146" s="30">
        <f>1.5*52</f>
        <v>78</v>
      </c>
      <c r="K146" s="30">
        <f>4*30</f>
        <v>120</v>
      </c>
      <c r="L146" s="30">
        <f t="shared" si="20"/>
        <v>39222.857142857145</v>
      </c>
      <c r="M146" s="103">
        <f t="shared" si="21"/>
        <v>189.88056114353236</v>
      </c>
      <c r="N146" s="103"/>
      <c r="O146" s="103"/>
      <c r="P146" s="103"/>
      <c r="Q146" s="103"/>
      <c r="R146" s="182"/>
      <c r="S146" s="103"/>
      <c r="T146" s="6"/>
      <c r="U146" s="6"/>
      <c r="V146" s="6"/>
      <c r="W146" s="6"/>
      <c r="X146" s="6"/>
    </row>
    <row r="147" spans="1:24" x14ac:dyDescent="0.25">
      <c r="A147" s="30" t="s">
        <v>592</v>
      </c>
      <c r="B147" s="101" t="s">
        <v>635</v>
      </c>
      <c r="C147" s="150" t="s">
        <v>456</v>
      </c>
      <c r="D147" s="150"/>
      <c r="E147" s="150"/>
      <c r="F147" s="150" t="s">
        <v>636</v>
      </c>
      <c r="G147" s="101">
        <v>3.625</v>
      </c>
      <c r="H147" s="30">
        <v>1.3125</v>
      </c>
      <c r="I147" s="101">
        <f t="shared" si="18"/>
        <v>2.7619047619047619</v>
      </c>
      <c r="J147" s="30">
        <f>1.5*52</f>
        <v>78</v>
      </c>
      <c r="K147" s="30">
        <f>4*30</f>
        <v>120</v>
      </c>
      <c r="L147" s="30">
        <f t="shared" si="20"/>
        <v>25851.428571428569</v>
      </c>
      <c r="M147" s="103">
        <f t="shared" si="21"/>
        <v>125.14855166278268</v>
      </c>
      <c r="N147" s="103"/>
      <c r="O147" s="103"/>
      <c r="P147" s="103"/>
      <c r="Q147" s="103"/>
      <c r="R147" s="182"/>
      <c r="S147" s="103"/>
      <c r="T147" s="6"/>
      <c r="U147" s="6"/>
      <c r="V147" s="6"/>
      <c r="W147" s="6"/>
      <c r="X147" s="6"/>
    </row>
    <row r="148" spans="1:24" x14ac:dyDescent="0.25">
      <c r="A148" s="30" t="s">
        <v>592</v>
      </c>
      <c r="B148" s="101" t="s">
        <v>637</v>
      </c>
      <c r="C148" s="198" t="s">
        <v>446</v>
      </c>
      <c r="D148" s="198"/>
      <c r="E148" s="198"/>
      <c r="F148" s="150" t="s">
        <v>638</v>
      </c>
      <c r="G148" s="101">
        <v>0.67</v>
      </c>
      <c r="H148" s="30">
        <v>1.3125</v>
      </c>
      <c r="I148" s="101">
        <f t="shared" si="18"/>
        <v>0.51047619047619053</v>
      </c>
      <c r="J148" s="30">
        <f>1.5*52</f>
        <v>78</v>
      </c>
      <c r="K148" s="30">
        <f>4*30</f>
        <v>120</v>
      </c>
      <c r="L148" s="30">
        <f t="shared" si="20"/>
        <v>4778.0571428571438</v>
      </c>
      <c r="M148" s="103">
        <f t="shared" si="21"/>
        <v>23.130904721121219</v>
      </c>
      <c r="N148" s="103"/>
      <c r="O148" s="103"/>
      <c r="P148" s="103"/>
      <c r="Q148" s="103"/>
      <c r="R148" s="182"/>
      <c r="S148" s="103"/>
      <c r="T148" s="6"/>
      <c r="U148" s="6"/>
      <c r="V148" s="6"/>
      <c r="W148" s="6"/>
      <c r="X148" s="6"/>
    </row>
    <row r="149" spans="1:24" x14ac:dyDescent="0.25">
      <c r="A149" s="30" t="s">
        <v>592</v>
      </c>
      <c r="B149" s="30"/>
      <c r="C149" s="30"/>
      <c r="D149" s="30"/>
      <c r="E149" s="30"/>
      <c r="F149" s="30"/>
      <c r="G149" s="30">
        <f>SUM(G147:G148)</f>
        <v>4.2949999999999999</v>
      </c>
      <c r="H149" s="30"/>
      <c r="I149" s="101">
        <f>SUM(I144:I148)</f>
        <v>9.081904761904763</v>
      </c>
      <c r="J149" s="30"/>
      <c r="K149" s="30"/>
      <c r="L149" s="30"/>
      <c r="M149" s="103"/>
      <c r="N149" s="103"/>
      <c r="O149" s="103"/>
      <c r="P149" s="103"/>
      <c r="Q149" s="103"/>
      <c r="R149" s="182"/>
      <c r="S149" s="103"/>
      <c r="T149" s="6"/>
      <c r="U149" s="6"/>
      <c r="V149" s="6"/>
      <c r="W149" s="6"/>
      <c r="X149" s="6"/>
    </row>
    <row r="150" spans="1:24" x14ac:dyDescent="0.25">
      <c r="A150" s="30"/>
      <c r="B150" s="30"/>
      <c r="C150" s="30"/>
      <c r="D150" s="30"/>
      <c r="E150" s="30"/>
      <c r="F150" s="30"/>
      <c r="G150" s="30"/>
      <c r="H150" s="30"/>
      <c r="I150" s="30"/>
      <c r="J150" s="30"/>
      <c r="K150" s="30"/>
      <c r="L150" s="30"/>
      <c r="M150" s="103"/>
      <c r="N150" s="103"/>
      <c r="O150" s="103"/>
      <c r="P150" s="103"/>
      <c r="Q150" s="103"/>
      <c r="R150" s="182"/>
      <c r="S150" s="103"/>
      <c r="T150" s="6"/>
      <c r="U150" s="6"/>
      <c r="V150" s="6"/>
      <c r="W150" s="6"/>
      <c r="X150" s="6"/>
    </row>
    <row r="151" spans="1:24" x14ac:dyDescent="0.25">
      <c r="A151" s="101" t="s">
        <v>622</v>
      </c>
      <c r="B151" s="101"/>
      <c r="C151" s="101"/>
      <c r="D151" s="101"/>
      <c r="E151" s="101"/>
      <c r="F151" s="30"/>
      <c r="G151" s="30"/>
      <c r="H151" s="30"/>
      <c r="I151" s="30"/>
      <c r="J151" s="30"/>
      <c r="K151" s="30"/>
      <c r="L151" s="30"/>
      <c r="M151" s="103"/>
      <c r="N151" s="103"/>
      <c r="O151" s="103"/>
      <c r="P151" s="103"/>
      <c r="Q151" s="103"/>
      <c r="R151" s="182"/>
      <c r="S151" s="103"/>
      <c r="T151" s="6"/>
      <c r="U151" s="6"/>
      <c r="V151" s="6"/>
      <c r="W151" s="6"/>
      <c r="X151" s="6"/>
    </row>
    <row r="152" spans="1:24" x14ac:dyDescent="0.25">
      <c r="A152" s="30" t="s">
        <v>592</v>
      </c>
      <c r="B152" s="101" t="s">
        <v>623</v>
      </c>
      <c r="C152" s="101"/>
      <c r="D152" s="101"/>
      <c r="E152" s="101"/>
      <c r="F152" s="30"/>
      <c r="G152" s="30"/>
      <c r="H152" s="30"/>
      <c r="I152" s="30"/>
      <c r="J152" s="30"/>
      <c r="K152" s="30"/>
      <c r="L152" s="30"/>
      <c r="M152" s="103"/>
      <c r="N152" s="103"/>
      <c r="O152" s="103"/>
      <c r="P152" s="103"/>
      <c r="Q152" s="103"/>
      <c r="R152" s="182"/>
      <c r="S152" s="103"/>
      <c r="T152" s="6"/>
      <c r="U152" s="6"/>
      <c r="V152" s="6"/>
      <c r="W152" s="6"/>
      <c r="X152" s="6"/>
    </row>
    <row r="153" spans="1:24" x14ac:dyDescent="0.25">
      <c r="A153" s="30" t="s">
        <v>592</v>
      </c>
      <c r="B153" s="101" t="s">
        <v>624</v>
      </c>
      <c r="C153" s="101"/>
      <c r="D153" s="101"/>
      <c r="E153" s="101"/>
      <c r="F153" s="30"/>
      <c r="G153" s="30" t="s">
        <v>541</v>
      </c>
      <c r="H153" s="30" t="s">
        <v>639</v>
      </c>
      <c r="I153" s="30" t="s">
        <v>543</v>
      </c>
      <c r="J153" s="30" t="s">
        <v>544</v>
      </c>
      <c r="K153" s="30" t="s">
        <v>545</v>
      </c>
      <c r="L153" s="30" t="s">
        <v>546</v>
      </c>
      <c r="M153" s="103" t="s">
        <v>547</v>
      </c>
      <c r="N153" s="30"/>
      <c r="O153" s="30"/>
      <c r="P153" s="30"/>
      <c r="Q153" s="30"/>
      <c r="R153" s="180"/>
      <c r="S153" s="30"/>
      <c r="T153" s="6"/>
      <c r="U153" s="6"/>
      <c r="V153" s="6"/>
      <c r="W153" s="6"/>
      <c r="X153" s="6"/>
    </row>
    <row r="154" spans="1:24" x14ac:dyDescent="0.25">
      <c r="A154" s="30" t="s">
        <v>592</v>
      </c>
      <c r="B154" s="30" t="s">
        <v>600</v>
      </c>
      <c r="C154" s="150" t="s">
        <v>456</v>
      </c>
      <c r="D154" s="150"/>
      <c r="E154" s="150"/>
      <c r="F154" s="150" t="s">
        <v>596</v>
      </c>
      <c r="G154" s="30">
        <v>0.75</v>
      </c>
      <c r="H154" s="30">
        <v>1.3125</v>
      </c>
      <c r="I154" s="30">
        <f t="shared" ref="I154:I167" si="22">G154/H154</f>
        <v>0.5714285714285714</v>
      </c>
      <c r="J154" s="30">
        <v>0</v>
      </c>
      <c r="K154" s="30">
        <f t="shared" ref="K154:K167" si="23">4*100</f>
        <v>400</v>
      </c>
      <c r="L154" s="30">
        <f t="shared" ref="L154:L167" si="24">I154*J154*K154</f>
        <v>0</v>
      </c>
      <c r="M154" s="103">
        <f t="shared" ref="M154:M168" si="25">L154/$L$172</f>
        <v>0</v>
      </c>
      <c r="N154" s="103"/>
      <c r="O154" s="103"/>
      <c r="P154" s="103"/>
      <c r="Q154" s="103"/>
      <c r="R154" s="182"/>
      <c r="S154" s="103"/>
      <c r="T154" s="6"/>
      <c r="U154" s="6"/>
      <c r="V154" s="6"/>
      <c r="W154" s="6"/>
      <c r="X154" s="6"/>
    </row>
    <row r="155" spans="1:24" x14ac:dyDescent="0.25">
      <c r="A155" s="30" t="s">
        <v>592</v>
      </c>
      <c r="B155" s="30" t="s">
        <v>608</v>
      </c>
      <c r="C155" s="150" t="s">
        <v>456</v>
      </c>
      <c r="D155" s="150"/>
      <c r="E155" s="150"/>
      <c r="F155" s="150" t="s">
        <v>609</v>
      </c>
      <c r="G155" s="30">
        <v>0.125</v>
      </c>
      <c r="H155" s="30">
        <v>1.3125</v>
      </c>
      <c r="I155" s="30">
        <f t="shared" si="22"/>
        <v>9.5238095238095233E-2</v>
      </c>
      <c r="J155" s="30">
        <v>0</v>
      </c>
      <c r="K155" s="30">
        <f t="shared" si="23"/>
        <v>400</v>
      </c>
      <c r="L155" s="30">
        <f t="shared" si="24"/>
        <v>0</v>
      </c>
      <c r="M155" s="103">
        <f t="shared" si="25"/>
        <v>0</v>
      </c>
      <c r="N155" s="103"/>
      <c r="O155" s="103"/>
      <c r="P155" s="103"/>
      <c r="Q155" s="103"/>
      <c r="R155" s="182"/>
      <c r="S155" s="103"/>
      <c r="T155" s="6"/>
      <c r="U155" s="6"/>
      <c r="V155" s="6"/>
      <c r="W155" s="6"/>
      <c r="X155" s="6"/>
    </row>
    <row r="156" spans="1:24" x14ac:dyDescent="0.25">
      <c r="A156" s="30" t="s">
        <v>592</v>
      </c>
      <c r="B156" s="30" t="s">
        <v>610</v>
      </c>
      <c r="C156" s="150" t="s">
        <v>456</v>
      </c>
      <c r="D156" s="150"/>
      <c r="E156" s="150"/>
      <c r="F156" s="150" t="s">
        <v>611</v>
      </c>
      <c r="G156" s="30">
        <v>0.25</v>
      </c>
      <c r="H156" s="30">
        <v>1.3125</v>
      </c>
      <c r="I156" s="30">
        <f t="shared" si="22"/>
        <v>0.19047619047619047</v>
      </c>
      <c r="J156" s="30">
        <v>0</v>
      </c>
      <c r="K156" s="30">
        <f t="shared" si="23"/>
        <v>400</v>
      </c>
      <c r="L156" s="30">
        <f t="shared" si="24"/>
        <v>0</v>
      </c>
      <c r="M156" s="103">
        <f t="shared" si="25"/>
        <v>0</v>
      </c>
      <c r="N156" s="103"/>
      <c r="O156" s="103"/>
      <c r="P156" s="103"/>
      <c r="Q156" s="103"/>
      <c r="R156" s="182"/>
      <c r="S156" s="103"/>
      <c r="T156" s="6"/>
      <c r="U156" s="6"/>
      <c r="V156" s="6"/>
      <c r="W156" s="6"/>
      <c r="X156" s="6"/>
    </row>
    <row r="157" spans="1:24" x14ac:dyDescent="0.25">
      <c r="A157" s="30" t="s">
        <v>592</v>
      </c>
      <c r="B157" s="30" t="s">
        <v>612</v>
      </c>
      <c r="C157" s="150" t="s">
        <v>456</v>
      </c>
      <c r="D157" s="150"/>
      <c r="E157" s="150"/>
      <c r="F157" s="150" t="s">
        <v>613</v>
      </c>
      <c r="G157" s="30">
        <v>4.625</v>
      </c>
      <c r="H157" s="30">
        <v>1.3125</v>
      </c>
      <c r="I157" s="30">
        <f t="shared" si="22"/>
        <v>3.5238095238095237</v>
      </c>
      <c r="J157" s="30">
        <v>0</v>
      </c>
      <c r="K157" s="30">
        <f t="shared" si="23"/>
        <v>400</v>
      </c>
      <c r="L157" s="30">
        <f t="shared" si="24"/>
        <v>0</v>
      </c>
      <c r="M157" s="103">
        <f t="shared" si="25"/>
        <v>0</v>
      </c>
      <c r="N157" s="103"/>
      <c r="O157" s="103"/>
      <c r="P157" s="103"/>
      <c r="Q157" s="103"/>
      <c r="R157" s="182"/>
      <c r="S157" s="103"/>
      <c r="T157" s="6"/>
      <c r="U157" s="6"/>
      <c r="V157" s="6"/>
      <c r="W157" s="6"/>
      <c r="X157" s="6"/>
    </row>
    <row r="158" spans="1:24" x14ac:dyDescent="0.25">
      <c r="A158" s="30" t="s">
        <v>592</v>
      </c>
      <c r="B158" s="30" t="s">
        <v>616</v>
      </c>
      <c r="C158" s="150" t="s">
        <v>456</v>
      </c>
      <c r="D158" s="150"/>
      <c r="E158" s="150"/>
      <c r="F158" s="150" t="s">
        <v>617</v>
      </c>
      <c r="G158" s="30">
        <v>1.25</v>
      </c>
      <c r="H158" s="30">
        <v>1.3125</v>
      </c>
      <c r="I158" s="30">
        <f t="shared" si="22"/>
        <v>0.95238095238095233</v>
      </c>
      <c r="J158" s="30">
        <v>0</v>
      </c>
      <c r="K158" s="30">
        <f t="shared" si="23"/>
        <v>400</v>
      </c>
      <c r="L158" s="30">
        <f t="shared" si="24"/>
        <v>0</v>
      </c>
      <c r="M158" s="103">
        <f t="shared" si="25"/>
        <v>0</v>
      </c>
      <c r="N158" s="103"/>
      <c r="O158" s="103"/>
      <c r="P158" s="103"/>
      <c r="Q158" s="103"/>
      <c r="R158" s="182"/>
      <c r="S158" s="103"/>
      <c r="T158" s="6"/>
      <c r="U158" s="6"/>
      <c r="V158" s="6"/>
      <c r="W158" s="6"/>
      <c r="X158" s="6"/>
    </row>
    <row r="159" spans="1:24" x14ac:dyDescent="0.25">
      <c r="A159" s="30" t="s">
        <v>592</v>
      </c>
      <c r="B159" s="30" t="s">
        <v>618</v>
      </c>
      <c r="C159" s="150" t="s">
        <v>456</v>
      </c>
      <c r="D159" s="150"/>
      <c r="E159" s="150"/>
      <c r="F159" s="150" t="s">
        <v>619</v>
      </c>
      <c r="G159" s="30">
        <v>4</v>
      </c>
      <c r="H159" s="30">
        <v>1.3125</v>
      </c>
      <c r="I159" s="30">
        <f t="shared" si="22"/>
        <v>3.0476190476190474</v>
      </c>
      <c r="J159" s="30">
        <v>0</v>
      </c>
      <c r="K159" s="30">
        <f t="shared" si="23"/>
        <v>400</v>
      </c>
      <c r="L159" s="30">
        <f t="shared" si="24"/>
        <v>0</v>
      </c>
      <c r="M159" s="103">
        <f t="shared" si="25"/>
        <v>0</v>
      </c>
      <c r="N159" s="103"/>
      <c r="O159" s="103"/>
      <c r="P159" s="103"/>
      <c r="Q159" s="103"/>
      <c r="R159" s="182"/>
      <c r="S159" s="103"/>
      <c r="T159" s="6"/>
      <c r="U159" s="6"/>
      <c r="V159" s="6"/>
      <c r="W159" s="6"/>
      <c r="X159" s="6"/>
    </row>
    <row r="160" spans="1:24" x14ac:dyDescent="0.25">
      <c r="A160" s="30" t="s">
        <v>592</v>
      </c>
      <c r="B160" s="30" t="s">
        <v>625</v>
      </c>
      <c r="C160" s="150" t="s">
        <v>456</v>
      </c>
      <c r="D160" s="150"/>
      <c r="E160" s="150"/>
      <c r="F160" s="150" t="s">
        <v>626</v>
      </c>
      <c r="G160" s="30">
        <v>2</v>
      </c>
      <c r="H160" s="30">
        <v>1.3125</v>
      </c>
      <c r="I160" s="30">
        <f t="shared" si="22"/>
        <v>1.5238095238095237</v>
      </c>
      <c r="J160" s="30">
        <v>0</v>
      </c>
      <c r="K160" s="30">
        <f t="shared" si="23"/>
        <v>400</v>
      </c>
      <c r="L160" s="30">
        <f t="shared" si="24"/>
        <v>0</v>
      </c>
      <c r="M160" s="103">
        <f t="shared" si="25"/>
        <v>0</v>
      </c>
      <c r="N160" s="103"/>
      <c r="O160" s="103"/>
      <c r="P160" s="103"/>
      <c r="Q160" s="103"/>
      <c r="R160" s="182"/>
      <c r="S160" s="103"/>
      <c r="T160" s="6"/>
      <c r="U160" s="6"/>
      <c r="V160" s="6"/>
      <c r="W160" s="6"/>
      <c r="X160" s="6"/>
    </row>
    <row r="161" spans="1:24" x14ac:dyDescent="0.25">
      <c r="A161" s="30" t="s">
        <v>592</v>
      </c>
      <c r="B161" s="30" t="s">
        <v>627</v>
      </c>
      <c r="C161" s="150" t="s">
        <v>456</v>
      </c>
      <c r="D161" s="150"/>
      <c r="E161" s="150"/>
      <c r="F161" s="150" t="s">
        <v>628</v>
      </c>
      <c r="G161" s="30">
        <v>2.5</v>
      </c>
      <c r="H161" s="30">
        <v>1.3125</v>
      </c>
      <c r="I161" s="30">
        <f t="shared" si="22"/>
        <v>1.9047619047619047</v>
      </c>
      <c r="J161" s="30">
        <v>0</v>
      </c>
      <c r="K161" s="30">
        <f t="shared" si="23"/>
        <v>400</v>
      </c>
      <c r="L161" s="30">
        <f t="shared" si="24"/>
        <v>0</v>
      </c>
      <c r="M161" s="103">
        <f t="shared" si="25"/>
        <v>0</v>
      </c>
      <c r="N161" s="103"/>
      <c r="O161" s="103"/>
      <c r="P161" s="103"/>
      <c r="Q161" s="103"/>
      <c r="R161" s="182"/>
      <c r="S161" s="103"/>
      <c r="T161" s="6"/>
      <c r="U161" s="6"/>
      <c r="V161" s="6"/>
      <c r="W161" s="6"/>
      <c r="X161" s="6"/>
    </row>
    <row r="162" spans="1:24" x14ac:dyDescent="0.25">
      <c r="A162" s="30" t="s">
        <v>592</v>
      </c>
      <c r="B162" s="30" t="s">
        <v>629</v>
      </c>
      <c r="C162" s="150" t="s">
        <v>456</v>
      </c>
      <c r="D162" s="150"/>
      <c r="E162" s="150"/>
      <c r="F162" s="150" t="s">
        <v>630</v>
      </c>
      <c r="G162" s="30">
        <v>0.75</v>
      </c>
      <c r="H162" s="30">
        <v>1.3125</v>
      </c>
      <c r="I162" s="30">
        <f t="shared" si="22"/>
        <v>0.5714285714285714</v>
      </c>
      <c r="J162" s="30">
        <v>0</v>
      </c>
      <c r="K162" s="30">
        <f t="shared" si="23"/>
        <v>400</v>
      </c>
      <c r="L162" s="30">
        <f t="shared" si="24"/>
        <v>0</v>
      </c>
      <c r="M162" s="103">
        <f t="shared" si="25"/>
        <v>0</v>
      </c>
      <c r="N162" s="103"/>
      <c r="O162" s="103"/>
      <c r="P162" s="103"/>
      <c r="Q162" s="103"/>
      <c r="R162" s="182"/>
      <c r="S162" s="103"/>
      <c r="T162" s="6"/>
      <c r="U162" s="6"/>
      <c r="V162" s="6"/>
      <c r="W162" s="6"/>
      <c r="X162" s="6"/>
    </row>
    <row r="163" spans="1:24" x14ac:dyDescent="0.25">
      <c r="A163" s="30" t="s">
        <v>592</v>
      </c>
      <c r="B163" s="101" t="s">
        <v>631</v>
      </c>
      <c r="C163" s="150" t="s">
        <v>456</v>
      </c>
      <c r="D163" s="150"/>
      <c r="E163" s="150"/>
      <c r="F163" s="150" t="s">
        <v>632</v>
      </c>
      <c r="G163" s="101">
        <v>1.5</v>
      </c>
      <c r="H163" s="30">
        <v>1.3125</v>
      </c>
      <c r="I163" s="101">
        <f t="shared" si="22"/>
        <v>1.1428571428571428</v>
      </c>
      <c r="J163" s="30">
        <f>1.5*52</f>
        <v>78</v>
      </c>
      <c r="K163" s="30">
        <f t="shared" si="23"/>
        <v>400</v>
      </c>
      <c r="L163" s="30">
        <f t="shared" si="24"/>
        <v>35657.142857142855</v>
      </c>
      <c r="M163" s="103">
        <f t="shared" si="25"/>
        <v>172.61869194866577</v>
      </c>
      <c r="N163" s="103"/>
      <c r="O163" s="103"/>
      <c r="P163" s="103"/>
      <c r="Q163" s="103"/>
      <c r="R163" s="182"/>
      <c r="S163" s="103"/>
      <c r="T163" s="6"/>
      <c r="U163" s="6"/>
      <c r="V163" s="6"/>
      <c r="W163" s="6"/>
      <c r="X163" s="6"/>
    </row>
    <row r="164" spans="1:24" x14ac:dyDescent="0.25">
      <c r="A164" s="30" t="s">
        <v>592</v>
      </c>
      <c r="B164" s="101" t="s">
        <v>629</v>
      </c>
      <c r="C164" s="150" t="s">
        <v>456</v>
      </c>
      <c r="D164" s="150"/>
      <c r="E164" s="150"/>
      <c r="F164" s="150" t="s">
        <v>630</v>
      </c>
      <c r="G164" s="101">
        <v>0.625</v>
      </c>
      <c r="H164" s="30">
        <v>1.3125</v>
      </c>
      <c r="I164" s="101">
        <f t="shared" si="22"/>
        <v>0.47619047619047616</v>
      </c>
      <c r="J164" s="30">
        <f>1.5*52</f>
        <v>78</v>
      </c>
      <c r="K164" s="30">
        <f t="shared" si="23"/>
        <v>400</v>
      </c>
      <c r="L164" s="30">
        <f t="shared" si="24"/>
        <v>14857.142857142855</v>
      </c>
      <c r="M164" s="103">
        <f t="shared" si="25"/>
        <v>71.92445497861074</v>
      </c>
      <c r="N164" s="103"/>
      <c r="O164" s="103"/>
      <c r="P164" s="103"/>
      <c r="Q164" s="103"/>
      <c r="R164" s="182"/>
      <c r="S164" s="103"/>
      <c r="T164" s="6"/>
      <c r="U164" s="6"/>
      <c r="V164" s="6"/>
      <c r="W164" s="6"/>
      <c r="X164" s="6"/>
    </row>
    <row r="165" spans="1:24" x14ac:dyDescent="0.25">
      <c r="A165" s="30" t="s">
        <v>592</v>
      </c>
      <c r="B165" s="101" t="s">
        <v>633</v>
      </c>
      <c r="C165" s="150" t="s">
        <v>456</v>
      </c>
      <c r="D165" s="150"/>
      <c r="E165" s="150"/>
      <c r="F165" s="150" t="s">
        <v>634</v>
      </c>
      <c r="G165" s="101">
        <v>5.5</v>
      </c>
      <c r="H165" s="30">
        <v>1.3125</v>
      </c>
      <c r="I165" s="101">
        <f t="shared" si="22"/>
        <v>4.1904761904761907</v>
      </c>
      <c r="J165" s="30">
        <f>1.5*52</f>
        <v>78</v>
      </c>
      <c r="K165" s="30">
        <f t="shared" si="23"/>
        <v>400</v>
      </c>
      <c r="L165" s="30">
        <f t="shared" si="24"/>
        <v>130742.85714285716</v>
      </c>
      <c r="M165" s="103">
        <f t="shared" si="25"/>
        <v>632.93520381177461</v>
      </c>
      <c r="N165" s="103"/>
      <c r="O165" s="103"/>
      <c r="P165" s="103"/>
      <c r="Q165" s="103"/>
      <c r="R165" s="182"/>
      <c r="S165" s="103"/>
      <c r="T165" s="6"/>
      <c r="U165" s="6"/>
      <c r="V165" s="6"/>
      <c r="W165" s="6"/>
      <c r="X165" s="6"/>
    </row>
    <row r="166" spans="1:24" x14ac:dyDescent="0.25">
      <c r="A166" s="30" t="s">
        <v>592</v>
      </c>
      <c r="B166" s="101" t="s">
        <v>635</v>
      </c>
      <c r="C166" s="150" t="s">
        <v>456</v>
      </c>
      <c r="D166" s="150"/>
      <c r="E166" s="150"/>
      <c r="F166" s="150" t="s">
        <v>636</v>
      </c>
      <c r="G166" s="101">
        <v>3.625</v>
      </c>
      <c r="H166" s="30">
        <v>1.3125</v>
      </c>
      <c r="I166" s="101">
        <f t="shared" si="22"/>
        <v>2.7619047619047619</v>
      </c>
      <c r="J166" s="30">
        <f>1.5*52</f>
        <v>78</v>
      </c>
      <c r="K166" s="30">
        <f t="shared" si="23"/>
        <v>400</v>
      </c>
      <c r="L166" s="30">
        <f t="shared" si="24"/>
        <v>86171.428571428565</v>
      </c>
      <c r="M166" s="103">
        <f t="shared" si="25"/>
        <v>417.16183887594229</v>
      </c>
      <c r="N166" s="103"/>
      <c r="O166" s="103"/>
      <c r="P166" s="103"/>
      <c r="Q166" s="103"/>
      <c r="R166" s="182"/>
      <c r="S166" s="103"/>
      <c r="T166" s="6"/>
      <c r="U166" s="6"/>
      <c r="V166" s="6"/>
      <c r="W166" s="6"/>
      <c r="X166" s="6"/>
    </row>
    <row r="167" spans="1:24" x14ac:dyDescent="0.25">
      <c r="A167" s="30" t="s">
        <v>592</v>
      </c>
      <c r="B167" s="101" t="s">
        <v>637</v>
      </c>
      <c r="C167" s="198" t="s">
        <v>446</v>
      </c>
      <c r="D167" s="198"/>
      <c r="E167" s="198"/>
      <c r="F167" s="150" t="s">
        <v>638</v>
      </c>
      <c r="G167" s="101">
        <v>0.66</v>
      </c>
      <c r="H167" s="30">
        <v>1.3125</v>
      </c>
      <c r="I167" s="101">
        <f t="shared" si="22"/>
        <v>0.50285714285714289</v>
      </c>
      <c r="J167" s="30">
        <f>1.5*52</f>
        <v>78</v>
      </c>
      <c r="K167" s="30">
        <f t="shared" si="23"/>
        <v>400</v>
      </c>
      <c r="L167" s="30">
        <f t="shared" si="24"/>
        <v>15689.142857142857</v>
      </c>
      <c r="M167" s="103">
        <f t="shared" si="25"/>
        <v>75.952224457412939</v>
      </c>
      <c r="N167" s="103"/>
      <c r="O167" s="103"/>
      <c r="P167" s="103"/>
      <c r="Q167" s="103"/>
      <c r="R167" s="182"/>
      <c r="S167" s="103"/>
      <c r="T167" s="6"/>
      <c r="U167" s="6"/>
      <c r="V167" s="6"/>
      <c r="W167" s="6"/>
      <c r="X167" s="6"/>
    </row>
    <row r="168" spans="1:24" x14ac:dyDescent="0.25">
      <c r="A168" s="30" t="s">
        <v>592</v>
      </c>
      <c r="B168" s="30"/>
      <c r="C168" s="30"/>
      <c r="D168" s="30"/>
      <c r="E168" s="30"/>
      <c r="F168" s="30"/>
      <c r="G168" s="30">
        <f>SUM(G166:G167)</f>
        <v>4.2850000000000001</v>
      </c>
      <c r="H168" s="30"/>
      <c r="I168" s="101">
        <f>SUM(I163:I167)</f>
        <v>9.0742857142857165</v>
      </c>
      <c r="J168" s="30"/>
      <c r="K168" s="30"/>
      <c r="L168" s="30">
        <f>SUM(L81:L167)</f>
        <v>1342678.6285714291</v>
      </c>
      <c r="M168" s="30">
        <f t="shared" si="25"/>
        <v>6500</v>
      </c>
      <c r="N168" s="30">
        <f>(L167+L148)/L168</f>
        <v>1.5243558335159103E-2</v>
      </c>
      <c r="O168" s="30">
        <f>N168*15000</f>
        <v>228.65337502738655</v>
      </c>
      <c r="P168" s="30"/>
      <c r="Q168" s="30"/>
      <c r="R168" s="180"/>
      <c r="S168" s="30"/>
      <c r="T168" s="6"/>
      <c r="U168" s="6"/>
      <c r="V168" s="6"/>
      <c r="W168" s="6"/>
      <c r="X168" s="6"/>
    </row>
    <row r="169" spans="1:24" x14ac:dyDescent="0.25">
      <c r="A169" s="30"/>
      <c r="B169" s="30"/>
      <c r="C169" s="30"/>
      <c r="D169" s="30"/>
      <c r="E169" s="30"/>
      <c r="F169" s="30"/>
      <c r="G169" s="30"/>
      <c r="H169" s="30"/>
      <c r="I169" s="30"/>
      <c r="J169" s="30"/>
      <c r="K169" s="30"/>
      <c r="L169" s="30"/>
      <c r="M169" s="30"/>
      <c r="N169" s="30">
        <f>1-N168</f>
        <v>0.98475644166484089</v>
      </c>
      <c r="O169" s="30">
        <f>N169*15000</f>
        <v>14771.346624972613</v>
      </c>
      <c r="P169" s="30"/>
      <c r="Q169" s="30"/>
      <c r="R169" s="180"/>
      <c r="S169" s="30"/>
      <c r="T169" s="6"/>
      <c r="U169" s="6"/>
      <c r="V169" s="6"/>
      <c r="W169" s="6"/>
      <c r="X169" s="6"/>
    </row>
    <row r="170" spans="1:24" x14ac:dyDescent="0.25">
      <c r="A170" s="30"/>
      <c r="B170" s="30"/>
      <c r="C170" s="30"/>
      <c r="D170" s="30"/>
      <c r="E170" s="30"/>
      <c r="F170" s="30"/>
      <c r="G170" s="30"/>
      <c r="H170" s="30"/>
      <c r="I170" s="30"/>
      <c r="J170" s="30"/>
      <c r="K170" s="30" t="s">
        <v>578</v>
      </c>
      <c r="L170" s="30">
        <f>SUM(L81:L168)</f>
        <v>2685357.2571428581</v>
      </c>
      <c r="M170" s="30" t="s">
        <v>579</v>
      </c>
      <c r="N170" s="30"/>
      <c r="O170" s="30">
        <f>SUM(O168:O169)</f>
        <v>15000</v>
      </c>
      <c r="P170" s="30"/>
      <c r="Q170" s="30"/>
      <c r="R170" s="180"/>
      <c r="S170" s="30"/>
      <c r="T170" s="6"/>
      <c r="U170" s="6"/>
      <c r="V170" s="6"/>
      <c r="W170" s="6"/>
      <c r="X170" s="6"/>
    </row>
    <row r="171" spans="1:24" x14ac:dyDescent="0.25">
      <c r="A171" s="30"/>
      <c r="B171" s="30"/>
      <c r="C171" s="30"/>
      <c r="D171" s="30"/>
      <c r="E171" s="30"/>
      <c r="F171" s="30"/>
      <c r="G171" s="30"/>
      <c r="H171" s="30"/>
      <c r="I171" s="30"/>
      <c r="J171" s="30"/>
      <c r="K171" s="30" t="s">
        <v>580</v>
      </c>
      <c r="L171" s="30">
        <v>13000</v>
      </c>
      <c r="M171" s="30" t="s">
        <v>581</v>
      </c>
      <c r="N171" s="30"/>
      <c r="O171" s="30"/>
      <c r="P171" s="30"/>
      <c r="Q171" s="30"/>
      <c r="R171" s="180"/>
      <c r="S171" s="30"/>
      <c r="T171" s="6"/>
      <c r="U171" s="6"/>
      <c r="V171" s="6"/>
      <c r="W171" s="6"/>
      <c r="X171" s="6"/>
    </row>
    <row r="172" spans="1:24" x14ac:dyDescent="0.25">
      <c r="A172" s="30"/>
      <c r="B172" s="30"/>
      <c r="C172" s="30"/>
      <c r="D172" s="30"/>
      <c r="E172" s="30"/>
      <c r="F172" s="30"/>
      <c r="G172" s="30"/>
      <c r="H172" s="30"/>
      <c r="I172" s="30"/>
      <c r="J172" s="30" t="s">
        <v>582</v>
      </c>
      <c r="K172" s="30" t="s">
        <v>583</v>
      </c>
      <c r="L172" s="30">
        <f>L170/L171</f>
        <v>206.56594285714294</v>
      </c>
      <c r="M172" s="30" t="s">
        <v>584</v>
      </c>
      <c r="N172" s="30"/>
      <c r="O172" s="30"/>
      <c r="P172" s="30"/>
      <c r="Q172" s="30"/>
      <c r="R172" s="180"/>
      <c r="S172" s="30"/>
      <c r="T172" s="6"/>
      <c r="U172" s="6"/>
      <c r="V172" s="6"/>
      <c r="W172" s="6"/>
      <c r="X172" s="6"/>
    </row>
    <row r="173" spans="1:24" ht="15.75" thickBot="1" x14ac:dyDescent="0.3">
      <c r="A173" s="183" t="s">
        <v>585</v>
      </c>
      <c r="B173" s="183"/>
      <c r="C173" s="183"/>
      <c r="D173" s="183"/>
      <c r="E173" s="183"/>
      <c r="F173" s="183"/>
      <c r="G173" s="183"/>
      <c r="H173" s="183"/>
      <c r="I173" s="183"/>
      <c r="J173" s="183"/>
      <c r="K173" s="183"/>
      <c r="L173" s="183"/>
      <c r="M173" s="183"/>
      <c r="N173" s="183"/>
      <c r="O173" s="183"/>
      <c r="P173" s="183"/>
      <c r="Q173" s="183"/>
      <c r="R173" s="199"/>
      <c r="S173" s="183"/>
      <c r="T173" s="6"/>
      <c r="U173" s="6"/>
      <c r="V173" s="6"/>
      <c r="W173" s="6"/>
      <c r="X173" s="6"/>
    </row>
    <row r="174" spans="1:24" x14ac:dyDescent="0.25">
      <c r="A174" s="161" t="s">
        <v>640</v>
      </c>
      <c r="B174" s="200" t="s">
        <v>640</v>
      </c>
      <c r="C174" s="200"/>
      <c r="D174" s="200"/>
      <c r="E174" s="200"/>
      <c r="F174" s="162"/>
      <c r="G174" s="162"/>
      <c r="H174" s="162"/>
      <c r="I174" s="162"/>
      <c r="J174" s="162"/>
      <c r="K174" s="162"/>
      <c r="L174" s="162"/>
      <c r="M174" s="162"/>
      <c r="N174" s="162"/>
      <c r="O174" s="162"/>
      <c r="P174" s="162"/>
      <c r="Q174" s="162"/>
      <c r="R174" s="201"/>
      <c r="S174" s="162"/>
      <c r="T174" s="6"/>
      <c r="U174" s="6"/>
      <c r="V174" s="6"/>
      <c r="W174" s="6"/>
      <c r="X174" s="6"/>
    </row>
    <row r="175" spans="1:24" x14ac:dyDescent="0.25">
      <c r="A175" s="79" t="s">
        <v>640</v>
      </c>
      <c r="B175" s="30" t="s">
        <v>641</v>
      </c>
      <c r="C175" s="30"/>
      <c r="D175" s="30"/>
      <c r="E175" s="30"/>
      <c r="F175" s="30"/>
      <c r="G175" s="30" t="s">
        <v>541</v>
      </c>
      <c r="H175" s="30" t="s">
        <v>542</v>
      </c>
      <c r="I175" s="30" t="s">
        <v>543</v>
      </c>
      <c r="J175" s="30" t="s">
        <v>544</v>
      </c>
      <c r="K175" s="30" t="s">
        <v>545</v>
      </c>
      <c r="L175" s="30" t="s">
        <v>546</v>
      </c>
      <c r="M175" s="30" t="s">
        <v>547</v>
      </c>
      <c r="N175" s="30"/>
      <c r="O175" s="30"/>
      <c r="P175" s="30"/>
      <c r="Q175" s="30"/>
      <c r="R175" s="180"/>
      <c r="S175" s="30"/>
      <c r="T175" s="6"/>
      <c r="U175" s="6"/>
      <c r="V175" s="6"/>
      <c r="W175" s="6"/>
      <c r="X175" s="6"/>
    </row>
    <row r="176" spans="1:24" x14ac:dyDescent="0.25">
      <c r="A176" s="79" t="s">
        <v>640</v>
      </c>
      <c r="B176" s="30" t="s">
        <v>642</v>
      </c>
      <c r="C176" s="150" t="s">
        <v>483</v>
      </c>
      <c r="D176" s="150"/>
      <c r="E176" s="150"/>
      <c r="F176" s="150" t="s">
        <v>643</v>
      </c>
      <c r="G176" s="30">
        <v>1.25</v>
      </c>
      <c r="H176" s="30">
        <v>1.25</v>
      </c>
      <c r="I176" s="30">
        <f t="shared" ref="I176:I181" si="26">G176/H176</f>
        <v>1</v>
      </c>
      <c r="J176" s="30">
        <v>0</v>
      </c>
      <c r="K176" s="30">
        <f>3*50</f>
        <v>150</v>
      </c>
      <c r="L176" s="30">
        <f t="shared" ref="L176:L181" si="27">I176*J176*K176</f>
        <v>0</v>
      </c>
      <c r="M176" s="30">
        <f t="shared" ref="M176:M181" si="28">L176/$L$231</f>
        <v>0</v>
      </c>
      <c r="N176" s="30"/>
      <c r="O176" s="30"/>
      <c r="P176" s="30"/>
      <c r="Q176" s="30"/>
      <c r="R176" s="180"/>
      <c r="S176" s="30"/>
      <c r="T176" s="6"/>
      <c r="U176" s="6"/>
      <c r="V176" s="6"/>
      <c r="W176" s="6"/>
      <c r="X176" s="6"/>
    </row>
    <row r="177" spans="1:24" x14ac:dyDescent="0.25">
      <c r="A177" s="79" t="s">
        <v>640</v>
      </c>
      <c r="B177" s="30" t="s">
        <v>644</v>
      </c>
      <c r="C177" s="150" t="s">
        <v>483</v>
      </c>
      <c r="D177" s="150"/>
      <c r="E177" s="150"/>
      <c r="F177" s="150" t="s">
        <v>645</v>
      </c>
      <c r="G177" s="30">
        <v>3.375</v>
      </c>
      <c r="H177" s="30">
        <v>1.25</v>
      </c>
      <c r="I177" s="30">
        <f t="shared" si="26"/>
        <v>2.7</v>
      </c>
      <c r="J177" s="30">
        <v>0</v>
      </c>
      <c r="K177" s="30">
        <v>150</v>
      </c>
      <c r="L177" s="30">
        <f t="shared" si="27"/>
        <v>0</v>
      </c>
      <c r="M177" s="30">
        <f t="shared" si="28"/>
        <v>0</v>
      </c>
      <c r="N177" s="30"/>
      <c r="O177" s="30"/>
      <c r="P177" s="30"/>
      <c r="Q177" s="30"/>
      <c r="R177" s="180"/>
      <c r="S177" s="30"/>
      <c r="T177" s="6"/>
      <c r="U177" s="6"/>
      <c r="V177" s="6"/>
      <c r="W177" s="6"/>
      <c r="X177" s="6"/>
    </row>
    <row r="178" spans="1:24" x14ac:dyDescent="0.25">
      <c r="A178" s="79" t="s">
        <v>640</v>
      </c>
      <c r="B178" s="30" t="s">
        <v>646</v>
      </c>
      <c r="C178" s="150" t="s">
        <v>483</v>
      </c>
      <c r="D178" s="150"/>
      <c r="E178" s="150"/>
      <c r="F178" s="150" t="s">
        <v>647</v>
      </c>
      <c r="G178" s="30">
        <v>2.375</v>
      </c>
      <c r="H178" s="30">
        <v>1.25</v>
      </c>
      <c r="I178" s="30">
        <f t="shared" si="26"/>
        <v>1.9</v>
      </c>
      <c r="J178" s="30">
        <v>0</v>
      </c>
      <c r="K178" s="30">
        <v>150</v>
      </c>
      <c r="L178" s="30">
        <f t="shared" si="27"/>
        <v>0</v>
      </c>
      <c r="M178" s="30">
        <f t="shared" si="28"/>
        <v>0</v>
      </c>
      <c r="N178" s="30"/>
      <c r="O178" s="30"/>
      <c r="P178" s="30"/>
      <c r="Q178" s="30"/>
      <c r="R178" s="180"/>
      <c r="S178" s="30"/>
      <c r="T178" s="6"/>
      <c r="U178" s="6"/>
      <c r="V178" s="6"/>
      <c r="W178" s="6"/>
      <c r="X178" s="6"/>
    </row>
    <row r="179" spans="1:24" x14ac:dyDescent="0.25">
      <c r="A179" s="79" t="s">
        <v>640</v>
      </c>
      <c r="B179" s="30" t="s">
        <v>648</v>
      </c>
      <c r="C179" s="150" t="s">
        <v>483</v>
      </c>
      <c r="D179" s="150"/>
      <c r="E179" s="150"/>
      <c r="F179" s="150" t="s">
        <v>649</v>
      </c>
      <c r="G179" s="30">
        <v>2.5</v>
      </c>
      <c r="H179" s="30">
        <v>1.25</v>
      </c>
      <c r="I179" s="30">
        <f t="shared" si="26"/>
        <v>2</v>
      </c>
      <c r="J179" s="30">
        <v>0</v>
      </c>
      <c r="K179" s="30">
        <v>150</v>
      </c>
      <c r="L179" s="30">
        <f t="shared" si="27"/>
        <v>0</v>
      </c>
      <c r="M179" s="30">
        <f t="shared" si="28"/>
        <v>0</v>
      </c>
      <c r="N179" s="30"/>
      <c r="O179" s="30"/>
      <c r="P179" s="30"/>
      <c r="Q179" s="30"/>
      <c r="R179" s="180"/>
      <c r="S179" s="30"/>
      <c r="T179" s="6"/>
      <c r="U179" s="6"/>
      <c r="V179" s="6"/>
      <c r="W179" s="6"/>
      <c r="X179" s="6"/>
    </row>
    <row r="180" spans="1:24" x14ac:dyDescent="0.25">
      <c r="A180" s="79" t="s">
        <v>640</v>
      </c>
      <c r="B180" s="30" t="s">
        <v>650</v>
      </c>
      <c r="C180" s="150" t="s">
        <v>483</v>
      </c>
      <c r="D180" s="150"/>
      <c r="E180" s="150"/>
      <c r="F180" s="150" t="s">
        <v>651</v>
      </c>
      <c r="G180" s="30">
        <v>4.75</v>
      </c>
      <c r="H180" s="30">
        <v>1.25</v>
      </c>
      <c r="I180" s="30">
        <f t="shared" si="26"/>
        <v>3.8</v>
      </c>
      <c r="J180" s="30">
        <v>0</v>
      </c>
      <c r="K180" s="30">
        <v>150</v>
      </c>
      <c r="L180" s="30">
        <f t="shared" si="27"/>
        <v>0</v>
      </c>
      <c r="M180" s="30">
        <f t="shared" si="28"/>
        <v>0</v>
      </c>
      <c r="N180" s="30"/>
      <c r="O180" s="30"/>
      <c r="P180" s="30"/>
      <c r="Q180" s="30"/>
      <c r="R180" s="180"/>
      <c r="S180" s="30"/>
      <c r="T180" s="6"/>
      <c r="U180" s="6"/>
      <c r="V180" s="6"/>
      <c r="W180" s="6"/>
      <c r="X180" s="6"/>
    </row>
    <row r="181" spans="1:24" x14ac:dyDescent="0.25">
      <c r="A181" s="79" t="s">
        <v>640</v>
      </c>
      <c r="B181" s="30" t="s">
        <v>652</v>
      </c>
      <c r="C181" s="150" t="s">
        <v>483</v>
      </c>
      <c r="D181" s="150"/>
      <c r="E181" s="150"/>
      <c r="F181" s="150" t="s">
        <v>653</v>
      </c>
      <c r="G181" s="30">
        <v>0.75</v>
      </c>
      <c r="H181" s="30">
        <v>1.25</v>
      </c>
      <c r="I181" s="30">
        <f t="shared" si="26"/>
        <v>0.6</v>
      </c>
      <c r="J181" s="30">
        <v>0</v>
      </c>
      <c r="K181" s="30">
        <v>150</v>
      </c>
      <c r="L181" s="30">
        <f t="shared" si="27"/>
        <v>0</v>
      </c>
      <c r="M181" s="30">
        <f t="shared" si="28"/>
        <v>0</v>
      </c>
      <c r="N181" s="30"/>
      <c r="O181" s="30"/>
      <c r="P181" s="30"/>
      <c r="Q181" s="30"/>
      <c r="R181" s="180"/>
      <c r="S181" s="30"/>
      <c r="T181" s="6"/>
      <c r="U181" s="6"/>
      <c r="V181" s="6"/>
      <c r="W181" s="6"/>
      <c r="X181" s="6"/>
    </row>
    <row r="182" spans="1:24" x14ac:dyDescent="0.25">
      <c r="A182" s="79" t="s">
        <v>640</v>
      </c>
      <c r="B182" s="30"/>
      <c r="C182" s="30"/>
      <c r="D182" s="30"/>
      <c r="E182" s="30"/>
      <c r="F182" s="30"/>
      <c r="G182" s="30"/>
      <c r="H182" s="30"/>
      <c r="I182" s="30">
        <f>SUM(I176:I181)</f>
        <v>11.999999999999998</v>
      </c>
      <c r="J182" s="30"/>
      <c r="K182" s="30"/>
      <c r="L182" s="30"/>
      <c r="M182" s="30"/>
      <c r="N182" s="30"/>
      <c r="O182" s="30"/>
      <c r="P182" s="30"/>
      <c r="Q182" s="30"/>
      <c r="R182" s="180"/>
      <c r="S182" s="202"/>
      <c r="T182" s="6"/>
      <c r="U182" s="6"/>
      <c r="V182" s="6"/>
      <c r="W182" s="6"/>
      <c r="X182" s="6"/>
    </row>
    <row r="183" spans="1:24" x14ac:dyDescent="0.25">
      <c r="A183" s="79" t="s">
        <v>640</v>
      </c>
      <c r="B183" s="30"/>
      <c r="C183" s="30"/>
      <c r="D183" s="30"/>
      <c r="E183" s="30"/>
      <c r="F183" s="30"/>
      <c r="G183" s="30"/>
      <c r="H183" s="30"/>
      <c r="I183" s="30"/>
      <c r="J183" s="30"/>
      <c r="K183" s="30"/>
      <c r="L183" s="30"/>
      <c r="M183" s="30"/>
      <c r="N183" s="30"/>
      <c r="O183" s="30"/>
      <c r="P183" s="30"/>
      <c r="Q183" s="30"/>
      <c r="R183" s="180"/>
      <c r="S183" s="202"/>
      <c r="T183" s="6"/>
      <c r="U183" s="6"/>
      <c r="V183" s="6"/>
      <c r="W183" s="6"/>
      <c r="X183" s="6"/>
    </row>
    <row r="184" spans="1:24" x14ac:dyDescent="0.25">
      <c r="A184" s="79" t="s">
        <v>640</v>
      </c>
      <c r="B184" s="101" t="s">
        <v>654</v>
      </c>
      <c r="C184" s="101"/>
      <c r="D184" s="101"/>
      <c r="E184" s="101"/>
      <c r="F184" s="30"/>
      <c r="G184" s="30"/>
      <c r="H184" s="30" t="s">
        <v>351</v>
      </c>
      <c r="I184" s="30"/>
      <c r="J184" s="30"/>
      <c r="K184" s="30"/>
      <c r="L184" s="30"/>
      <c r="M184" s="30"/>
      <c r="N184" s="30"/>
      <c r="O184" s="30"/>
      <c r="P184" s="30"/>
      <c r="Q184" s="30"/>
      <c r="R184" s="180"/>
      <c r="S184" s="30"/>
      <c r="T184" s="6"/>
      <c r="U184" s="6"/>
      <c r="V184" s="6"/>
      <c r="W184" s="6"/>
      <c r="X184" s="6"/>
    </row>
    <row r="185" spans="1:24" x14ac:dyDescent="0.25">
      <c r="A185" s="79" t="s">
        <v>640</v>
      </c>
      <c r="B185" s="30" t="s">
        <v>642</v>
      </c>
      <c r="C185" s="150" t="s">
        <v>483</v>
      </c>
      <c r="D185" s="150"/>
      <c r="E185" s="150"/>
      <c r="F185" s="150" t="s">
        <v>643</v>
      </c>
      <c r="G185" s="30">
        <v>1.25</v>
      </c>
      <c r="H185" s="30">
        <v>1.25</v>
      </c>
      <c r="I185" s="30">
        <f>G185/H185</f>
        <v>1</v>
      </c>
      <c r="J185" s="30">
        <v>0</v>
      </c>
      <c r="K185" s="30">
        <v>150</v>
      </c>
      <c r="L185" s="30">
        <f>I185*J185*K185</f>
        <v>0</v>
      </c>
      <c r="M185" s="30">
        <f>L185/$L$231</f>
        <v>0</v>
      </c>
      <c r="N185" s="30"/>
      <c r="O185" s="30"/>
      <c r="P185" s="30"/>
      <c r="Q185" s="30"/>
      <c r="R185" s="180"/>
      <c r="S185" s="30"/>
      <c r="T185" s="6"/>
      <c r="U185" s="6"/>
      <c r="V185" s="6"/>
      <c r="W185" s="6"/>
      <c r="X185" s="6"/>
    </row>
    <row r="186" spans="1:24" x14ac:dyDescent="0.25">
      <c r="A186" s="79" t="s">
        <v>640</v>
      </c>
      <c r="B186" s="30" t="s">
        <v>644</v>
      </c>
      <c r="C186" s="150" t="s">
        <v>483</v>
      </c>
      <c r="D186" s="150"/>
      <c r="E186" s="150"/>
      <c r="F186" s="150" t="s">
        <v>645</v>
      </c>
      <c r="G186" s="30">
        <v>3.375</v>
      </c>
      <c r="H186" s="30">
        <v>1.25</v>
      </c>
      <c r="I186" s="30">
        <f>G186/H186</f>
        <v>2.7</v>
      </c>
      <c r="J186" s="30">
        <v>0</v>
      </c>
      <c r="K186" s="30">
        <v>150</v>
      </c>
      <c r="L186" s="30">
        <f>I186*J186*K186</f>
        <v>0</v>
      </c>
      <c r="M186" s="30">
        <f>L186/$L$231</f>
        <v>0</v>
      </c>
      <c r="N186" s="30"/>
      <c r="O186" s="30"/>
      <c r="P186" s="30"/>
      <c r="Q186" s="30"/>
      <c r="R186" s="180"/>
      <c r="S186" s="30"/>
      <c r="T186" s="6"/>
      <c r="U186" s="6"/>
      <c r="V186" s="6"/>
      <c r="W186" s="6"/>
      <c r="X186" s="6"/>
    </row>
    <row r="187" spans="1:24" x14ac:dyDescent="0.25">
      <c r="A187" s="79" t="s">
        <v>640</v>
      </c>
      <c r="B187" s="30" t="s">
        <v>646</v>
      </c>
      <c r="C187" s="150" t="s">
        <v>483</v>
      </c>
      <c r="D187" s="150"/>
      <c r="E187" s="150"/>
      <c r="F187" s="150" t="s">
        <v>647</v>
      </c>
      <c r="G187" s="30">
        <v>2.375</v>
      </c>
      <c r="H187" s="30">
        <v>1.25</v>
      </c>
      <c r="I187" s="30">
        <f>G187/H187</f>
        <v>1.9</v>
      </c>
      <c r="J187" s="30">
        <v>0</v>
      </c>
      <c r="K187" s="30">
        <v>150</v>
      </c>
      <c r="L187" s="30">
        <f>I187*J187*K187</f>
        <v>0</v>
      </c>
      <c r="M187" s="30">
        <f>L187/$L$231</f>
        <v>0</v>
      </c>
      <c r="N187" s="30"/>
      <c r="O187" s="30"/>
      <c r="P187" s="30"/>
      <c r="Q187" s="30"/>
      <c r="R187" s="180"/>
      <c r="S187" s="30"/>
      <c r="T187" s="6"/>
      <c r="U187" s="6"/>
      <c r="V187" s="6"/>
      <c r="W187" s="6"/>
      <c r="X187" s="6"/>
    </row>
    <row r="188" spans="1:24" x14ac:dyDescent="0.25">
      <c r="A188" s="79" t="s">
        <v>640</v>
      </c>
      <c r="B188" s="30" t="s">
        <v>648</v>
      </c>
      <c r="C188" s="150" t="s">
        <v>483</v>
      </c>
      <c r="D188" s="150"/>
      <c r="E188" s="150"/>
      <c r="F188" s="150" t="s">
        <v>649</v>
      </c>
      <c r="G188" s="30">
        <v>1.75</v>
      </c>
      <c r="H188" s="30">
        <v>1.25</v>
      </c>
      <c r="I188" s="30">
        <f>G188/H188</f>
        <v>1.4</v>
      </c>
      <c r="J188" s="30">
        <v>0</v>
      </c>
      <c r="K188" s="30">
        <v>150</v>
      </c>
      <c r="L188" s="30">
        <f>I188*J188*K188</f>
        <v>0</v>
      </c>
      <c r="M188" s="30">
        <f>L188/$L$231</f>
        <v>0</v>
      </c>
      <c r="N188" s="30"/>
      <c r="O188" s="30"/>
      <c r="P188" s="30"/>
      <c r="Q188" s="30"/>
      <c r="R188" s="180"/>
      <c r="S188" s="30"/>
      <c r="T188" s="6"/>
      <c r="U188" s="6"/>
      <c r="V188" s="6"/>
      <c r="W188" s="6"/>
      <c r="X188" s="6"/>
    </row>
    <row r="189" spans="1:24" x14ac:dyDescent="0.25">
      <c r="A189" s="79" t="s">
        <v>640</v>
      </c>
      <c r="B189" s="30"/>
      <c r="C189" s="30"/>
      <c r="D189" s="30"/>
      <c r="E189" s="30"/>
      <c r="F189" s="30"/>
      <c r="G189" s="30"/>
      <c r="H189" s="30"/>
      <c r="I189" s="30">
        <f>SUM(I185:I188)</f>
        <v>7</v>
      </c>
      <c r="J189" s="30"/>
      <c r="K189" s="30"/>
      <c r="L189" s="30"/>
      <c r="M189" s="30"/>
      <c r="N189" s="30"/>
      <c r="O189" s="30"/>
      <c r="P189" s="30"/>
      <c r="Q189" s="30"/>
      <c r="R189" s="180"/>
      <c r="S189" s="202"/>
      <c r="T189" s="6"/>
      <c r="U189" s="6"/>
      <c r="V189" s="6"/>
      <c r="W189" s="6"/>
      <c r="X189" s="6"/>
    </row>
    <row r="190" spans="1:24" x14ac:dyDescent="0.25">
      <c r="A190" s="79" t="s">
        <v>640</v>
      </c>
      <c r="B190" s="30"/>
      <c r="C190" s="30"/>
      <c r="D190" s="30"/>
      <c r="E190" s="30"/>
      <c r="F190" s="30"/>
      <c r="G190" s="30"/>
      <c r="H190" s="30"/>
      <c r="I190" s="30"/>
      <c r="J190" s="30"/>
      <c r="K190" s="30"/>
      <c r="L190" s="30"/>
      <c r="M190" s="30"/>
      <c r="N190" s="30"/>
      <c r="O190" s="30"/>
      <c r="P190" s="30"/>
      <c r="Q190" s="30"/>
      <c r="R190" s="180"/>
      <c r="S190" s="202"/>
      <c r="T190" s="6"/>
      <c r="U190" s="6"/>
      <c r="V190" s="6"/>
      <c r="W190" s="6"/>
      <c r="X190" s="6"/>
    </row>
    <row r="191" spans="1:24" x14ac:dyDescent="0.25">
      <c r="A191" s="79" t="s">
        <v>640</v>
      </c>
      <c r="B191" s="101" t="s">
        <v>655</v>
      </c>
      <c r="C191" s="101"/>
      <c r="D191" s="101"/>
      <c r="E191" s="101"/>
      <c r="F191" s="30"/>
      <c r="G191" s="30"/>
      <c r="H191" s="30" t="s">
        <v>351</v>
      </c>
      <c r="I191" s="30"/>
      <c r="J191" s="30"/>
      <c r="K191" s="30"/>
      <c r="L191" s="30"/>
      <c r="M191" s="30"/>
      <c r="N191" s="30"/>
      <c r="O191" s="30"/>
      <c r="P191" s="30"/>
      <c r="Q191" s="30"/>
      <c r="R191" s="180"/>
      <c r="S191" s="30"/>
      <c r="T191" s="6"/>
      <c r="U191" s="6"/>
      <c r="V191" s="6"/>
      <c r="W191" s="6"/>
      <c r="X191" s="6"/>
    </row>
    <row r="192" spans="1:24" x14ac:dyDescent="0.25">
      <c r="A192" s="79" t="s">
        <v>640</v>
      </c>
      <c r="B192" s="30" t="s">
        <v>648</v>
      </c>
      <c r="C192" s="150" t="s">
        <v>483</v>
      </c>
      <c r="D192" s="150"/>
      <c r="E192" s="150"/>
      <c r="F192" s="150" t="s">
        <v>649</v>
      </c>
      <c r="G192" s="30">
        <v>0.75</v>
      </c>
      <c r="H192" s="30">
        <v>1.25</v>
      </c>
      <c r="I192" s="30">
        <f>G192/H192</f>
        <v>0.6</v>
      </c>
      <c r="J192" s="30">
        <v>740</v>
      </c>
      <c r="K192" s="30">
        <f>3*53</f>
        <v>159</v>
      </c>
      <c r="L192" s="30">
        <f>I192*J192*K192</f>
        <v>70596</v>
      </c>
      <c r="M192" s="30">
        <f>L192/$L$231</f>
        <v>356.94831338264601</v>
      </c>
      <c r="N192" s="30"/>
      <c r="O192" s="30"/>
      <c r="P192" s="30"/>
      <c r="Q192" s="30"/>
      <c r="R192" s="180"/>
      <c r="S192" s="30"/>
      <c r="T192" s="6"/>
      <c r="U192" s="6"/>
      <c r="V192" s="6"/>
      <c r="W192" s="6"/>
      <c r="X192" s="6"/>
    </row>
    <row r="193" spans="1:24" x14ac:dyDescent="0.25">
      <c r="A193" s="79" t="s">
        <v>640</v>
      </c>
      <c r="B193" s="30" t="s">
        <v>650</v>
      </c>
      <c r="C193" s="150" t="s">
        <v>483</v>
      </c>
      <c r="D193" s="150"/>
      <c r="E193" s="150"/>
      <c r="F193" s="150" t="s">
        <v>651</v>
      </c>
      <c r="G193" s="203">
        <v>4.75</v>
      </c>
      <c r="H193" s="30">
        <v>1.25</v>
      </c>
      <c r="I193" s="30">
        <f>G193/H193</f>
        <v>3.8</v>
      </c>
      <c r="J193" s="30">
        <v>740</v>
      </c>
      <c r="K193" s="30">
        <f>3*53</f>
        <v>159</v>
      </c>
      <c r="L193" s="30">
        <f>I193*J193*K193</f>
        <v>447108</v>
      </c>
      <c r="M193" s="30">
        <f>L193/$L$231</f>
        <v>2260.6726514234247</v>
      </c>
      <c r="N193" s="30"/>
      <c r="O193" s="30"/>
      <c r="P193" s="30"/>
      <c r="Q193" s="30"/>
      <c r="R193" s="180"/>
      <c r="S193" s="30"/>
      <c r="T193" s="6"/>
      <c r="U193" s="6"/>
      <c r="V193" s="6"/>
      <c r="W193" s="6"/>
      <c r="X193" s="6"/>
    </row>
    <row r="194" spans="1:24" x14ac:dyDescent="0.25">
      <c r="A194" s="79" t="s">
        <v>640</v>
      </c>
      <c r="B194" s="30" t="s">
        <v>652</v>
      </c>
      <c r="C194" s="150" t="s">
        <v>483</v>
      </c>
      <c r="D194" s="150"/>
      <c r="E194" s="150"/>
      <c r="F194" s="150" t="s">
        <v>653</v>
      </c>
      <c r="G194" s="30">
        <v>0.75</v>
      </c>
      <c r="H194" s="30">
        <v>1.25</v>
      </c>
      <c r="I194" s="30">
        <f>G194/H194</f>
        <v>0.6</v>
      </c>
      <c r="J194" s="30">
        <v>740</v>
      </c>
      <c r="K194" s="30">
        <f>3*53</f>
        <v>159</v>
      </c>
      <c r="L194" s="30">
        <f>I194*J194*K194</f>
        <v>70596</v>
      </c>
      <c r="M194" s="30">
        <f>L194/$L$231</f>
        <v>356.94831338264601</v>
      </c>
      <c r="N194" s="30"/>
      <c r="O194" s="30"/>
      <c r="P194" s="30"/>
      <c r="Q194" s="30"/>
      <c r="R194" s="180"/>
      <c r="S194" s="30"/>
      <c r="T194" s="6"/>
      <c r="U194" s="6"/>
      <c r="V194" s="6"/>
      <c r="W194" s="6"/>
      <c r="X194" s="6"/>
    </row>
    <row r="195" spans="1:24" x14ac:dyDescent="0.25">
      <c r="A195" s="79"/>
      <c r="B195" s="30"/>
      <c r="C195" s="30"/>
      <c r="D195" s="30"/>
      <c r="E195" s="30"/>
      <c r="F195" s="150"/>
      <c r="G195" s="30"/>
      <c r="H195" s="30"/>
      <c r="I195" s="30">
        <f>SUM(I192:I194)</f>
        <v>4.9999999999999991</v>
      </c>
      <c r="J195" s="30"/>
      <c r="K195" s="30"/>
      <c r="L195" s="30"/>
      <c r="M195" s="30"/>
      <c r="N195" s="30"/>
      <c r="O195" s="30"/>
      <c r="P195" s="30"/>
      <c r="Q195" s="30"/>
      <c r="R195" s="180"/>
      <c r="S195" s="202"/>
      <c r="T195" s="6"/>
      <c r="U195" s="6"/>
      <c r="V195" s="6"/>
      <c r="W195" s="6"/>
      <c r="X195" s="6"/>
    </row>
    <row r="196" spans="1:24" x14ac:dyDescent="0.25">
      <c r="A196" s="79"/>
      <c r="B196" s="101" t="s">
        <v>656</v>
      </c>
      <c r="C196" s="101"/>
      <c r="D196" s="101"/>
      <c r="E196" s="101"/>
      <c r="F196" s="30"/>
      <c r="G196" s="30"/>
      <c r="H196" s="30" t="s">
        <v>351</v>
      </c>
      <c r="I196" s="30"/>
      <c r="J196" s="30"/>
      <c r="K196" s="30"/>
      <c r="L196" s="30"/>
      <c r="M196" s="30"/>
      <c r="N196" s="30"/>
      <c r="O196" s="30"/>
      <c r="P196" s="30"/>
      <c r="Q196" s="30"/>
      <c r="R196" s="180"/>
      <c r="S196" s="30"/>
      <c r="T196" s="6"/>
      <c r="U196" s="6"/>
      <c r="V196" s="6"/>
      <c r="W196" s="6"/>
      <c r="X196" s="6"/>
    </row>
    <row r="197" spans="1:24" x14ac:dyDescent="0.25">
      <c r="A197" s="79"/>
      <c r="B197" s="30" t="s">
        <v>648</v>
      </c>
      <c r="C197" s="150" t="s">
        <v>483</v>
      </c>
      <c r="D197" s="150"/>
      <c r="E197" s="150"/>
      <c r="F197" s="150" t="s">
        <v>649</v>
      </c>
      <c r="G197" s="30">
        <v>0.75</v>
      </c>
      <c r="H197" s="30">
        <v>1.25</v>
      </c>
      <c r="I197" s="30">
        <f>G197/H197</f>
        <v>0.6</v>
      </c>
      <c r="J197" s="30">
        <v>740</v>
      </c>
      <c r="K197" s="30">
        <f>3*53</f>
        <v>159</v>
      </c>
      <c r="L197" s="30">
        <f>I197*J197*K197</f>
        <v>70596</v>
      </c>
      <c r="M197" s="30">
        <f>L197/$L$231</f>
        <v>356.94831338264601</v>
      </c>
      <c r="N197" s="30"/>
      <c r="O197" s="30"/>
      <c r="P197" s="30"/>
      <c r="Q197" s="30"/>
      <c r="R197" s="180"/>
      <c r="S197" s="30"/>
      <c r="T197" s="6"/>
      <c r="U197" s="6"/>
      <c r="V197" s="6"/>
      <c r="W197" s="6"/>
      <c r="X197" s="6"/>
    </row>
    <row r="198" spans="1:24" x14ac:dyDescent="0.25">
      <c r="A198" s="79"/>
      <c r="B198" s="30" t="s">
        <v>650</v>
      </c>
      <c r="C198" s="150" t="s">
        <v>483</v>
      </c>
      <c r="D198" s="150"/>
      <c r="E198" s="150"/>
      <c r="F198" s="150" t="s">
        <v>651</v>
      </c>
      <c r="G198" s="203">
        <v>4.75</v>
      </c>
      <c r="H198" s="30">
        <v>1.25</v>
      </c>
      <c r="I198" s="30">
        <f>G198/H198</f>
        <v>3.8</v>
      </c>
      <c r="J198" s="30">
        <v>740</v>
      </c>
      <c r="K198" s="30">
        <f>3*53</f>
        <v>159</v>
      </c>
      <c r="L198" s="30">
        <f>I198*J198*K198</f>
        <v>447108</v>
      </c>
      <c r="M198" s="30">
        <f>L198/$L$231</f>
        <v>2260.6726514234247</v>
      </c>
      <c r="N198" s="30"/>
      <c r="O198" s="30"/>
      <c r="P198" s="30"/>
      <c r="Q198" s="30"/>
      <c r="R198" s="180"/>
      <c r="S198" s="30"/>
      <c r="T198" s="6"/>
      <c r="U198" s="6"/>
      <c r="V198" s="6"/>
      <c r="W198" s="6"/>
      <c r="X198" s="6"/>
    </row>
    <row r="199" spans="1:24" x14ac:dyDescent="0.25">
      <c r="A199" s="79"/>
      <c r="B199" s="30" t="s">
        <v>652</v>
      </c>
      <c r="C199" s="150" t="s">
        <v>483</v>
      </c>
      <c r="D199" s="150"/>
      <c r="E199" s="150"/>
      <c r="F199" s="150" t="s">
        <v>653</v>
      </c>
      <c r="G199" s="30">
        <v>0.75</v>
      </c>
      <c r="H199" s="30">
        <v>1.25</v>
      </c>
      <c r="I199" s="30">
        <f>G199/H199</f>
        <v>0.6</v>
      </c>
      <c r="J199" s="30">
        <v>740</v>
      </c>
      <c r="K199" s="30">
        <f>3*53</f>
        <v>159</v>
      </c>
      <c r="L199" s="30">
        <f>I199*J199*K199</f>
        <v>70596</v>
      </c>
      <c r="M199" s="30">
        <f>L199/$L$231</f>
        <v>356.94831338264601</v>
      </c>
      <c r="N199" s="30"/>
      <c r="O199" s="30"/>
      <c r="P199" s="30"/>
      <c r="Q199" s="30"/>
      <c r="R199" s="180"/>
      <c r="S199" s="30"/>
      <c r="T199" s="6"/>
      <c r="U199" s="6"/>
      <c r="V199" s="6"/>
      <c r="W199" s="6"/>
      <c r="X199" s="6"/>
    </row>
    <row r="200" spans="1:24" x14ac:dyDescent="0.25">
      <c r="A200" s="79" t="s">
        <v>640</v>
      </c>
      <c r="B200" s="30"/>
      <c r="C200" s="30"/>
      <c r="D200" s="30"/>
      <c r="E200" s="30"/>
      <c r="F200" s="30"/>
      <c r="G200" s="30"/>
      <c r="H200" s="30"/>
      <c r="I200" s="30">
        <f>SUM(I192:I194)</f>
        <v>4.9999999999999991</v>
      </c>
      <c r="J200" s="30"/>
      <c r="K200" s="30"/>
      <c r="L200" s="30"/>
      <c r="M200" s="30"/>
      <c r="N200" s="30"/>
      <c r="O200" s="30"/>
      <c r="P200" s="30"/>
      <c r="Q200" s="30"/>
      <c r="R200" s="180"/>
      <c r="S200" s="202"/>
      <c r="T200" s="6"/>
      <c r="U200" s="6"/>
      <c r="V200" s="6"/>
      <c r="W200" s="6"/>
      <c r="X200" s="6"/>
    </row>
    <row r="201" spans="1:24" x14ac:dyDescent="0.25">
      <c r="A201" s="79" t="s">
        <v>640</v>
      </c>
      <c r="B201" s="101" t="s">
        <v>657</v>
      </c>
      <c r="C201" s="101"/>
      <c r="D201" s="101"/>
      <c r="E201" s="101"/>
      <c r="F201" s="30"/>
      <c r="G201" s="30"/>
      <c r="H201" s="30" t="s">
        <v>351</v>
      </c>
      <c r="I201" s="30"/>
      <c r="J201" s="30"/>
      <c r="K201" s="30"/>
      <c r="L201" s="30"/>
      <c r="M201" s="30"/>
      <c r="N201" s="30"/>
      <c r="O201" s="30"/>
      <c r="P201" s="30"/>
      <c r="Q201" s="30"/>
      <c r="R201" s="180"/>
      <c r="S201" s="30"/>
      <c r="T201" s="6"/>
      <c r="U201" s="6"/>
      <c r="V201" s="6"/>
      <c r="W201" s="6"/>
      <c r="X201" s="6"/>
    </row>
    <row r="202" spans="1:24" x14ac:dyDescent="0.25">
      <c r="A202" s="79" t="s">
        <v>640</v>
      </c>
      <c r="B202" s="30" t="s">
        <v>658</v>
      </c>
      <c r="C202" s="150" t="s">
        <v>483</v>
      </c>
      <c r="D202" s="150"/>
      <c r="E202" s="150"/>
      <c r="F202" s="150" t="s">
        <v>659</v>
      </c>
      <c r="G202" s="30">
        <v>2.25</v>
      </c>
      <c r="H202" s="30">
        <v>1.25</v>
      </c>
      <c r="I202" s="30">
        <f>G202/H202</f>
        <v>1.8</v>
      </c>
      <c r="J202" s="30">
        <f>2*52</f>
        <v>104</v>
      </c>
      <c r="K202" s="30">
        <f>4*100</f>
        <v>400</v>
      </c>
      <c r="L202" s="30">
        <f>I202*J202*K202</f>
        <v>74880</v>
      </c>
      <c r="M202" s="30">
        <f>L202/$L$231</f>
        <v>378.60912383268931</v>
      </c>
      <c r="N202" s="30"/>
      <c r="O202" s="30"/>
      <c r="P202" s="30"/>
      <c r="Q202" s="30"/>
      <c r="R202" s="180"/>
      <c r="S202" s="30"/>
      <c r="T202" s="6"/>
      <c r="U202" s="6"/>
      <c r="V202" s="6"/>
      <c r="W202" s="6"/>
      <c r="X202" s="6"/>
    </row>
    <row r="203" spans="1:24" x14ac:dyDescent="0.25">
      <c r="A203" s="79" t="s">
        <v>640</v>
      </c>
      <c r="B203" s="30" t="s">
        <v>650</v>
      </c>
      <c r="C203" s="150" t="s">
        <v>483</v>
      </c>
      <c r="D203" s="150"/>
      <c r="E203" s="150"/>
      <c r="F203" s="150" t="s">
        <v>651</v>
      </c>
      <c r="G203" s="30">
        <v>2</v>
      </c>
      <c r="H203" s="30">
        <v>1.25</v>
      </c>
      <c r="I203" s="30">
        <f>G203/H203</f>
        <v>1.6</v>
      </c>
      <c r="J203" s="30">
        <f>2*52</f>
        <v>104</v>
      </c>
      <c r="K203" s="30">
        <f>4*100</f>
        <v>400</v>
      </c>
      <c r="L203" s="30">
        <f>I203*J203*K203</f>
        <v>66560</v>
      </c>
      <c r="M203" s="30">
        <f>L203/$L$231</f>
        <v>336.5414434068349</v>
      </c>
      <c r="N203" s="30"/>
      <c r="O203" s="30"/>
      <c r="P203" s="30"/>
      <c r="Q203" s="30"/>
      <c r="R203" s="180"/>
      <c r="S203" s="30"/>
      <c r="T203" s="6"/>
      <c r="U203" s="6"/>
      <c r="V203" s="6"/>
      <c r="W203" s="6"/>
      <c r="X203" s="6"/>
    </row>
    <row r="204" spans="1:24" x14ac:dyDescent="0.25">
      <c r="A204" s="79" t="s">
        <v>640</v>
      </c>
      <c r="B204" s="30" t="s">
        <v>652</v>
      </c>
      <c r="C204" s="150" t="s">
        <v>483</v>
      </c>
      <c r="D204" s="150"/>
      <c r="E204" s="150"/>
      <c r="F204" s="150" t="s">
        <v>653</v>
      </c>
      <c r="G204" s="30">
        <v>1.5</v>
      </c>
      <c r="H204" s="30">
        <v>1.25</v>
      </c>
      <c r="I204" s="30">
        <f>G204/H204</f>
        <v>1.2</v>
      </c>
      <c r="J204" s="30">
        <f>2*52</f>
        <v>104</v>
      </c>
      <c r="K204" s="30">
        <f>4*100</f>
        <v>400</v>
      </c>
      <c r="L204" s="30">
        <f>I204*J204*K204</f>
        <v>49920</v>
      </c>
      <c r="M204" s="30">
        <f>L204/$L$231</f>
        <v>252.40608255512618</v>
      </c>
      <c r="N204" s="30"/>
      <c r="O204" s="30"/>
      <c r="P204" s="30"/>
      <c r="Q204" s="30"/>
      <c r="R204" s="180"/>
      <c r="S204" s="30"/>
      <c r="T204" s="6"/>
      <c r="U204" s="6"/>
      <c r="V204" s="6"/>
      <c r="W204" s="6"/>
      <c r="X204" s="6"/>
    </row>
    <row r="205" spans="1:24" x14ac:dyDescent="0.25">
      <c r="A205" s="79" t="s">
        <v>640</v>
      </c>
      <c r="B205" s="30" t="s">
        <v>650</v>
      </c>
      <c r="C205" s="150" t="s">
        <v>483</v>
      </c>
      <c r="D205" s="150"/>
      <c r="E205" s="150"/>
      <c r="F205" s="150" t="s">
        <v>651</v>
      </c>
      <c r="G205" s="30">
        <v>4.75</v>
      </c>
      <c r="H205" s="30">
        <v>1.25</v>
      </c>
      <c r="I205" s="30">
        <f>G205/H205</f>
        <v>3.8</v>
      </c>
      <c r="J205" s="30">
        <f>2*52</f>
        <v>104</v>
      </c>
      <c r="K205" s="30">
        <f>4*100</f>
        <v>400</v>
      </c>
      <c r="L205" s="30">
        <f>I205*J205*K205</f>
        <v>158080</v>
      </c>
      <c r="M205" s="30">
        <f>L205/$L$231</f>
        <v>799.2859280912329</v>
      </c>
      <c r="N205" s="30"/>
      <c r="O205" s="30"/>
      <c r="P205" s="30"/>
      <c r="Q205" s="30"/>
      <c r="R205" s="180"/>
      <c r="S205" s="30"/>
      <c r="T205" s="6"/>
      <c r="U205" s="6"/>
      <c r="V205" s="6"/>
      <c r="W205" s="6"/>
      <c r="X205" s="6"/>
    </row>
    <row r="206" spans="1:24" x14ac:dyDescent="0.25">
      <c r="A206" s="79" t="s">
        <v>640</v>
      </c>
      <c r="B206" s="30" t="s">
        <v>648</v>
      </c>
      <c r="C206" s="150" t="s">
        <v>483</v>
      </c>
      <c r="D206" s="150"/>
      <c r="E206" s="150"/>
      <c r="F206" s="150" t="s">
        <v>649</v>
      </c>
      <c r="G206" s="30">
        <v>0.75</v>
      </c>
      <c r="H206" s="30">
        <v>1.25</v>
      </c>
      <c r="I206" s="30">
        <f>G206/H206</f>
        <v>0.6</v>
      </c>
      <c r="J206" s="30">
        <f>2*52</f>
        <v>104</v>
      </c>
      <c r="K206" s="30">
        <f>4*100</f>
        <v>400</v>
      </c>
      <c r="L206" s="30">
        <f>I206*J206*K206</f>
        <v>24960</v>
      </c>
      <c r="M206" s="30">
        <f>L206/$L$231</f>
        <v>126.20304127756309</v>
      </c>
      <c r="N206" s="30"/>
      <c r="O206" s="30"/>
      <c r="P206" s="30"/>
      <c r="Q206" s="30"/>
      <c r="R206" s="180"/>
      <c r="S206" s="30"/>
      <c r="T206" s="6"/>
      <c r="U206" s="6"/>
      <c r="V206" s="6"/>
      <c r="W206" s="6"/>
      <c r="X206" s="6"/>
    </row>
    <row r="207" spans="1:24" x14ac:dyDescent="0.25">
      <c r="A207" s="79" t="s">
        <v>640</v>
      </c>
      <c r="B207" s="30"/>
      <c r="C207" s="30"/>
      <c r="D207" s="30"/>
      <c r="E207" s="30"/>
      <c r="F207" s="30"/>
      <c r="G207" s="30"/>
      <c r="H207" s="30"/>
      <c r="I207" s="30">
        <f>SUM(I202:I206)</f>
        <v>9</v>
      </c>
      <c r="J207" s="30"/>
      <c r="K207" s="30"/>
      <c r="L207" s="30"/>
      <c r="M207" s="30"/>
      <c r="N207" s="30"/>
      <c r="O207" s="30"/>
      <c r="P207" s="30"/>
      <c r="Q207" s="30"/>
      <c r="R207" s="180"/>
      <c r="S207" s="202"/>
      <c r="T207" s="6"/>
      <c r="U207" s="6"/>
      <c r="V207" s="6"/>
      <c r="W207" s="6"/>
      <c r="X207" s="6"/>
    </row>
    <row r="208" spans="1:24" x14ac:dyDescent="0.25">
      <c r="A208" s="79" t="s">
        <v>640</v>
      </c>
      <c r="B208" s="30"/>
      <c r="C208" s="30"/>
      <c r="D208" s="30"/>
      <c r="E208" s="30"/>
      <c r="F208" s="30"/>
      <c r="G208" s="30"/>
      <c r="H208" s="30"/>
      <c r="I208" s="30"/>
      <c r="J208" s="30"/>
      <c r="K208" s="30"/>
      <c r="L208" s="30"/>
      <c r="M208" s="30"/>
      <c r="N208" s="30"/>
      <c r="O208" s="30"/>
      <c r="P208" s="30"/>
      <c r="Q208" s="30"/>
      <c r="R208" s="180"/>
      <c r="S208" s="202"/>
      <c r="T208" s="6"/>
      <c r="U208" s="6"/>
      <c r="V208" s="6"/>
      <c r="W208" s="6"/>
      <c r="X208" s="6"/>
    </row>
    <row r="209" spans="1:24" x14ac:dyDescent="0.25">
      <c r="A209" s="79" t="s">
        <v>640</v>
      </c>
      <c r="B209" s="101" t="s">
        <v>660</v>
      </c>
      <c r="C209" s="101"/>
      <c r="D209" s="101"/>
      <c r="E209" s="101"/>
      <c r="F209" s="30"/>
      <c r="G209" s="30"/>
      <c r="H209" s="30" t="s">
        <v>351</v>
      </c>
      <c r="I209" s="30"/>
      <c r="J209" s="30"/>
      <c r="K209" s="30"/>
      <c r="L209" s="30"/>
      <c r="M209" s="30"/>
      <c r="N209" s="30"/>
      <c r="O209" s="30"/>
      <c r="P209" s="30"/>
      <c r="Q209" s="30"/>
      <c r="R209" s="180"/>
      <c r="S209" s="30"/>
      <c r="T209" s="6"/>
      <c r="U209" s="6"/>
      <c r="V209" s="6"/>
      <c r="W209" s="6"/>
      <c r="X209" s="6"/>
    </row>
    <row r="210" spans="1:24" x14ac:dyDescent="0.25">
      <c r="A210" s="79" t="s">
        <v>640</v>
      </c>
      <c r="B210" s="30" t="s">
        <v>658</v>
      </c>
      <c r="C210" s="150" t="s">
        <v>483</v>
      </c>
      <c r="D210" s="150"/>
      <c r="E210" s="150"/>
      <c r="F210" s="150" t="s">
        <v>659</v>
      </c>
      <c r="G210" s="30">
        <v>2.25</v>
      </c>
      <c r="H210" s="30">
        <v>1.25</v>
      </c>
      <c r="I210" s="30">
        <f>G210/H210</f>
        <v>1.8</v>
      </c>
      <c r="J210" s="30">
        <f>2*52</f>
        <v>104</v>
      </c>
      <c r="K210" s="30">
        <f>30*4</f>
        <v>120</v>
      </c>
      <c r="L210" s="30">
        <f>I210*J210*K210</f>
        <v>22464.000000000004</v>
      </c>
      <c r="M210" s="30">
        <f>L210/$L$231</f>
        <v>113.5827371498068</v>
      </c>
      <c r="N210" s="30"/>
      <c r="O210" s="30"/>
      <c r="P210" s="30"/>
      <c r="Q210" s="30"/>
      <c r="R210" s="180"/>
      <c r="S210" s="30"/>
      <c r="T210" s="6"/>
      <c r="U210" s="6"/>
      <c r="V210" s="6"/>
      <c r="W210" s="6"/>
      <c r="X210" s="6"/>
    </row>
    <row r="211" spans="1:24" x14ac:dyDescent="0.25">
      <c r="A211" s="79" t="s">
        <v>640</v>
      </c>
      <c r="B211" s="30" t="s">
        <v>650</v>
      </c>
      <c r="C211" s="150" t="s">
        <v>483</v>
      </c>
      <c r="D211" s="150"/>
      <c r="E211" s="150"/>
      <c r="F211" s="150" t="s">
        <v>651</v>
      </c>
      <c r="G211" s="30">
        <v>2</v>
      </c>
      <c r="H211" s="30">
        <v>1.25</v>
      </c>
      <c r="I211" s="30">
        <f>G211/H211</f>
        <v>1.6</v>
      </c>
      <c r="J211" s="30">
        <f>2*52</f>
        <v>104</v>
      </c>
      <c r="K211" s="30">
        <f>30*4</f>
        <v>120</v>
      </c>
      <c r="L211" s="30">
        <f>I211*J211*K211</f>
        <v>19968</v>
      </c>
      <c r="M211" s="30">
        <f>L211/$L$231</f>
        <v>100.96243302205048</v>
      </c>
      <c r="N211" s="30"/>
      <c r="O211" s="30"/>
      <c r="P211" s="30"/>
      <c r="Q211" s="30"/>
      <c r="R211" s="180"/>
      <c r="S211" s="30"/>
      <c r="T211" s="6"/>
      <c r="U211" s="6"/>
      <c r="V211" s="6"/>
      <c r="W211" s="6"/>
      <c r="X211" s="6"/>
    </row>
    <row r="212" spans="1:24" x14ac:dyDescent="0.25">
      <c r="A212" s="79" t="s">
        <v>640</v>
      </c>
      <c r="B212" s="30" t="s">
        <v>652</v>
      </c>
      <c r="C212" s="150" t="s">
        <v>483</v>
      </c>
      <c r="D212" s="150"/>
      <c r="E212" s="150"/>
      <c r="F212" s="150" t="s">
        <v>653</v>
      </c>
      <c r="G212" s="30">
        <v>1.5</v>
      </c>
      <c r="H212" s="30">
        <v>1.25</v>
      </c>
      <c r="I212" s="30">
        <f>G212/H212</f>
        <v>1.2</v>
      </c>
      <c r="J212" s="30">
        <f>2*52</f>
        <v>104</v>
      </c>
      <c r="K212" s="30">
        <f>30*4</f>
        <v>120</v>
      </c>
      <c r="L212" s="30">
        <f>I212*J212*K212</f>
        <v>14976</v>
      </c>
      <c r="M212" s="30">
        <f>L212/$L$231</f>
        <v>75.72182476653785</v>
      </c>
      <c r="N212" s="30"/>
      <c r="O212" s="30"/>
      <c r="P212" s="30"/>
      <c r="Q212" s="30"/>
      <c r="R212" s="180"/>
      <c r="S212" s="30"/>
      <c r="T212" s="6"/>
      <c r="U212" s="6"/>
      <c r="V212" s="6"/>
      <c r="W212" s="6"/>
      <c r="X212" s="6"/>
    </row>
    <row r="213" spans="1:24" x14ac:dyDescent="0.25">
      <c r="A213" s="79" t="s">
        <v>640</v>
      </c>
      <c r="B213" s="30" t="s">
        <v>650</v>
      </c>
      <c r="C213" s="150" t="s">
        <v>483</v>
      </c>
      <c r="D213" s="150"/>
      <c r="E213" s="150"/>
      <c r="F213" s="150" t="s">
        <v>651</v>
      </c>
      <c r="G213" s="30">
        <v>4.75</v>
      </c>
      <c r="H213" s="30">
        <v>1.25</v>
      </c>
      <c r="I213" s="30">
        <f>G213/H213</f>
        <v>3.8</v>
      </c>
      <c r="J213" s="30">
        <f>2*52</f>
        <v>104</v>
      </c>
      <c r="K213" s="30">
        <f>30*4</f>
        <v>120</v>
      </c>
      <c r="L213" s="30">
        <f>I213*J213*K213</f>
        <v>47424</v>
      </c>
      <c r="M213" s="30">
        <f>L213/$L$231</f>
        <v>239.78577842736988</v>
      </c>
      <c r="N213" s="30"/>
      <c r="O213" s="30"/>
      <c r="P213" s="30"/>
      <c r="Q213" s="30"/>
      <c r="R213" s="180"/>
      <c r="S213" s="30"/>
      <c r="T213" s="6"/>
      <c r="U213" s="6"/>
      <c r="V213" s="6"/>
      <c r="W213" s="6"/>
      <c r="X213" s="6"/>
    </row>
    <row r="214" spans="1:24" x14ac:dyDescent="0.25">
      <c r="A214" s="79" t="s">
        <v>640</v>
      </c>
      <c r="B214" s="30" t="s">
        <v>648</v>
      </c>
      <c r="C214" s="150" t="s">
        <v>483</v>
      </c>
      <c r="D214" s="150"/>
      <c r="E214" s="150"/>
      <c r="F214" s="150" t="s">
        <v>649</v>
      </c>
      <c r="G214" s="30">
        <v>0.75</v>
      </c>
      <c r="H214" s="30">
        <v>1.25</v>
      </c>
      <c r="I214" s="30">
        <f>G214/H214</f>
        <v>0.6</v>
      </c>
      <c r="J214" s="30">
        <f>2*52</f>
        <v>104</v>
      </c>
      <c r="K214" s="30">
        <f>30*4</f>
        <v>120</v>
      </c>
      <c r="L214" s="30">
        <f>I214*J214*K214</f>
        <v>7488</v>
      </c>
      <c r="M214" s="30">
        <f>L214/$L$231</f>
        <v>37.860912383268925</v>
      </c>
      <c r="N214" s="30"/>
      <c r="O214" s="30"/>
      <c r="P214" s="30"/>
      <c r="Q214" s="30"/>
      <c r="R214" s="180"/>
      <c r="S214" s="30"/>
      <c r="T214" s="6"/>
      <c r="U214" s="6"/>
      <c r="V214" s="6"/>
      <c r="W214" s="6"/>
      <c r="X214" s="6"/>
    </row>
    <row r="215" spans="1:24" x14ac:dyDescent="0.25">
      <c r="A215" s="79" t="s">
        <v>640</v>
      </c>
      <c r="B215" s="30"/>
      <c r="C215" s="30"/>
      <c r="D215" s="30"/>
      <c r="E215" s="30"/>
      <c r="F215" s="30"/>
      <c r="G215" s="30"/>
      <c r="H215" s="30"/>
      <c r="I215" s="30">
        <f>SUM(I210:I214)</f>
        <v>9</v>
      </c>
      <c r="J215" s="30"/>
      <c r="K215" s="30"/>
      <c r="L215" s="30"/>
      <c r="M215" s="30"/>
      <c r="N215" s="30"/>
      <c r="O215" s="30"/>
      <c r="P215" s="30"/>
      <c r="Q215" s="30"/>
      <c r="R215" s="180"/>
      <c r="S215" s="202"/>
      <c r="T215" s="6"/>
      <c r="U215" s="6"/>
      <c r="V215" s="6"/>
      <c r="W215" s="6"/>
      <c r="X215" s="6"/>
    </row>
    <row r="216" spans="1:24" x14ac:dyDescent="0.25">
      <c r="A216" s="79" t="s">
        <v>640</v>
      </c>
      <c r="B216" s="30"/>
      <c r="C216" s="30"/>
      <c r="D216" s="30"/>
      <c r="E216" s="30"/>
      <c r="F216" s="30"/>
      <c r="G216" s="30"/>
      <c r="H216" s="30"/>
      <c r="I216" s="30"/>
      <c r="J216" s="30"/>
      <c r="K216" s="30"/>
      <c r="L216" s="30"/>
      <c r="M216" s="30"/>
      <c r="N216" s="30"/>
      <c r="O216" s="30"/>
      <c r="P216" s="30"/>
      <c r="Q216" s="30"/>
      <c r="R216" s="180"/>
      <c r="S216" s="202"/>
      <c r="T216" s="6"/>
      <c r="U216" s="6"/>
      <c r="V216" s="6"/>
      <c r="W216" s="6"/>
      <c r="X216" s="6"/>
    </row>
    <row r="217" spans="1:24" x14ac:dyDescent="0.25">
      <c r="A217" s="79" t="s">
        <v>640</v>
      </c>
      <c r="B217" s="101" t="s">
        <v>661</v>
      </c>
      <c r="C217" s="101"/>
      <c r="D217" s="101"/>
      <c r="E217" s="101"/>
      <c r="F217" s="30"/>
      <c r="G217" s="30"/>
      <c r="H217" s="30" t="s">
        <v>351</v>
      </c>
      <c r="I217" s="30"/>
      <c r="J217" s="30"/>
      <c r="K217" s="30"/>
      <c r="L217" s="30"/>
      <c r="M217" s="30"/>
      <c r="N217" s="30"/>
      <c r="O217" s="30"/>
      <c r="P217" s="30"/>
      <c r="Q217" s="30"/>
      <c r="R217" s="180"/>
      <c r="S217" s="30"/>
      <c r="T217" s="6"/>
      <c r="U217" s="6"/>
      <c r="V217" s="6"/>
      <c r="W217" s="6"/>
      <c r="X217" s="6"/>
    </row>
    <row r="218" spans="1:24" x14ac:dyDescent="0.25">
      <c r="A218" s="79" t="s">
        <v>640</v>
      </c>
      <c r="B218" s="30" t="s">
        <v>662</v>
      </c>
      <c r="C218" s="150" t="s">
        <v>459</v>
      </c>
      <c r="D218" s="150"/>
      <c r="E218" s="150"/>
      <c r="F218" s="150" t="s">
        <v>663</v>
      </c>
      <c r="G218" s="30">
        <v>2.5</v>
      </c>
      <c r="H218" s="30">
        <v>0.75</v>
      </c>
      <c r="I218" s="30">
        <f>G218/H218</f>
        <v>3.3333333333333335</v>
      </c>
      <c r="J218" s="30">
        <f>2*52</f>
        <v>104</v>
      </c>
      <c r="K218" s="30">
        <v>600</v>
      </c>
      <c r="L218" s="30">
        <f>I218*J218*K218</f>
        <v>208000</v>
      </c>
      <c r="M218" s="30">
        <f>L218/$L$231</f>
        <v>1051.6920106463592</v>
      </c>
      <c r="N218" s="30"/>
      <c r="O218" s="30"/>
      <c r="P218" s="30"/>
      <c r="Q218" s="30"/>
      <c r="R218" s="180"/>
      <c r="S218" s="30"/>
      <c r="T218" s="6"/>
      <c r="U218" s="6"/>
      <c r="V218" s="6"/>
      <c r="W218" s="6"/>
      <c r="X218" s="6"/>
    </row>
    <row r="219" spans="1:24" x14ac:dyDescent="0.25">
      <c r="A219" s="79" t="s">
        <v>640</v>
      </c>
      <c r="B219" s="30" t="s">
        <v>664</v>
      </c>
      <c r="C219" s="150" t="s">
        <v>459</v>
      </c>
      <c r="D219" s="150"/>
      <c r="E219" s="150"/>
      <c r="F219" s="150" t="s">
        <v>665</v>
      </c>
      <c r="G219" s="30">
        <v>4.75</v>
      </c>
      <c r="H219" s="30">
        <v>0.75</v>
      </c>
      <c r="I219" s="30">
        <f>G219/H219</f>
        <v>6.333333333333333</v>
      </c>
      <c r="J219" s="30">
        <f>2*52</f>
        <v>104</v>
      </c>
      <c r="K219" s="30">
        <v>600</v>
      </c>
      <c r="L219" s="30">
        <f>I219*J219*K219</f>
        <v>395200</v>
      </c>
      <c r="M219" s="30">
        <f>L219/$L$231</f>
        <v>1998.2148202280823</v>
      </c>
      <c r="N219" s="30"/>
      <c r="O219" s="30"/>
      <c r="P219" s="30"/>
      <c r="Q219" s="30"/>
      <c r="R219" s="180"/>
      <c r="S219" s="30"/>
      <c r="T219" s="6"/>
      <c r="U219" s="6"/>
      <c r="V219" s="6"/>
      <c r="W219" s="6"/>
      <c r="X219" s="6"/>
    </row>
    <row r="220" spans="1:24" x14ac:dyDescent="0.25">
      <c r="A220" s="79" t="s">
        <v>640</v>
      </c>
      <c r="B220" s="30" t="s">
        <v>666</v>
      </c>
      <c r="C220" s="150" t="s">
        <v>483</v>
      </c>
      <c r="D220" s="150"/>
      <c r="E220" s="150"/>
      <c r="F220" s="150" t="s">
        <v>667</v>
      </c>
      <c r="G220" s="30">
        <v>7.25</v>
      </c>
      <c r="H220" s="30">
        <v>1.25</v>
      </c>
      <c r="I220" s="30">
        <f>G220/H220</f>
        <v>5.8</v>
      </c>
      <c r="J220" s="30">
        <f>2*52</f>
        <v>104</v>
      </c>
      <c r="K220" s="30">
        <v>600</v>
      </c>
      <c r="L220" s="30">
        <f>I220*J220*K220</f>
        <v>361919.99999999994</v>
      </c>
      <c r="M220" s="30">
        <f>L220/$L$231</f>
        <v>1829.9440985246647</v>
      </c>
      <c r="N220" s="30"/>
      <c r="O220" s="30"/>
      <c r="P220" s="30"/>
      <c r="Q220" s="30"/>
      <c r="R220" s="180"/>
      <c r="S220" s="30"/>
      <c r="T220" s="6"/>
      <c r="U220" s="6"/>
      <c r="V220" s="6"/>
      <c r="W220" s="6"/>
      <c r="X220" s="6"/>
    </row>
    <row r="221" spans="1:24" x14ac:dyDescent="0.25">
      <c r="A221" s="79" t="s">
        <v>640</v>
      </c>
      <c r="B221" s="30" t="s">
        <v>668</v>
      </c>
      <c r="C221" s="150" t="s">
        <v>483</v>
      </c>
      <c r="D221" s="150"/>
      <c r="E221" s="150"/>
      <c r="F221" s="150" t="s">
        <v>669</v>
      </c>
      <c r="G221" s="30">
        <v>0.75</v>
      </c>
      <c r="H221" s="30">
        <v>1.25</v>
      </c>
      <c r="I221" s="30">
        <f>G221/H221</f>
        <v>0.6</v>
      </c>
      <c r="J221" s="30">
        <f>2*52</f>
        <v>104</v>
      </c>
      <c r="K221" s="30">
        <v>600</v>
      </c>
      <c r="L221" s="30">
        <f>I221*J221*K221</f>
        <v>37440</v>
      </c>
      <c r="M221" s="30">
        <f>L221/$L$231</f>
        <v>189.30456191634465</v>
      </c>
      <c r="N221" s="30"/>
      <c r="O221" s="30"/>
      <c r="P221" s="30"/>
      <c r="Q221" s="30"/>
      <c r="R221" s="180"/>
      <c r="S221" s="30"/>
      <c r="T221" s="6"/>
      <c r="U221" s="6"/>
      <c r="V221" s="6"/>
      <c r="W221" s="6"/>
      <c r="X221" s="6"/>
    </row>
    <row r="222" spans="1:24" x14ac:dyDescent="0.25">
      <c r="A222" s="79" t="s">
        <v>640</v>
      </c>
      <c r="B222" s="30"/>
      <c r="C222" s="30"/>
      <c r="D222" s="30"/>
      <c r="E222" s="30"/>
      <c r="F222" s="30"/>
      <c r="G222" s="30"/>
      <c r="H222" s="30"/>
      <c r="I222" s="30">
        <f>SUM(I218:I221)</f>
        <v>16.066666666666666</v>
      </c>
      <c r="J222" s="30"/>
      <c r="K222" s="30"/>
      <c r="L222" s="30"/>
      <c r="M222" s="30"/>
      <c r="N222" s="30"/>
      <c r="O222" s="30"/>
      <c r="P222" s="30"/>
      <c r="Q222" s="30"/>
      <c r="R222" s="180"/>
      <c r="S222" s="202"/>
      <c r="T222" s="6"/>
      <c r="U222" s="6"/>
      <c r="V222" s="6"/>
      <c r="W222" s="6"/>
      <c r="X222" s="6"/>
    </row>
    <row r="223" spans="1:24" x14ac:dyDescent="0.25">
      <c r="A223" s="79" t="s">
        <v>640</v>
      </c>
      <c r="B223" s="30"/>
      <c r="C223" s="30"/>
      <c r="D223" s="30"/>
      <c r="E223" s="30"/>
      <c r="F223" s="30"/>
      <c r="G223" s="30"/>
      <c r="H223" s="30"/>
      <c r="I223" s="30"/>
      <c r="J223" s="30"/>
      <c r="K223" s="30"/>
      <c r="L223" s="30"/>
      <c r="M223" s="30"/>
      <c r="N223" s="30"/>
      <c r="O223" s="30"/>
      <c r="P223" s="30"/>
      <c r="Q223" s="30"/>
      <c r="R223" s="180"/>
      <c r="S223" s="202"/>
      <c r="T223" s="6"/>
      <c r="U223" s="6"/>
      <c r="V223" s="6"/>
      <c r="W223" s="6"/>
      <c r="X223" s="6"/>
    </row>
    <row r="224" spans="1:24" x14ac:dyDescent="0.25">
      <c r="A224" s="79" t="s">
        <v>640</v>
      </c>
      <c r="B224" s="101" t="s">
        <v>670</v>
      </c>
      <c r="C224" s="101"/>
      <c r="D224" s="101"/>
      <c r="E224" s="101"/>
      <c r="F224" s="30"/>
      <c r="G224" s="30"/>
      <c r="H224" s="30" t="s">
        <v>351</v>
      </c>
      <c r="I224" s="30"/>
      <c r="J224" s="30"/>
      <c r="K224" s="30"/>
      <c r="L224" s="30"/>
      <c r="M224" s="30"/>
      <c r="N224" s="30"/>
      <c r="O224" s="30"/>
      <c r="P224" s="30"/>
      <c r="Q224" s="30"/>
      <c r="R224" s="180"/>
      <c r="S224" s="30"/>
      <c r="T224" s="6"/>
      <c r="U224" s="6"/>
      <c r="V224" s="6"/>
      <c r="W224" s="6"/>
      <c r="X224" s="6"/>
    </row>
    <row r="225" spans="1:24" x14ac:dyDescent="0.25">
      <c r="A225" s="79" t="s">
        <v>640</v>
      </c>
      <c r="B225" s="30" t="s">
        <v>662</v>
      </c>
      <c r="C225" s="150" t="s">
        <v>459</v>
      </c>
      <c r="D225" s="150"/>
      <c r="E225" s="150"/>
      <c r="F225" s="150" t="s">
        <v>663</v>
      </c>
      <c r="G225" s="30">
        <v>2.5</v>
      </c>
      <c r="H225" s="30">
        <v>0.75</v>
      </c>
      <c r="I225" s="30">
        <f>G225/H225</f>
        <v>3.3333333333333335</v>
      </c>
      <c r="J225" s="30">
        <f>2*52</f>
        <v>104</v>
      </c>
      <c r="K225" s="30">
        <v>180</v>
      </c>
      <c r="L225" s="30">
        <f>I225*J225*K225</f>
        <v>62400</v>
      </c>
      <c r="M225" s="30">
        <f>L225/$L$231</f>
        <v>315.50760319390776</v>
      </c>
      <c r="N225" s="30"/>
      <c r="O225" s="30"/>
      <c r="P225" s="30"/>
      <c r="Q225" s="30"/>
      <c r="R225" s="180"/>
      <c r="S225" s="30"/>
      <c r="T225" s="6"/>
      <c r="U225" s="6"/>
      <c r="V225" s="6"/>
      <c r="W225" s="6"/>
      <c r="X225" s="6"/>
    </row>
    <row r="226" spans="1:24" x14ac:dyDescent="0.25">
      <c r="A226" s="79" t="s">
        <v>640</v>
      </c>
      <c r="B226" s="30" t="s">
        <v>664</v>
      </c>
      <c r="C226" s="150" t="s">
        <v>459</v>
      </c>
      <c r="D226" s="150"/>
      <c r="E226" s="150"/>
      <c r="F226" s="150" t="s">
        <v>665</v>
      </c>
      <c r="G226" s="30">
        <v>4.75</v>
      </c>
      <c r="H226" s="30">
        <v>0.75</v>
      </c>
      <c r="I226" s="30">
        <f>G226/H226</f>
        <v>6.333333333333333</v>
      </c>
      <c r="J226" s="30">
        <f>2*52</f>
        <v>104</v>
      </c>
      <c r="K226" s="30">
        <v>180</v>
      </c>
      <c r="L226" s="30">
        <f>I226*J226*K226</f>
        <v>118560</v>
      </c>
      <c r="M226" s="30">
        <f>L226/$L$231</f>
        <v>599.46444606842465</v>
      </c>
      <c r="N226" s="30"/>
      <c r="O226" s="30"/>
      <c r="P226" s="30"/>
      <c r="Q226" s="30"/>
      <c r="R226" s="180"/>
      <c r="S226" s="30"/>
      <c r="T226" s="6"/>
      <c r="U226" s="6"/>
      <c r="V226" s="6"/>
      <c r="W226" s="6"/>
      <c r="X226" s="6"/>
    </row>
    <row r="227" spans="1:24" x14ac:dyDescent="0.25">
      <c r="A227" s="79" t="s">
        <v>640</v>
      </c>
      <c r="B227" s="30" t="s">
        <v>666</v>
      </c>
      <c r="C227" s="150" t="s">
        <v>483</v>
      </c>
      <c r="D227" s="150"/>
      <c r="E227" s="150"/>
      <c r="F227" s="150" t="s">
        <v>667</v>
      </c>
      <c r="G227" s="30">
        <v>7.25</v>
      </c>
      <c r="H227" s="30">
        <v>1.25</v>
      </c>
      <c r="I227" s="30">
        <f>G227/H227</f>
        <v>5.8</v>
      </c>
      <c r="J227" s="30">
        <f>2*52</f>
        <v>104</v>
      </c>
      <c r="K227" s="30">
        <v>180</v>
      </c>
      <c r="L227" s="30">
        <f>I227*J227*K227</f>
        <v>108575.99999999999</v>
      </c>
      <c r="M227" s="30">
        <f>L227/$L$231</f>
        <v>548.98322955739934</v>
      </c>
      <c r="N227" s="30"/>
      <c r="O227" s="30"/>
      <c r="P227" s="30"/>
      <c r="Q227" s="30"/>
      <c r="R227" s="180"/>
      <c r="S227" s="30"/>
      <c r="T227" s="6"/>
      <c r="U227" s="6"/>
      <c r="V227" s="6"/>
      <c r="W227" s="6"/>
      <c r="X227" s="6"/>
    </row>
    <row r="228" spans="1:24" x14ac:dyDescent="0.25">
      <c r="A228" s="79" t="s">
        <v>640</v>
      </c>
      <c r="B228" s="30" t="s">
        <v>668</v>
      </c>
      <c r="C228" s="150" t="s">
        <v>483</v>
      </c>
      <c r="D228" s="150"/>
      <c r="E228" s="150"/>
      <c r="F228" s="150" t="s">
        <v>669</v>
      </c>
      <c r="G228" s="30">
        <v>0.75</v>
      </c>
      <c r="H228" s="30">
        <v>1.25</v>
      </c>
      <c r="I228" s="30">
        <f>G228/H228</f>
        <v>0.6</v>
      </c>
      <c r="J228" s="30">
        <f>2*52</f>
        <v>104</v>
      </c>
      <c r="K228" s="30">
        <v>180</v>
      </c>
      <c r="L228" s="30">
        <f>I228*J228*K228</f>
        <v>11232</v>
      </c>
      <c r="M228" s="30">
        <f>L228/$L$231</f>
        <v>56.791368574903395</v>
      </c>
      <c r="N228" s="30"/>
      <c r="O228" s="30"/>
      <c r="P228" s="30"/>
      <c r="Q228" s="30"/>
      <c r="R228" s="180"/>
      <c r="S228" s="30"/>
      <c r="T228" s="6"/>
      <c r="U228" s="6"/>
      <c r="V228" s="6"/>
      <c r="W228" s="6"/>
      <c r="X228" s="6"/>
    </row>
    <row r="229" spans="1:24" x14ac:dyDescent="0.25">
      <c r="A229" s="79" t="s">
        <v>640</v>
      </c>
      <c r="B229" s="30"/>
      <c r="C229" s="30"/>
      <c r="D229" s="30"/>
      <c r="E229" s="30"/>
      <c r="F229" s="30"/>
      <c r="G229" s="30"/>
      <c r="H229" s="30"/>
      <c r="I229" s="30">
        <f>SUM(I225:I228)</f>
        <v>16.066666666666666</v>
      </c>
      <c r="J229" s="30"/>
      <c r="K229" s="30" t="s">
        <v>578</v>
      </c>
      <c r="L229" s="30">
        <f>SUM(L176:L228)</f>
        <v>2966648</v>
      </c>
      <c r="M229" s="30" t="s">
        <v>579</v>
      </c>
      <c r="N229" s="30"/>
      <c r="O229" s="30"/>
      <c r="P229" s="30"/>
      <c r="Q229" s="30"/>
      <c r="R229" s="180"/>
      <c r="S229" s="202"/>
      <c r="T229" s="6"/>
      <c r="U229" s="6"/>
      <c r="V229" s="6"/>
      <c r="W229" s="6"/>
      <c r="X229" s="6"/>
    </row>
    <row r="230" spans="1:24" x14ac:dyDescent="0.25">
      <c r="A230" s="79" t="s">
        <v>640</v>
      </c>
      <c r="B230" s="30"/>
      <c r="C230" s="30"/>
      <c r="D230" s="30"/>
      <c r="E230" s="30"/>
      <c r="F230" s="30"/>
      <c r="G230" s="30"/>
      <c r="H230" s="30"/>
      <c r="I230" s="30"/>
      <c r="J230" s="30"/>
      <c r="K230" s="30" t="s">
        <v>580</v>
      </c>
      <c r="L230" s="30">
        <v>15000</v>
      </c>
      <c r="M230" s="30" t="s">
        <v>581</v>
      </c>
      <c r="N230" s="30"/>
      <c r="O230" s="30"/>
      <c r="P230" s="30"/>
      <c r="Q230" s="30"/>
      <c r="R230" s="180"/>
      <c r="S230" s="202"/>
      <c r="T230" s="6"/>
      <c r="U230" s="6"/>
      <c r="V230" s="6"/>
      <c r="W230" s="6"/>
      <c r="X230" s="6"/>
    </row>
    <row r="231" spans="1:24" x14ac:dyDescent="0.25">
      <c r="A231" s="79" t="s">
        <v>640</v>
      </c>
      <c r="B231" s="30"/>
      <c r="C231" s="30"/>
      <c r="D231" s="30"/>
      <c r="E231" s="30"/>
      <c r="F231" s="30"/>
      <c r="G231" s="30"/>
      <c r="H231" s="30"/>
      <c r="I231" s="30"/>
      <c r="J231" s="30" t="s">
        <v>582</v>
      </c>
      <c r="K231" s="30" t="s">
        <v>583</v>
      </c>
      <c r="L231" s="30">
        <f>L229/L230</f>
        <v>197.77653333333333</v>
      </c>
      <c r="M231" s="30" t="s">
        <v>584</v>
      </c>
      <c r="N231" s="30"/>
      <c r="O231" s="30"/>
      <c r="P231" s="30"/>
      <c r="Q231" s="30"/>
      <c r="R231" s="180"/>
      <c r="S231" s="202"/>
      <c r="T231" s="6"/>
      <c r="U231" s="6"/>
      <c r="V231" s="6"/>
      <c r="W231" s="6"/>
      <c r="X231" s="6"/>
    </row>
    <row r="232" spans="1:24" x14ac:dyDescent="0.25">
      <c r="A232" s="79"/>
      <c r="B232" s="30"/>
      <c r="C232" s="30"/>
      <c r="D232" s="30"/>
      <c r="E232" s="30"/>
      <c r="F232" s="30"/>
      <c r="G232" s="30"/>
      <c r="H232" s="30"/>
      <c r="I232" s="30"/>
      <c r="J232" s="30"/>
      <c r="K232" s="30"/>
      <c r="L232" s="30"/>
      <c r="M232" s="30"/>
      <c r="N232" s="30"/>
      <c r="O232" s="30"/>
      <c r="P232" s="30"/>
      <c r="Q232" s="30"/>
      <c r="R232" s="180"/>
      <c r="S232" s="30"/>
      <c r="T232" s="6"/>
      <c r="U232" s="6"/>
      <c r="V232" s="6"/>
      <c r="W232" s="6"/>
      <c r="X232" s="6"/>
    </row>
    <row r="233" spans="1:24" x14ac:dyDescent="0.25">
      <c r="A233" s="79" t="s">
        <v>640</v>
      </c>
      <c r="B233" s="30" t="s">
        <v>671</v>
      </c>
      <c r="C233" s="150" t="s">
        <v>472</v>
      </c>
      <c r="D233" s="150"/>
      <c r="E233" s="150"/>
      <c r="F233" s="150" t="s">
        <v>672</v>
      </c>
      <c r="G233" s="30"/>
      <c r="H233" s="30"/>
      <c r="I233" s="30"/>
      <c r="J233" s="30"/>
      <c r="K233" s="30"/>
      <c r="L233" s="30">
        <v>4160</v>
      </c>
      <c r="M233" s="30">
        <v>4160</v>
      </c>
      <c r="N233" s="30"/>
      <c r="O233" s="30"/>
      <c r="P233" s="30"/>
      <c r="Q233" s="30"/>
      <c r="R233" s="180"/>
      <c r="S233" s="30"/>
      <c r="T233" s="6"/>
      <c r="U233" s="6"/>
      <c r="V233" s="6"/>
      <c r="W233" s="6"/>
      <c r="X233" s="6"/>
    </row>
    <row r="234" spans="1:24" x14ac:dyDescent="0.25">
      <c r="A234" s="79"/>
      <c r="B234" s="30"/>
      <c r="C234" s="30"/>
      <c r="D234" s="30"/>
      <c r="E234" s="30"/>
      <c r="F234" s="30"/>
      <c r="G234" s="30"/>
      <c r="H234" s="30"/>
      <c r="I234" s="30"/>
      <c r="J234" s="30"/>
      <c r="K234" s="30"/>
      <c r="L234" s="30"/>
      <c r="M234" s="30"/>
      <c r="N234" s="30"/>
      <c r="O234" s="30"/>
      <c r="P234" s="30"/>
      <c r="Q234" s="30"/>
      <c r="R234" s="180"/>
      <c r="S234" s="202"/>
      <c r="T234" s="6"/>
      <c r="U234" s="6"/>
      <c r="V234" s="6"/>
      <c r="W234" s="6"/>
      <c r="X234" s="6"/>
    </row>
    <row r="235" spans="1:24" x14ac:dyDescent="0.25">
      <c r="A235" s="79"/>
      <c r="B235" s="30"/>
      <c r="C235" s="30"/>
      <c r="D235" s="30"/>
      <c r="E235" s="30"/>
      <c r="F235" s="30"/>
      <c r="G235" s="30"/>
      <c r="H235" s="30"/>
      <c r="I235" s="30"/>
      <c r="J235" s="30"/>
      <c r="K235" s="30"/>
      <c r="L235" s="30"/>
      <c r="M235" s="30"/>
      <c r="N235" s="30"/>
      <c r="O235" s="30"/>
      <c r="P235" s="30"/>
      <c r="Q235" s="30"/>
      <c r="R235" s="180"/>
      <c r="S235" s="202"/>
      <c r="T235" s="6"/>
      <c r="U235" s="6"/>
      <c r="V235" s="6"/>
      <c r="W235" s="6"/>
      <c r="X235" s="6"/>
    </row>
    <row r="236" spans="1:24" ht="15.75" thickBot="1" x14ac:dyDescent="0.3">
      <c r="A236" s="204" t="s">
        <v>591</v>
      </c>
      <c r="B236" s="183"/>
      <c r="C236" s="183"/>
      <c r="D236" s="183"/>
      <c r="E236" s="183"/>
      <c r="F236" s="183"/>
      <c r="G236" s="183"/>
      <c r="H236" s="183"/>
      <c r="I236" s="183"/>
      <c r="J236" s="183"/>
      <c r="K236" s="183"/>
      <c r="L236" s="183"/>
      <c r="M236" s="183"/>
      <c r="N236" s="183"/>
      <c r="O236" s="183"/>
      <c r="P236" s="183"/>
      <c r="Q236" s="183"/>
      <c r="R236" s="199"/>
      <c r="S236" s="205"/>
      <c r="T236" s="6"/>
      <c r="U236" s="6"/>
      <c r="V236" s="6"/>
      <c r="W236" s="6"/>
      <c r="X236" s="6"/>
    </row>
    <row r="237" spans="1:24" x14ac:dyDescent="0.25">
      <c r="A237" s="206" t="s">
        <v>673</v>
      </c>
      <c r="B237" s="162"/>
      <c r="C237" s="162"/>
      <c r="D237" s="162"/>
      <c r="E237" s="162"/>
      <c r="F237" s="162"/>
      <c r="G237" s="162"/>
      <c r="H237" s="162"/>
      <c r="I237" s="162"/>
      <c r="J237" s="162"/>
      <c r="K237" s="162"/>
      <c r="L237" s="162"/>
      <c r="M237" s="162" t="s">
        <v>674</v>
      </c>
      <c r="N237" s="162"/>
      <c r="O237" s="162"/>
      <c r="P237" s="162"/>
      <c r="Q237" s="162"/>
      <c r="R237" s="201"/>
      <c r="S237" s="162"/>
      <c r="T237" s="6"/>
      <c r="U237" s="6"/>
      <c r="V237" s="6"/>
      <c r="W237" s="6"/>
      <c r="X237" s="6"/>
    </row>
    <row r="238" spans="1:24" x14ac:dyDescent="0.25">
      <c r="A238" s="207" t="s">
        <v>121</v>
      </c>
      <c r="B238" s="30"/>
      <c r="C238" s="150" t="s">
        <v>675</v>
      </c>
      <c r="D238" s="150"/>
      <c r="E238" s="150"/>
      <c r="F238" s="150" t="s">
        <v>675</v>
      </c>
      <c r="G238" s="30"/>
      <c r="H238" s="30"/>
      <c r="I238" s="30"/>
      <c r="J238" s="30"/>
      <c r="K238" s="30"/>
      <c r="L238" s="30"/>
      <c r="M238" s="30">
        <f>50*152</f>
        <v>7600</v>
      </c>
      <c r="N238" s="30"/>
      <c r="O238" s="30"/>
      <c r="P238" s="30"/>
      <c r="Q238" s="30"/>
      <c r="R238" s="180"/>
      <c r="S238" s="30"/>
      <c r="T238" s="6"/>
      <c r="U238" s="6"/>
      <c r="V238" s="6"/>
      <c r="W238" s="6"/>
      <c r="X238" s="6"/>
    </row>
    <row r="239" spans="1:24" x14ac:dyDescent="0.25">
      <c r="A239" s="207"/>
      <c r="B239" s="30"/>
      <c r="C239" s="30"/>
      <c r="D239" s="30"/>
      <c r="E239" s="30"/>
      <c r="F239" s="30"/>
      <c r="G239" s="30"/>
      <c r="H239" s="30"/>
      <c r="I239" s="30"/>
      <c r="J239" s="30"/>
      <c r="K239" s="30"/>
      <c r="L239" s="30"/>
      <c r="M239" s="30"/>
      <c r="N239" s="30"/>
      <c r="O239" s="30"/>
      <c r="P239" s="30"/>
      <c r="Q239" s="30"/>
      <c r="R239" s="180"/>
      <c r="S239" s="202"/>
      <c r="T239" s="6"/>
      <c r="U239" s="6"/>
      <c r="V239" s="6"/>
      <c r="W239" s="6"/>
      <c r="X239" s="6"/>
    </row>
    <row r="240" spans="1:24" x14ac:dyDescent="0.25">
      <c r="A240" s="207"/>
      <c r="B240" s="30"/>
      <c r="C240" s="30"/>
      <c r="D240" s="30"/>
      <c r="E240" s="30"/>
      <c r="F240" s="30"/>
      <c r="G240" s="30"/>
      <c r="H240" s="30"/>
      <c r="I240" s="30"/>
      <c r="J240" s="30"/>
      <c r="K240" s="30"/>
      <c r="L240" s="30"/>
      <c r="M240" s="30"/>
      <c r="N240" s="30"/>
      <c r="O240" s="30"/>
      <c r="P240" s="30"/>
      <c r="Q240" s="30"/>
      <c r="R240" s="180"/>
      <c r="S240" s="202"/>
      <c r="T240" s="6"/>
      <c r="U240" s="6"/>
      <c r="V240" s="6"/>
      <c r="W240" s="6"/>
      <c r="X240" s="6"/>
    </row>
    <row r="241" spans="1:24" ht="15.75" thickBot="1" x14ac:dyDescent="0.3">
      <c r="A241" s="208"/>
      <c r="B241" s="93"/>
      <c r="C241" s="93"/>
      <c r="D241" s="93"/>
      <c r="E241" s="93"/>
      <c r="F241" s="93"/>
      <c r="G241" s="93"/>
      <c r="H241" s="93"/>
      <c r="I241" s="93"/>
      <c r="J241" s="93"/>
      <c r="K241" s="93"/>
      <c r="L241" s="93"/>
      <c r="M241" s="93"/>
      <c r="N241" s="93"/>
      <c r="O241" s="93"/>
      <c r="P241" s="93"/>
      <c r="Q241" s="93"/>
      <c r="R241" s="209"/>
      <c r="S241" s="205"/>
      <c r="T241" s="6"/>
      <c r="U241" s="6"/>
      <c r="V241" s="6"/>
      <c r="W241" s="6"/>
      <c r="X241" s="6"/>
    </row>
    <row r="242" spans="1:24" ht="15.75" thickBot="1" x14ac:dyDescent="0.3">
      <c r="A242" s="210"/>
      <c r="B242" s="210"/>
      <c r="C242" s="210"/>
      <c r="D242" s="210"/>
      <c r="E242" s="210"/>
      <c r="F242" s="210"/>
      <c r="G242" s="210"/>
      <c r="H242" s="210"/>
      <c r="I242" s="210"/>
      <c r="J242" s="210"/>
      <c r="K242" s="210"/>
      <c r="L242" s="210"/>
      <c r="M242" s="210"/>
      <c r="N242" s="210"/>
      <c r="O242" s="210"/>
      <c r="P242" s="210"/>
      <c r="Q242" s="210"/>
      <c r="R242" s="211"/>
      <c r="S242" s="212"/>
      <c r="T242" s="6"/>
      <c r="U242" s="6"/>
      <c r="V242" s="6"/>
      <c r="W242" s="6"/>
      <c r="X242" s="6"/>
    </row>
    <row r="243" spans="1:24" x14ac:dyDescent="0.25">
      <c r="A243" s="106" t="s">
        <v>676</v>
      </c>
      <c r="B243" s="106"/>
      <c r="C243" s="106"/>
      <c r="D243" s="106"/>
      <c r="E243" s="106"/>
      <c r="F243" s="106"/>
      <c r="G243" s="106"/>
      <c r="H243" s="106"/>
      <c r="I243" s="106"/>
      <c r="J243" s="106"/>
      <c r="K243" s="106"/>
      <c r="L243" s="106"/>
      <c r="M243" s="106" t="s">
        <v>674</v>
      </c>
      <c r="N243" s="162"/>
      <c r="O243" s="162"/>
      <c r="P243" s="162"/>
      <c r="Q243" s="162"/>
      <c r="R243" s="201"/>
      <c r="S243" s="162"/>
      <c r="T243" s="6"/>
      <c r="U243" s="6"/>
      <c r="V243" s="6"/>
      <c r="W243" s="6"/>
      <c r="X243" s="6"/>
    </row>
    <row r="244" spans="1:24" x14ac:dyDescent="0.25">
      <c r="A244" s="30" t="s">
        <v>677</v>
      </c>
      <c r="B244" s="30"/>
      <c r="C244" s="150" t="s">
        <v>447</v>
      </c>
      <c r="D244" s="150"/>
      <c r="E244" s="150"/>
      <c r="F244" s="150" t="s">
        <v>678</v>
      </c>
      <c r="G244" s="30"/>
      <c r="H244" s="30"/>
      <c r="I244" s="30"/>
      <c r="J244" s="30"/>
      <c r="K244" s="30"/>
      <c r="L244" s="30"/>
      <c r="M244" s="30">
        <v>20000</v>
      </c>
      <c r="N244" s="30"/>
      <c r="O244" s="30"/>
      <c r="P244" s="30"/>
      <c r="Q244" s="30"/>
      <c r="R244" s="180"/>
      <c r="S244" s="202"/>
      <c r="T244" s="6"/>
      <c r="U244" s="6"/>
      <c r="V244" s="6"/>
      <c r="W244" s="6"/>
      <c r="X244" s="6"/>
    </row>
    <row r="245" spans="1:24" x14ac:dyDescent="0.25">
      <c r="A245" s="30" t="s">
        <v>679</v>
      </c>
      <c r="B245" s="30"/>
      <c r="C245" s="30"/>
      <c r="D245" s="30"/>
      <c r="E245" s="30"/>
      <c r="F245" s="30"/>
      <c r="G245" s="30"/>
      <c r="H245" s="30"/>
      <c r="I245" s="30"/>
      <c r="J245" s="30"/>
      <c r="K245" s="30"/>
      <c r="L245" s="30"/>
      <c r="M245" s="30"/>
      <c r="N245" s="30"/>
      <c r="O245" s="30"/>
      <c r="P245" s="30"/>
      <c r="Q245" s="30"/>
      <c r="R245" s="180"/>
      <c r="S245" s="202"/>
      <c r="T245" s="6"/>
      <c r="U245" s="6"/>
      <c r="V245" s="6"/>
      <c r="W245" s="6"/>
      <c r="X245" s="6"/>
    </row>
    <row r="246" spans="1:24" x14ac:dyDescent="0.25">
      <c r="A246" s="30"/>
      <c r="B246" s="30"/>
      <c r="C246" s="30"/>
      <c r="D246" s="30"/>
      <c r="E246" s="30"/>
      <c r="F246" s="30"/>
      <c r="G246" s="30"/>
      <c r="H246" s="30"/>
      <c r="I246" s="30"/>
      <c r="J246" s="30"/>
      <c r="K246" s="30"/>
      <c r="L246" s="30"/>
      <c r="M246" s="30"/>
      <c r="N246" s="30"/>
      <c r="O246" s="30"/>
      <c r="P246" s="30"/>
      <c r="Q246" s="30"/>
      <c r="R246" s="180"/>
      <c r="S246" s="202"/>
      <c r="T246" s="6"/>
      <c r="U246" s="6"/>
      <c r="V246" s="6"/>
      <c r="W246" s="6"/>
      <c r="X246" s="6"/>
    </row>
    <row r="247" spans="1:24" x14ac:dyDescent="0.25">
      <c r="A247" s="30" t="s">
        <v>680</v>
      </c>
      <c r="B247" s="30"/>
      <c r="C247" s="30"/>
      <c r="D247" s="30"/>
      <c r="E247" s="30"/>
      <c r="F247" s="30"/>
      <c r="G247" s="30"/>
      <c r="H247" s="30"/>
      <c r="I247" s="30"/>
      <c r="J247" s="30"/>
      <c r="K247" s="30"/>
      <c r="L247" s="30"/>
      <c r="M247" s="30" t="s">
        <v>674</v>
      </c>
      <c r="N247" s="30"/>
      <c r="O247" s="30"/>
      <c r="P247" s="30"/>
      <c r="Q247" s="30"/>
      <c r="R247" s="180"/>
      <c r="S247" s="30"/>
      <c r="T247" s="6"/>
      <c r="U247" s="6"/>
      <c r="V247" s="6"/>
      <c r="W247" s="6"/>
      <c r="X247" s="6"/>
    </row>
    <row r="248" spans="1:24" x14ac:dyDescent="0.25">
      <c r="A248" s="30" t="s">
        <v>681</v>
      </c>
      <c r="B248" s="30"/>
      <c r="C248" s="150" t="s">
        <v>587</v>
      </c>
      <c r="D248" s="150"/>
      <c r="E248" s="150"/>
      <c r="F248" s="150" t="s">
        <v>682</v>
      </c>
      <c r="G248" s="30"/>
      <c r="H248" s="30"/>
      <c r="I248" s="30"/>
      <c r="J248" s="30"/>
      <c r="K248" s="30"/>
      <c r="L248" s="30"/>
      <c r="M248" s="30">
        <v>11232</v>
      </c>
      <c r="N248" s="30"/>
      <c r="O248" s="30"/>
      <c r="P248" s="30"/>
      <c r="Q248" s="30"/>
      <c r="R248" s="180"/>
      <c r="S248" s="202"/>
      <c r="T248" s="6"/>
      <c r="U248" s="6"/>
      <c r="V248" s="6"/>
      <c r="W248" s="6"/>
      <c r="X248" s="6"/>
    </row>
    <row r="249" spans="1:24" x14ac:dyDescent="0.25">
      <c r="A249" s="30" t="s">
        <v>86</v>
      </c>
      <c r="B249" s="30"/>
      <c r="C249" s="150" t="s">
        <v>587</v>
      </c>
      <c r="D249" s="150"/>
      <c r="E249" s="150"/>
      <c r="F249" s="150" t="s">
        <v>683</v>
      </c>
      <c r="G249" s="30"/>
      <c r="H249" s="30"/>
      <c r="I249" s="30"/>
      <c r="J249" s="30"/>
      <c r="K249" s="30"/>
      <c r="L249" s="30"/>
      <c r="M249" s="30">
        <v>70080</v>
      </c>
      <c r="N249" s="30"/>
      <c r="O249" s="30"/>
      <c r="P249" s="30"/>
      <c r="Q249" s="30"/>
      <c r="R249" s="180"/>
      <c r="S249" s="202"/>
      <c r="T249" s="6"/>
      <c r="U249" s="6"/>
      <c r="V249" s="6"/>
      <c r="W249" s="6"/>
      <c r="X249" s="6"/>
    </row>
    <row r="250" spans="1:24" x14ac:dyDescent="0.25">
      <c r="A250" s="30" t="s">
        <v>708</v>
      </c>
      <c r="B250" s="30"/>
      <c r="C250" s="30">
        <v>15</v>
      </c>
      <c r="D250" s="30"/>
      <c r="E250" s="30"/>
      <c r="F250" s="30"/>
      <c r="G250" s="30"/>
      <c r="H250" s="30"/>
      <c r="I250" s="30"/>
      <c r="J250" s="30"/>
      <c r="K250" s="30"/>
      <c r="L250" s="30"/>
      <c r="M250" s="30">
        <v>9984</v>
      </c>
      <c r="N250" s="30">
        <f>SUM(M248:M250)</f>
        <v>91296</v>
      </c>
      <c r="O250" s="30"/>
      <c r="P250" s="30"/>
      <c r="Q250" s="30"/>
      <c r="R250" s="180"/>
      <c r="S250" s="202"/>
      <c r="T250" s="6"/>
      <c r="U250" s="6"/>
      <c r="V250" s="6"/>
      <c r="W250" s="6"/>
      <c r="X250" s="6"/>
    </row>
    <row r="251" spans="1:24" x14ac:dyDescent="0.25">
      <c r="A251" s="30" t="s">
        <v>684</v>
      </c>
      <c r="B251" s="30"/>
      <c r="C251" s="30"/>
      <c r="D251" s="30"/>
      <c r="E251" s="30"/>
      <c r="F251" s="30"/>
      <c r="G251" s="30"/>
      <c r="H251" s="30"/>
      <c r="I251" s="30"/>
      <c r="J251" s="30"/>
      <c r="K251" s="30"/>
      <c r="L251" s="30"/>
      <c r="M251" s="30" t="s">
        <v>674</v>
      </c>
      <c r="N251" s="30"/>
      <c r="O251" s="30"/>
      <c r="P251" s="30"/>
      <c r="Q251" s="30"/>
      <c r="R251" s="180"/>
      <c r="S251" s="30"/>
      <c r="T251" s="6"/>
      <c r="U251" s="6"/>
      <c r="V251" s="6"/>
      <c r="W251" s="6"/>
      <c r="X251" s="6"/>
    </row>
    <row r="252" spans="1:24" x14ac:dyDescent="0.25">
      <c r="A252" s="30" t="s">
        <v>85</v>
      </c>
      <c r="B252" s="30"/>
      <c r="C252" s="150" t="s">
        <v>405</v>
      </c>
      <c r="D252" s="150"/>
      <c r="E252" s="150"/>
      <c r="F252" s="150" t="s">
        <v>685</v>
      </c>
      <c r="G252" s="30"/>
      <c r="H252" s="30"/>
      <c r="I252" s="30"/>
      <c r="J252" s="30"/>
      <c r="K252" s="30"/>
      <c r="L252" s="30"/>
      <c r="M252" s="30">
        <v>9000</v>
      </c>
      <c r="N252" s="30"/>
      <c r="O252" s="30"/>
      <c r="P252" s="30"/>
      <c r="Q252" s="30"/>
      <c r="R252" s="180"/>
      <c r="S252" s="202"/>
      <c r="T252" s="6"/>
      <c r="U252" s="6"/>
      <c r="V252" s="6"/>
      <c r="W252" s="6"/>
      <c r="X252" s="6"/>
    </row>
    <row r="253" spans="1:24" x14ac:dyDescent="0.25">
      <c r="A253" s="30" t="s">
        <v>591</v>
      </c>
      <c r="B253" s="30"/>
      <c r="C253" s="30"/>
      <c r="D253" s="30"/>
      <c r="E253" s="30"/>
      <c r="F253" s="30"/>
      <c r="G253" s="30"/>
      <c r="H253" s="30"/>
      <c r="I253" s="30"/>
      <c r="J253" s="30"/>
      <c r="K253" s="30"/>
      <c r="L253" s="30"/>
      <c r="M253" s="30"/>
      <c r="N253" s="30"/>
      <c r="O253" s="30"/>
      <c r="P253" s="30"/>
      <c r="Q253" s="30"/>
      <c r="R253" s="180"/>
      <c r="S253" s="202"/>
      <c r="T253" s="6"/>
      <c r="U253" s="6"/>
      <c r="V253" s="6"/>
      <c r="W253" s="6"/>
      <c r="X253" s="6"/>
    </row>
    <row r="254" spans="1:24" x14ac:dyDescent="0.25">
      <c r="A254" s="30" t="s">
        <v>686</v>
      </c>
      <c r="B254" s="30"/>
      <c r="C254" s="30"/>
      <c r="D254" s="30"/>
      <c r="E254" s="30"/>
      <c r="F254" s="30"/>
      <c r="G254" s="30"/>
      <c r="H254" s="30"/>
      <c r="I254" s="30"/>
      <c r="J254" s="30"/>
      <c r="K254" s="30"/>
      <c r="L254" s="30"/>
      <c r="M254" s="30" t="s">
        <v>674</v>
      </c>
      <c r="N254" s="30"/>
      <c r="O254" s="30"/>
      <c r="P254" s="30"/>
      <c r="Q254" s="30"/>
      <c r="R254" s="180"/>
      <c r="S254" s="30"/>
      <c r="T254" s="6"/>
      <c r="U254" s="6"/>
      <c r="V254" s="6"/>
      <c r="W254" s="6"/>
      <c r="X254" s="6"/>
    </row>
    <row r="255" spans="1:24" x14ac:dyDescent="0.25">
      <c r="A255" s="30" t="s">
        <v>85</v>
      </c>
      <c r="B255" s="30"/>
      <c r="C255" s="150" t="s">
        <v>405</v>
      </c>
      <c r="D255" s="150"/>
      <c r="E255" s="150"/>
      <c r="F255" s="150" t="s">
        <v>685</v>
      </c>
      <c r="G255" s="30"/>
      <c r="H255" s="30"/>
      <c r="I255" s="30"/>
      <c r="J255" s="30"/>
      <c r="K255" s="30"/>
      <c r="L255" s="30"/>
      <c r="M255" s="30">
        <v>16997</v>
      </c>
      <c r="N255" s="30"/>
      <c r="O255" s="30"/>
      <c r="P255" s="30"/>
      <c r="Q255" s="30"/>
      <c r="R255" s="180"/>
      <c r="S255" s="202"/>
      <c r="T255" s="6"/>
      <c r="U255" s="6"/>
      <c r="V255" s="6"/>
      <c r="W255" s="6"/>
      <c r="X255" s="6"/>
    </row>
    <row r="256" spans="1:24" x14ac:dyDescent="0.25">
      <c r="A256" s="30" t="s">
        <v>591</v>
      </c>
      <c r="B256" s="30"/>
      <c r="C256" s="30"/>
      <c r="D256" s="30"/>
      <c r="E256" s="30"/>
      <c r="F256" s="30"/>
      <c r="G256" s="30"/>
      <c r="H256" s="30"/>
      <c r="I256" s="30"/>
      <c r="J256" s="30"/>
      <c r="K256" s="30"/>
      <c r="L256" s="30"/>
      <c r="M256" s="30"/>
      <c r="N256" s="30"/>
      <c r="O256" s="30"/>
      <c r="P256" s="30"/>
      <c r="Q256" s="30"/>
      <c r="R256" s="180"/>
      <c r="S256" s="202"/>
      <c r="T256" s="6"/>
      <c r="U256" s="6"/>
      <c r="V256" s="6"/>
      <c r="W256" s="6"/>
      <c r="X256" s="6"/>
    </row>
    <row r="257" spans="1:24" x14ac:dyDescent="0.25">
      <c r="A257" s="30"/>
      <c r="B257" s="30"/>
      <c r="C257" s="30"/>
      <c r="D257" s="30"/>
      <c r="E257" s="30"/>
      <c r="F257" s="30"/>
      <c r="G257" s="30"/>
      <c r="H257" s="30"/>
      <c r="I257" s="30"/>
      <c r="J257" s="30"/>
      <c r="K257" s="30"/>
      <c r="L257" s="30"/>
      <c r="M257" s="30" t="s">
        <v>674</v>
      </c>
      <c r="N257" s="30"/>
      <c r="O257" s="30"/>
      <c r="P257" s="30"/>
      <c r="Q257" s="30"/>
      <c r="R257" s="180"/>
      <c r="S257" s="30"/>
      <c r="T257" s="6"/>
      <c r="U257" s="6"/>
      <c r="V257" s="6"/>
      <c r="W257" s="6"/>
      <c r="X257" s="6"/>
    </row>
    <row r="258" spans="1:24" x14ac:dyDescent="0.25">
      <c r="A258" s="30" t="s">
        <v>687</v>
      </c>
      <c r="B258" s="30"/>
      <c r="C258" s="150" t="s">
        <v>405</v>
      </c>
      <c r="D258" s="150"/>
      <c r="E258" s="150"/>
      <c r="F258" s="150" t="s">
        <v>688</v>
      </c>
      <c r="G258" s="30"/>
      <c r="H258" s="30"/>
      <c r="I258" s="30"/>
      <c r="J258" s="30"/>
      <c r="K258" s="30"/>
      <c r="L258" s="30"/>
      <c r="M258" s="30">
        <v>9938</v>
      </c>
      <c r="N258" s="30"/>
      <c r="O258" s="30"/>
      <c r="P258" s="30"/>
      <c r="Q258" s="30"/>
      <c r="R258" s="180"/>
      <c r="S258" s="202"/>
      <c r="T258" s="6"/>
      <c r="U258" s="6"/>
      <c r="V258" s="6"/>
      <c r="W258" s="6"/>
      <c r="X258" s="6"/>
    </row>
    <row r="259" spans="1:24" x14ac:dyDescent="0.25">
      <c r="A259" s="30" t="s">
        <v>591</v>
      </c>
      <c r="B259" s="30"/>
      <c r="C259" s="30"/>
      <c r="D259" s="30"/>
      <c r="E259" s="30"/>
      <c r="F259" s="30"/>
      <c r="G259" s="30"/>
      <c r="H259" s="30"/>
      <c r="I259" s="30"/>
      <c r="J259" s="30"/>
      <c r="K259" s="30"/>
      <c r="L259" s="30"/>
      <c r="M259" s="30"/>
      <c r="N259" s="30"/>
      <c r="O259" s="30"/>
      <c r="P259" s="30"/>
      <c r="Q259" s="30"/>
      <c r="R259" s="180"/>
      <c r="S259" s="202"/>
      <c r="T259" s="6"/>
      <c r="U259" s="6"/>
      <c r="V259" s="6"/>
      <c r="W259" s="6"/>
      <c r="X259" s="6"/>
    </row>
    <row r="260" spans="1:24" x14ac:dyDescent="0.25">
      <c r="A260" s="30"/>
      <c r="B260" s="30"/>
      <c r="C260" s="30"/>
      <c r="D260" s="30"/>
      <c r="E260" s="30"/>
      <c r="F260" s="30"/>
      <c r="G260" s="30"/>
      <c r="H260" s="30"/>
      <c r="I260" s="30"/>
      <c r="J260" s="30"/>
      <c r="K260" s="30"/>
      <c r="L260" s="30"/>
      <c r="M260" s="30"/>
      <c r="N260" s="30"/>
      <c r="O260" s="30"/>
      <c r="P260" s="30"/>
      <c r="Q260" s="30"/>
      <c r="R260" s="180"/>
      <c r="S260" s="202"/>
      <c r="T260" s="6"/>
      <c r="U260" s="6"/>
      <c r="V260" s="6"/>
      <c r="W260" s="6"/>
      <c r="X260" s="6"/>
    </row>
    <row r="261" spans="1:24" x14ac:dyDescent="0.25">
      <c r="A261" s="101" t="s">
        <v>689</v>
      </c>
      <c r="B261" s="30"/>
      <c r="C261" s="30"/>
      <c r="D261" s="30"/>
      <c r="E261" s="30"/>
      <c r="F261" s="30"/>
      <c r="G261" s="30"/>
      <c r="H261" s="30"/>
      <c r="I261" s="30"/>
      <c r="J261" s="30"/>
      <c r="K261" s="30"/>
      <c r="L261" s="30"/>
      <c r="M261" s="30"/>
      <c r="N261" s="30"/>
      <c r="O261" s="30"/>
      <c r="P261" s="30"/>
      <c r="Q261" s="30"/>
      <c r="R261" s="180"/>
      <c r="S261" s="202"/>
      <c r="T261" s="6"/>
      <c r="U261" s="6"/>
      <c r="V261" s="6"/>
      <c r="W261" s="6"/>
      <c r="X261" s="6"/>
    </row>
    <row r="262" spans="1:24" x14ac:dyDescent="0.25">
      <c r="A262" s="107" t="s">
        <v>690</v>
      </c>
      <c r="B262" s="30"/>
      <c r="C262" s="30"/>
      <c r="E262" s="30"/>
      <c r="F262" s="30"/>
      <c r="G262" s="30"/>
      <c r="H262" s="30"/>
      <c r="I262" s="30"/>
      <c r="J262" s="30"/>
      <c r="K262" s="30"/>
      <c r="L262" s="30"/>
      <c r="M262" s="30"/>
      <c r="N262" s="30"/>
      <c r="O262" s="30"/>
      <c r="P262" s="30"/>
      <c r="Q262" s="30"/>
      <c r="R262" s="180"/>
      <c r="S262" s="202"/>
      <c r="T262" s="6"/>
      <c r="U262" s="6"/>
      <c r="V262" s="6"/>
      <c r="W262" s="6"/>
      <c r="X262" s="6"/>
    </row>
    <row r="263" spans="1:24" x14ac:dyDescent="0.25">
      <c r="A263" t="s">
        <v>691</v>
      </c>
      <c r="B263" s="30"/>
      <c r="C263" s="30"/>
      <c r="D263" s="30"/>
      <c r="E263" s="30"/>
      <c r="F263" s="30"/>
      <c r="G263" s="30"/>
      <c r="H263" s="30"/>
      <c r="I263" s="30"/>
      <c r="J263" s="30"/>
      <c r="K263" s="30"/>
      <c r="L263" s="30"/>
      <c r="M263" s="30"/>
      <c r="N263" s="30"/>
      <c r="O263" s="30"/>
      <c r="P263" s="30"/>
      <c r="Q263" s="30"/>
      <c r="R263" s="180"/>
      <c r="S263" s="202"/>
      <c r="T263" s="6"/>
      <c r="U263" s="6"/>
      <c r="V263" s="6"/>
      <c r="W263" s="6"/>
      <c r="X263" s="6"/>
    </row>
    <row r="264" spans="1:24" x14ac:dyDescent="0.25">
      <c r="A264" s="107" t="s">
        <v>692</v>
      </c>
      <c r="B264" s="30"/>
      <c r="C264" s="30"/>
      <c r="D264" s="30"/>
      <c r="E264" s="30"/>
      <c r="F264" s="30"/>
      <c r="G264" s="30"/>
      <c r="H264" s="30"/>
      <c r="I264" s="30"/>
      <c r="J264" s="30"/>
      <c r="K264" s="30"/>
      <c r="L264" s="30"/>
      <c r="M264" s="30"/>
      <c r="N264" s="30"/>
      <c r="O264" s="30"/>
      <c r="P264" s="30"/>
      <c r="Q264" s="30"/>
      <c r="R264" s="180"/>
      <c r="S264" s="202"/>
      <c r="T264" s="6"/>
      <c r="U264" s="6"/>
      <c r="V264" s="6"/>
      <c r="W264" s="6"/>
      <c r="X264" s="6"/>
    </row>
    <row r="265" spans="1:24" x14ac:dyDescent="0.25">
      <c r="A265" s="107" t="s">
        <v>693</v>
      </c>
      <c r="B265" s="30"/>
      <c r="C265" s="30"/>
      <c r="D265" s="30"/>
      <c r="E265" s="30"/>
      <c r="F265" s="30" t="s">
        <v>694</v>
      </c>
      <c r="G265" s="30"/>
      <c r="H265" s="30"/>
      <c r="I265" s="30" t="s">
        <v>541</v>
      </c>
      <c r="J265" s="30" t="s">
        <v>695</v>
      </c>
      <c r="K265" s="30" t="s">
        <v>696</v>
      </c>
      <c r="L265" s="30" t="s">
        <v>697</v>
      </c>
      <c r="M265" s="30" t="s">
        <v>698</v>
      </c>
      <c r="N265" s="30"/>
      <c r="O265" s="30"/>
      <c r="P265" s="30"/>
      <c r="Q265" s="30"/>
      <c r="R265" s="180"/>
      <c r="S265" s="30"/>
      <c r="T265" s="6"/>
      <c r="U265" s="6"/>
      <c r="V265" s="6"/>
      <c r="W265" s="6"/>
      <c r="X265" s="6"/>
    </row>
    <row r="266" spans="1:24" x14ac:dyDescent="0.25">
      <c r="A266" s="30" t="s">
        <v>531</v>
      </c>
      <c r="B266" s="30"/>
      <c r="C266" s="150">
        <v>34037</v>
      </c>
      <c r="D266" s="150"/>
      <c r="E266" s="150"/>
      <c r="F266" s="150" t="s">
        <v>699</v>
      </c>
      <c r="G266" s="30">
        <v>21.594065656565657</v>
      </c>
      <c r="H266" s="30"/>
      <c r="I266" s="30"/>
      <c r="J266" s="30"/>
      <c r="K266" s="30"/>
      <c r="L266" s="30"/>
      <c r="M266" s="30">
        <v>99072</v>
      </c>
      <c r="N266" s="30"/>
      <c r="O266" s="30"/>
      <c r="P266" s="30"/>
      <c r="Q266" s="30"/>
      <c r="R266" s="180"/>
      <c r="S266" s="30"/>
      <c r="T266" s="6"/>
      <c r="U266" s="6"/>
      <c r="V266" s="6"/>
      <c r="W266" s="6"/>
      <c r="X266" s="6"/>
    </row>
    <row r="267" spans="1:24" x14ac:dyDescent="0.25">
      <c r="A267" s="30" t="s">
        <v>454</v>
      </c>
      <c r="B267" s="30"/>
      <c r="C267" s="150">
        <v>34027</v>
      </c>
      <c r="D267" s="150"/>
      <c r="E267" s="150"/>
      <c r="F267" s="150" t="s">
        <v>609</v>
      </c>
      <c r="G267" s="30">
        <v>7.4179292929292924</v>
      </c>
      <c r="H267" s="30"/>
      <c r="I267" s="30"/>
      <c r="J267" s="30"/>
      <c r="K267" s="30"/>
      <c r="L267" s="30"/>
      <c r="M267" s="30">
        <v>25035</v>
      </c>
      <c r="N267" s="30"/>
      <c r="O267" s="30"/>
      <c r="P267" s="30"/>
      <c r="Q267" s="30"/>
      <c r="R267" s="180"/>
      <c r="S267" s="30"/>
      <c r="T267" s="6"/>
      <c r="U267" s="6"/>
      <c r="V267" s="6"/>
      <c r="W267" s="6"/>
      <c r="X267" s="6"/>
    </row>
    <row r="268" spans="1:24" x14ac:dyDescent="0.25">
      <c r="A268" s="30" t="s">
        <v>468</v>
      </c>
      <c r="B268" s="30"/>
      <c r="C268" s="150">
        <v>34031</v>
      </c>
      <c r="D268" s="150"/>
      <c r="E268" s="150"/>
      <c r="F268" s="150"/>
      <c r="G268" s="30">
        <v>7.7335858585858581</v>
      </c>
      <c r="H268" s="30"/>
      <c r="I268" s="30"/>
      <c r="J268" s="30"/>
      <c r="K268" s="30"/>
      <c r="L268" s="30"/>
      <c r="M268" s="30">
        <v>43780</v>
      </c>
      <c r="N268" s="30"/>
      <c r="O268" s="30"/>
      <c r="P268" s="30"/>
      <c r="Q268" s="30"/>
      <c r="R268" s="180"/>
      <c r="S268" s="30"/>
      <c r="T268" s="6"/>
      <c r="U268" s="6"/>
      <c r="V268" s="6"/>
      <c r="W268" s="6"/>
      <c r="X268" s="6"/>
    </row>
    <row r="269" spans="1:24" x14ac:dyDescent="0.25">
      <c r="A269" s="30" t="s">
        <v>530</v>
      </c>
      <c r="B269" s="30"/>
      <c r="C269" s="150">
        <v>34003</v>
      </c>
      <c r="D269" s="150"/>
      <c r="E269" s="150"/>
      <c r="F269" s="150"/>
      <c r="G269" s="30">
        <v>27.755050505050502</v>
      </c>
      <c r="H269" s="30"/>
      <c r="I269" s="30"/>
      <c r="J269" s="30"/>
      <c r="K269" s="30"/>
      <c r="L269" s="30"/>
      <c r="M269" s="30">
        <v>54002</v>
      </c>
      <c r="N269" s="30"/>
      <c r="O269" s="30"/>
      <c r="P269" s="30"/>
      <c r="Q269" s="30"/>
      <c r="R269" s="180"/>
      <c r="S269" s="30"/>
      <c r="T269" s="6"/>
      <c r="U269" s="6"/>
      <c r="V269" s="6"/>
      <c r="W269" s="6"/>
      <c r="X269" s="6"/>
    </row>
    <row r="270" spans="1:24" x14ac:dyDescent="0.25">
      <c r="A270" s="30" t="s">
        <v>450</v>
      </c>
      <c r="B270" s="30"/>
      <c r="C270" s="150">
        <v>34017</v>
      </c>
      <c r="D270" s="150"/>
      <c r="E270" s="150"/>
      <c r="F270" s="150"/>
      <c r="G270" s="30">
        <v>7.0701754385964914</v>
      </c>
      <c r="H270" s="30"/>
      <c r="I270" s="30"/>
      <c r="J270" s="30"/>
      <c r="K270" s="30"/>
      <c r="L270" s="30"/>
      <c r="M270" s="30">
        <f>L270*415335.41</f>
        <v>0</v>
      </c>
      <c r="N270" s="30"/>
      <c r="O270" s="30"/>
      <c r="P270" s="30"/>
      <c r="Q270" s="30"/>
      <c r="R270" s="180"/>
      <c r="S270" s="30"/>
      <c r="T270" s="6"/>
      <c r="U270" s="6"/>
      <c r="V270" s="6"/>
      <c r="W270" s="6"/>
      <c r="X270" s="6"/>
    </row>
    <row r="271" spans="1:24" x14ac:dyDescent="0.25">
      <c r="A271" s="30"/>
      <c r="B271" s="30"/>
      <c r="C271" s="150"/>
      <c r="D271" s="150"/>
      <c r="E271" s="150"/>
      <c r="F271" s="150"/>
      <c r="G271" s="30">
        <f>SUM(G266:G269)</f>
        <v>64.500631313131308</v>
      </c>
      <c r="H271" s="30"/>
      <c r="I271" s="30"/>
      <c r="J271" s="30"/>
      <c r="K271" s="30"/>
      <c r="L271" s="30"/>
      <c r="M271" s="30"/>
      <c r="N271" s="30"/>
      <c r="O271" s="30"/>
      <c r="P271" s="30"/>
      <c r="Q271" s="30"/>
      <c r="R271" s="180"/>
      <c r="S271" s="30"/>
      <c r="T271" s="6"/>
      <c r="U271" s="6"/>
      <c r="V271" s="6"/>
      <c r="W271" s="6"/>
      <c r="X271" s="6"/>
    </row>
    <row r="272" spans="1:24" x14ac:dyDescent="0.25">
      <c r="A272" s="30"/>
      <c r="B272" s="30"/>
      <c r="C272" s="150"/>
      <c r="D272" s="150"/>
      <c r="E272" s="150"/>
      <c r="F272" s="150"/>
      <c r="G272" s="30"/>
      <c r="H272" s="30"/>
      <c r="I272" s="30"/>
      <c r="J272" s="30"/>
      <c r="K272" s="30"/>
      <c r="L272" s="30"/>
      <c r="M272" s="30"/>
      <c r="N272" s="30"/>
      <c r="O272" s="30"/>
      <c r="P272" s="30"/>
      <c r="Q272" s="30"/>
      <c r="R272" s="180"/>
      <c r="S272" s="30"/>
      <c r="T272" s="6"/>
      <c r="U272" s="6"/>
      <c r="V272" s="6"/>
      <c r="W272" s="6"/>
      <c r="X272" s="6"/>
    </row>
    <row r="273" spans="1:24" x14ac:dyDescent="0.25">
      <c r="A273" s="30"/>
      <c r="B273" s="30"/>
      <c r="C273" s="150"/>
      <c r="D273" s="150"/>
      <c r="E273" s="150"/>
      <c r="F273" s="150"/>
      <c r="H273" s="30"/>
      <c r="I273" s="30"/>
      <c r="J273" s="30"/>
      <c r="K273" s="30"/>
      <c r="L273" s="30"/>
      <c r="M273" s="30"/>
      <c r="N273" s="30"/>
      <c r="O273" s="30"/>
      <c r="P273" s="30"/>
      <c r="Q273" s="30"/>
      <c r="R273" s="180"/>
      <c r="S273" s="30"/>
      <c r="T273" s="6"/>
      <c r="U273" s="6"/>
      <c r="V273" s="6"/>
      <c r="W273" s="6"/>
      <c r="X273" s="6"/>
    </row>
    <row r="274" spans="1:24" x14ac:dyDescent="0.25">
      <c r="A274" s="30"/>
      <c r="B274" s="30"/>
      <c r="C274" s="150"/>
      <c r="D274" s="150"/>
      <c r="E274" s="150"/>
      <c r="F274" s="150"/>
      <c r="G274" s="30"/>
      <c r="H274" s="30"/>
      <c r="I274" s="30"/>
      <c r="J274" s="30"/>
      <c r="K274" s="30"/>
      <c r="L274" s="30"/>
      <c r="M274" s="30"/>
      <c r="N274" s="30"/>
      <c r="O274" s="30"/>
      <c r="P274" s="30"/>
      <c r="Q274" s="30"/>
      <c r="R274" s="180"/>
      <c r="S274" s="30"/>
      <c r="T274" s="6"/>
      <c r="U274" s="6"/>
      <c r="V274" s="6"/>
      <c r="W274" s="6"/>
      <c r="X274" s="6"/>
    </row>
    <row r="275" spans="1:24" x14ac:dyDescent="0.25">
      <c r="A275" s="30"/>
      <c r="B275" s="30"/>
      <c r="C275" s="150"/>
      <c r="D275" s="150"/>
      <c r="E275" s="150"/>
      <c r="F275" s="150"/>
      <c r="G275" s="30"/>
      <c r="H275" s="30"/>
      <c r="I275" s="30"/>
      <c r="J275" s="30"/>
      <c r="K275" s="30"/>
      <c r="L275" s="30"/>
      <c r="M275" s="30"/>
      <c r="N275" s="30"/>
      <c r="O275" s="30"/>
      <c r="P275" s="30"/>
      <c r="Q275" s="30"/>
      <c r="R275" s="180"/>
      <c r="S275" s="30"/>
      <c r="T275" s="6"/>
      <c r="U275" s="6"/>
      <c r="V275" s="6"/>
      <c r="W275" s="6"/>
      <c r="X275" s="6"/>
    </row>
    <row r="276" spans="1:24" x14ac:dyDescent="0.25">
      <c r="A276" s="30"/>
      <c r="B276" s="30"/>
      <c r="C276" s="150"/>
      <c r="D276" s="150"/>
      <c r="E276" s="150"/>
      <c r="F276" s="150"/>
      <c r="G276" s="30"/>
      <c r="H276" s="30"/>
      <c r="I276" s="30"/>
      <c r="J276" s="30"/>
      <c r="K276" s="30"/>
      <c r="L276" s="30"/>
      <c r="M276" s="30"/>
      <c r="N276" s="30"/>
      <c r="O276" s="30"/>
      <c r="P276" s="30"/>
      <c r="Q276" s="30"/>
      <c r="R276" s="180"/>
      <c r="S276" s="30"/>
      <c r="T276" s="6"/>
      <c r="U276" s="6"/>
      <c r="V276" s="6"/>
      <c r="W276" s="6"/>
      <c r="X276" s="6"/>
    </row>
    <row r="277" spans="1:24" x14ac:dyDescent="0.25">
      <c r="A277" s="30"/>
      <c r="B277" s="30"/>
      <c r="C277" s="150"/>
      <c r="D277" s="150"/>
      <c r="E277" s="150"/>
      <c r="F277" s="150"/>
      <c r="G277" s="30"/>
      <c r="H277" s="30"/>
      <c r="I277" s="30"/>
      <c r="J277" s="30"/>
      <c r="K277" s="30"/>
      <c r="L277" s="30"/>
      <c r="M277" s="30"/>
      <c r="N277" s="30"/>
      <c r="O277" s="30"/>
      <c r="P277" s="30"/>
      <c r="Q277" s="30"/>
      <c r="R277" s="180"/>
      <c r="S277" s="30"/>
      <c r="T277" s="6"/>
      <c r="U277" s="6"/>
      <c r="V277" s="6"/>
      <c r="W277" s="6"/>
      <c r="X277" s="6"/>
    </row>
    <row r="278" spans="1:24" x14ac:dyDescent="0.25">
      <c r="A278" s="30"/>
      <c r="B278" s="30"/>
      <c r="C278" s="150"/>
      <c r="D278" s="150"/>
      <c r="E278" s="150"/>
      <c r="F278" s="150"/>
      <c r="G278" s="30"/>
      <c r="H278" s="30"/>
      <c r="I278" s="30"/>
      <c r="J278" s="30"/>
      <c r="K278" s="30"/>
      <c r="L278" s="30"/>
      <c r="M278" s="30"/>
      <c r="N278" s="30"/>
      <c r="O278" s="30"/>
      <c r="P278" s="30"/>
      <c r="Q278" s="30"/>
      <c r="R278" s="180"/>
      <c r="S278" s="30"/>
      <c r="T278" s="6"/>
      <c r="U278" s="6"/>
      <c r="V278" s="6"/>
      <c r="W278" s="6"/>
      <c r="X278" s="6"/>
    </row>
    <row r="279" spans="1:24" x14ac:dyDescent="0.25">
      <c r="A279" s="30"/>
      <c r="B279" s="30"/>
      <c r="C279" s="150"/>
      <c r="D279" s="150"/>
      <c r="E279" s="150"/>
      <c r="F279" s="150"/>
      <c r="G279" s="30"/>
      <c r="H279" s="30"/>
      <c r="I279" s="30"/>
      <c r="J279" s="30"/>
      <c r="K279" s="30"/>
      <c r="L279" s="30"/>
      <c r="M279" s="30"/>
      <c r="N279" s="30"/>
      <c r="O279" s="30"/>
      <c r="P279" s="30"/>
      <c r="Q279" s="30"/>
      <c r="R279" s="180"/>
      <c r="S279" s="30"/>
      <c r="T279" s="6"/>
      <c r="U279" s="6"/>
      <c r="V279" s="6"/>
      <c r="W279" s="6"/>
      <c r="X279" s="6"/>
    </row>
    <row r="280" spans="1:24" x14ac:dyDescent="0.25">
      <c r="A280" s="30"/>
      <c r="B280" s="30"/>
      <c r="C280" s="150"/>
      <c r="D280" s="150"/>
      <c r="E280" s="150"/>
      <c r="F280" s="150"/>
      <c r="G280" s="30"/>
      <c r="H280" s="30"/>
      <c r="I280" s="30"/>
      <c r="J280" s="30"/>
      <c r="K280" s="30"/>
      <c r="L280" s="30"/>
      <c r="M280" s="30"/>
      <c r="N280" s="30"/>
      <c r="O280" s="30"/>
      <c r="P280" s="30"/>
      <c r="Q280" s="30"/>
      <c r="R280" s="180"/>
      <c r="S280" s="30"/>
      <c r="T280" s="6"/>
      <c r="U280" s="6"/>
      <c r="V280" s="6"/>
      <c r="W280" s="6"/>
      <c r="X280" s="6"/>
    </row>
    <row r="281" spans="1:24" x14ac:dyDescent="0.25">
      <c r="A281" s="30"/>
      <c r="B281" s="30"/>
      <c r="C281" s="150"/>
      <c r="D281" s="150"/>
      <c r="E281" s="150"/>
      <c r="F281" s="150"/>
      <c r="G281" s="30"/>
      <c r="H281" s="30"/>
      <c r="I281" s="30"/>
      <c r="J281" s="30"/>
      <c r="K281" s="30"/>
      <c r="L281" s="30"/>
      <c r="M281" s="30"/>
      <c r="N281" s="30"/>
      <c r="O281" s="30"/>
      <c r="P281" s="30"/>
      <c r="Q281" s="30"/>
      <c r="R281" s="180"/>
      <c r="S281" s="30"/>
      <c r="T281" s="6"/>
      <c r="U281" s="6"/>
      <c r="V281" s="6"/>
      <c r="W281" s="6"/>
      <c r="X281" s="6"/>
    </row>
    <row r="282" spans="1:24" x14ac:dyDescent="0.25">
      <c r="A282" s="30"/>
      <c r="B282" s="30"/>
      <c r="C282" s="150"/>
      <c r="D282" s="150"/>
      <c r="E282" s="150"/>
      <c r="F282" s="150"/>
      <c r="G282" s="30"/>
      <c r="H282" s="30"/>
      <c r="I282" s="30"/>
      <c r="J282" s="30"/>
      <c r="K282" s="30"/>
      <c r="L282" s="30"/>
      <c r="M282" s="30"/>
      <c r="N282" s="30"/>
      <c r="O282" s="30"/>
      <c r="P282" s="30"/>
      <c r="Q282" s="30"/>
      <c r="R282" s="180"/>
      <c r="S282" s="30"/>
      <c r="T282" s="6"/>
      <c r="U282" s="6"/>
      <c r="V282" s="6"/>
      <c r="W282" s="6"/>
      <c r="X282" s="6"/>
    </row>
    <row r="283" spans="1:24" x14ac:dyDescent="0.25">
      <c r="A283" s="30"/>
      <c r="B283" s="30"/>
      <c r="C283" s="150"/>
      <c r="D283" s="150"/>
      <c r="E283" s="150"/>
      <c r="F283" s="150"/>
      <c r="G283" s="30"/>
      <c r="H283" s="30"/>
      <c r="I283" s="30"/>
      <c r="J283" s="30"/>
      <c r="K283" s="30"/>
      <c r="L283" s="30"/>
      <c r="M283" s="30"/>
      <c r="N283" s="30"/>
      <c r="O283" s="30"/>
      <c r="P283" s="30"/>
      <c r="Q283" s="30"/>
      <c r="R283" s="180"/>
      <c r="S283" s="30"/>
      <c r="T283" s="6"/>
      <c r="U283" s="6"/>
      <c r="V283" s="6"/>
      <c r="W283" s="6"/>
      <c r="X283" s="6"/>
    </row>
    <row r="284" spans="1:24" x14ac:dyDescent="0.25">
      <c r="A284" s="30"/>
      <c r="B284" s="30"/>
      <c r="C284" s="150"/>
      <c r="D284" s="150"/>
      <c r="E284" s="150"/>
      <c r="F284" s="150"/>
      <c r="G284" s="30"/>
      <c r="H284" s="30"/>
      <c r="I284" s="30"/>
      <c r="J284" s="30"/>
      <c r="K284" s="30"/>
      <c r="L284" s="30"/>
      <c r="M284" s="30"/>
      <c r="N284" s="30"/>
      <c r="O284" s="30"/>
      <c r="P284" s="30"/>
      <c r="Q284" s="30"/>
      <c r="R284" s="180"/>
      <c r="S284" s="30"/>
      <c r="T284" s="6"/>
      <c r="U284" s="6"/>
      <c r="V284" s="6"/>
      <c r="W284" s="6"/>
      <c r="X284" s="6"/>
    </row>
    <row r="285" spans="1:24" x14ac:dyDescent="0.25">
      <c r="A285" s="30"/>
      <c r="B285" s="30"/>
      <c r="C285" s="150"/>
      <c r="D285" s="150"/>
      <c r="E285" s="150"/>
      <c r="F285" s="150"/>
      <c r="G285" s="30"/>
      <c r="H285" s="30"/>
      <c r="I285" s="30"/>
      <c r="J285" s="30"/>
      <c r="K285" s="30"/>
      <c r="L285" s="30"/>
      <c r="M285" s="30"/>
      <c r="N285" s="30"/>
      <c r="O285" s="30"/>
      <c r="P285" s="30"/>
      <c r="Q285" s="30"/>
      <c r="R285" s="180"/>
      <c r="S285" s="30"/>
      <c r="T285" s="6"/>
      <c r="U285" s="6"/>
      <c r="V285" s="6"/>
      <c r="W285" s="6"/>
      <c r="X285" s="6"/>
    </row>
    <row r="286" spans="1:24" x14ac:dyDescent="0.25">
      <c r="A286" s="30"/>
      <c r="B286" s="30"/>
      <c r="C286" s="150"/>
      <c r="D286" s="150"/>
      <c r="E286" s="150"/>
      <c r="F286" s="150"/>
      <c r="G286" s="30"/>
      <c r="H286" s="30"/>
      <c r="I286" s="30"/>
      <c r="J286" s="30"/>
      <c r="K286" s="30"/>
      <c r="L286" s="30"/>
      <c r="M286" s="30"/>
      <c r="N286" s="30"/>
      <c r="O286" s="30"/>
      <c r="P286" s="30"/>
      <c r="Q286" s="30"/>
      <c r="R286" s="180"/>
      <c r="S286" s="30"/>
      <c r="T286" s="6"/>
      <c r="U286" s="6"/>
      <c r="V286" s="6"/>
      <c r="W286" s="6"/>
      <c r="X286" s="6"/>
    </row>
    <row r="287" spans="1:24" x14ac:dyDescent="0.25">
      <c r="A287" s="30"/>
      <c r="B287" s="30"/>
      <c r="C287" s="150"/>
      <c r="D287" s="150"/>
      <c r="E287" s="150"/>
      <c r="F287" s="150"/>
      <c r="G287" s="30"/>
      <c r="H287" s="30"/>
      <c r="I287" s="30"/>
      <c r="J287" s="30"/>
      <c r="K287" s="30"/>
      <c r="L287" s="30"/>
      <c r="M287" s="30"/>
      <c r="N287" s="30"/>
      <c r="O287" s="30"/>
      <c r="P287" s="30"/>
      <c r="Q287" s="30"/>
      <c r="R287" s="180"/>
      <c r="S287" s="30"/>
      <c r="T287" s="6"/>
      <c r="U287" s="6"/>
      <c r="V287" s="6"/>
      <c r="W287" s="6"/>
      <c r="X287" s="6"/>
    </row>
    <row r="288" spans="1:24" x14ac:dyDescent="0.25">
      <c r="A288" s="30"/>
      <c r="B288" s="30"/>
      <c r="C288" s="150"/>
      <c r="D288" s="150"/>
      <c r="E288" s="150"/>
      <c r="F288" s="150"/>
      <c r="G288" s="30"/>
      <c r="H288" s="30"/>
      <c r="I288" s="30"/>
      <c r="J288" s="30"/>
      <c r="K288" s="30"/>
      <c r="L288" s="30"/>
      <c r="M288" s="30"/>
      <c r="N288" s="30"/>
      <c r="O288" s="30"/>
      <c r="P288" s="30"/>
      <c r="Q288" s="30"/>
      <c r="R288" s="180"/>
      <c r="S288" s="30"/>
      <c r="T288" s="6"/>
      <c r="U288" s="6"/>
      <c r="V288" s="6"/>
      <c r="W288" s="6"/>
      <c r="X288" s="6"/>
    </row>
    <row r="289" spans="1:24" x14ac:dyDescent="0.25">
      <c r="A289" s="30"/>
      <c r="B289" s="30"/>
      <c r="C289" s="150"/>
      <c r="D289" s="150"/>
      <c r="E289" s="150"/>
      <c r="F289" s="150"/>
      <c r="G289" s="30"/>
      <c r="H289" s="30"/>
      <c r="I289" s="30"/>
      <c r="J289" s="30"/>
      <c r="K289" s="30"/>
      <c r="L289" s="30"/>
      <c r="M289" s="30"/>
      <c r="N289" s="30"/>
      <c r="O289" s="30"/>
      <c r="P289" s="30"/>
      <c r="Q289" s="30"/>
      <c r="R289" s="180"/>
      <c r="S289" s="30"/>
      <c r="T289" s="6"/>
      <c r="U289" s="6"/>
      <c r="V289" s="6"/>
      <c r="W289" s="6"/>
      <c r="X289" s="6"/>
    </row>
    <row r="290" spans="1:24" x14ac:dyDescent="0.25">
      <c r="A290" s="30"/>
      <c r="B290" s="30"/>
      <c r="C290" s="150"/>
      <c r="D290" s="150"/>
      <c r="E290" s="150"/>
      <c r="F290" s="150"/>
      <c r="G290" s="30"/>
      <c r="H290" s="30"/>
      <c r="I290" s="30"/>
      <c r="J290" s="30"/>
      <c r="K290" s="30"/>
      <c r="L290" s="30"/>
      <c r="M290" s="30"/>
      <c r="N290" s="30"/>
      <c r="O290" s="30"/>
      <c r="P290" s="30"/>
      <c r="Q290" s="30"/>
      <c r="R290" s="180"/>
      <c r="S290" s="30"/>
      <c r="T290" s="6"/>
      <c r="U290" s="6"/>
      <c r="V290" s="6"/>
      <c r="W290" s="6"/>
      <c r="X290" s="6"/>
    </row>
    <row r="291" spans="1:24" x14ac:dyDescent="0.25">
      <c r="A291" s="30"/>
      <c r="B291" s="30"/>
      <c r="C291" s="150"/>
      <c r="D291" s="150"/>
      <c r="E291" s="150"/>
      <c r="F291" s="150"/>
      <c r="G291" s="30"/>
      <c r="H291" s="30"/>
      <c r="I291" s="30"/>
      <c r="J291" s="30"/>
      <c r="K291" s="30"/>
      <c r="L291" s="30"/>
      <c r="M291" s="30"/>
      <c r="N291" s="30"/>
      <c r="O291" s="30"/>
      <c r="P291" s="30"/>
      <c r="Q291" s="30"/>
      <c r="R291" s="180"/>
      <c r="S291" s="30"/>
      <c r="T291" s="6"/>
      <c r="U291" s="6"/>
      <c r="V291" s="6"/>
      <c r="W291" s="6"/>
      <c r="X291" s="6"/>
    </row>
    <row r="292" spans="1:24" x14ac:dyDescent="0.25">
      <c r="A292" s="30"/>
      <c r="B292" s="30"/>
      <c r="C292" s="150"/>
      <c r="D292" s="150"/>
      <c r="E292" s="150"/>
      <c r="F292" s="150"/>
      <c r="G292" s="30"/>
      <c r="H292" s="30"/>
      <c r="I292" s="30"/>
      <c r="J292" s="30"/>
      <c r="K292" s="30"/>
      <c r="L292" s="30"/>
      <c r="M292" s="30"/>
      <c r="N292" s="30"/>
      <c r="O292" s="30"/>
      <c r="P292" s="30"/>
      <c r="Q292" s="30"/>
      <c r="R292" s="180"/>
      <c r="S292" s="30"/>
      <c r="T292" s="6"/>
      <c r="U292" s="6"/>
      <c r="V292" s="6"/>
      <c r="W292" s="6"/>
      <c r="X292" s="6"/>
    </row>
    <row r="293" spans="1:24" x14ac:dyDescent="0.25">
      <c r="A293" s="30"/>
      <c r="B293" s="30"/>
      <c r="C293" s="150"/>
      <c r="D293" s="150"/>
      <c r="E293" s="150"/>
      <c r="F293" s="150"/>
      <c r="G293" s="30"/>
      <c r="H293" s="30"/>
      <c r="I293" s="30"/>
      <c r="J293" s="30"/>
      <c r="K293" s="30"/>
      <c r="L293" s="30"/>
      <c r="M293" s="30"/>
      <c r="N293" s="30"/>
      <c r="O293" s="30"/>
      <c r="P293" s="30"/>
      <c r="Q293" s="30"/>
      <c r="R293" s="180"/>
      <c r="S293" s="30"/>
      <c r="T293" s="6"/>
      <c r="U293" s="6"/>
      <c r="V293" s="6"/>
      <c r="W293" s="6"/>
      <c r="X293" s="6"/>
    </row>
    <row r="294" spans="1:24" x14ac:dyDescent="0.25">
      <c r="A294" s="30"/>
      <c r="B294" s="30"/>
      <c r="C294" s="150"/>
      <c r="D294" s="150"/>
      <c r="E294" s="150"/>
      <c r="F294" s="150"/>
      <c r="G294" s="30"/>
      <c r="H294" s="30"/>
      <c r="I294" s="30"/>
      <c r="J294" s="30"/>
      <c r="K294" s="30"/>
      <c r="L294" s="30"/>
      <c r="M294" s="30"/>
      <c r="N294" s="30"/>
      <c r="O294" s="30"/>
      <c r="P294" s="30"/>
      <c r="Q294" s="30"/>
      <c r="R294" s="180"/>
      <c r="S294" s="30"/>
      <c r="T294" s="6"/>
      <c r="U294" s="6"/>
      <c r="V294" s="6"/>
      <c r="W294" s="6"/>
      <c r="X294" s="6"/>
    </row>
    <row r="295" spans="1:24" x14ac:dyDescent="0.25">
      <c r="A295" s="30"/>
      <c r="B295" s="30"/>
      <c r="C295" s="150"/>
      <c r="D295" s="150"/>
      <c r="E295" s="150"/>
      <c r="F295" s="150"/>
      <c r="G295" s="30"/>
      <c r="H295" s="30"/>
      <c r="I295" s="30"/>
      <c r="J295" s="30"/>
      <c r="K295" s="30"/>
      <c r="L295" s="30"/>
      <c r="M295" s="30"/>
      <c r="N295" s="30"/>
      <c r="O295" s="30"/>
      <c r="P295" s="30"/>
      <c r="Q295" s="30"/>
      <c r="R295" s="180"/>
      <c r="S295" s="30"/>
      <c r="T295" s="6"/>
      <c r="U295" s="6"/>
      <c r="V295" s="6"/>
      <c r="W295" s="6"/>
      <c r="X295" s="6"/>
    </row>
    <row r="296" spans="1:24" x14ac:dyDescent="0.25">
      <c r="A296" s="30"/>
      <c r="B296" s="30"/>
      <c r="C296" s="150"/>
      <c r="D296" s="150"/>
      <c r="E296" s="150"/>
      <c r="F296" s="150"/>
      <c r="G296" s="30"/>
      <c r="H296" s="30"/>
      <c r="I296" s="30"/>
      <c r="J296" s="30"/>
      <c r="K296" s="30"/>
      <c r="L296" s="30"/>
      <c r="M296" s="30"/>
      <c r="N296" s="30"/>
      <c r="O296" s="30"/>
      <c r="P296" s="30"/>
      <c r="Q296" s="30"/>
      <c r="R296" s="180"/>
      <c r="S296" s="30"/>
      <c r="T296" s="6"/>
      <c r="U296" s="6"/>
      <c r="V296" s="6"/>
      <c r="W296" s="6"/>
      <c r="X296" s="6"/>
    </row>
    <row r="297" spans="1:24" x14ac:dyDescent="0.25">
      <c r="A297" s="30"/>
      <c r="B297" s="30"/>
      <c r="C297" s="150"/>
      <c r="D297" s="150"/>
      <c r="E297" s="150"/>
      <c r="F297" s="150"/>
      <c r="G297" s="30"/>
      <c r="H297" s="30"/>
      <c r="I297" s="30"/>
      <c r="J297" s="30"/>
      <c r="K297" s="30"/>
      <c r="L297" s="30"/>
      <c r="M297" s="30"/>
      <c r="N297" s="30"/>
      <c r="O297" s="30"/>
      <c r="P297" s="30"/>
      <c r="Q297" s="30"/>
      <c r="R297" s="180"/>
      <c r="S297" s="30"/>
      <c r="T297" s="6"/>
      <c r="U297" s="6"/>
      <c r="V297" s="6"/>
      <c r="W297" s="6"/>
      <c r="X297" s="6"/>
    </row>
    <row r="298" spans="1:24" x14ac:dyDescent="0.25">
      <c r="A298" s="30"/>
      <c r="B298" s="30"/>
      <c r="C298" s="150"/>
      <c r="D298" s="150"/>
      <c r="E298" s="150"/>
      <c r="F298" s="150"/>
      <c r="G298" s="30"/>
      <c r="H298" s="30"/>
      <c r="I298" s="30"/>
      <c r="J298" s="30"/>
      <c r="K298" s="30"/>
      <c r="L298" s="30"/>
      <c r="M298" s="30"/>
      <c r="N298" s="30"/>
      <c r="O298" s="30"/>
      <c r="P298" s="30"/>
      <c r="Q298" s="30"/>
      <c r="R298" s="180"/>
      <c r="S298" s="30"/>
      <c r="T298" s="6"/>
      <c r="U298" s="6"/>
      <c r="V298" s="6"/>
      <c r="W298" s="6"/>
      <c r="X298" s="6"/>
    </row>
    <row r="299" spans="1:24" x14ac:dyDescent="0.25">
      <c r="A299" s="30"/>
      <c r="B299" s="30"/>
      <c r="C299" s="150"/>
      <c r="D299" s="150"/>
      <c r="E299" s="150"/>
      <c r="F299" s="150"/>
      <c r="G299" s="30"/>
      <c r="H299" s="30"/>
      <c r="I299" s="30"/>
      <c r="J299" s="30"/>
      <c r="K299" s="30"/>
      <c r="L299" s="30"/>
      <c r="M299" s="30"/>
      <c r="N299" s="30"/>
      <c r="O299" s="30"/>
      <c r="P299" s="30"/>
      <c r="Q299" s="30"/>
      <c r="R299" s="180"/>
      <c r="S299" s="30"/>
      <c r="T299" s="6"/>
      <c r="U299" s="6"/>
      <c r="V299" s="6"/>
      <c r="W299" s="6"/>
      <c r="X299" s="6"/>
    </row>
    <row r="300" spans="1:24" x14ac:dyDescent="0.25">
      <c r="A300" s="30"/>
      <c r="B300" s="30"/>
      <c r="C300" s="150"/>
      <c r="D300" s="150"/>
      <c r="E300" s="150"/>
      <c r="F300" s="150"/>
      <c r="G300" s="30"/>
      <c r="H300" s="30"/>
      <c r="I300" s="30"/>
      <c r="J300" s="30"/>
      <c r="K300" s="30"/>
      <c r="L300" s="30"/>
      <c r="M300" s="30"/>
      <c r="N300" s="30"/>
      <c r="O300" s="30"/>
      <c r="P300" s="30"/>
      <c r="Q300" s="30"/>
      <c r="R300" s="180"/>
      <c r="S300" s="30"/>
      <c r="T300" s="6"/>
      <c r="U300" s="6"/>
      <c r="V300" s="6"/>
      <c r="W300" s="6"/>
      <c r="X300" s="6"/>
    </row>
    <row r="301" spans="1:24" x14ac:dyDescent="0.25">
      <c r="A301" s="101" t="s">
        <v>702</v>
      </c>
      <c r="B301" s="101"/>
      <c r="C301" s="101"/>
      <c r="D301" s="101"/>
      <c r="E301" s="101"/>
      <c r="F301" s="30"/>
      <c r="G301" s="30"/>
      <c r="H301" s="30"/>
      <c r="I301" s="30"/>
      <c r="J301" s="30"/>
      <c r="K301" s="30">
        <f>SUM(K266:K300)</f>
        <v>0</v>
      </c>
      <c r="L301" s="30">
        <f>SUM(L266:L300)</f>
        <v>0</v>
      </c>
      <c r="M301" s="30"/>
      <c r="N301" s="30"/>
      <c r="O301" s="30"/>
      <c r="P301" s="30"/>
      <c r="Q301" s="30"/>
      <c r="R301" s="180"/>
      <c r="S301" s="202"/>
      <c r="T301" s="6"/>
      <c r="U301" s="6"/>
      <c r="V301" s="6"/>
      <c r="W301" s="6"/>
      <c r="X301" s="6"/>
    </row>
    <row r="302" spans="1:24" x14ac:dyDescent="0.25">
      <c r="A302" s="30" t="s">
        <v>700</v>
      </c>
      <c r="B302" s="30"/>
      <c r="C302" s="150" t="s">
        <v>406</v>
      </c>
      <c r="D302" s="150"/>
      <c r="E302" s="150"/>
      <c r="F302" s="150" t="s">
        <v>701</v>
      </c>
      <c r="G302" s="30"/>
      <c r="H302" s="30"/>
      <c r="I302" s="30"/>
      <c r="J302" s="30"/>
      <c r="K302" s="30"/>
      <c r="L302" s="30" t="s">
        <v>703</v>
      </c>
      <c r="M302" s="30">
        <v>207664.59</v>
      </c>
      <c r="N302" s="30">
        <f>$M302*'[1]switch EF'!$B$2</f>
        <v>9614.2497569406933</v>
      </c>
      <c r="O302" s="30">
        <f>$M302*'[1]switch EF'!$B$3</f>
        <v>165731.35295297767</v>
      </c>
      <c r="P302" s="30">
        <f>$M302*'[1]switch EF'!$B$4</f>
        <v>17442.995987592403</v>
      </c>
      <c r="Q302" s="30">
        <f>$M302*'[1]switch EF'!$B$5</f>
        <v>7728.0255189123282</v>
      </c>
      <c r="R302" s="180">
        <f>$M302*'[1]switch EF'!$B$6</f>
        <v>4211.9570363740177</v>
      </c>
      <c r="S302" s="202">
        <f>M302*'[1]class 1 LH EF'!$B$7</f>
        <v>2760.6631444929708</v>
      </c>
      <c r="T302" s="6"/>
      <c r="U302" s="6"/>
      <c r="V302" s="6"/>
      <c r="W302" s="6"/>
      <c r="X302" s="6"/>
    </row>
    <row r="303" spans="1:24" x14ac:dyDescent="0.25">
      <c r="L303" s="30" t="s">
        <v>704</v>
      </c>
      <c r="M303" s="30">
        <v>415335.41</v>
      </c>
      <c r="T303" s="6"/>
      <c r="U303" s="6"/>
      <c r="V303" s="6"/>
      <c r="W303" s="6"/>
      <c r="X303" s="6"/>
    </row>
    <row r="304" spans="1:24" x14ac:dyDescent="0.25">
      <c r="L304" s="30" t="s">
        <v>705</v>
      </c>
      <c r="M304" s="30">
        <f>SUM(M302:M303)</f>
        <v>623000</v>
      </c>
      <c r="T304" s="6"/>
      <c r="U304" s="6"/>
      <c r="V304" s="6"/>
      <c r="W304" s="6"/>
      <c r="X304" s="6"/>
    </row>
    <row r="305" spans="12:24" x14ac:dyDescent="0.25">
      <c r="L305" s="30" t="s">
        <v>706</v>
      </c>
      <c r="M305" s="30">
        <f>M303/M304</f>
        <v>0.66666999999999998</v>
      </c>
      <c r="T305" s="6"/>
      <c r="U305" s="6"/>
      <c r="V305" s="6"/>
      <c r="W305" s="6"/>
      <c r="X305" s="6"/>
    </row>
    <row r="306" spans="12:24" x14ac:dyDescent="0.25">
      <c r="T306" s="6"/>
      <c r="U306" s="6"/>
      <c r="V306" s="6"/>
      <c r="W306" s="6"/>
      <c r="X306" s="6"/>
    </row>
    <row r="307" spans="12:24" x14ac:dyDescent="0.25">
      <c r="T307" s="6"/>
      <c r="U307" s="6"/>
      <c r="V307" s="6"/>
      <c r="W307" s="6"/>
      <c r="X307" s="6"/>
    </row>
    <row r="308" spans="12:24" x14ac:dyDescent="0.25">
      <c r="T308" s="6"/>
      <c r="U308" s="6"/>
      <c r="V308" s="6"/>
      <c r="W308" s="6"/>
      <c r="X308" s="6"/>
    </row>
    <row r="309" spans="12:24" x14ac:dyDescent="0.25">
      <c r="T309" s="6"/>
      <c r="U309" s="6"/>
      <c r="V309" s="6"/>
      <c r="W309" s="6"/>
      <c r="X309" s="6"/>
    </row>
    <row r="310" spans="12:24" x14ac:dyDescent="0.25">
      <c r="T310" s="6"/>
      <c r="U310" s="6"/>
      <c r="V310" s="6"/>
      <c r="W310" s="6"/>
      <c r="X310" s="6"/>
    </row>
    <row r="311" spans="12:24" x14ac:dyDescent="0.25">
      <c r="T311" s="6"/>
      <c r="U311" s="6"/>
      <c r="V311" s="6"/>
      <c r="W311" s="6"/>
      <c r="X311" s="6"/>
    </row>
    <row r="312" spans="12:24" x14ac:dyDescent="0.25">
      <c r="T312" s="6"/>
      <c r="U312" s="6"/>
      <c r="V312" s="6"/>
      <c r="W312" s="6"/>
      <c r="X312" s="6"/>
    </row>
    <row r="313" spans="12:24" x14ac:dyDescent="0.25">
      <c r="T313" s="6"/>
      <c r="U313" s="6"/>
      <c r="V313" s="6"/>
      <c r="W313" s="6"/>
      <c r="X313" s="6"/>
    </row>
    <row r="314" spans="12:24" x14ac:dyDescent="0.25">
      <c r="T314" s="6"/>
      <c r="U314" s="6"/>
      <c r="V314" s="6"/>
      <c r="W314" s="6"/>
      <c r="X314" s="6"/>
    </row>
    <row r="315" spans="12:24" x14ac:dyDescent="0.25">
      <c r="T315" s="6"/>
      <c r="U315" s="6"/>
      <c r="V315" s="6"/>
      <c r="W315" s="6"/>
      <c r="X315" s="6"/>
    </row>
    <row r="316" spans="12:24" x14ac:dyDescent="0.25">
      <c r="T316" s="6"/>
      <c r="U316" s="6"/>
      <c r="V316" s="6"/>
      <c r="W316" s="6"/>
      <c r="X316" s="6"/>
    </row>
    <row r="317" spans="12:24" x14ac:dyDescent="0.25">
      <c r="T317" s="6"/>
      <c r="U317" s="6"/>
      <c r="V317" s="6"/>
      <c r="W317" s="6"/>
      <c r="X317" s="6"/>
    </row>
    <row r="318" spans="12:24" x14ac:dyDescent="0.25">
      <c r="T318" s="6"/>
      <c r="U318" s="6"/>
      <c r="V318" s="6"/>
      <c r="W318" s="6"/>
      <c r="X318" s="6"/>
    </row>
    <row r="319" spans="12:24" x14ac:dyDescent="0.25">
      <c r="T319" s="6"/>
      <c r="U319" s="6"/>
      <c r="V319" s="6"/>
      <c r="W319" s="6"/>
      <c r="X319" s="6"/>
    </row>
    <row r="320" spans="12:24" x14ac:dyDescent="0.25">
      <c r="T320" s="6"/>
      <c r="U320" s="6"/>
      <c r="V320" s="6"/>
      <c r="W320" s="6"/>
      <c r="X320" s="6"/>
    </row>
    <row r="321" spans="20:24" x14ac:dyDescent="0.25">
      <c r="T321" s="6"/>
      <c r="U321" s="6"/>
      <c r="V321" s="6"/>
      <c r="W321" s="6"/>
      <c r="X321" s="6"/>
    </row>
    <row r="322" spans="20:24" x14ac:dyDescent="0.25">
      <c r="T322" s="6"/>
      <c r="U322" s="6"/>
      <c r="V322" s="6"/>
      <c r="W322" s="6"/>
      <c r="X322" s="6"/>
    </row>
    <row r="323" spans="20:24" x14ac:dyDescent="0.25">
      <c r="T323" s="6"/>
      <c r="U323" s="6"/>
      <c r="V323" s="6"/>
      <c r="W323" s="6"/>
      <c r="X323" s="6"/>
    </row>
    <row r="324" spans="20:24" x14ac:dyDescent="0.25">
      <c r="T324" s="6"/>
      <c r="U324" s="6"/>
      <c r="V324" s="6"/>
      <c r="W324" s="6"/>
      <c r="X324" s="6"/>
    </row>
    <row r="325" spans="20:24" x14ac:dyDescent="0.25">
      <c r="T325" s="6"/>
      <c r="U325" s="6"/>
      <c r="V325" s="6"/>
      <c r="W325" s="6"/>
      <c r="X325" s="6"/>
    </row>
    <row r="326" spans="20:24" x14ac:dyDescent="0.25">
      <c r="T326" s="6"/>
      <c r="U326" s="6"/>
      <c r="V326" s="6"/>
      <c r="W326" s="6"/>
      <c r="X326" s="6"/>
    </row>
    <row r="327" spans="20:24" x14ac:dyDescent="0.25">
      <c r="T327" s="6"/>
      <c r="U327" s="6"/>
      <c r="V327" s="6"/>
      <c r="W327" s="6"/>
      <c r="X327" s="6"/>
    </row>
    <row r="328" spans="20:24" x14ac:dyDescent="0.25">
      <c r="T328" s="6"/>
      <c r="U328" s="6"/>
      <c r="V328" s="6"/>
      <c r="W328" s="6"/>
      <c r="X328" s="6"/>
    </row>
    <row r="329" spans="20:24" x14ac:dyDescent="0.25">
      <c r="T329" s="6"/>
      <c r="U329" s="6"/>
      <c r="V329" s="6"/>
      <c r="W329" s="6"/>
      <c r="X329" s="6"/>
    </row>
    <row r="330" spans="20:24" x14ac:dyDescent="0.25">
      <c r="T330" s="6"/>
      <c r="U330" s="6"/>
      <c r="V330" s="6"/>
      <c r="W330" s="6"/>
      <c r="X330" s="6"/>
    </row>
    <row r="331" spans="20:24" x14ac:dyDescent="0.25">
      <c r="T331" s="6"/>
      <c r="U331" s="6"/>
      <c r="V331" s="6"/>
      <c r="W331" s="6"/>
      <c r="X331" s="6"/>
    </row>
    <row r="332" spans="20:24" x14ac:dyDescent="0.25">
      <c r="T332" s="6"/>
      <c r="U332" s="6"/>
      <c r="V332" s="6"/>
      <c r="W332" s="6"/>
      <c r="X332" s="6"/>
    </row>
    <row r="333" spans="20:24" x14ac:dyDescent="0.25">
      <c r="T333" s="6"/>
      <c r="U333" s="6"/>
      <c r="V333" s="6"/>
      <c r="W333" s="6"/>
      <c r="X333" s="6"/>
    </row>
    <row r="334" spans="20:24" x14ac:dyDescent="0.25">
      <c r="T334" s="6"/>
      <c r="U334" s="6"/>
      <c r="V334" s="6"/>
      <c r="W334" s="6"/>
      <c r="X334" s="6"/>
    </row>
    <row r="335" spans="20:24" x14ac:dyDescent="0.25">
      <c r="T335" s="6"/>
      <c r="U335" s="6"/>
      <c r="V335" s="6"/>
      <c r="W335" s="6"/>
      <c r="X335" s="6"/>
    </row>
    <row r="336" spans="20:24" x14ac:dyDescent="0.25">
      <c r="T336" s="6"/>
      <c r="U336" s="6"/>
      <c r="V336" s="6"/>
      <c r="W336" s="6"/>
      <c r="X336" s="6"/>
    </row>
    <row r="337" spans="20:24" x14ac:dyDescent="0.25">
      <c r="T337" s="6"/>
      <c r="U337" s="6"/>
      <c r="V337" s="6"/>
      <c r="W337" s="6"/>
      <c r="X337" s="6"/>
    </row>
    <row r="338" spans="20:24" x14ac:dyDescent="0.25">
      <c r="T338" s="6"/>
      <c r="U338" s="6"/>
      <c r="V338" s="6"/>
      <c r="W338" s="6"/>
      <c r="X338" s="6"/>
    </row>
    <row r="339" spans="20:24" x14ac:dyDescent="0.25">
      <c r="T339" s="6"/>
      <c r="U339" s="6"/>
      <c r="V339" s="6"/>
      <c r="W339" s="6"/>
      <c r="X339" s="6"/>
    </row>
    <row r="340" spans="20:24" x14ac:dyDescent="0.25">
      <c r="T340" s="6"/>
      <c r="U340" s="6"/>
      <c r="V340" s="6"/>
      <c r="W340" s="6"/>
      <c r="X340" s="6"/>
    </row>
    <row r="341" spans="20:24" x14ac:dyDescent="0.25">
      <c r="T341" s="6"/>
      <c r="U341" s="6"/>
      <c r="V341" s="6"/>
      <c r="W341" s="6"/>
      <c r="X341" s="6"/>
    </row>
    <row r="342" spans="20:24" x14ac:dyDescent="0.25">
      <c r="T342" s="6"/>
      <c r="U342" s="6"/>
      <c r="V342" s="6"/>
      <c r="W342" s="6"/>
      <c r="X342" s="6"/>
    </row>
    <row r="343" spans="20:24" x14ac:dyDescent="0.25">
      <c r="T343" s="6"/>
      <c r="U343" s="6"/>
      <c r="V343" s="6"/>
      <c r="W343" s="6"/>
      <c r="X343" s="6"/>
    </row>
    <row r="344" spans="20:24" x14ac:dyDescent="0.25">
      <c r="T344" s="6"/>
      <c r="U344" s="6"/>
      <c r="V344" s="6"/>
      <c r="W344" s="6"/>
      <c r="X344" s="6"/>
    </row>
    <row r="345" spans="20:24" x14ac:dyDescent="0.25">
      <c r="T345" s="6"/>
      <c r="U345" s="6"/>
      <c r="V345" s="6"/>
      <c r="W345" s="6"/>
      <c r="X345" s="6"/>
    </row>
    <row r="346" spans="20:24" x14ac:dyDescent="0.25">
      <c r="T346" s="6"/>
      <c r="U346" s="6"/>
      <c r="V346" s="6"/>
      <c r="W346" s="6"/>
      <c r="X346" s="6"/>
    </row>
    <row r="347" spans="20:24" x14ac:dyDescent="0.25">
      <c r="T347" s="6"/>
      <c r="U347" s="6"/>
      <c r="V347" s="6"/>
      <c r="W347" s="6"/>
      <c r="X347" s="6"/>
    </row>
    <row r="348" spans="20:24" x14ac:dyDescent="0.25">
      <c r="T348" s="6"/>
      <c r="U348" s="6"/>
      <c r="V348" s="6"/>
      <c r="W348" s="6"/>
      <c r="X348" s="6"/>
    </row>
    <row r="349" spans="20:24" x14ac:dyDescent="0.25">
      <c r="T349" s="6"/>
      <c r="U349" s="6"/>
      <c r="V349" s="6"/>
      <c r="W349" s="6"/>
      <c r="X349" s="6"/>
    </row>
    <row r="350" spans="20:24" x14ac:dyDescent="0.25">
      <c r="T350" s="6"/>
      <c r="U350" s="6"/>
      <c r="V350" s="6"/>
      <c r="W350" s="6"/>
      <c r="X350" s="6"/>
    </row>
    <row r="351" spans="20:24" x14ac:dyDescent="0.25">
      <c r="T351" s="6"/>
      <c r="U351" s="6"/>
      <c r="V351" s="6"/>
      <c r="W351" s="6"/>
      <c r="X351" s="6"/>
    </row>
    <row r="352" spans="20:24" x14ac:dyDescent="0.25">
      <c r="T352" s="6"/>
      <c r="U352" s="6"/>
      <c r="V352" s="6"/>
      <c r="W352" s="6"/>
      <c r="X352" s="6"/>
    </row>
    <row r="353" spans="20:24" x14ac:dyDescent="0.25">
      <c r="T353" s="6"/>
      <c r="U353" s="6"/>
      <c r="V353" s="6"/>
      <c r="W353" s="6"/>
      <c r="X353" s="6"/>
    </row>
    <row r="354" spans="20:24" x14ac:dyDescent="0.25">
      <c r="T354" s="6"/>
      <c r="U354" s="6"/>
      <c r="V354" s="6"/>
      <c r="W354" s="6"/>
      <c r="X354" s="6"/>
    </row>
    <row r="355" spans="20:24" x14ac:dyDescent="0.25">
      <c r="T355" s="6"/>
      <c r="U355" s="6"/>
      <c r="V355" s="6"/>
      <c r="W355" s="6"/>
      <c r="X355" s="6"/>
    </row>
    <row r="356" spans="20:24" x14ac:dyDescent="0.25">
      <c r="T356" s="6"/>
      <c r="U356" s="6"/>
      <c r="V356" s="6"/>
      <c r="W356" s="6"/>
      <c r="X356" s="6"/>
    </row>
    <row r="357" spans="20:24" x14ac:dyDescent="0.25">
      <c r="T357" s="6"/>
      <c r="U357" s="6"/>
      <c r="V357" s="6"/>
      <c r="W357" s="6"/>
      <c r="X357" s="6"/>
    </row>
    <row r="358" spans="20:24" x14ac:dyDescent="0.25">
      <c r="T358" s="6"/>
      <c r="U358" s="6"/>
      <c r="V358" s="6"/>
      <c r="W358" s="6"/>
      <c r="X358" s="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E29" sqref="E29"/>
    </sheetView>
  </sheetViews>
  <sheetFormatPr defaultRowHeight="15" x14ac:dyDescent="0.25"/>
  <cols>
    <col min="1" max="1" width="15.5703125" bestFit="1" customWidth="1"/>
    <col min="2" max="65" width="12" bestFit="1" customWidth="1"/>
  </cols>
  <sheetData>
    <row r="1" spans="1:6" x14ac:dyDescent="0.25">
      <c r="A1" s="31" t="s">
        <v>1007</v>
      </c>
      <c r="B1" s="31"/>
      <c r="C1" s="31"/>
      <c r="D1" s="31"/>
      <c r="E1" s="31"/>
      <c r="F1" s="31"/>
    </row>
    <row r="2" spans="1:6" x14ac:dyDescent="0.25">
      <c r="A2" s="268" t="s">
        <v>820</v>
      </c>
      <c r="B2" s="88"/>
    </row>
    <row r="3" spans="1:6" x14ac:dyDescent="0.25">
      <c r="A3" s="268" t="s">
        <v>79</v>
      </c>
      <c r="B3" s="88" t="s">
        <v>336</v>
      </c>
    </row>
    <row r="4" spans="1:6" x14ac:dyDescent="0.25">
      <c r="A4" s="267">
        <v>34005</v>
      </c>
      <c r="B4" s="271">
        <v>41924.146797697264</v>
      </c>
    </row>
    <row r="5" spans="1:6" x14ac:dyDescent="0.25">
      <c r="A5" s="269">
        <v>34007</v>
      </c>
      <c r="B5" s="272">
        <v>145303.07424623676</v>
      </c>
    </row>
    <row r="6" spans="1:6" x14ac:dyDescent="0.25">
      <c r="A6" s="269">
        <v>34011</v>
      </c>
      <c r="B6" s="272">
        <v>9577.3091466760179</v>
      </c>
    </row>
    <row r="7" spans="1:6" x14ac:dyDescent="0.25">
      <c r="A7" s="269">
        <v>34013</v>
      </c>
      <c r="B7" s="272">
        <v>86412.207521411532</v>
      </c>
    </row>
    <row r="8" spans="1:6" x14ac:dyDescent="0.25">
      <c r="A8" s="269">
        <v>34015</v>
      </c>
      <c r="B8" s="272">
        <v>222226.16183761781</v>
      </c>
      <c r="F8" s="10"/>
    </row>
    <row r="9" spans="1:6" x14ac:dyDescent="0.25">
      <c r="A9" s="269">
        <v>34017</v>
      </c>
      <c r="B9" s="272">
        <v>48896.816875059863</v>
      </c>
    </row>
    <row r="10" spans="1:6" x14ac:dyDescent="0.25">
      <c r="A10" s="269">
        <v>34023</v>
      </c>
      <c r="B10" s="272">
        <v>136527.33958944801</v>
      </c>
    </row>
    <row r="11" spans="1:6" x14ac:dyDescent="0.25">
      <c r="A11" s="269">
        <v>34033</v>
      </c>
      <c r="B11" s="272">
        <v>18829.972742602615</v>
      </c>
    </row>
    <row r="12" spans="1:6" x14ac:dyDescent="0.25">
      <c r="A12" s="269">
        <v>34039</v>
      </c>
      <c r="B12" s="272">
        <v>166546.11908308274</v>
      </c>
    </row>
    <row r="13" spans="1:6" x14ac:dyDescent="0.25">
      <c r="A13" s="270" t="s">
        <v>248</v>
      </c>
      <c r="B13" s="273">
        <v>876243.1478398327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9"/>
  <sheetViews>
    <sheetView workbookViewId="0">
      <selection activeCell="A2" sqref="A2"/>
    </sheetView>
  </sheetViews>
  <sheetFormatPr defaultRowHeight="15" x14ac:dyDescent="0.25"/>
  <cols>
    <col min="4" max="4" width="20.85546875" customWidth="1"/>
    <col min="12" max="12" width="14.5703125" customWidth="1"/>
    <col min="13" max="13" width="11.42578125" customWidth="1"/>
    <col min="16" max="16" width="14.5703125" customWidth="1"/>
    <col min="30" max="30" width="20.42578125" customWidth="1"/>
  </cols>
  <sheetData>
    <row r="1" spans="1:41" ht="15.75" thickBot="1" x14ac:dyDescent="0.3">
      <c r="A1" s="139" t="s">
        <v>1051</v>
      </c>
      <c r="B1" s="139"/>
      <c r="C1" s="139"/>
      <c r="D1" s="31"/>
      <c r="E1" s="31"/>
      <c r="F1" s="31"/>
      <c r="G1" s="31"/>
      <c r="H1" s="139"/>
      <c r="I1" s="141"/>
    </row>
    <row r="2" spans="1:41" x14ac:dyDescent="0.25">
      <c r="A2" s="257" t="s">
        <v>79</v>
      </c>
      <c r="B2" s="238" t="s">
        <v>352</v>
      </c>
      <c r="C2" s="200" t="s">
        <v>353</v>
      </c>
      <c r="D2" s="200" t="s">
        <v>354</v>
      </c>
      <c r="E2" s="200" t="s">
        <v>355</v>
      </c>
      <c r="F2" s="200" t="s">
        <v>356</v>
      </c>
      <c r="G2" s="200" t="s">
        <v>357</v>
      </c>
      <c r="H2" s="200" t="s">
        <v>746</v>
      </c>
      <c r="I2" s="200" t="s">
        <v>68</v>
      </c>
      <c r="J2" s="200" t="s">
        <v>358</v>
      </c>
      <c r="K2" s="200" t="s">
        <v>359</v>
      </c>
      <c r="L2" s="200" t="s">
        <v>360</v>
      </c>
      <c r="M2" s="200" t="s">
        <v>747</v>
      </c>
      <c r="N2" s="200" t="s">
        <v>748</v>
      </c>
      <c r="O2" s="200" t="s">
        <v>749</v>
      </c>
      <c r="P2" s="258" t="s">
        <v>750</v>
      </c>
      <c r="Q2" s="222" t="s">
        <v>96</v>
      </c>
      <c r="R2" s="223" t="s">
        <v>10</v>
      </c>
      <c r="S2" s="223" t="s">
        <v>7</v>
      </c>
      <c r="T2" s="223" t="s">
        <v>95</v>
      </c>
      <c r="U2" s="223" t="s">
        <v>17</v>
      </c>
      <c r="V2" s="223" t="s">
        <v>69</v>
      </c>
      <c r="W2" s="223" t="s">
        <v>16</v>
      </c>
      <c r="X2" s="224" t="s">
        <v>94</v>
      </c>
    </row>
    <row r="3" spans="1:41" x14ac:dyDescent="0.25">
      <c r="A3" s="259">
        <v>34023</v>
      </c>
      <c r="B3" s="226">
        <v>11</v>
      </c>
      <c r="C3" s="226" t="s">
        <v>751</v>
      </c>
      <c r="D3" s="226" t="s">
        <v>752</v>
      </c>
      <c r="E3" s="226">
        <v>16.399999999999999</v>
      </c>
      <c r="F3" s="226" t="s">
        <v>753</v>
      </c>
      <c r="G3" s="226">
        <v>15.9</v>
      </c>
      <c r="H3" s="226" t="s">
        <v>36</v>
      </c>
      <c r="I3" s="226" t="s">
        <v>424</v>
      </c>
      <c r="J3" s="226">
        <v>0.49999999999999822</v>
      </c>
      <c r="K3" s="226">
        <v>4</v>
      </c>
      <c r="L3" s="226">
        <v>1999999.9999999928</v>
      </c>
      <c r="M3" s="226">
        <v>0.40633888663144968</v>
      </c>
      <c r="N3" s="239">
        <v>48112.333333333336</v>
      </c>
      <c r="O3" s="226">
        <f>N3*M3</f>
        <v>19549.911959907851</v>
      </c>
      <c r="P3" s="260" t="s">
        <v>739</v>
      </c>
      <c r="Q3" s="225">
        <f>$O3*'RAIL EMIS FACTOR'!C$7</f>
        <v>10712.936603784876</v>
      </c>
      <c r="R3" s="226">
        <f>$O3*'RAIL EMIS FACTOR'!D$7</f>
        <v>1053.0319456614873</v>
      </c>
      <c r="S3" s="226">
        <f>$O3*'RAIL EMIS FACTOR'!E$7</f>
        <v>244.09222641535166</v>
      </c>
      <c r="T3" s="226">
        <f>$O3*'RAIL EMIS FACTOR'!F$7</f>
        <v>236.76945962289113</v>
      </c>
      <c r="U3" s="226">
        <f>$O3*'RAIL EMIS FACTOR'!G$7</f>
        <v>57.077687994179406</v>
      </c>
      <c r="V3" s="226">
        <f>$O3*'RAIL EMIS FACTOR'!H$7</f>
        <v>556.89641456662468</v>
      </c>
      <c r="W3" s="226">
        <f>$O3*'RAIL EMIS FACTOR'!I$7</f>
        <v>3.7653472865159796</v>
      </c>
      <c r="X3" s="227">
        <f>$O3*'RAIL EMIS FACTOR'!J$7</f>
        <v>461831.53283067548</v>
      </c>
    </row>
    <row r="4" spans="1:41" x14ac:dyDescent="0.25">
      <c r="A4" s="259">
        <v>34023</v>
      </c>
      <c r="B4" s="226">
        <v>12</v>
      </c>
      <c r="C4" s="226" t="s">
        <v>751</v>
      </c>
      <c r="D4" s="226" t="s">
        <v>753</v>
      </c>
      <c r="E4" s="226">
        <v>15.9</v>
      </c>
      <c r="F4" s="226" t="s">
        <v>754</v>
      </c>
      <c r="G4" s="226">
        <v>15</v>
      </c>
      <c r="H4" s="226" t="s">
        <v>36</v>
      </c>
      <c r="I4" s="226" t="s">
        <v>424</v>
      </c>
      <c r="J4" s="226">
        <v>0.9</v>
      </c>
      <c r="K4" s="226">
        <v>1.6</v>
      </c>
      <c r="L4" s="226">
        <v>1440000.0000000002</v>
      </c>
      <c r="M4" s="226">
        <v>0.29256399837464486</v>
      </c>
      <c r="N4" s="239">
        <v>48112.333333333336</v>
      </c>
      <c r="O4" s="226">
        <f>N4*M4</f>
        <v>14075.936611133706</v>
      </c>
      <c r="P4" s="260" t="s">
        <v>739</v>
      </c>
      <c r="Q4" s="225">
        <f>$O4*'RAIL EMIS FACTOR'!C$7</f>
        <v>7713.3143547251393</v>
      </c>
      <c r="R4" s="226">
        <f>$O4*'RAIL EMIS FACTOR'!D$7</f>
        <v>758.1830008762737</v>
      </c>
      <c r="S4" s="226">
        <f>$O4*'RAIL EMIS FACTOR'!E$7</f>
        <v>175.74640301905384</v>
      </c>
      <c r="T4" s="226">
        <f>$O4*'RAIL EMIS FACTOR'!F$7</f>
        <v>170.47401092848224</v>
      </c>
      <c r="U4" s="226">
        <f>$O4*'RAIL EMIS FACTOR'!G$7</f>
        <v>41.095935355809324</v>
      </c>
      <c r="V4" s="226">
        <f>$O4*'RAIL EMIS FACTOR'!H$7</f>
        <v>400.96541848797131</v>
      </c>
      <c r="W4" s="226">
        <f>$O4*'RAIL EMIS FACTOR'!I$7</f>
        <v>2.7110500462915157</v>
      </c>
      <c r="X4" s="227">
        <f>$O4*'RAIL EMIS FACTOR'!J$7</f>
        <v>332518.70363808761</v>
      </c>
    </row>
    <row r="5" spans="1:41" x14ac:dyDescent="0.25">
      <c r="A5" s="259">
        <v>34023</v>
      </c>
      <c r="B5" s="226">
        <v>12</v>
      </c>
      <c r="C5" s="226" t="s">
        <v>751</v>
      </c>
      <c r="D5" s="226" t="s">
        <v>753</v>
      </c>
      <c r="E5" s="226">
        <v>15.9</v>
      </c>
      <c r="F5" s="226" t="s">
        <v>754</v>
      </c>
      <c r="G5" s="226">
        <v>15</v>
      </c>
      <c r="H5" s="226" t="s">
        <v>36</v>
      </c>
      <c r="I5" s="226" t="s">
        <v>424</v>
      </c>
      <c r="J5" s="226">
        <v>0.9</v>
      </c>
      <c r="K5" s="226">
        <v>1.6</v>
      </c>
      <c r="L5" s="226">
        <v>1440000.0000000002</v>
      </c>
      <c r="M5" s="226">
        <v>0.29256399837464486</v>
      </c>
      <c r="N5" s="239">
        <v>48112.333333333336</v>
      </c>
      <c r="O5" s="226">
        <f>N5*M5</f>
        <v>14075.936611133706</v>
      </c>
      <c r="P5" s="260" t="s">
        <v>739</v>
      </c>
      <c r="Q5" s="225">
        <f>$O5*'RAIL EMIS FACTOR'!C$7</f>
        <v>7713.3143547251393</v>
      </c>
      <c r="R5" s="226">
        <f>$O5*'RAIL EMIS FACTOR'!D$7</f>
        <v>758.1830008762737</v>
      </c>
      <c r="S5" s="226">
        <f>$O5*'RAIL EMIS FACTOR'!E$7</f>
        <v>175.74640301905384</v>
      </c>
      <c r="T5" s="226">
        <f>$O5*'RAIL EMIS FACTOR'!F$7</f>
        <v>170.47401092848224</v>
      </c>
      <c r="U5" s="226">
        <f>$O5*'RAIL EMIS FACTOR'!G$7</f>
        <v>41.095935355809324</v>
      </c>
      <c r="V5" s="226">
        <f>$O5*'RAIL EMIS FACTOR'!H$7</f>
        <v>400.96541848797131</v>
      </c>
      <c r="W5" s="226">
        <f>$O5*'RAIL EMIS FACTOR'!I$7</f>
        <v>2.7110500462915157</v>
      </c>
      <c r="X5" s="227">
        <f>$O5*'RAIL EMIS FACTOR'!J$7</f>
        <v>332518.70363808761</v>
      </c>
    </row>
    <row r="6" spans="1:41" x14ac:dyDescent="0.25">
      <c r="A6" s="259">
        <v>34023</v>
      </c>
      <c r="B6" s="226">
        <v>17</v>
      </c>
      <c r="C6" s="226" t="s">
        <v>755</v>
      </c>
      <c r="D6" s="226" t="s">
        <v>756</v>
      </c>
      <c r="E6" s="226">
        <v>1.2</v>
      </c>
      <c r="F6" s="226" t="s">
        <v>757</v>
      </c>
      <c r="G6" s="226">
        <v>1.8</v>
      </c>
      <c r="H6" s="226" t="s">
        <v>36</v>
      </c>
      <c r="I6" s="226" t="s">
        <v>424</v>
      </c>
      <c r="J6" s="226">
        <v>0.6</v>
      </c>
      <c r="K6" s="226">
        <v>7.0000000000000007E-2</v>
      </c>
      <c r="L6" s="226">
        <v>42000</v>
      </c>
      <c r="M6" s="226">
        <v>8.5331166192604748E-3</v>
      </c>
      <c r="N6" s="239">
        <v>48112.333333333336</v>
      </c>
      <c r="O6" s="226">
        <f>N6*M6</f>
        <v>410.54815115806639</v>
      </c>
      <c r="P6" s="260" t="s">
        <v>739</v>
      </c>
      <c r="Q6" s="225">
        <f>$O6*'RAIL EMIS FACTOR'!C$7</f>
        <v>224.9716686794832</v>
      </c>
      <c r="R6" s="226">
        <f>$O6*'RAIL EMIS FACTOR'!D$7</f>
        <v>22.113670858891314</v>
      </c>
      <c r="S6" s="226">
        <f>$O6*'RAIL EMIS FACTOR'!E$7</f>
        <v>5.125936754722404</v>
      </c>
      <c r="T6" s="226">
        <f>$O6*'RAIL EMIS FACTOR'!F$7</f>
        <v>4.9721586520807319</v>
      </c>
      <c r="U6" s="226">
        <f>$O6*'RAIL EMIS FACTOR'!G$7</f>
        <v>1.198631447877772</v>
      </c>
      <c r="V6" s="226">
        <f>$O6*'RAIL EMIS FACTOR'!H$7</f>
        <v>11.694824705899162</v>
      </c>
      <c r="W6" s="226">
        <f>$O6*'RAIL EMIS FACTOR'!I$7</f>
        <v>7.9072293016835868E-2</v>
      </c>
      <c r="X6" s="227">
        <f>$O6*'RAIL EMIS FACTOR'!J$7</f>
        <v>9698.4621894442207</v>
      </c>
      <c r="AA6">
        <f>SUM(O3:O6)</f>
        <v>48112.333333333328</v>
      </c>
      <c r="AB6" s="141" t="s">
        <v>758</v>
      </c>
    </row>
    <row r="7" spans="1:41" x14ac:dyDescent="0.25">
      <c r="A7" s="259">
        <v>34013</v>
      </c>
      <c r="B7" s="235" t="s">
        <v>759</v>
      </c>
      <c r="C7" s="226" t="s">
        <v>760</v>
      </c>
      <c r="D7" s="226" t="s">
        <v>761</v>
      </c>
      <c r="E7" s="226">
        <v>7.2</v>
      </c>
      <c r="F7" s="226" t="s">
        <v>365</v>
      </c>
      <c r="G7" s="226">
        <v>7</v>
      </c>
      <c r="H7" s="101" t="s">
        <v>36</v>
      </c>
      <c r="I7" s="107" t="s">
        <v>418</v>
      </c>
      <c r="J7" s="226">
        <v>0.2</v>
      </c>
      <c r="K7" s="226">
        <v>3.2</v>
      </c>
      <c r="L7" s="261">
        <v>640000.00000000012</v>
      </c>
      <c r="M7" s="226">
        <v>8.2901554404145095E-2</v>
      </c>
      <c r="N7" s="239">
        <v>41545.28571428571</v>
      </c>
      <c r="O7" s="226">
        <v>4420.0512429432656</v>
      </c>
      <c r="P7" s="227" t="s">
        <v>735</v>
      </c>
      <c r="Q7" s="225">
        <f>$O7*'RAIL EMIS FACTOR'!C$7</f>
        <v>2422.0942195667531</v>
      </c>
      <c r="R7" s="226">
        <f>$O7*'RAIL EMIS FACTOR'!D$7</f>
        <v>238.08061999589489</v>
      </c>
      <c r="S7" s="226">
        <f>$O7*'RAIL EMIS FACTOR'!E$7</f>
        <v>55.186956901520979</v>
      </c>
      <c r="T7" s="226">
        <f>$O7*'RAIL EMIS FACTOR'!F$7</f>
        <v>53.531348194475349</v>
      </c>
      <c r="U7" s="226">
        <f>$O7*'RAIL EMIS FACTOR'!G$7</f>
        <v>12.90472848575374</v>
      </c>
      <c r="V7" s="226">
        <f>$O7*'RAIL EMIS FACTOR'!H$7</f>
        <v>125.90904217082009</v>
      </c>
      <c r="W7" s="226">
        <f>$O7*'RAIL EMIS FACTOR'!I$7</f>
        <v>0.85130961141967498</v>
      </c>
      <c r="X7" s="227">
        <f>$O7*'RAIL EMIS FACTOR'!J$7</f>
        <v>104415.7664190444</v>
      </c>
    </row>
    <row r="8" spans="1:41" x14ac:dyDescent="0.25">
      <c r="A8" s="259">
        <v>34017</v>
      </c>
      <c r="B8" s="235" t="s">
        <v>762</v>
      </c>
      <c r="C8" s="226" t="s">
        <v>760</v>
      </c>
      <c r="D8" s="226" t="s">
        <v>365</v>
      </c>
      <c r="E8" s="226">
        <v>7</v>
      </c>
      <c r="F8" s="226" t="s">
        <v>763</v>
      </c>
      <c r="G8" s="226">
        <v>5.8</v>
      </c>
      <c r="H8" s="101" t="s">
        <v>36</v>
      </c>
      <c r="I8" s="107" t="s">
        <v>450</v>
      </c>
      <c r="J8" s="226">
        <v>1.2</v>
      </c>
      <c r="K8" s="226">
        <v>3.2</v>
      </c>
      <c r="L8" s="261">
        <v>3840000</v>
      </c>
      <c r="M8" s="226">
        <v>0.49740932642487046</v>
      </c>
      <c r="N8" s="239">
        <v>41545.28571428571</v>
      </c>
      <c r="O8" s="226">
        <v>26520.307457659586</v>
      </c>
      <c r="P8" s="227" t="s">
        <v>735</v>
      </c>
      <c r="Q8" s="225">
        <f>$O8*'RAIL EMIS FACTOR'!C$7</f>
        <v>14532.565317400517</v>
      </c>
      <c r="R8" s="226">
        <f>$O8*'RAIL EMIS FACTOR'!D$7</f>
        <v>1428.483719975369</v>
      </c>
      <c r="S8" s="226">
        <f>$O8*'RAIL EMIS FACTOR'!E$7</f>
        <v>331.12174140912578</v>
      </c>
      <c r="T8" s="226">
        <f>$O8*'RAIL EMIS FACTOR'!F$7</f>
        <v>321.18808916685202</v>
      </c>
      <c r="U8" s="226">
        <f>$O8*'RAIL EMIS FACTOR'!G$7</f>
        <v>77.428370914522418</v>
      </c>
      <c r="V8" s="226">
        <f>$O8*'RAIL EMIS FACTOR'!H$7</f>
        <v>755.45425302492026</v>
      </c>
      <c r="W8" s="226">
        <f>$O8*'RAIL EMIS FACTOR'!I$7</f>
        <v>5.1078576685180481</v>
      </c>
      <c r="X8" s="227">
        <f>$O8*'RAIL EMIS FACTOR'!J$7</f>
        <v>626494.59851426631</v>
      </c>
    </row>
    <row r="9" spans="1:41" x14ac:dyDescent="0.25">
      <c r="A9" s="259">
        <v>34017</v>
      </c>
      <c r="B9" s="235">
        <v>6</v>
      </c>
      <c r="C9" s="226" t="s">
        <v>764</v>
      </c>
      <c r="D9" s="226" t="s">
        <v>763</v>
      </c>
      <c r="E9" s="226">
        <v>4.2</v>
      </c>
      <c r="F9" s="226" t="s">
        <v>735</v>
      </c>
      <c r="G9" s="226">
        <v>6</v>
      </c>
      <c r="H9" s="101" t="s">
        <v>36</v>
      </c>
      <c r="I9" s="107" t="s">
        <v>450</v>
      </c>
      <c r="J9" s="226">
        <v>1.8</v>
      </c>
      <c r="K9" s="226">
        <v>1.8</v>
      </c>
      <c r="L9" s="261">
        <v>3240000</v>
      </c>
      <c r="M9" s="226">
        <v>0.41968911917098445</v>
      </c>
      <c r="N9" s="239">
        <v>41545.28571428571</v>
      </c>
      <c r="O9" s="226">
        <v>22376.509417400277</v>
      </c>
      <c r="P9" s="227" t="s">
        <v>735</v>
      </c>
      <c r="Q9" s="225">
        <f>$O9*'RAIL EMIS FACTOR'!C$7</f>
        <v>12261.851986556685</v>
      </c>
      <c r="R9" s="226">
        <f>$O9*'RAIL EMIS FACTOR'!D$7</f>
        <v>1205.2831387292176</v>
      </c>
      <c r="S9" s="226">
        <f>$O9*'RAIL EMIS FACTOR'!E$7</f>
        <v>279.38396931394988</v>
      </c>
      <c r="T9" s="226">
        <f>$O9*'RAIL EMIS FACTOR'!F$7</f>
        <v>271.00245023453141</v>
      </c>
      <c r="U9" s="226">
        <f>$O9*'RAIL EMIS FACTOR'!G$7</f>
        <v>65.330187959128295</v>
      </c>
      <c r="V9" s="226">
        <f>$O9*'RAIL EMIS FACTOR'!H$7</f>
        <v>637.41452598977651</v>
      </c>
      <c r="W9" s="226">
        <f>$O9*'RAIL EMIS FACTOR'!I$7</f>
        <v>4.3097549078121036</v>
      </c>
      <c r="X9" s="227">
        <f>$O9*'RAIL EMIS FACTOR'!J$7</f>
        <v>528604.8174964122</v>
      </c>
      <c r="AA9" s="139">
        <f>SUM(O7:O9)</f>
        <v>53316.868118003127</v>
      </c>
      <c r="AB9" s="141" t="s">
        <v>758</v>
      </c>
      <c r="AE9" t="s">
        <v>4</v>
      </c>
      <c r="AF9" t="s">
        <v>3</v>
      </c>
      <c r="AG9" t="s">
        <v>80</v>
      </c>
      <c r="AH9" t="s">
        <v>81</v>
      </c>
      <c r="AI9" t="s">
        <v>82</v>
      </c>
      <c r="AJ9" t="s">
        <v>5</v>
      </c>
      <c r="AM9" t="s">
        <v>938</v>
      </c>
      <c r="AN9" t="s">
        <v>939</v>
      </c>
      <c r="AO9" t="s">
        <v>15</v>
      </c>
    </row>
    <row r="10" spans="1:41" x14ac:dyDescent="0.25">
      <c r="A10" s="259">
        <v>34013</v>
      </c>
      <c r="B10" s="235">
        <v>1</v>
      </c>
      <c r="C10" s="226" t="s">
        <v>765</v>
      </c>
      <c r="D10" s="226" t="s">
        <v>766</v>
      </c>
      <c r="E10" s="226">
        <v>0.8</v>
      </c>
      <c r="F10" s="226" t="s">
        <v>737</v>
      </c>
      <c r="G10" s="226">
        <v>2</v>
      </c>
      <c r="H10" s="226" t="s">
        <v>36</v>
      </c>
      <c r="I10" s="226" t="s">
        <v>418</v>
      </c>
      <c r="J10" s="226">
        <v>1.2</v>
      </c>
      <c r="K10" s="262">
        <v>12.1</v>
      </c>
      <c r="L10" s="226">
        <v>14520000</v>
      </c>
      <c r="M10" s="226">
        <v>0.24769703172978505</v>
      </c>
      <c r="N10" s="239">
        <v>89568</v>
      </c>
      <c r="O10" s="226">
        <v>22185.727737973386</v>
      </c>
      <c r="P10" s="227" t="s">
        <v>736</v>
      </c>
      <c r="Q10" s="225">
        <f>$O10*'RAIL EMIS FACTOR'!C$7</f>
        <v>12157.307677556457</v>
      </c>
      <c r="R10" s="226">
        <f>$O10*'RAIL EMIS FACTOR'!D$7</f>
        <v>1195.0069183812457</v>
      </c>
      <c r="S10" s="226">
        <f>$O10*'RAIL EMIS FACTOR'!E$7</f>
        <v>277.00194708356491</v>
      </c>
      <c r="T10" s="226">
        <f>$O10*'RAIL EMIS FACTOR'!F$7</f>
        <v>268.691888671058</v>
      </c>
      <c r="U10" s="226">
        <f>$O10*'RAIL EMIS FACTOR'!G$7</f>
        <v>64.773184060815851</v>
      </c>
      <c r="V10" s="226">
        <f>$O10*'RAIL EMIS FACTOR'!H$7</f>
        <v>631.97994227115316</v>
      </c>
      <c r="W10" s="226">
        <f>$O10*'RAIL EMIS FACTOR'!I$7</f>
        <v>4.2730100221870329</v>
      </c>
      <c r="X10" s="227">
        <f>$O10*'RAIL EMIS FACTOR'!J$7</f>
        <v>524097.9432134782</v>
      </c>
      <c r="AD10" t="s">
        <v>895</v>
      </c>
      <c r="AE10" t="s">
        <v>37</v>
      </c>
      <c r="AF10" t="s">
        <v>36</v>
      </c>
      <c r="AG10" t="s">
        <v>73</v>
      </c>
      <c r="AH10" t="s">
        <v>74</v>
      </c>
      <c r="AI10" t="s">
        <v>72</v>
      </c>
      <c r="AJ10">
        <v>8</v>
      </c>
      <c r="AM10">
        <v>0</v>
      </c>
      <c r="AN10">
        <v>0</v>
      </c>
      <c r="AO10">
        <v>0</v>
      </c>
    </row>
    <row r="11" spans="1:41" x14ac:dyDescent="0.25">
      <c r="A11" s="259">
        <v>34013</v>
      </c>
      <c r="B11" s="235" t="s">
        <v>767</v>
      </c>
      <c r="C11" s="226" t="s">
        <v>765</v>
      </c>
      <c r="D11" s="226" t="s">
        <v>737</v>
      </c>
      <c r="E11" s="226">
        <v>2</v>
      </c>
      <c r="F11" s="226" t="s">
        <v>365</v>
      </c>
      <c r="G11" s="226">
        <v>3</v>
      </c>
      <c r="H11" s="226" t="s">
        <v>36</v>
      </c>
      <c r="I11" s="226" t="s">
        <v>418</v>
      </c>
      <c r="J11" s="226">
        <v>1</v>
      </c>
      <c r="K11" s="226">
        <v>7.8</v>
      </c>
      <c r="L11" s="226">
        <v>7800000</v>
      </c>
      <c r="M11" s="226">
        <v>0.13306038894575231</v>
      </c>
      <c r="N11" s="239">
        <v>89568</v>
      </c>
      <c r="O11" s="226">
        <v>11917.952917093144</v>
      </c>
      <c r="P11" s="227" t="s">
        <v>736</v>
      </c>
      <c r="Q11" s="225">
        <f>$O11*'RAIL EMIS FACTOR'!C$7</f>
        <v>6530.7851160427253</v>
      </c>
      <c r="R11" s="226">
        <f>$O11*'RAIL EMIS FACTOR'!D$7</f>
        <v>641.94586524612384</v>
      </c>
      <c r="S11" s="226">
        <f>$O11*'RAIL EMIS FACTOR'!E$7</f>
        <v>148.80269884654317</v>
      </c>
      <c r="T11" s="226">
        <f>$O11*'RAIL EMIS FACTOR'!F$7</f>
        <v>144.33861788114689</v>
      </c>
      <c r="U11" s="226">
        <f>$O11*'RAIL EMIS FACTOR'!G$7</f>
        <v>34.795512098785387</v>
      </c>
      <c r="V11" s="226">
        <f>$O11*'RAIL EMIS FACTOR'!H$7</f>
        <v>339.49335741838814</v>
      </c>
      <c r="W11" s="226">
        <f>$O11*'RAIL EMIS FACTOR'!I$7</f>
        <v>2.2954186069599771</v>
      </c>
      <c r="X11" s="227">
        <f>$O11*'RAIL EMIS FACTOR'!J$7</f>
        <v>281540.21742872801</v>
      </c>
      <c r="AD11" t="s">
        <v>824</v>
      </c>
      <c r="AE11" t="s">
        <v>21</v>
      </c>
      <c r="AF11" t="s">
        <v>36</v>
      </c>
      <c r="AG11" t="s">
        <v>73</v>
      </c>
      <c r="AH11" t="s">
        <v>74</v>
      </c>
      <c r="AI11" t="s">
        <v>72</v>
      </c>
      <c r="AJ11">
        <v>35</v>
      </c>
      <c r="AM11">
        <v>41924.146797697264</v>
      </c>
      <c r="AN11">
        <v>41924.146797697264</v>
      </c>
      <c r="AO11">
        <v>11.729108027219356</v>
      </c>
    </row>
    <row r="12" spans="1:41" x14ac:dyDescent="0.25">
      <c r="A12" s="225">
        <v>34039</v>
      </c>
      <c r="B12" s="235" t="s">
        <v>768</v>
      </c>
      <c r="C12" s="226" t="s">
        <v>765</v>
      </c>
      <c r="D12" s="226" t="s">
        <v>365</v>
      </c>
      <c r="E12" s="226">
        <v>3</v>
      </c>
      <c r="F12" s="226" t="s">
        <v>769</v>
      </c>
      <c r="G12" s="226">
        <v>4.4000000000000004</v>
      </c>
      <c r="H12" s="226" t="s">
        <v>36</v>
      </c>
      <c r="I12" s="226" t="s">
        <v>420</v>
      </c>
      <c r="J12" s="226">
        <v>1.4</v>
      </c>
      <c r="K12" s="226">
        <v>7.8</v>
      </c>
      <c r="L12" s="226">
        <v>10920000</v>
      </c>
      <c r="M12" s="226">
        <v>0.18628454452405321</v>
      </c>
      <c r="N12" s="239">
        <v>89568</v>
      </c>
      <c r="O12" s="226">
        <v>16685.134083930399</v>
      </c>
      <c r="P12" s="227" t="s">
        <v>736</v>
      </c>
      <c r="Q12" s="225">
        <f>$O12*'RAIL EMIS FACTOR'!C$7</f>
        <v>9143.0991624598155</v>
      </c>
      <c r="R12" s="226">
        <f>$O12*'RAIL EMIS FACTOR'!D$7</f>
        <v>898.72421134457329</v>
      </c>
      <c r="S12" s="226">
        <f>$O12*'RAIL EMIS FACTOR'!E$7</f>
        <v>208.32377838516041</v>
      </c>
      <c r="T12" s="226">
        <f>$O12*'RAIL EMIS FACTOR'!F$7</f>
        <v>202.07406503360559</v>
      </c>
      <c r="U12" s="226">
        <f>$O12*'RAIL EMIS FACTOR'!G$7</f>
        <v>48.713716938299534</v>
      </c>
      <c r="V12" s="226">
        <f>$O12*'RAIL EMIS FACTOR'!H$7</f>
        <v>475.29070038574338</v>
      </c>
      <c r="W12" s="226">
        <f>$O12*'RAIL EMIS FACTOR'!I$7</f>
        <v>3.2135860497439674</v>
      </c>
      <c r="X12" s="227">
        <f>$O12*'RAIL EMIS FACTOR'!J$7</f>
        <v>394156.30440021917</v>
      </c>
      <c r="AD12" t="s">
        <v>824</v>
      </c>
      <c r="AE12" t="s">
        <v>38</v>
      </c>
      <c r="AF12" t="s">
        <v>36</v>
      </c>
      <c r="AG12" t="s">
        <v>73</v>
      </c>
      <c r="AH12" t="s">
        <v>74</v>
      </c>
      <c r="AI12" t="s">
        <v>72</v>
      </c>
      <c r="AJ12">
        <v>74</v>
      </c>
      <c r="AM12">
        <v>145303.07424623676</v>
      </c>
      <c r="AN12">
        <v>145303.07424623676</v>
      </c>
      <c r="AO12">
        <v>40.651404612837467</v>
      </c>
    </row>
    <row r="13" spans="1:41" x14ac:dyDescent="0.25">
      <c r="A13" s="225">
        <v>34039</v>
      </c>
      <c r="B13" s="235">
        <v>3</v>
      </c>
      <c r="C13" s="226" t="s">
        <v>765</v>
      </c>
      <c r="D13" s="226" t="s">
        <v>769</v>
      </c>
      <c r="E13" s="226">
        <v>4.4000000000000004</v>
      </c>
      <c r="F13" s="226" t="s">
        <v>770</v>
      </c>
      <c r="G13" s="226">
        <v>5.5</v>
      </c>
      <c r="H13" s="226" t="s">
        <v>36</v>
      </c>
      <c r="I13" s="226" t="s">
        <v>420</v>
      </c>
      <c r="J13" s="226">
        <v>1.1000000000000001</v>
      </c>
      <c r="K13" s="226">
        <v>7.8</v>
      </c>
      <c r="L13" s="226">
        <v>8580000</v>
      </c>
      <c r="M13" s="226">
        <v>0.14636642784032752</v>
      </c>
      <c r="N13" s="239">
        <v>89568</v>
      </c>
      <c r="O13" s="226">
        <v>13109.748208802455</v>
      </c>
      <c r="P13" s="227" t="s">
        <v>736</v>
      </c>
      <c r="Q13" s="225">
        <f>$O13*'RAIL EMIS FACTOR'!C$7</f>
        <v>7183.863627646997</v>
      </c>
      <c r="R13" s="226">
        <f>$O13*'RAIL EMIS FACTOR'!D$7</f>
        <v>706.14045177073615</v>
      </c>
      <c r="S13" s="226">
        <f>$O13*'RAIL EMIS FACTOR'!E$7</f>
        <v>163.68296873119743</v>
      </c>
      <c r="T13" s="226">
        <f>$O13*'RAIL EMIS FACTOR'!F$7</f>
        <v>158.77247966926154</v>
      </c>
      <c r="U13" s="226">
        <f>$O13*'RAIL EMIS FACTOR'!G$7</f>
        <v>38.275063308663917</v>
      </c>
      <c r="V13" s="226">
        <f>$O13*'RAIL EMIS FACTOR'!H$7</f>
        <v>373.4426931602269</v>
      </c>
      <c r="W13" s="226">
        <f>$O13*'RAIL EMIS FACTOR'!I$7</f>
        <v>2.524960467655974</v>
      </c>
      <c r="X13" s="227">
        <f>$O13*'RAIL EMIS FACTOR'!J$7</f>
        <v>309694.23917160078</v>
      </c>
      <c r="AD13" t="s">
        <v>824</v>
      </c>
      <c r="AE13" t="s">
        <v>39</v>
      </c>
      <c r="AF13" t="s">
        <v>36</v>
      </c>
      <c r="AG13" t="s">
        <v>73</v>
      </c>
      <c r="AH13" t="s">
        <v>74</v>
      </c>
      <c r="AI13" t="s">
        <v>72</v>
      </c>
      <c r="AJ13">
        <v>6</v>
      </c>
      <c r="AM13">
        <v>9577.3091466760179</v>
      </c>
      <c r="AN13">
        <v>9577.3091466760179</v>
      </c>
      <c r="AO13">
        <v>2.6794413761953786</v>
      </c>
    </row>
    <row r="14" spans="1:41" x14ac:dyDescent="0.25">
      <c r="A14" s="225">
        <v>34039</v>
      </c>
      <c r="B14" s="235">
        <v>4</v>
      </c>
      <c r="C14" s="226" t="s">
        <v>765</v>
      </c>
      <c r="D14" s="226" t="s">
        <v>770</v>
      </c>
      <c r="E14" s="226">
        <v>9</v>
      </c>
      <c r="F14" s="226" t="s">
        <v>736</v>
      </c>
      <c r="G14" s="226">
        <v>11.4</v>
      </c>
      <c r="H14" s="226" t="s">
        <v>36</v>
      </c>
      <c r="I14" s="226" t="s">
        <v>420</v>
      </c>
      <c r="J14" s="226">
        <v>2.4</v>
      </c>
      <c r="K14" s="226">
        <v>7</v>
      </c>
      <c r="L14" s="226">
        <v>16800000</v>
      </c>
      <c r="M14" s="226">
        <v>0.2865916069600819</v>
      </c>
      <c r="N14" s="239">
        <v>89568</v>
      </c>
      <c r="O14" s="226">
        <v>25669.437052200617</v>
      </c>
      <c r="P14" s="227" t="s">
        <v>736</v>
      </c>
      <c r="Q14" s="225">
        <f>$O14*'RAIL EMIS FACTOR'!C$7</f>
        <v>14066.306403784332</v>
      </c>
      <c r="R14" s="226">
        <f>$O14*'RAIL EMIS FACTOR'!D$7</f>
        <v>1382.6526328378052</v>
      </c>
      <c r="S14" s="226">
        <f>$O14*'RAIL EMIS FACTOR'!E$7</f>
        <v>320.49812059255453</v>
      </c>
      <c r="T14" s="226">
        <f>$O14*'RAIL EMIS FACTOR'!F$7</f>
        <v>310.88317697477788</v>
      </c>
      <c r="U14" s="226">
        <f>$O14*'RAIL EMIS FACTOR'!G$7</f>
        <v>74.944179905076211</v>
      </c>
      <c r="V14" s="226">
        <f>$O14*'RAIL EMIS FACTOR'!H$7</f>
        <v>731.21646213191298</v>
      </c>
      <c r="W14" s="226">
        <f>$O14*'RAIL EMIS FACTOR'!I$7</f>
        <v>4.9439785380676424</v>
      </c>
      <c r="X14" s="227">
        <f>$O14*'RAIL EMIS FACTOR'!J$7</f>
        <v>606394.31446187571</v>
      </c>
      <c r="AA14" s="139">
        <f>SUM(O10:O14)</f>
        <v>89568</v>
      </c>
      <c r="AB14" s="141" t="s">
        <v>758</v>
      </c>
      <c r="AD14" t="s">
        <v>824</v>
      </c>
      <c r="AE14" t="s">
        <v>40</v>
      </c>
      <c r="AF14" t="s">
        <v>36</v>
      </c>
      <c r="AG14" t="s">
        <v>73</v>
      </c>
      <c r="AH14" t="s">
        <v>74</v>
      </c>
      <c r="AI14" t="s">
        <v>72</v>
      </c>
      <c r="AJ14">
        <v>33</v>
      </c>
      <c r="AM14">
        <v>86412.207521411532</v>
      </c>
      <c r="AN14">
        <v>86412.207521411532</v>
      </c>
      <c r="AO14">
        <v>24.17552161001408</v>
      </c>
    </row>
    <row r="15" spans="1:41" x14ac:dyDescent="0.25">
      <c r="A15" s="259">
        <v>34013</v>
      </c>
      <c r="B15" s="235">
        <v>1</v>
      </c>
      <c r="C15" s="226" t="s">
        <v>765</v>
      </c>
      <c r="D15" s="226" t="s">
        <v>766</v>
      </c>
      <c r="E15" s="226">
        <v>0.8</v>
      </c>
      <c r="F15" s="226" t="s">
        <v>737</v>
      </c>
      <c r="G15" s="226">
        <v>2</v>
      </c>
      <c r="H15" s="226" t="s">
        <v>36</v>
      </c>
      <c r="I15" s="226" t="s">
        <v>418</v>
      </c>
      <c r="J15" s="226">
        <v>1.2</v>
      </c>
      <c r="K15" s="262">
        <v>12.1</v>
      </c>
      <c r="L15" s="226">
        <v>14520000</v>
      </c>
      <c r="M15" s="226">
        <v>0.12475298565168828</v>
      </c>
      <c r="N15" s="226">
        <v>86908</v>
      </c>
      <c r="O15" s="226">
        <v>10842.032477016925</v>
      </c>
      <c r="P15" s="227" t="s">
        <v>771</v>
      </c>
      <c r="Q15" s="225">
        <f>$O15*'RAIL EMIS FACTOR'!C$7</f>
        <v>5941.2035624843029</v>
      </c>
      <c r="R15" s="226">
        <f>$O15*'RAIL EMIS FACTOR'!D$7</f>
        <v>583.99273498579885</v>
      </c>
      <c r="S15" s="226">
        <f>$O15*'RAIL EMIS FACTOR'!E$7</f>
        <v>135.36919509457911</v>
      </c>
      <c r="T15" s="226">
        <f>$O15*'RAIL EMIS FACTOR'!F$7</f>
        <v>131.30811924174174</v>
      </c>
      <c r="U15" s="226">
        <f>$O15*'RAIL EMIS FACTOR'!G$7</f>
        <v>31.654267713073065</v>
      </c>
      <c r="V15" s="226">
        <f>$O15*'RAIL EMIS FACTOR'!H$7</f>
        <v>308.84481860828214</v>
      </c>
      <c r="W15" s="226">
        <f>$O15*'RAIL EMIS FACTOR'!I$7</f>
        <v>2.0881944456514181</v>
      </c>
      <c r="X15" s="227">
        <f>$O15*'RAIL EMIS FACTOR'!J$7</f>
        <v>256123.53079283601</v>
      </c>
      <c r="AD15" t="s">
        <v>824</v>
      </c>
      <c r="AE15" t="s">
        <v>41</v>
      </c>
      <c r="AF15" t="s">
        <v>36</v>
      </c>
      <c r="AG15" t="s">
        <v>73</v>
      </c>
      <c r="AH15" t="s">
        <v>74</v>
      </c>
      <c r="AI15" t="s">
        <v>72</v>
      </c>
      <c r="AJ15">
        <v>36</v>
      </c>
      <c r="AM15">
        <v>222226.16183761781</v>
      </c>
      <c r="AN15">
        <v>222226.16183761781</v>
      </c>
      <c r="AO15">
        <v>62.172157521662832</v>
      </c>
    </row>
    <row r="16" spans="1:41" x14ac:dyDescent="0.25">
      <c r="A16" s="259">
        <v>34013</v>
      </c>
      <c r="B16" s="235" t="s">
        <v>767</v>
      </c>
      <c r="C16" s="226" t="s">
        <v>765</v>
      </c>
      <c r="D16" s="226" t="s">
        <v>737</v>
      </c>
      <c r="E16" s="226">
        <v>2</v>
      </c>
      <c r="F16" s="226" t="s">
        <v>365</v>
      </c>
      <c r="G16" s="226">
        <v>3</v>
      </c>
      <c r="H16" s="226" t="s">
        <v>36</v>
      </c>
      <c r="I16" s="226" t="s">
        <v>418</v>
      </c>
      <c r="J16" s="226">
        <v>1</v>
      </c>
      <c r="K16" s="226">
        <v>7.8</v>
      </c>
      <c r="L16" s="226">
        <v>7800000</v>
      </c>
      <c r="M16" s="226">
        <v>6.7016066672394542E-2</v>
      </c>
      <c r="N16" s="226">
        <v>86908</v>
      </c>
      <c r="O16" s="226">
        <v>5824.2323223644653</v>
      </c>
      <c r="P16" s="227" t="s">
        <v>771</v>
      </c>
      <c r="Q16" s="225">
        <f>$O16*'RAIL EMIS FACTOR'!C$7</f>
        <v>3191.5556327395025</v>
      </c>
      <c r="R16" s="226">
        <f>$O16*'RAIL EMIS FACTOR'!D$7</f>
        <v>313.71510557088379</v>
      </c>
      <c r="S16" s="226">
        <f>$O16*'RAIL EMIS FACTOR'!E$7</f>
        <v>72.718989100393756</v>
      </c>
      <c r="T16" s="226">
        <f>$O16*'RAIL EMIS FACTOR'!F$7</f>
        <v>70.537419427381948</v>
      </c>
      <c r="U16" s="226">
        <f>$O16*'RAIL EMIS FACTOR'!G$7</f>
        <v>17.00435868884091</v>
      </c>
      <c r="V16" s="226">
        <f>$O16*'RAIL EMIS FACTOR'!H$7</f>
        <v>165.90837363254832</v>
      </c>
      <c r="W16" s="226">
        <f>$O16*'RAIL EMIS FACTOR'!I$7</f>
        <v>1.121757346837539</v>
      </c>
      <c r="X16" s="227">
        <f>$O16*'RAIL EMIS FACTOR'!J$7</f>
        <v>137587.02067383757</v>
      </c>
      <c r="AD16" t="s">
        <v>824</v>
      </c>
      <c r="AE16" t="s">
        <v>42</v>
      </c>
      <c r="AF16" t="s">
        <v>36</v>
      </c>
      <c r="AG16" t="s">
        <v>73</v>
      </c>
      <c r="AH16" t="s">
        <v>74</v>
      </c>
      <c r="AI16" t="s">
        <v>72</v>
      </c>
      <c r="AJ16">
        <v>73</v>
      </c>
      <c r="AM16">
        <v>48896.816875059863</v>
      </c>
      <c r="AN16">
        <v>48896.816875059863</v>
      </c>
      <c r="AO16">
        <v>13.679850184720769</v>
      </c>
    </row>
    <row r="17" spans="1:41" x14ac:dyDescent="0.25">
      <c r="A17" s="225">
        <v>34039</v>
      </c>
      <c r="B17" s="235" t="s">
        <v>768</v>
      </c>
      <c r="C17" s="226" t="s">
        <v>765</v>
      </c>
      <c r="D17" s="226" t="s">
        <v>365</v>
      </c>
      <c r="E17" s="226">
        <v>3</v>
      </c>
      <c r="F17" s="226" t="s">
        <v>769</v>
      </c>
      <c r="G17" s="226">
        <v>4.4000000000000004</v>
      </c>
      <c r="H17" s="226" t="s">
        <v>36</v>
      </c>
      <c r="I17" s="226" t="s">
        <v>420</v>
      </c>
      <c r="J17" s="226">
        <v>1.4</v>
      </c>
      <c r="K17" s="226">
        <v>7.8</v>
      </c>
      <c r="L17" s="226">
        <v>10920000</v>
      </c>
      <c r="M17" s="226">
        <v>9.3822493341352356E-2</v>
      </c>
      <c r="N17" s="226">
        <v>86908</v>
      </c>
      <c r="O17" s="226">
        <v>8153.9252513102501</v>
      </c>
      <c r="P17" s="227" t="s">
        <v>771</v>
      </c>
      <c r="Q17" s="225">
        <f>$O17*'RAIL EMIS FACTOR'!C$7</f>
        <v>4468.1778858353027</v>
      </c>
      <c r="R17" s="226">
        <f>$O17*'RAIL EMIS FACTOR'!D$7</f>
        <v>439.20114779923722</v>
      </c>
      <c r="S17" s="226">
        <f>$O17*'RAIL EMIS FACTOR'!E$7</f>
        <v>101.80658474055123</v>
      </c>
      <c r="T17" s="226">
        <f>$O17*'RAIL EMIS FACTOR'!F$7</f>
        <v>98.752387198334702</v>
      </c>
      <c r="U17" s="226">
        <f>$O17*'RAIL EMIS FACTOR'!G$7</f>
        <v>23.806102164377268</v>
      </c>
      <c r="V17" s="226">
        <f>$O17*'RAIL EMIS FACTOR'!H$7</f>
        <v>232.2717230855676</v>
      </c>
      <c r="W17" s="226">
        <f>$O17*'RAIL EMIS FACTOR'!I$7</f>
        <v>1.5704602855725542</v>
      </c>
      <c r="X17" s="227">
        <f>$O17*'RAIL EMIS FACTOR'!J$7</f>
        <v>192621.82894337256</v>
      </c>
      <c r="AD17" t="s">
        <v>824</v>
      </c>
      <c r="AE17" t="s">
        <v>44</v>
      </c>
      <c r="AF17" t="s">
        <v>36</v>
      </c>
      <c r="AG17" t="s">
        <v>73</v>
      </c>
      <c r="AH17" t="s">
        <v>74</v>
      </c>
      <c r="AI17" t="s">
        <v>72</v>
      </c>
      <c r="AJ17">
        <v>110</v>
      </c>
      <c r="AM17">
        <v>136527.33958944801</v>
      </c>
      <c r="AN17">
        <v>136527.33958944801</v>
      </c>
      <c r="AO17">
        <v>38.196219530493899</v>
      </c>
    </row>
    <row r="18" spans="1:41" x14ac:dyDescent="0.25">
      <c r="A18" s="225">
        <v>34039</v>
      </c>
      <c r="B18" s="235">
        <v>3</v>
      </c>
      <c r="C18" s="226" t="s">
        <v>765</v>
      </c>
      <c r="D18" s="226" t="s">
        <v>769</v>
      </c>
      <c r="E18" s="226">
        <v>4.4000000000000004</v>
      </c>
      <c r="F18" s="226" t="s">
        <v>770</v>
      </c>
      <c r="G18" s="226">
        <v>5.5</v>
      </c>
      <c r="H18" s="226" t="s">
        <v>36</v>
      </c>
      <c r="I18" s="226" t="s">
        <v>420</v>
      </c>
      <c r="J18" s="226">
        <v>1.1000000000000001</v>
      </c>
      <c r="K18" s="226">
        <v>7.8</v>
      </c>
      <c r="L18" s="226">
        <v>8580000</v>
      </c>
      <c r="M18" s="226">
        <v>7.3717673339633985E-2</v>
      </c>
      <c r="N18" s="226">
        <v>86908</v>
      </c>
      <c r="O18" s="226">
        <v>6406.6555546009104</v>
      </c>
      <c r="P18" s="227" t="s">
        <v>771</v>
      </c>
      <c r="Q18" s="225">
        <f>$O18*'RAIL EMIS FACTOR'!C$7</f>
        <v>3510.7111960134521</v>
      </c>
      <c r="R18" s="226">
        <f>$O18*'RAIL EMIS FACTOR'!D$7</f>
        <v>345.08661612797209</v>
      </c>
      <c r="S18" s="226">
        <f>$O18*'RAIL EMIS FACTOR'!E$7</f>
        <v>79.99088801043311</v>
      </c>
      <c r="T18" s="226">
        <f>$O18*'RAIL EMIS FACTOR'!F$7</f>
        <v>77.591161370120119</v>
      </c>
      <c r="U18" s="226">
        <f>$O18*'RAIL EMIS FACTOR'!G$7</f>
        <v>18.704794557724995</v>
      </c>
      <c r="V18" s="226">
        <f>$O18*'RAIL EMIS FACTOR'!H$7</f>
        <v>182.49921099580311</v>
      </c>
      <c r="W18" s="226">
        <f>$O18*'RAIL EMIS FACTOR'!I$7</f>
        <v>1.2339330815212926</v>
      </c>
      <c r="X18" s="227">
        <f>$O18*'RAIL EMIS FACTOR'!J$7</f>
        <v>151345.72274122128</v>
      </c>
      <c r="AD18" t="s">
        <v>824</v>
      </c>
      <c r="AE18" t="s">
        <v>46</v>
      </c>
      <c r="AF18" t="s">
        <v>36</v>
      </c>
      <c r="AG18" t="s">
        <v>73</v>
      </c>
      <c r="AH18" t="s">
        <v>74</v>
      </c>
      <c r="AI18" t="s">
        <v>72</v>
      </c>
      <c r="AJ18">
        <v>8</v>
      </c>
      <c r="AM18">
        <v>18829.972742602615</v>
      </c>
      <c r="AN18">
        <v>18829.972742602615</v>
      </c>
      <c r="AO18">
        <v>5.2680567481390685</v>
      </c>
    </row>
    <row r="19" spans="1:41" x14ac:dyDescent="0.25">
      <c r="A19" s="225">
        <v>34039</v>
      </c>
      <c r="B19" s="235">
        <v>4</v>
      </c>
      <c r="C19" s="226" t="s">
        <v>765</v>
      </c>
      <c r="D19" s="226" t="s">
        <v>770</v>
      </c>
      <c r="E19" s="226">
        <v>9</v>
      </c>
      <c r="F19" s="226" t="s">
        <v>736</v>
      </c>
      <c r="G19" s="226">
        <v>11.4</v>
      </c>
      <c r="H19" s="226" t="s">
        <v>36</v>
      </c>
      <c r="I19" s="226" t="s">
        <v>420</v>
      </c>
      <c r="J19" s="226">
        <v>2.4</v>
      </c>
      <c r="K19" s="226">
        <v>7</v>
      </c>
      <c r="L19" s="226">
        <v>16800000</v>
      </c>
      <c r="M19" s="226">
        <v>0.14434229744823437</v>
      </c>
      <c r="N19" s="226">
        <v>86908</v>
      </c>
      <c r="O19" s="226">
        <v>12544.500386631153</v>
      </c>
      <c r="P19" s="227" t="s">
        <v>771</v>
      </c>
      <c r="Q19" s="225">
        <f>$O19*'RAIL EMIS FACTOR'!C$7</f>
        <v>6874.1198243620038</v>
      </c>
      <c r="R19" s="226">
        <f>$O19*'RAIL EMIS FACTOR'!D$7</f>
        <v>675.69407353728798</v>
      </c>
      <c r="S19" s="226">
        <f>$O19*'RAIL EMIS FACTOR'!E$7</f>
        <v>156.62551498546341</v>
      </c>
      <c r="T19" s="226">
        <f>$O19*'RAIL EMIS FACTOR'!F$7</f>
        <v>151.92674953589952</v>
      </c>
      <c r="U19" s="226">
        <f>$O19*'RAIL EMIS FACTOR'!G$7</f>
        <v>36.624772560580411</v>
      </c>
      <c r="V19" s="226">
        <f>$O19*'RAIL EMIS FACTOR'!H$7</f>
        <v>357.34111243933472</v>
      </c>
      <c r="W19" s="226">
        <f>$O19*'RAIL EMIS FACTOR'!I$7</f>
        <v>2.4160927470346985</v>
      </c>
      <c r="X19" s="227">
        <f>$O19*'RAIL EMIS FACTOR'!J$7</f>
        <v>296341.27529749623</v>
      </c>
    </row>
    <row r="20" spans="1:41" x14ac:dyDescent="0.25">
      <c r="A20" s="225">
        <v>34039</v>
      </c>
      <c r="B20" s="235" t="s">
        <v>772</v>
      </c>
      <c r="C20" s="226" t="s">
        <v>765</v>
      </c>
      <c r="D20" s="226" t="s">
        <v>736</v>
      </c>
      <c r="E20" s="226">
        <v>11.4</v>
      </c>
      <c r="F20" s="226" t="s">
        <v>365</v>
      </c>
      <c r="G20" s="226">
        <v>14.5</v>
      </c>
      <c r="H20" s="226" t="s">
        <v>36</v>
      </c>
      <c r="I20" s="226" t="s">
        <v>420</v>
      </c>
      <c r="J20" s="226">
        <v>3.1</v>
      </c>
      <c r="K20" s="226">
        <v>6.7</v>
      </c>
      <c r="L20" s="226">
        <v>20770000</v>
      </c>
      <c r="M20" s="226">
        <v>0.17845175702379928</v>
      </c>
      <c r="N20" s="226">
        <v>86908</v>
      </c>
      <c r="O20" s="226">
        <v>15508.885299424348</v>
      </c>
      <c r="P20" s="227" t="s">
        <v>771</v>
      </c>
      <c r="Q20" s="225">
        <f>$O20*'RAIL EMIS FACTOR'!C$7</f>
        <v>8498.5398066665966</v>
      </c>
      <c r="R20" s="226">
        <f>$O20*'RAIL EMIS FACTOR'!D$7</f>
        <v>835.36701829580193</v>
      </c>
      <c r="S20" s="226">
        <f>$O20*'RAIL EMIS FACTOR'!E$7</f>
        <v>193.63761584809973</v>
      </c>
      <c r="T20" s="226">
        <f>$O20*'RAIL EMIS FACTOR'!F$7</f>
        <v>187.82848737265675</v>
      </c>
      <c r="U20" s="226">
        <f>$O20*'RAIL EMIS FACTOR'!G$7</f>
        <v>45.279555124003281</v>
      </c>
      <c r="V20" s="226">
        <f>$O20*'RAIL EMIS FACTOR'!H$7</f>
        <v>441.78422055743943</v>
      </c>
      <c r="W20" s="226">
        <f>$O20*'RAIL EMIS FACTOR'!I$7</f>
        <v>2.9870384735661126</v>
      </c>
      <c r="X20" s="227">
        <f>$O20*'RAIL EMIS FACTOR'!J$7</f>
        <v>366369.54094815458</v>
      </c>
    </row>
    <row r="21" spans="1:41" x14ac:dyDescent="0.25">
      <c r="A21" s="225">
        <v>34023</v>
      </c>
      <c r="B21" s="235" t="s">
        <v>773</v>
      </c>
      <c r="C21" s="226" t="s">
        <v>765</v>
      </c>
      <c r="D21" s="226" t="s">
        <v>365</v>
      </c>
      <c r="E21" s="226">
        <v>14.5</v>
      </c>
      <c r="F21" s="226" t="s">
        <v>753</v>
      </c>
      <c r="G21" s="226">
        <v>16.899999999999999</v>
      </c>
      <c r="H21" s="226" t="s">
        <v>36</v>
      </c>
      <c r="I21" s="226" t="s">
        <v>424</v>
      </c>
      <c r="J21" s="226">
        <v>2.4</v>
      </c>
      <c r="K21" s="226">
        <v>6.7</v>
      </c>
      <c r="L21" s="226">
        <v>16079999.999999998</v>
      </c>
      <c r="M21" s="226">
        <v>0.13815619898616718</v>
      </c>
      <c r="N21" s="226">
        <v>86908</v>
      </c>
      <c r="O21" s="226">
        <v>12006.878941489818</v>
      </c>
      <c r="P21" s="227" t="s">
        <v>771</v>
      </c>
      <c r="Q21" s="225">
        <f>$O21*'RAIL EMIS FACTOR'!C$7</f>
        <v>6579.5146890322039</v>
      </c>
      <c r="R21" s="226">
        <f>$O21*'RAIL EMIS FACTOR'!D$7</f>
        <v>646.73575609997567</v>
      </c>
      <c r="S21" s="226">
        <f>$O21*'RAIL EMIS FACTOR'!E$7</f>
        <v>149.91299291465785</v>
      </c>
      <c r="T21" s="226">
        <f>$O21*'RAIL EMIS FACTOR'!F$7</f>
        <v>145.41560312721813</v>
      </c>
      <c r="U21" s="226">
        <f>$O21*'RAIL EMIS FACTOR'!G$7</f>
        <v>35.055139450841253</v>
      </c>
      <c r="V21" s="226">
        <f>$O21*'RAIL EMIS FACTOR'!H$7</f>
        <v>342.02649333479184</v>
      </c>
      <c r="W21" s="226">
        <f>$O21*'RAIL EMIS FACTOR'!I$7</f>
        <v>2.312545915018926</v>
      </c>
      <c r="X21" s="227">
        <f>$O21*'RAIL EMIS FACTOR'!J$7</f>
        <v>283640.93492760358</v>
      </c>
    </row>
    <row r="22" spans="1:41" x14ac:dyDescent="0.25">
      <c r="A22" s="225">
        <v>34023</v>
      </c>
      <c r="B22" s="235">
        <v>6</v>
      </c>
      <c r="C22" s="226" t="s">
        <v>765</v>
      </c>
      <c r="D22" s="226" t="s">
        <v>753</v>
      </c>
      <c r="E22" s="226">
        <v>16.899999999999999</v>
      </c>
      <c r="F22" s="226" t="s">
        <v>774</v>
      </c>
      <c r="G22" s="226">
        <v>18.899999999999999</v>
      </c>
      <c r="H22" s="226" t="s">
        <v>36</v>
      </c>
      <c r="I22" s="226" t="s">
        <v>424</v>
      </c>
      <c r="J22" s="226">
        <v>2</v>
      </c>
      <c r="K22" s="226">
        <v>4.5999999999999996</v>
      </c>
      <c r="L22" s="226">
        <v>9200000</v>
      </c>
      <c r="M22" s="226">
        <v>7.9044591459747404E-2</v>
      </c>
      <c r="N22" s="226">
        <v>86908</v>
      </c>
      <c r="O22" s="226">
        <v>6869.6073545837271</v>
      </c>
      <c r="P22" s="227" t="s">
        <v>771</v>
      </c>
      <c r="Q22" s="225">
        <f>$O22*'RAIL EMIS FACTOR'!C$7</f>
        <v>3764.3989514363357</v>
      </c>
      <c r="R22" s="226">
        <f>$O22*'RAIL EMIS FACTOR'!D$7</f>
        <v>370.0229450323244</v>
      </c>
      <c r="S22" s="226">
        <f>$O22*'RAIL EMIS FACTOR'!E$7</f>
        <v>85.771115349182352</v>
      </c>
      <c r="T22" s="226">
        <f>$O22*'RAIL EMIS FACTOR'!F$7</f>
        <v>83.197981888706892</v>
      </c>
      <c r="U22" s="226">
        <f>$O22*'RAIL EMIS FACTOR'!G$7</f>
        <v>20.056423068889274</v>
      </c>
      <c r="V22" s="226">
        <f>$O22*'RAIL EMIS FACTOR'!H$7</f>
        <v>195.68679966915951</v>
      </c>
      <c r="W22" s="226">
        <f>$O22*'RAIL EMIS FACTOR'!I$7</f>
        <v>1.3230984090904303</v>
      </c>
      <c r="X22" s="227">
        <f>$O22*'RAIL EMIS FACTOR'!J$7</f>
        <v>162282.12694862889</v>
      </c>
    </row>
    <row r="23" spans="1:41" x14ac:dyDescent="0.25">
      <c r="A23" s="225">
        <v>34023</v>
      </c>
      <c r="B23" s="235">
        <v>7</v>
      </c>
      <c r="C23" s="226" t="s">
        <v>765</v>
      </c>
      <c r="D23" s="226" t="s">
        <v>774</v>
      </c>
      <c r="E23" s="226">
        <v>18.899999999999999</v>
      </c>
      <c r="F23" s="226" t="s">
        <v>775</v>
      </c>
      <c r="G23" s="226">
        <v>20</v>
      </c>
      <c r="H23" s="226" t="s">
        <v>36</v>
      </c>
      <c r="I23" s="226" t="s">
        <v>424</v>
      </c>
      <c r="J23" s="226">
        <v>1.1000000000000001</v>
      </c>
      <c r="K23" s="226">
        <v>4.4000000000000004</v>
      </c>
      <c r="L23" s="226">
        <v>4840000.0000000009</v>
      </c>
      <c r="M23" s="226">
        <v>4.1584328550562773E-2</v>
      </c>
      <c r="N23" s="226">
        <v>86908</v>
      </c>
      <c r="O23" s="226">
        <v>3614.0108256723092</v>
      </c>
      <c r="P23" s="227" t="s">
        <v>771</v>
      </c>
      <c r="Q23" s="225">
        <f>$O23*'RAIL EMIS FACTOR'!C$7</f>
        <v>1980.4011874947682</v>
      </c>
      <c r="R23" s="226">
        <f>$O23*'RAIL EMIS FACTOR'!D$7</f>
        <v>194.66424499526636</v>
      </c>
      <c r="S23" s="226">
        <f>$O23*'RAIL EMIS FACTOR'!E$7</f>
        <v>45.12306503152638</v>
      </c>
      <c r="T23" s="226">
        <f>$O23*'RAIL EMIS FACTOR'!F$7</f>
        <v>43.769373080580593</v>
      </c>
      <c r="U23" s="226">
        <f>$O23*'RAIL EMIS FACTOR'!G$7</f>
        <v>10.551422571024359</v>
      </c>
      <c r="V23" s="226">
        <f>$O23*'RAIL EMIS FACTOR'!H$7</f>
        <v>102.94827286942741</v>
      </c>
      <c r="W23" s="226">
        <f>$O23*'RAIL EMIS FACTOR'!I$7</f>
        <v>0.69606481521713959</v>
      </c>
      <c r="X23" s="227">
        <f>$O23*'RAIL EMIS FACTOR'!J$7</f>
        <v>85374.510264278695</v>
      </c>
    </row>
    <row r="24" spans="1:41" x14ac:dyDescent="0.25">
      <c r="A24" s="225">
        <v>34023</v>
      </c>
      <c r="B24" s="235">
        <v>8</v>
      </c>
      <c r="C24" s="226" t="s">
        <v>776</v>
      </c>
      <c r="D24" s="226" t="s">
        <v>777</v>
      </c>
      <c r="E24" s="226">
        <v>5.2</v>
      </c>
      <c r="F24" s="226" t="s">
        <v>778</v>
      </c>
      <c r="G24" s="226">
        <v>6.1</v>
      </c>
      <c r="H24" s="226" t="s">
        <v>36</v>
      </c>
      <c r="I24" s="226" t="s">
        <v>424</v>
      </c>
      <c r="J24" s="226">
        <v>0.89999999999999947</v>
      </c>
      <c r="K24" s="226">
        <v>3.6</v>
      </c>
      <c r="L24" s="226">
        <v>3239999.9999999981</v>
      </c>
      <c r="M24" s="226">
        <v>2.7837443079302329E-2</v>
      </c>
      <c r="N24" s="226">
        <v>86908</v>
      </c>
      <c r="O24" s="226">
        <v>2419.2965031360068</v>
      </c>
      <c r="P24" s="227" t="s">
        <v>771</v>
      </c>
      <c r="Q24" s="225">
        <f>$O24*'RAIL EMIS FACTOR'!C$7</f>
        <v>1325.7231089841</v>
      </c>
      <c r="R24" s="226">
        <f>$O24*'RAIL EMIS FACTOR'!D$7</f>
        <v>130.31242846790548</v>
      </c>
      <c r="S24" s="226">
        <f>$O24*'RAIL EMIS FACTOR'!E$7</f>
        <v>30.206349318625072</v>
      </c>
      <c r="T24" s="226">
        <f>$O24*'RAIL EMIS FACTOR'!F$7</f>
        <v>29.300158839066324</v>
      </c>
      <c r="U24" s="226">
        <f>$O24*'RAIL EMIS FACTOR'!G$7</f>
        <v>7.0633489938262182</v>
      </c>
      <c r="V24" s="226">
        <f>$O24*'RAIL EMIS FACTOR'!H$7</f>
        <v>68.915785970443096</v>
      </c>
      <c r="W24" s="226">
        <f>$O24*'RAIL EMIS FACTOR'!I$7</f>
        <v>0.46596074407097737</v>
      </c>
      <c r="X24" s="227">
        <f>$O24*'RAIL EMIS FACTOR'!J$7</f>
        <v>57151.531664517097</v>
      </c>
    </row>
    <row r="25" spans="1:41" x14ac:dyDescent="0.25">
      <c r="A25" s="225">
        <v>34023</v>
      </c>
      <c r="B25" s="235">
        <v>9</v>
      </c>
      <c r="C25" s="226" t="s">
        <v>776</v>
      </c>
      <c r="D25" s="226" t="s">
        <v>778</v>
      </c>
      <c r="E25" s="226">
        <v>6.1</v>
      </c>
      <c r="F25" s="226" t="s">
        <v>779</v>
      </c>
      <c r="G25" s="226">
        <v>6.7</v>
      </c>
      <c r="H25" s="226" t="s">
        <v>36</v>
      </c>
      <c r="I25" s="226" t="s">
        <v>424</v>
      </c>
      <c r="J25" s="226">
        <v>0.60000000000000053</v>
      </c>
      <c r="K25" s="226">
        <v>2.8</v>
      </c>
      <c r="L25" s="226">
        <v>1680000.0000000014</v>
      </c>
      <c r="M25" s="226">
        <v>1.4434229744823451E-2</v>
      </c>
      <c r="N25" s="226">
        <v>86908</v>
      </c>
      <c r="O25" s="226">
        <v>1254.4500386631164</v>
      </c>
      <c r="P25" s="227" t="s">
        <v>771</v>
      </c>
      <c r="Q25" s="225">
        <f>$O25*'RAIL EMIS FACTOR'!C$7</f>
        <v>687.41198243620101</v>
      </c>
      <c r="R25" s="226">
        <f>$O25*'RAIL EMIS FACTOR'!D$7</f>
        <v>67.569407353728863</v>
      </c>
      <c r="S25" s="226">
        <f>$O25*'RAIL EMIS FACTOR'!E$7</f>
        <v>15.662551498546357</v>
      </c>
      <c r="T25" s="226">
        <f>$O25*'RAIL EMIS FACTOR'!F$7</f>
        <v>15.192674953589966</v>
      </c>
      <c r="U25" s="226">
        <f>$O25*'RAIL EMIS FACTOR'!G$7</f>
        <v>3.6624772560580441</v>
      </c>
      <c r="V25" s="226">
        <f>$O25*'RAIL EMIS FACTOR'!H$7</f>
        <v>35.734111243933505</v>
      </c>
      <c r="W25" s="226">
        <f>$O25*'RAIL EMIS FACTOR'!I$7</f>
        <v>0.24160927470347007</v>
      </c>
      <c r="X25" s="227">
        <f>$O25*'RAIL EMIS FACTOR'!J$7</f>
        <v>29634.12752974965</v>
      </c>
    </row>
    <row r="26" spans="1:41" x14ac:dyDescent="0.25">
      <c r="A26" s="225">
        <v>34023</v>
      </c>
      <c r="B26" s="235">
        <v>10</v>
      </c>
      <c r="C26" s="226" t="s">
        <v>776</v>
      </c>
      <c r="D26" s="226" t="s">
        <v>779</v>
      </c>
      <c r="E26" s="226">
        <v>0</v>
      </c>
      <c r="F26" s="226" t="s">
        <v>780</v>
      </c>
      <c r="G26" s="226">
        <v>0.7</v>
      </c>
      <c r="H26" s="226" t="s">
        <v>36</v>
      </c>
      <c r="I26" s="226" t="s">
        <v>424</v>
      </c>
      <c r="J26" s="226">
        <v>0.7</v>
      </c>
      <c r="K26" s="226">
        <v>2.8</v>
      </c>
      <c r="L26" s="226">
        <v>1959999.9999999998</v>
      </c>
      <c r="M26" s="226">
        <v>1.6839934702294009E-2</v>
      </c>
      <c r="N26" s="226">
        <v>86908</v>
      </c>
      <c r="O26" s="226">
        <v>1463.5250451069676</v>
      </c>
      <c r="P26" s="227" t="s">
        <v>771</v>
      </c>
      <c r="Q26" s="225">
        <f>$O26*'RAIL EMIS FACTOR'!C$7</f>
        <v>801.9806461755669</v>
      </c>
      <c r="R26" s="226">
        <f>$O26*'RAIL EMIS FACTOR'!D$7</f>
        <v>78.830975246016919</v>
      </c>
      <c r="S26" s="226">
        <f>$O26*'RAIL EMIS FACTOR'!E$7</f>
        <v>18.272976748304064</v>
      </c>
      <c r="T26" s="226">
        <f>$O26*'RAIL EMIS FACTOR'!F$7</f>
        <v>17.724787445854943</v>
      </c>
      <c r="U26" s="226">
        <f>$O26*'RAIL EMIS FACTOR'!G$7</f>
        <v>4.2728901320677135</v>
      </c>
      <c r="V26" s="226">
        <f>$O26*'RAIL EMIS FACTOR'!H$7</f>
        <v>41.68979645125571</v>
      </c>
      <c r="W26" s="226">
        <f>$O26*'RAIL EMIS FACTOR'!I$7</f>
        <v>0.28187748715404815</v>
      </c>
      <c r="X26" s="227">
        <f>$O26*'RAIL EMIS FACTOR'!J$7</f>
        <v>34573.14878470789</v>
      </c>
      <c r="AA26" s="139">
        <f>SUM(O15:O26)</f>
        <v>86908</v>
      </c>
      <c r="AB26" s="141" t="s">
        <v>758</v>
      </c>
    </row>
    <row r="27" spans="1:41" x14ac:dyDescent="0.25">
      <c r="A27" s="225">
        <v>34023</v>
      </c>
      <c r="B27" s="235" t="s">
        <v>772</v>
      </c>
      <c r="C27" s="226" t="s">
        <v>781</v>
      </c>
      <c r="D27" s="226" t="s">
        <v>738</v>
      </c>
      <c r="E27" s="226">
        <v>26.3</v>
      </c>
      <c r="F27" s="226" t="s">
        <v>365</v>
      </c>
      <c r="G27" s="226">
        <v>20.6</v>
      </c>
      <c r="H27" s="226" t="s">
        <v>36</v>
      </c>
      <c r="I27" s="226" t="s">
        <v>424</v>
      </c>
      <c r="J27" s="226">
        <v>5.7</v>
      </c>
      <c r="K27" s="226">
        <v>1.4</v>
      </c>
      <c r="L27" s="160">
        <v>7980000</v>
      </c>
      <c r="M27" s="226">
        <v>0.3463992707383774</v>
      </c>
      <c r="N27" s="226">
        <v>100169.99999999999</v>
      </c>
      <c r="O27" s="226">
        <v>37320.58123664873</v>
      </c>
      <c r="P27" s="227" t="s">
        <v>738</v>
      </c>
      <c r="Q27" s="225">
        <f>$O27*'RAIL EMIS FACTOR'!C$7</f>
        <v>20450.886000128346</v>
      </c>
      <c r="R27" s="226">
        <f>$O27*'RAIL EMIS FACTOR'!D$7</f>
        <v>2010.2271740885653</v>
      </c>
      <c r="S27" s="226">
        <f>$O27*'RAIL EMIS FACTOR'!E$7</f>
        <v>465.96955443330421</v>
      </c>
      <c r="T27" s="226">
        <f>$O27*'RAIL EMIS FACTOR'!F$7</f>
        <v>451.99046780030511</v>
      </c>
      <c r="U27" s="226">
        <f>$O27*'RAIL EMIS FACTOR'!G$7</f>
        <v>108.96072043471764</v>
      </c>
      <c r="V27" s="226">
        <f>$O27*'RAIL EMIS FACTOR'!H$7</f>
        <v>1063.1095384395833</v>
      </c>
      <c r="W27" s="226">
        <f>$O27*'RAIL EMIS FACTOR'!I$7</f>
        <v>7.1880093157860365</v>
      </c>
      <c r="X27" s="227">
        <f>$O27*'RAIL EMIS FACTOR'!J$7</f>
        <v>881631.65511945717</v>
      </c>
    </row>
    <row r="28" spans="1:41" x14ac:dyDescent="0.25">
      <c r="A28" s="225">
        <v>34039</v>
      </c>
      <c r="B28" s="226" t="s">
        <v>773</v>
      </c>
      <c r="C28" s="226" t="s">
        <v>781</v>
      </c>
      <c r="D28" s="226" t="s">
        <v>365</v>
      </c>
      <c r="E28" s="226">
        <v>20.6</v>
      </c>
      <c r="F28" s="226" t="s">
        <v>782</v>
      </c>
      <c r="G28" s="226">
        <v>18</v>
      </c>
      <c r="H28" s="226" t="s">
        <v>36</v>
      </c>
      <c r="I28" s="226" t="s">
        <v>420</v>
      </c>
      <c r="J28" s="226">
        <v>2.6</v>
      </c>
      <c r="K28" s="226">
        <v>1.4</v>
      </c>
      <c r="L28" s="226">
        <v>3639999.9999999995</v>
      </c>
      <c r="M28" s="226">
        <v>0.15800668489820721</v>
      </c>
      <c r="N28" s="226">
        <v>100169.99999999999</v>
      </c>
      <c r="O28" s="226">
        <v>17023.423020225735</v>
      </c>
      <c r="P28" s="227" t="s">
        <v>738</v>
      </c>
      <c r="Q28" s="225">
        <f>$O28*'RAIL EMIS FACTOR'!C$7</f>
        <v>9328.474315848016</v>
      </c>
      <c r="R28" s="226">
        <f>$O28*'RAIL EMIS FACTOR'!D$7</f>
        <v>916.94572853162617</v>
      </c>
      <c r="S28" s="226">
        <f>$O28*'RAIL EMIS FACTOR'!E$7</f>
        <v>212.54751605729663</v>
      </c>
      <c r="T28" s="226">
        <f>$O28*'RAIL EMIS FACTOR'!F$7</f>
        <v>206.17109057557775</v>
      </c>
      <c r="U28" s="226">
        <f>$O28*'RAIL EMIS FACTOR'!G$7</f>
        <v>49.701381250923831</v>
      </c>
      <c r="V28" s="226">
        <f>$O28*'RAIL EMIS FACTOR'!H$7</f>
        <v>484.92715788472219</v>
      </c>
      <c r="W28" s="226">
        <f>$O28*'RAIL EMIS FACTOR'!I$7</f>
        <v>3.2787410914111743</v>
      </c>
      <c r="X28" s="227">
        <f>$O28*'RAIL EMIS FACTOR'!J$7</f>
        <v>402147.77251062955</v>
      </c>
    </row>
    <row r="29" spans="1:41" x14ac:dyDescent="0.25">
      <c r="A29" s="225">
        <v>34039</v>
      </c>
      <c r="B29" s="226" t="s">
        <v>783</v>
      </c>
      <c r="C29" s="226" t="s">
        <v>781</v>
      </c>
      <c r="D29" s="226" t="s">
        <v>782</v>
      </c>
      <c r="E29" s="226">
        <v>18</v>
      </c>
      <c r="F29" s="226" t="s">
        <v>365</v>
      </c>
      <c r="G29" s="226">
        <v>12.5</v>
      </c>
      <c r="H29" s="226" t="s">
        <v>36</v>
      </c>
      <c r="I29" s="226" t="s">
        <v>420</v>
      </c>
      <c r="J29" s="226">
        <v>5.5</v>
      </c>
      <c r="K29" s="226">
        <v>2</v>
      </c>
      <c r="L29" s="226">
        <v>11000000</v>
      </c>
      <c r="M29" s="226">
        <v>0.4774927290879889</v>
      </c>
      <c r="N29" s="226">
        <v>100169.99999999999</v>
      </c>
      <c r="O29" s="226">
        <v>51444.410225956897</v>
      </c>
      <c r="P29" s="227" t="s">
        <v>738</v>
      </c>
      <c r="Q29" s="225">
        <f>$O29*'RAIL EMIS FACTOR'!C$7</f>
        <v>28190.444361079175</v>
      </c>
      <c r="R29" s="226">
        <f>$O29*'RAIL EMIS FACTOR'!D$7</f>
        <v>2770.9898389692003</v>
      </c>
      <c r="S29" s="226">
        <f>$O29*'RAIL EMIS FACTOR'!E$7</f>
        <v>642.31392215117125</v>
      </c>
      <c r="T29" s="226">
        <f>$O29*'RAIL EMIS FACTOR'!F$7</f>
        <v>623.04450448663613</v>
      </c>
      <c r="U29" s="226">
        <f>$O29*'RAIL EMIS FACTOR'!G$7</f>
        <v>150.19648180224237</v>
      </c>
      <c r="V29" s="226">
        <f>$O29*'RAIL EMIS FACTOR'!H$7</f>
        <v>1465.4392133878969</v>
      </c>
      <c r="W29" s="226">
        <f>$O29*'RAIL EMIS FACTOR'!I$7</f>
        <v>9.9082835180008022</v>
      </c>
      <c r="X29" s="227">
        <f>$O29*'RAIL EMIS FACTOR'!J$7</f>
        <v>1215281.7301145401</v>
      </c>
    </row>
    <row r="30" spans="1:41" x14ac:dyDescent="0.25">
      <c r="A30" s="259">
        <v>34013</v>
      </c>
      <c r="B30" s="226" t="s">
        <v>784</v>
      </c>
      <c r="C30" s="226" t="s">
        <v>781</v>
      </c>
      <c r="D30" s="226" t="s">
        <v>365</v>
      </c>
      <c r="E30" s="226">
        <v>12.5</v>
      </c>
      <c r="F30" s="226" t="s">
        <v>785</v>
      </c>
      <c r="G30" s="226">
        <v>12.3</v>
      </c>
      <c r="H30" s="226" t="s">
        <v>36</v>
      </c>
      <c r="I30" s="226" t="s">
        <v>418</v>
      </c>
      <c r="J30" s="226">
        <v>0.19999999999999929</v>
      </c>
      <c r="K30" s="226">
        <v>2</v>
      </c>
      <c r="L30" s="226">
        <v>399999.9999999986</v>
      </c>
      <c r="M30" s="226">
        <v>1.7363371966835899E-2</v>
      </c>
      <c r="N30" s="226">
        <v>100169.99999999999</v>
      </c>
      <c r="O30" s="226">
        <v>1870.7058263984259</v>
      </c>
      <c r="P30" s="227" t="s">
        <v>738</v>
      </c>
      <c r="Q30" s="225">
        <f>$O30*'RAIL EMIS FACTOR'!C$7</f>
        <v>1025.1070676756026</v>
      </c>
      <c r="R30" s="226">
        <f>$O30*'RAIL EMIS FACTOR'!D$7</f>
        <v>100.76326687160693</v>
      </c>
      <c r="S30" s="226">
        <f>$O30*'RAIL EMIS FACTOR'!E$7</f>
        <v>23.356869896406142</v>
      </c>
      <c r="T30" s="226">
        <f>$O30*'RAIL EMIS FACTOR'!F$7</f>
        <v>22.656163799513958</v>
      </c>
      <c r="U30" s="226">
        <f>$O30*'RAIL EMIS FACTOR'!G$7</f>
        <v>5.4616902473542481</v>
      </c>
      <c r="V30" s="226">
        <f>$O30*'RAIL EMIS FACTOR'!H$7</f>
        <v>53.288698668650603</v>
      </c>
      <c r="W30" s="226">
        <f>$O30*'RAIL EMIS FACTOR'!I$7</f>
        <v>0.36030121883639149</v>
      </c>
      <c r="X30" s="227">
        <f>$O30*'RAIL EMIS FACTOR'!J$7</f>
        <v>44192.062913255839</v>
      </c>
    </row>
    <row r="31" spans="1:41" x14ac:dyDescent="0.25">
      <c r="A31" s="259">
        <v>34013</v>
      </c>
      <c r="B31" s="226">
        <v>7</v>
      </c>
      <c r="C31" s="226" t="s">
        <v>781</v>
      </c>
      <c r="D31" s="226" t="s">
        <v>785</v>
      </c>
      <c r="E31" s="226">
        <v>12.3</v>
      </c>
      <c r="F31" s="226" t="s">
        <v>786</v>
      </c>
      <c r="G31" s="226">
        <v>10.6</v>
      </c>
      <c r="H31" s="226" t="s">
        <v>36</v>
      </c>
      <c r="I31" s="226" t="s">
        <v>418</v>
      </c>
      <c r="J31" s="226">
        <v>1.7</v>
      </c>
      <c r="K31" s="226">
        <v>0.01</v>
      </c>
      <c r="L31" s="226">
        <v>17000</v>
      </c>
      <c r="M31" s="226">
        <v>7.3794330859052826E-4</v>
      </c>
      <c r="N31" s="226">
        <v>100169.99999999999</v>
      </c>
      <c r="O31" s="226">
        <v>79.504997621933384</v>
      </c>
      <c r="P31" s="227" t="s">
        <v>738</v>
      </c>
      <c r="Q31" s="225">
        <f>$O31*'RAIL EMIS FACTOR'!C$7</f>
        <v>43.567050376213267</v>
      </c>
      <c r="R31" s="226">
        <f>$O31*'RAIL EMIS FACTOR'!D$7</f>
        <v>4.2824388420433097</v>
      </c>
      <c r="S31" s="226">
        <f>$O31*'RAIL EMIS FACTOR'!E$7</f>
        <v>0.99266697059726461</v>
      </c>
      <c r="T31" s="226">
        <f>$O31*'RAIL EMIS FACTOR'!F$7</f>
        <v>0.96288696147934671</v>
      </c>
      <c r="U31" s="226">
        <f>$O31*'RAIL EMIS FACTOR'!G$7</f>
        <v>0.23212183551255638</v>
      </c>
      <c r="V31" s="226">
        <f>$O31*'RAIL EMIS FACTOR'!H$7</f>
        <v>2.2647696934176587</v>
      </c>
      <c r="W31" s="226">
        <f>$O31*'RAIL EMIS FACTOR'!I$7</f>
        <v>1.5312801800546694E-2</v>
      </c>
      <c r="X31" s="227">
        <f>$O31*'RAIL EMIS FACTOR'!J$7</f>
        <v>1878.16267381338</v>
      </c>
      <c r="AA31" s="139">
        <f>SUM(O27:O31)</f>
        <v>107738.62530685173</v>
      </c>
      <c r="AB31" s="141" t="s">
        <v>758</v>
      </c>
    </row>
    <row r="32" spans="1:41" x14ac:dyDescent="0.25">
      <c r="A32" s="225">
        <v>34005</v>
      </c>
      <c r="B32" s="226" t="s">
        <v>366</v>
      </c>
      <c r="C32" s="226" t="s">
        <v>787</v>
      </c>
      <c r="D32" s="226" t="s">
        <v>365</v>
      </c>
      <c r="E32" s="226">
        <v>29.8</v>
      </c>
      <c r="F32" s="226" t="s">
        <v>788</v>
      </c>
      <c r="G32" s="226">
        <v>28.1</v>
      </c>
      <c r="H32" s="226" t="s">
        <v>36</v>
      </c>
      <c r="I32" s="226" t="s">
        <v>257</v>
      </c>
      <c r="J32" s="226">
        <v>1.7</v>
      </c>
      <c r="K32" s="226">
        <v>0.14299999999999999</v>
      </c>
      <c r="L32" s="226">
        <v>243099.99999999997</v>
      </c>
      <c r="M32" s="226">
        <v>7.0944960018677394E-2</v>
      </c>
      <c r="N32" s="226">
        <v>32716.199999999997</v>
      </c>
      <c r="O32" s="226">
        <f>N32*M32</f>
        <v>2321.0495009630531</v>
      </c>
      <c r="P32" s="227" t="s">
        <v>257</v>
      </c>
      <c r="Q32" s="225">
        <f>$O32*'RAIL EMIS FACTOR'!C$7</f>
        <v>1271.8858381079335</v>
      </c>
      <c r="R32" s="226">
        <f>$O32*'RAIL EMIS FACTOR'!D$7</f>
        <v>125.02047461840684</v>
      </c>
      <c r="S32" s="226">
        <f>$O32*'RAIL EMIS FACTOR'!E$7</f>
        <v>28.97967732397824</v>
      </c>
      <c r="T32" s="226">
        <f>$O32*'RAIL EMIS FACTOR'!F$7</f>
        <v>28.110287004258893</v>
      </c>
      <c r="U32" s="226">
        <f>$O32*'RAIL EMIS FACTOR'!G$7</f>
        <v>6.7765082270804964</v>
      </c>
      <c r="V32" s="226">
        <f>$O32*'RAIL EMIS FACTOR'!H$7</f>
        <v>66.117133814656341</v>
      </c>
      <c r="W32" s="226">
        <f>$O32*'RAIL EMIS FACTOR'!I$7</f>
        <v>0.44703819936597272</v>
      </c>
      <c r="X32" s="227">
        <f>$O32*'RAIL EMIS FACTOR'!J$7</f>
        <v>54830.622818349191</v>
      </c>
    </row>
    <row r="33" spans="1:28" x14ac:dyDescent="0.25">
      <c r="A33" s="225">
        <v>34005</v>
      </c>
      <c r="B33" s="226">
        <v>4</v>
      </c>
      <c r="C33" s="226" t="s">
        <v>787</v>
      </c>
      <c r="D33" s="226" t="s">
        <v>788</v>
      </c>
      <c r="E33" s="226">
        <v>28.1</v>
      </c>
      <c r="F33" s="226" t="s">
        <v>789</v>
      </c>
      <c r="G33" s="226">
        <v>26.8</v>
      </c>
      <c r="H33" s="226" t="s">
        <v>36</v>
      </c>
      <c r="I33" s="226" t="s">
        <v>257</v>
      </c>
      <c r="J33" s="226">
        <v>1.3</v>
      </c>
      <c r="K33" s="226">
        <v>0.29899999999999999</v>
      </c>
      <c r="L33" s="226">
        <v>388700</v>
      </c>
      <c r="M33" s="226">
        <v>0.11343605906729703</v>
      </c>
      <c r="N33" s="226">
        <v>32716.199999999997</v>
      </c>
      <c r="O33" s="226">
        <f>N33*M33</f>
        <v>3711.1967956575031</v>
      </c>
      <c r="P33" s="227" t="s">
        <v>257</v>
      </c>
      <c r="Q33" s="225">
        <f>$O33*'RAIL EMIS FACTOR'!C$7</f>
        <v>2033.6570352634878</v>
      </c>
      <c r="R33" s="226">
        <f>$O33*'RAIL EMIS FACTOR'!D$7</f>
        <v>199.89904765189121</v>
      </c>
      <c r="S33" s="226">
        <f>$O33*'RAIL EMIS FACTOR'!E$7</f>
        <v>46.336489411066822</v>
      </c>
      <c r="T33" s="226">
        <f>$O33*'RAIL EMIS FACTOR'!F$7</f>
        <v>44.946394728734823</v>
      </c>
      <c r="U33" s="226">
        <f>$O33*'RAIL EMIS FACTOR'!G$7</f>
        <v>10.835165560946894</v>
      </c>
      <c r="V33" s="226">
        <f>$O33*'RAIL EMIS FACTOR'!H$7</f>
        <v>105.71670059134894</v>
      </c>
      <c r="W33" s="226">
        <f>$O33*'RAIL EMIS FACTOR'!I$7</f>
        <v>0.71478300326430955</v>
      </c>
      <c r="X33" s="227">
        <f>$O33*'RAIL EMIS FACTOR'!J$7</f>
        <v>87670.354132012901</v>
      </c>
    </row>
    <row r="34" spans="1:28" x14ac:dyDescent="0.25">
      <c r="A34" s="225">
        <v>34005</v>
      </c>
      <c r="B34" s="226">
        <v>5</v>
      </c>
      <c r="C34" s="226" t="s">
        <v>790</v>
      </c>
      <c r="D34" s="226" t="s">
        <v>791</v>
      </c>
      <c r="E34" s="226">
        <v>26.8</v>
      </c>
      <c r="F34" s="226" t="s">
        <v>792</v>
      </c>
      <c r="G34" s="226">
        <v>25.6</v>
      </c>
      <c r="H34" s="226" t="s">
        <v>36</v>
      </c>
      <c r="I34" s="226" t="s">
        <v>257</v>
      </c>
      <c r="J34" s="226">
        <v>1.2</v>
      </c>
      <c r="K34" s="226">
        <v>0.29899999999999999</v>
      </c>
      <c r="L34" s="226">
        <v>358799.99999999994</v>
      </c>
      <c r="M34" s="226">
        <v>0.10471020836981262</v>
      </c>
      <c r="N34" s="226">
        <v>32716.199999999997</v>
      </c>
      <c r="O34" s="226">
        <f>N34*M34</f>
        <v>3425.7201190684636</v>
      </c>
      <c r="P34" s="227" t="s">
        <v>257</v>
      </c>
      <c r="Q34" s="225">
        <f>$O34*'RAIL EMIS FACTOR'!C$7</f>
        <v>1877.2218787047575</v>
      </c>
      <c r="R34" s="226">
        <f>$O34*'RAIL EMIS FACTOR'!D$7</f>
        <v>184.52219783251493</v>
      </c>
      <c r="S34" s="226">
        <f>$O34*'RAIL EMIS FACTOR'!E$7</f>
        <v>42.772144071753985</v>
      </c>
      <c r="T34" s="226">
        <f>$O34*'RAIL EMIS FACTOR'!F$7</f>
        <v>41.488979749601363</v>
      </c>
      <c r="U34" s="226">
        <f>$O34*'RAIL EMIS FACTOR'!G$7</f>
        <v>10.001691287027899</v>
      </c>
      <c r="V34" s="226">
        <f>$O34*'RAIL EMIS FACTOR'!H$7</f>
        <v>97.584646699706695</v>
      </c>
      <c r="W34" s="226">
        <f>$O34*'RAIL EMIS FACTOR'!I$7</f>
        <v>0.65979969532090099</v>
      </c>
      <c r="X34" s="227">
        <f>$O34*'RAIL EMIS FACTOR'!J$7</f>
        <v>80926.480737242659</v>
      </c>
    </row>
    <row r="35" spans="1:28" x14ac:dyDescent="0.25">
      <c r="A35" s="225">
        <v>34005</v>
      </c>
      <c r="B35" s="226">
        <v>6</v>
      </c>
      <c r="C35" s="226" t="s">
        <v>790</v>
      </c>
      <c r="D35" s="226" t="s">
        <v>792</v>
      </c>
      <c r="E35" s="226">
        <v>25.6</v>
      </c>
      <c r="F35" s="226" t="s">
        <v>257</v>
      </c>
      <c r="G35" s="226">
        <v>19.600000000000001</v>
      </c>
      <c r="H35" s="226" t="s">
        <v>36</v>
      </c>
      <c r="I35" s="226" t="s">
        <v>257</v>
      </c>
      <c r="J35" s="226">
        <v>6</v>
      </c>
      <c r="K35" s="226">
        <v>0.40600000000000003</v>
      </c>
      <c r="L35" s="226">
        <v>2436000</v>
      </c>
      <c r="M35" s="226">
        <v>0.71090877254421292</v>
      </c>
      <c r="N35" s="226">
        <v>32716.199999999997</v>
      </c>
      <c r="O35" s="226">
        <f>N35*M35</f>
        <v>23258.233584310976</v>
      </c>
      <c r="P35" s="227" t="s">
        <v>257</v>
      </c>
      <c r="Q35" s="225">
        <f>$O35*'RAIL EMIS FACTOR'!C$7</f>
        <v>12745.018106256381</v>
      </c>
      <c r="R35" s="226">
        <f>$O35*'RAIL EMIS FACTOR'!D$7</f>
        <v>1252.7761257525262</v>
      </c>
      <c r="S35" s="226">
        <f>$O35*'RAIL EMIS FACTOR'!E$7</f>
        <v>290.39281761090501</v>
      </c>
      <c r="T35" s="226">
        <f>$O35*'RAIL EMIS FACTOR'!F$7</f>
        <v>281.68103308257787</v>
      </c>
      <c r="U35" s="226">
        <f>$O35*'RAIL EMIS FACTOR'!G$7</f>
        <v>67.904459239687753</v>
      </c>
      <c r="V35" s="226">
        <f>$O35*'RAIL EMIS FACTOR'!H$7</f>
        <v>662.53121337927962</v>
      </c>
      <c r="W35" s="226">
        <f>$O35*'RAIL EMIS FACTOR'!I$7</f>
        <v>4.4795765267606322</v>
      </c>
      <c r="X35" s="227">
        <f>$O35*'RAIL EMIS FACTOR'!J$7</f>
        <v>549433.96620937332</v>
      </c>
      <c r="AA35" s="139">
        <f>SUM(O32:O35)</f>
        <v>32716.199999999997</v>
      </c>
      <c r="AB35" s="141" t="s">
        <v>758</v>
      </c>
    </row>
    <row r="36" spans="1:28" x14ac:dyDescent="0.25">
      <c r="A36" s="225">
        <v>34007</v>
      </c>
      <c r="B36" s="226">
        <v>1</v>
      </c>
      <c r="C36" s="226" t="s">
        <v>793</v>
      </c>
      <c r="D36" s="226" t="s">
        <v>794</v>
      </c>
      <c r="E36" s="226">
        <v>7.4</v>
      </c>
      <c r="F36" s="226" t="s">
        <v>795</v>
      </c>
      <c r="G36" s="226">
        <v>8.3000000000000007</v>
      </c>
      <c r="H36" s="107" t="s">
        <v>36</v>
      </c>
      <c r="I36" s="107" t="s">
        <v>258</v>
      </c>
      <c r="J36" s="226">
        <v>0.9</v>
      </c>
      <c r="K36" s="226">
        <v>5.5</v>
      </c>
      <c r="L36" s="226">
        <v>4950000</v>
      </c>
      <c r="M36" s="226">
        <v>2.654013189641306E-2</v>
      </c>
      <c r="N36" s="226">
        <v>166409.37931034481</v>
      </c>
      <c r="O36" s="226">
        <v>8349.1723114015986</v>
      </c>
      <c r="P36" s="227" t="s">
        <v>796</v>
      </c>
      <c r="Q36" s="225">
        <f>$O36*'RAIL EMIS FACTOR'!C$7</f>
        <v>4575.1691286155001</v>
      </c>
      <c r="R36" s="226">
        <f>$O36*'RAIL EMIS FACTOR'!D$7</f>
        <v>449.71789038070341</v>
      </c>
      <c r="S36" s="226">
        <f>$O36*'RAIL EMIS FACTOR'!E$7</f>
        <v>104.24435989250512</v>
      </c>
      <c r="T36" s="226">
        <f>$O36*'RAIL EMIS FACTOR'!F$7</f>
        <v>101.11702909572996</v>
      </c>
      <c r="U36" s="226">
        <f>$O36*'RAIL EMIS FACTOR'!G$7</f>
        <v>24.376143134409713</v>
      </c>
      <c r="V36" s="226">
        <f>$O36*'RAIL EMIS FACTOR'!H$7</f>
        <v>237.83350709475036</v>
      </c>
      <c r="W36" s="226">
        <f>$O36*'RAIL EMIS FACTOR'!I$7</f>
        <v>1.6080652113350253</v>
      </c>
      <c r="X36" s="227">
        <f>$O36*'RAIL EMIS FACTOR'!J$7</f>
        <v>197234.18981883788</v>
      </c>
    </row>
    <row r="37" spans="1:28" x14ac:dyDescent="0.25">
      <c r="A37" s="225">
        <v>34007</v>
      </c>
      <c r="B37" s="226">
        <v>2</v>
      </c>
      <c r="C37" s="226" t="s">
        <v>797</v>
      </c>
      <c r="D37" s="226" t="s">
        <v>795</v>
      </c>
      <c r="E37" s="226">
        <v>4.4000000000000004</v>
      </c>
      <c r="F37" s="226" t="s">
        <v>740</v>
      </c>
      <c r="G37" s="226">
        <v>0.9</v>
      </c>
      <c r="H37" s="226" t="s">
        <v>36</v>
      </c>
      <c r="I37" s="226" t="s">
        <v>258</v>
      </c>
      <c r="J37" s="226">
        <v>3.5</v>
      </c>
      <c r="K37" s="226">
        <v>1.9</v>
      </c>
      <c r="L37" s="226">
        <v>6649999.9999999991</v>
      </c>
      <c r="M37" s="226">
        <v>3.565492466891855E-2</v>
      </c>
      <c r="N37" s="226">
        <v>166409.37931034481</v>
      </c>
      <c r="O37" s="226">
        <v>11216.564822388005</v>
      </c>
      <c r="P37" s="227" t="s">
        <v>796</v>
      </c>
      <c r="Q37" s="225">
        <f>$O37*'RAIL EMIS FACTOR'!C$7</f>
        <v>6146.4393344026412</v>
      </c>
      <c r="R37" s="226">
        <f>$O37*'RAIL EMIS FACTOR'!D$7</f>
        <v>604.16645879427836</v>
      </c>
      <c r="S37" s="226">
        <f>$O37*'RAIL EMIS FACTOR'!E$7</f>
        <v>140.04545318892099</v>
      </c>
      <c r="T37" s="226">
        <f>$O37*'RAIL EMIS FACTOR'!F$7</f>
        <v>135.84408959325336</v>
      </c>
      <c r="U37" s="226">
        <f>$O37*'RAIL EMIS FACTOR'!G$7</f>
        <v>32.747747847237292</v>
      </c>
      <c r="V37" s="226">
        <f>$O37*'RAIL EMIS FACTOR'!H$7</f>
        <v>319.51370145052317</v>
      </c>
      <c r="W37" s="226">
        <f>$O37*'RAIL EMIS FACTOR'!I$7</f>
        <v>2.1603300313894782</v>
      </c>
      <c r="X37" s="227">
        <f>$O37*'RAIL EMIS FACTOR'!J$7</f>
        <v>264971.18430207513</v>
      </c>
    </row>
    <row r="38" spans="1:28" x14ac:dyDescent="0.25">
      <c r="A38" s="225">
        <v>34007</v>
      </c>
      <c r="B38" s="226">
        <v>1</v>
      </c>
      <c r="C38" s="226" t="s">
        <v>361</v>
      </c>
      <c r="D38" s="226" t="s">
        <v>362</v>
      </c>
      <c r="E38" s="226">
        <v>0</v>
      </c>
      <c r="F38" s="226" t="s">
        <v>363</v>
      </c>
      <c r="G38" s="226">
        <v>2.2999999999999998</v>
      </c>
      <c r="H38" s="226" t="s">
        <v>36</v>
      </c>
      <c r="I38" s="226" t="s">
        <v>258</v>
      </c>
      <c r="J38" s="226">
        <v>2.2999999999999998</v>
      </c>
      <c r="K38" s="226">
        <v>8.9</v>
      </c>
      <c r="L38" s="226">
        <v>20470000</v>
      </c>
      <c r="M38" s="226">
        <v>0.10975282826658088</v>
      </c>
      <c r="N38" s="226">
        <v>166409.37931034481</v>
      </c>
      <c r="O38" s="226">
        <v>34526.779235230446</v>
      </c>
      <c r="P38" s="227" t="s">
        <v>798</v>
      </c>
      <c r="Q38" s="225">
        <f>$O38*'RAIL EMIS FACTOR'!C$7</f>
        <v>18919.941830860462</v>
      </c>
      <c r="R38" s="226">
        <f>$O38*'RAIL EMIS FACTOR'!D$7</f>
        <v>1859.7424678975754</v>
      </c>
      <c r="S38" s="226">
        <f>$O38*'RAIL EMIS FACTOR'!E$7</f>
        <v>431.08728222213728</v>
      </c>
      <c r="T38" s="226">
        <f>$O38*'RAIL EMIS FACTOR'!F$7</f>
        <v>418.15466375547317</v>
      </c>
      <c r="U38" s="226">
        <f>$O38*'RAIL EMIS FACTOR'!G$7</f>
        <v>100.80396968916502</v>
      </c>
      <c r="V38" s="226">
        <f>$O38*'RAIL EMIS FACTOR'!H$7</f>
        <v>983.52563438980587</v>
      </c>
      <c r="W38" s="226">
        <f>$O38*'RAIL EMIS FACTOR'!I$7</f>
        <v>6.6499181567733263</v>
      </c>
      <c r="X38" s="227">
        <f>$O38*'RAIL EMIS FACTOR'!J$7</f>
        <v>815633.10415992141</v>
      </c>
    </row>
    <row r="39" spans="1:28" x14ac:dyDescent="0.25">
      <c r="A39" s="225">
        <v>34007</v>
      </c>
      <c r="B39" s="226">
        <v>2</v>
      </c>
      <c r="C39" s="226" t="s">
        <v>361</v>
      </c>
      <c r="D39" s="226" t="s">
        <v>363</v>
      </c>
      <c r="E39" s="226">
        <v>2.2999999999999998</v>
      </c>
      <c r="F39" s="226" t="s">
        <v>261</v>
      </c>
      <c r="G39" s="226">
        <v>4</v>
      </c>
      <c r="H39" s="226" t="s">
        <v>36</v>
      </c>
      <c r="I39" s="226" t="s">
        <v>258</v>
      </c>
      <c r="J39" s="226">
        <v>1.7</v>
      </c>
      <c r="K39" s="226">
        <v>7.8</v>
      </c>
      <c r="L39" s="226">
        <v>13260000</v>
      </c>
      <c r="M39" s="226">
        <v>7.1095383625542866E-2</v>
      </c>
      <c r="N39" s="226">
        <v>166409.37931034481</v>
      </c>
      <c r="O39" s="226">
        <v>22365.661585693979</v>
      </c>
      <c r="P39" s="227" t="s">
        <v>798</v>
      </c>
      <c r="Q39" s="225">
        <f>$O39*'RAIL EMIS FACTOR'!C$7</f>
        <v>12255.907605139704</v>
      </c>
      <c r="R39" s="226">
        <f>$O39*'RAIL EMIS FACTOR'!D$7</f>
        <v>1204.6988336258844</v>
      </c>
      <c r="S39" s="226">
        <f>$O39*'RAIL EMIS FACTOR'!E$7</f>
        <v>279.24852771204399</v>
      </c>
      <c r="T39" s="226">
        <f>$O39*'RAIL EMIS FACTOR'!F$7</f>
        <v>270.87107188068268</v>
      </c>
      <c r="U39" s="226">
        <f>$O39*'RAIL EMIS FACTOR'!G$7</f>
        <v>65.298516760055108</v>
      </c>
      <c r="V39" s="226">
        <f>$O39*'RAIL EMIS FACTOR'!H$7</f>
        <v>637.1055159750282</v>
      </c>
      <c r="W39" s="226">
        <f>$O39*'RAIL EMIS FACTOR'!I$7</f>
        <v>4.3076655964247346</v>
      </c>
      <c r="X39" s="227">
        <f>$O39*'RAIL EMIS FACTOR'!J$7</f>
        <v>528348.55696925055</v>
      </c>
    </row>
    <row r="40" spans="1:28" x14ac:dyDescent="0.25">
      <c r="A40" s="225">
        <v>34007</v>
      </c>
      <c r="B40" s="226" t="s">
        <v>364</v>
      </c>
      <c r="C40" s="226" t="s">
        <v>361</v>
      </c>
      <c r="D40" s="226" t="s">
        <v>261</v>
      </c>
      <c r="E40" s="226">
        <v>4</v>
      </c>
      <c r="F40" s="226" t="s">
        <v>365</v>
      </c>
      <c r="G40" s="226">
        <v>5.6</v>
      </c>
      <c r="H40" s="226" t="s">
        <v>36</v>
      </c>
      <c r="I40" s="226" t="s">
        <v>258</v>
      </c>
      <c r="J40" s="226">
        <v>1.6</v>
      </c>
      <c r="K40" s="226">
        <v>7.7</v>
      </c>
      <c r="L40" s="226">
        <v>12320000</v>
      </c>
      <c r="M40" s="226">
        <v>6.6055439386628056E-2</v>
      </c>
      <c r="N40" s="226">
        <v>166409.37931034481</v>
      </c>
      <c r="O40" s="226">
        <v>20780.1621972662</v>
      </c>
      <c r="P40" s="227" t="s">
        <v>798</v>
      </c>
      <c r="Q40" s="225">
        <f>$O40*'RAIL EMIS FACTOR'!C$7</f>
        <v>11387.087608998578</v>
      </c>
      <c r="R40" s="226">
        <f>$O40*'RAIL EMIS FACTOR'!D$7</f>
        <v>1119.2978605030839</v>
      </c>
      <c r="S40" s="226">
        <f>$O40*'RAIL EMIS FACTOR'!E$7</f>
        <v>259.45262906579046</v>
      </c>
      <c r="T40" s="226">
        <f>$O40*'RAIL EMIS FACTOR'!F$7</f>
        <v>251.66905019381679</v>
      </c>
      <c r="U40" s="226">
        <f>$O40*'RAIL EMIS FACTOR'!G$7</f>
        <v>60.669511801197508</v>
      </c>
      <c r="V40" s="226">
        <f>$O40*'RAIL EMIS FACTOR'!H$7</f>
        <v>591.94117321360079</v>
      </c>
      <c r="W40" s="226">
        <f>$O40*'RAIL EMIS FACTOR'!I$7</f>
        <v>4.0022956371005076</v>
      </c>
      <c r="X40" s="227">
        <f>$O40*'RAIL EMIS FACTOR'!J$7</f>
        <v>490893.98354910762</v>
      </c>
    </row>
    <row r="41" spans="1:28" x14ac:dyDescent="0.25">
      <c r="A41" s="259">
        <v>34015</v>
      </c>
      <c r="B41" s="226" t="s">
        <v>366</v>
      </c>
      <c r="C41" s="226" t="s">
        <v>361</v>
      </c>
      <c r="D41" s="226" t="s">
        <v>365</v>
      </c>
      <c r="E41" s="226">
        <v>5.6</v>
      </c>
      <c r="F41" s="226" t="s">
        <v>367</v>
      </c>
      <c r="G41" s="226">
        <v>8.8000000000000007</v>
      </c>
      <c r="H41" s="226" t="s">
        <v>36</v>
      </c>
      <c r="I41" s="226" t="s">
        <v>261</v>
      </c>
      <c r="J41" s="226">
        <v>3.2</v>
      </c>
      <c r="K41" s="226">
        <v>7.7</v>
      </c>
      <c r="L41" s="226">
        <v>24640000</v>
      </c>
      <c r="M41" s="226">
        <v>0.13211087877325611</v>
      </c>
      <c r="N41" s="226">
        <v>166409.37931034481</v>
      </c>
      <c r="O41" s="226">
        <v>41560.324394532399</v>
      </c>
      <c r="P41" s="227" t="s">
        <v>798</v>
      </c>
      <c r="Q41" s="225">
        <f>$O41*'RAIL EMIS FACTOR'!C$7</f>
        <v>22774.175217997155</v>
      </c>
      <c r="R41" s="226">
        <f>$O41*'RAIL EMIS FACTOR'!D$7</f>
        <v>2238.5957210061679</v>
      </c>
      <c r="S41" s="226">
        <f>$O41*'RAIL EMIS FACTOR'!E$7</f>
        <v>518.90525813158092</v>
      </c>
      <c r="T41" s="226">
        <f>$O41*'RAIL EMIS FACTOR'!F$7</f>
        <v>503.33810038763357</v>
      </c>
      <c r="U41" s="226">
        <f>$O41*'RAIL EMIS FACTOR'!G$7</f>
        <v>121.33902360239502</v>
      </c>
      <c r="V41" s="226">
        <f>$O41*'RAIL EMIS FACTOR'!H$7</f>
        <v>1183.8823464272016</v>
      </c>
      <c r="W41" s="226">
        <f>$O41*'RAIL EMIS FACTOR'!I$7</f>
        <v>8.0045912742010152</v>
      </c>
      <c r="X41" s="227">
        <f>$O41*'RAIL EMIS FACTOR'!J$7</f>
        <v>981787.96709821525</v>
      </c>
    </row>
    <row r="42" spans="1:28" x14ac:dyDescent="0.25">
      <c r="A42" s="259">
        <v>34015</v>
      </c>
      <c r="B42" s="226">
        <v>5</v>
      </c>
      <c r="C42" s="226" t="s">
        <v>371</v>
      </c>
      <c r="D42" s="226" t="s">
        <v>367</v>
      </c>
      <c r="E42" s="226">
        <v>8.8000000000000007</v>
      </c>
      <c r="F42" s="226" t="s">
        <v>372</v>
      </c>
      <c r="G42" s="226">
        <v>14.3</v>
      </c>
      <c r="H42" s="226" t="s">
        <v>36</v>
      </c>
      <c r="I42" s="226" t="s">
        <v>261</v>
      </c>
      <c r="J42" s="226">
        <v>5.5</v>
      </c>
      <c r="K42" s="226">
        <v>5.2</v>
      </c>
      <c r="L42" s="226">
        <v>28600000</v>
      </c>
      <c r="M42" s="226">
        <v>0.15334298429038656</v>
      </c>
      <c r="N42" s="226">
        <v>166409.37931034481</v>
      </c>
      <c r="O42" s="226">
        <v>48239.662243653678</v>
      </c>
      <c r="P42" s="227" t="s">
        <v>798</v>
      </c>
      <c r="Q42" s="225">
        <f>$O42*'RAIL EMIS FACTOR'!C$7</f>
        <v>26434.310520889558</v>
      </c>
      <c r="R42" s="226">
        <f>$O42*'RAIL EMIS FACTOR'!D$7</f>
        <v>2598.3700333107308</v>
      </c>
      <c r="S42" s="226">
        <f>$O42*'RAIL EMIS FACTOR'!E$7</f>
        <v>602.30074604558502</v>
      </c>
      <c r="T42" s="226">
        <f>$O42*'RAIL EMIS FACTOR'!F$7</f>
        <v>584.2317236642175</v>
      </c>
      <c r="U42" s="226">
        <f>$O42*'RAIL EMIS FACTOR'!G$7</f>
        <v>140.83993810992277</v>
      </c>
      <c r="V42" s="226">
        <f>$O42*'RAIL EMIS FACTOR'!H$7</f>
        <v>1374.1491521030021</v>
      </c>
      <c r="W42" s="226">
        <f>$O42*'RAIL EMIS FACTOR'!I$7</f>
        <v>9.2910434432690359</v>
      </c>
      <c r="X42" s="227">
        <f>$O42*'RAIL EMIS FACTOR'!J$7</f>
        <v>1139575.3189532855</v>
      </c>
    </row>
    <row r="43" spans="1:28" x14ac:dyDescent="0.25">
      <c r="A43" s="259">
        <v>34015</v>
      </c>
      <c r="B43" s="226">
        <v>6</v>
      </c>
      <c r="C43" s="226" t="s">
        <v>371</v>
      </c>
      <c r="D43" s="226" t="s">
        <v>372</v>
      </c>
      <c r="E43" s="226">
        <v>14.3</v>
      </c>
      <c r="F43" s="226" t="s">
        <v>373</v>
      </c>
      <c r="G43" s="226">
        <v>17.2</v>
      </c>
      <c r="H43" s="226" t="s">
        <v>36</v>
      </c>
      <c r="I43" s="226" t="s">
        <v>261</v>
      </c>
      <c r="J43" s="226">
        <v>2.9</v>
      </c>
      <c r="K43" s="226">
        <v>2.8</v>
      </c>
      <c r="L43" s="226">
        <v>8119999.9999999991</v>
      </c>
      <c r="M43" s="226">
        <v>4.3536539595732129E-2</v>
      </c>
      <c r="N43" s="226">
        <v>166409.37931034481</v>
      </c>
      <c r="O43" s="226">
        <v>13696.015993652722</v>
      </c>
      <c r="P43" s="227" t="s">
        <v>798</v>
      </c>
      <c r="Q43" s="225">
        <f>$O43*'RAIL EMIS FACTOR'!C$7</f>
        <v>7505.1259241126991</v>
      </c>
      <c r="R43" s="226">
        <f>$O43*'RAIL EMIS FACTOR'!D$7</f>
        <v>737.71904442248717</v>
      </c>
      <c r="S43" s="226">
        <f>$O43*'RAIL EMIS FACTOR'!E$7</f>
        <v>171.00286915699826</v>
      </c>
      <c r="T43" s="226">
        <f>$O43*'RAIL EMIS FACTOR'!F$7</f>
        <v>165.87278308228832</v>
      </c>
      <c r="U43" s="226">
        <f>$O43*'RAIL EMIS FACTOR'!G$7</f>
        <v>39.986723687152896</v>
      </c>
      <c r="V43" s="226">
        <f>$O43*'RAIL EMIS FACTOR'!H$7</f>
        <v>390.14304598169144</v>
      </c>
      <c r="W43" s="226">
        <f>$O43*'RAIL EMIS FACTOR'!I$7</f>
        <v>2.6378766699071523</v>
      </c>
      <c r="X43" s="227">
        <f>$O43*'RAIL EMIS FACTOR'!J$7</f>
        <v>323543.7618846391</v>
      </c>
    </row>
    <row r="44" spans="1:28" x14ac:dyDescent="0.25">
      <c r="A44" s="259">
        <v>34015</v>
      </c>
      <c r="B44" s="226" t="s">
        <v>374</v>
      </c>
      <c r="C44" s="226" t="s">
        <v>371</v>
      </c>
      <c r="D44" s="226" t="s">
        <v>373</v>
      </c>
      <c r="E44" s="226">
        <v>17.2</v>
      </c>
      <c r="F44" s="226" t="s">
        <v>365</v>
      </c>
      <c r="G44" s="226">
        <v>23.8</v>
      </c>
      <c r="H44" s="226" t="s">
        <v>36</v>
      </c>
      <c r="I44" s="226" t="s">
        <v>261</v>
      </c>
      <c r="J44" s="226">
        <v>6.6</v>
      </c>
      <c r="K44" s="226">
        <v>2.8</v>
      </c>
      <c r="L44" s="226">
        <v>18479999.999999996</v>
      </c>
      <c r="M44" s="226">
        <v>9.9083159079942071E-2</v>
      </c>
      <c r="N44" s="226">
        <v>166409.37931034481</v>
      </c>
      <c r="O44" s="226">
        <v>31170.243295899294</v>
      </c>
      <c r="P44" s="227" t="s">
        <v>798</v>
      </c>
      <c r="Q44" s="225">
        <f>$O44*'RAIL EMIS FACTOR'!C$7</f>
        <v>17080.631413497864</v>
      </c>
      <c r="R44" s="226">
        <f>$O44*'RAIL EMIS FACTOR'!D$7</f>
        <v>1678.9467907546257</v>
      </c>
      <c r="S44" s="226">
        <f>$O44*'RAIL EMIS FACTOR'!E$7</f>
        <v>389.17894359868563</v>
      </c>
      <c r="T44" s="226">
        <f>$O44*'RAIL EMIS FACTOR'!F$7</f>
        <v>377.50357529072511</v>
      </c>
      <c r="U44" s="226">
        <f>$O44*'RAIL EMIS FACTOR'!G$7</f>
        <v>91.004267701796238</v>
      </c>
      <c r="V44" s="226">
        <f>$O44*'RAIL EMIS FACTOR'!H$7</f>
        <v>887.91175982040113</v>
      </c>
      <c r="W44" s="226">
        <f>$O44*'RAIL EMIS FACTOR'!I$7</f>
        <v>6.0034434556507597</v>
      </c>
      <c r="X44" s="227">
        <f>$O44*'RAIL EMIS FACTOR'!J$7</f>
        <v>736340.97532366123</v>
      </c>
    </row>
    <row r="45" spans="1:28" x14ac:dyDescent="0.25">
      <c r="A45" s="142">
        <v>34033</v>
      </c>
      <c r="B45" s="226" t="s">
        <v>375</v>
      </c>
      <c r="C45" s="226" t="s">
        <v>371</v>
      </c>
      <c r="D45" s="226" t="s">
        <v>365</v>
      </c>
      <c r="E45" s="226">
        <v>23.8</v>
      </c>
      <c r="F45" s="226" t="s">
        <v>376</v>
      </c>
      <c r="G45" s="226">
        <v>26</v>
      </c>
      <c r="H45" s="226" t="s">
        <v>36</v>
      </c>
      <c r="I45" s="226" t="s">
        <v>264</v>
      </c>
      <c r="J45" s="226">
        <v>2.2000000000000002</v>
      </c>
      <c r="K45" s="226">
        <v>2.2000000000000002</v>
      </c>
      <c r="L45" s="226">
        <v>4840000.0000000009</v>
      </c>
      <c r="M45" s="226">
        <v>2.5950351187603887E-2</v>
      </c>
      <c r="N45" s="226">
        <v>166409.37931034481</v>
      </c>
      <c r="O45" s="226">
        <v>8163.6351489260087</v>
      </c>
      <c r="P45" s="227" t="s">
        <v>798</v>
      </c>
      <c r="Q45" s="225">
        <f>$O45*'RAIL EMIS FACTOR'!C$7</f>
        <v>4473.4987035351569</v>
      </c>
      <c r="R45" s="226">
        <f>$O45*'RAIL EMIS FACTOR'!D$7</f>
        <v>439.72415948335453</v>
      </c>
      <c r="S45" s="226">
        <f>$O45*'RAIL EMIS FACTOR'!E$7</f>
        <v>101.92781856156057</v>
      </c>
      <c r="T45" s="226">
        <f>$O45*'RAIL EMIS FACTOR'!F$7</f>
        <v>98.869984004713757</v>
      </c>
      <c r="U45" s="226">
        <f>$O45*'RAIL EMIS FACTOR'!G$7</f>
        <v>23.834451064756166</v>
      </c>
      <c r="V45" s="226">
        <f>$O45*'RAIL EMIS FACTOR'!H$7</f>
        <v>232.54831804820037</v>
      </c>
      <c r="W45" s="226">
        <f>$O45*'RAIL EMIS FACTOR'!I$7</f>
        <v>1.5723304288609139</v>
      </c>
      <c r="X45" s="227">
        <f>$O45*'RAIL EMIS FACTOR'!J$7</f>
        <v>192851.20782286374</v>
      </c>
    </row>
    <row r="46" spans="1:28" x14ac:dyDescent="0.25">
      <c r="A46" s="142">
        <v>34033</v>
      </c>
      <c r="B46" s="226">
        <v>8</v>
      </c>
      <c r="C46" s="226" t="s">
        <v>371</v>
      </c>
      <c r="D46" s="226" t="s">
        <v>376</v>
      </c>
      <c r="E46" s="226">
        <v>26</v>
      </c>
      <c r="F46" s="226" t="s">
        <v>377</v>
      </c>
      <c r="G46" s="226">
        <v>30</v>
      </c>
      <c r="H46" s="226" t="s">
        <v>36</v>
      </c>
      <c r="I46" s="226" t="s">
        <v>264</v>
      </c>
      <c r="J46" s="226">
        <v>4</v>
      </c>
      <c r="K46" s="226">
        <v>0.6</v>
      </c>
      <c r="L46" s="226">
        <v>2400000</v>
      </c>
      <c r="M46" s="226">
        <v>1.2867942737654818E-2</v>
      </c>
      <c r="N46" s="226">
        <v>166409.37931034481</v>
      </c>
      <c r="O46" s="226">
        <v>4048.0835449219871</v>
      </c>
      <c r="P46" s="227" t="s">
        <v>798</v>
      </c>
      <c r="Q46" s="225">
        <f>$O46*'RAIL EMIS FACTOR'!C$7</f>
        <v>2218.263819934788</v>
      </c>
      <c r="R46" s="226">
        <f>$O46*'RAIL EMIS FACTOR'!D$7</f>
        <v>218.04503776034105</v>
      </c>
      <c r="S46" s="226">
        <f>$O46*'RAIL EMIS FACTOR'!E$7</f>
        <v>50.542719947881267</v>
      </c>
      <c r="T46" s="226">
        <f>$O46*'RAIL EMIS FACTOR'!F$7</f>
        <v>49.026438349444831</v>
      </c>
      <c r="U46" s="226">
        <f>$O46*'RAIL EMIS FACTOR'!G$7</f>
        <v>11.818736065168347</v>
      </c>
      <c r="V46" s="226">
        <f>$O46*'RAIL EMIS FACTOR'!H$7</f>
        <v>115.31321556109108</v>
      </c>
      <c r="W46" s="226">
        <f>$O46*'RAIL EMIS FACTOR'!I$7</f>
        <v>0.77966798125334569</v>
      </c>
      <c r="X46" s="227">
        <f>$O46*'RAIL EMIS FACTOR'!J$7</f>
        <v>95628.698093982006</v>
      </c>
    </row>
    <row r="47" spans="1:28" x14ac:dyDescent="0.25">
      <c r="A47" s="142">
        <v>34033</v>
      </c>
      <c r="B47" s="226">
        <v>9</v>
      </c>
      <c r="C47" s="226" t="s">
        <v>378</v>
      </c>
      <c r="D47" s="226" t="s">
        <v>377</v>
      </c>
      <c r="E47" s="226">
        <v>30</v>
      </c>
      <c r="F47" s="226" t="s">
        <v>379</v>
      </c>
      <c r="G47" s="226">
        <v>32</v>
      </c>
      <c r="H47" s="226" t="s">
        <v>36</v>
      </c>
      <c r="I47" s="226" t="s">
        <v>264</v>
      </c>
      <c r="J47" s="226">
        <v>2</v>
      </c>
      <c r="K47" s="226">
        <v>0.6</v>
      </c>
      <c r="L47" s="226">
        <v>1200000</v>
      </c>
      <c r="M47" s="226">
        <v>6.4339713688274089E-3</v>
      </c>
      <c r="N47" s="226">
        <v>166409.37931034481</v>
      </c>
      <c r="O47" s="226">
        <v>2024.0417724609936</v>
      </c>
      <c r="P47" s="227" t="s">
        <v>798</v>
      </c>
      <c r="Q47" s="225">
        <f>$O47*'RAIL EMIS FACTOR'!C$7</f>
        <v>1109.131909967394</v>
      </c>
      <c r="R47" s="226">
        <f>$O47*'RAIL EMIS FACTOR'!D$7</f>
        <v>109.02251888017052</v>
      </c>
      <c r="S47" s="226">
        <f>$O47*'RAIL EMIS FACTOR'!E$7</f>
        <v>25.271359973940633</v>
      </c>
      <c r="T47" s="226">
        <f>$O47*'RAIL EMIS FACTOR'!F$7</f>
        <v>24.513219174722416</v>
      </c>
      <c r="U47" s="226">
        <f>$O47*'RAIL EMIS FACTOR'!G$7</f>
        <v>5.9093680325841733</v>
      </c>
      <c r="V47" s="226">
        <f>$O47*'RAIL EMIS FACTOR'!H$7</f>
        <v>57.656607780545542</v>
      </c>
      <c r="W47" s="226">
        <f>$O47*'RAIL EMIS FACTOR'!I$7</f>
        <v>0.38983399062667284</v>
      </c>
      <c r="X47" s="227">
        <f>$O47*'RAIL EMIS FACTOR'!J$7</f>
        <v>47814.349046991003</v>
      </c>
    </row>
    <row r="48" spans="1:28" x14ac:dyDescent="0.25">
      <c r="A48" s="142">
        <v>34007</v>
      </c>
      <c r="B48" s="226">
        <v>10</v>
      </c>
      <c r="C48" s="226" t="s">
        <v>380</v>
      </c>
      <c r="D48" s="226" t="s">
        <v>363</v>
      </c>
      <c r="E48" s="226">
        <v>2.2999999999999998</v>
      </c>
      <c r="F48" s="226" t="s">
        <v>381</v>
      </c>
      <c r="G48" s="226">
        <v>7.6</v>
      </c>
      <c r="H48" s="226" t="s">
        <v>36</v>
      </c>
      <c r="I48" s="226" t="s">
        <v>258</v>
      </c>
      <c r="J48" s="226">
        <v>5.3</v>
      </c>
      <c r="K48" s="226">
        <v>0.7</v>
      </c>
      <c r="L48" s="226">
        <v>3709999.9999999995</v>
      </c>
      <c r="M48" s="226">
        <v>1.9891694815291402E-2</v>
      </c>
      <c r="N48" s="226">
        <v>166409.37931034481</v>
      </c>
      <c r="O48" s="226">
        <v>6257.6624798585708</v>
      </c>
      <c r="P48" s="227" t="s">
        <v>799</v>
      </c>
      <c r="Q48" s="225">
        <f>$O48*'RAIL EMIS FACTOR'!C$7</f>
        <v>3429.0661549825259</v>
      </c>
      <c r="R48" s="226">
        <f>$O48*'RAIL EMIS FACTOR'!D$7</f>
        <v>337.06128753786049</v>
      </c>
      <c r="S48" s="226">
        <f>$O48*'RAIL EMIS FACTOR'!E$7</f>
        <v>78.130621252766446</v>
      </c>
      <c r="T48" s="226">
        <f>$O48*'RAIL EMIS FACTOR'!F$7</f>
        <v>75.786702615183458</v>
      </c>
      <c r="U48" s="226">
        <f>$O48*'RAIL EMIS FACTOR'!G$7</f>
        <v>18.269796167406064</v>
      </c>
      <c r="V48" s="226">
        <f>$O48*'RAIL EMIS FACTOR'!H$7</f>
        <v>178.2550123881866</v>
      </c>
      <c r="W48" s="226">
        <f>$O48*'RAIL EMIS FACTOR'!I$7</f>
        <v>1.20523675435413</v>
      </c>
      <c r="X48" s="227">
        <f>$O48*'RAIL EMIS FACTOR'!J$7</f>
        <v>147826.02913694715</v>
      </c>
    </row>
    <row r="49" spans="1:28" x14ac:dyDescent="0.25">
      <c r="A49" s="142">
        <v>34007</v>
      </c>
      <c r="B49" s="226">
        <v>11</v>
      </c>
      <c r="C49" s="226" t="s">
        <v>380</v>
      </c>
      <c r="D49" s="226" t="s">
        <v>381</v>
      </c>
      <c r="E49" s="226">
        <v>7.6</v>
      </c>
      <c r="F49" s="226" t="s">
        <v>382</v>
      </c>
      <c r="G49" s="226">
        <v>25.9</v>
      </c>
      <c r="H49" s="226" t="s">
        <v>36</v>
      </c>
      <c r="I49" s="226" t="s">
        <v>258</v>
      </c>
      <c r="J49" s="226">
        <v>18.3</v>
      </c>
      <c r="K49" s="226">
        <v>0.5</v>
      </c>
      <c r="L49" s="226">
        <v>9150000</v>
      </c>
      <c r="M49" s="226">
        <v>4.905903168730899E-2</v>
      </c>
      <c r="N49" s="226">
        <v>166409.37931034481</v>
      </c>
      <c r="O49" s="226">
        <v>15433.318515015077</v>
      </c>
      <c r="P49" s="227" t="s">
        <v>799</v>
      </c>
      <c r="Q49" s="225">
        <f>$O49*'RAIL EMIS FACTOR'!C$7</f>
        <v>8457.1308135013805</v>
      </c>
      <c r="R49" s="226">
        <f>$O49*'RAIL EMIS FACTOR'!D$7</f>
        <v>831.29670646130035</v>
      </c>
      <c r="S49" s="226">
        <f>$O49*'RAIL EMIS FACTOR'!E$7</f>
        <v>192.69411980129732</v>
      </c>
      <c r="T49" s="226">
        <f>$O49*'RAIL EMIS FACTOR'!F$7</f>
        <v>186.91329620725841</v>
      </c>
      <c r="U49" s="226">
        <f>$O49*'RAIL EMIS FACTOR'!G$7</f>
        <v>45.058931248454321</v>
      </c>
      <c r="V49" s="226">
        <f>$O49*'RAIL EMIS FACTOR'!H$7</f>
        <v>439.63163432665976</v>
      </c>
      <c r="W49" s="226">
        <f>$O49*'RAIL EMIS FACTOR'!I$7</f>
        <v>2.9724841785283802</v>
      </c>
      <c r="X49" s="227">
        <f>$O49*'RAIL EMIS FACTOR'!J$7</f>
        <v>364584.41148330644</v>
      </c>
      <c r="AA49">
        <f>SUM(O36:O49)</f>
        <v>267831.32754090097</v>
      </c>
      <c r="AB49" s="141" t="s">
        <v>758</v>
      </c>
    </row>
    <row r="50" spans="1:28" x14ac:dyDescent="0.25">
      <c r="A50" s="142">
        <v>34007</v>
      </c>
      <c r="B50" s="226">
        <v>1</v>
      </c>
      <c r="C50" s="226" t="s">
        <v>361</v>
      </c>
      <c r="D50" s="226" t="s">
        <v>362</v>
      </c>
      <c r="E50" s="226">
        <v>0</v>
      </c>
      <c r="F50" s="226" t="s">
        <v>363</v>
      </c>
      <c r="G50" s="226">
        <v>2.2999999999999998</v>
      </c>
      <c r="H50" s="226" t="s">
        <v>36</v>
      </c>
      <c r="I50" s="226" t="s">
        <v>258</v>
      </c>
      <c r="J50" s="226">
        <v>2.2999999999999998</v>
      </c>
      <c r="K50" s="226">
        <v>8.9</v>
      </c>
      <c r="L50" s="226">
        <v>20470000</v>
      </c>
      <c r="M50" s="226">
        <v>0.18467645533076213</v>
      </c>
      <c r="N50" s="226">
        <v>49539</v>
      </c>
      <c r="O50" s="226">
        <v>11723.577110626884</v>
      </c>
      <c r="P50" s="227" t="s">
        <v>390</v>
      </c>
      <c r="Q50" s="225">
        <f>$O50*'RAIL EMIS FACTOR'!C$7</f>
        <v>6424.2713017476553</v>
      </c>
      <c r="R50" s="226">
        <f>$O50*'RAIL EMIS FACTOR'!D$7</f>
        <v>631.47605166883295</v>
      </c>
      <c r="S50" s="226">
        <f>$O50*'RAIL EMIS FACTOR'!E$7</f>
        <v>146.37580181197194</v>
      </c>
      <c r="T50" s="226">
        <f>$O50*'RAIL EMIS FACTOR'!F$7</f>
        <v>141.9845277576128</v>
      </c>
      <c r="U50" s="226">
        <f>$O50*'RAIL EMIS FACTOR'!G$7</f>
        <v>34.228014830365439</v>
      </c>
      <c r="V50" s="226">
        <f>$O50*'RAIL EMIS FACTOR'!H$7</f>
        <v>333.95639183401391</v>
      </c>
      <c r="W50" s="226">
        <f>$O50*'RAIL EMIS FACTOR'!I$7</f>
        <v>2.2579814861717598</v>
      </c>
      <c r="X50" s="227">
        <f>$O50*'RAIL EMIS FACTOR'!J$7</f>
        <v>276948.43835424393</v>
      </c>
    </row>
    <row r="51" spans="1:28" x14ac:dyDescent="0.25">
      <c r="A51" s="142">
        <v>34007</v>
      </c>
      <c r="B51" s="226">
        <v>2</v>
      </c>
      <c r="C51" s="226" t="s">
        <v>361</v>
      </c>
      <c r="D51" s="226" t="s">
        <v>363</v>
      </c>
      <c r="E51" s="226">
        <v>2.2999999999999998</v>
      </c>
      <c r="F51" s="226" t="s">
        <v>261</v>
      </c>
      <c r="G51" s="226">
        <v>4</v>
      </c>
      <c r="H51" s="226" t="s">
        <v>36</v>
      </c>
      <c r="I51" s="226" t="s">
        <v>258</v>
      </c>
      <c r="J51" s="226">
        <v>1.7</v>
      </c>
      <c r="K51" s="226">
        <v>7.8</v>
      </c>
      <c r="L51" s="226">
        <v>13260000</v>
      </c>
      <c r="M51" s="226">
        <v>0.11962920359970228</v>
      </c>
      <c r="N51" s="226">
        <v>49539</v>
      </c>
      <c r="O51" s="226">
        <v>7594.266364773448</v>
      </c>
      <c r="P51" s="227" t="s">
        <v>390</v>
      </c>
      <c r="Q51" s="225">
        <f>$O51*'RAIL EMIS FACTOR'!C$7</f>
        <v>4161.4967005947192</v>
      </c>
      <c r="R51" s="226">
        <f>$O51*'RAIL EMIS FACTOR'!D$7</f>
        <v>409.0558107048717</v>
      </c>
      <c r="S51" s="226">
        <f>$O51*'RAIL EMIS FACTOR'!E$7</f>
        <v>94.818912165449333</v>
      </c>
      <c r="T51" s="226">
        <f>$O51*'RAIL EMIS FACTOR'!F$7</f>
        <v>91.974344800485866</v>
      </c>
      <c r="U51" s="226">
        <f>$O51*'RAIL EMIS FACTOR'!G$7</f>
        <v>22.172128805600668</v>
      </c>
      <c r="V51" s="226">
        <f>$O51*'RAIL EMIS FACTOR'!H$7</f>
        <v>216.3293481054726</v>
      </c>
      <c r="W51" s="226">
        <f>$O51*'RAIL EMIS FACTOR'!I$7</f>
        <v>1.462669003743895</v>
      </c>
      <c r="X51" s="227">
        <f>$O51*'RAIL EMIS FACTOR'!J$7</f>
        <v>179400.89362859182</v>
      </c>
    </row>
    <row r="52" spans="1:28" x14ac:dyDescent="0.25">
      <c r="A52" s="142">
        <v>34007</v>
      </c>
      <c r="B52" s="226" t="s">
        <v>364</v>
      </c>
      <c r="C52" s="226" t="s">
        <v>361</v>
      </c>
      <c r="D52" s="226" t="s">
        <v>261</v>
      </c>
      <c r="E52" s="226">
        <v>4</v>
      </c>
      <c r="F52" s="226" t="s">
        <v>365</v>
      </c>
      <c r="G52" s="226">
        <v>5.6</v>
      </c>
      <c r="H52" s="226" t="s">
        <v>36</v>
      </c>
      <c r="I52" s="226" t="s">
        <v>258</v>
      </c>
      <c r="J52" s="226">
        <v>1.6</v>
      </c>
      <c r="K52" s="226">
        <v>7.7</v>
      </c>
      <c r="L52" s="226">
        <v>12320000</v>
      </c>
      <c r="M52" s="226">
        <v>0.11114870198705371</v>
      </c>
      <c r="N52" s="226">
        <v>49539</v>
      </c>
      <c r="O52" s="226">
        <v>7055.9096239825703</v>
      </c>
      <c r="P52" s="227" t="s">
        <v>390</v>
      </c>
      <c r="Q52" s="225">
        <f>$O52*'RAIL EMIS FACTOR'!C$7</f>
        <v>3866.488638863269</v>
      </c>
      <c r="R52" s="226">
        <f>$O52*'RAIL EMIS FACTOR'!D$7</f>
        <v>380.05788747239967</v>
      </c>
      <c r="S52" s="226">
        <f>$O52*'RAIL EMIS FACTOR'!E$7</f>
        <v>88.097209493087178</v>
      </c>
      <c r="T52" s="226">
        <f>$O52*'RAIL EMIS FACTOR'!F$7</f>
        <v>85.454293208294558</v>
      </c>
      <c r="U52" s="226">
        <f>$O52*'RAIL EMIS FACTOR'!G$7</f>
        <v>20.60034893552038</v>
      </c>
      <c r="V52" s="226">
        <f>$O52*'RAIL EMIS FACTOR'!H$7</f>
        <v>200.99378345847833</v>
      </c>
      <c r="W52" s="226">
        <f>$O52*'RAIL EMIS FACTOR'!I$7</f>
        <v>1.3589805524980987</v>
      </c>
      <c r="X52" s="227">
        <f>$O52*'RAIL EMIS FACTOR'!J$7</f>
        <v>166683.18322053176</v>
      </c>
    </row>
    <row r="53" spans="1:28" x14ac:dyDescent="0.25">
      <c r="A53" s="259">
        <v>34015</v>
      </c>
      <c r="B53" s="226" t="s">
        <v>366</v>
      </c>
      <c r="C53" s="226" t="s">
        <v>361</v>
      </c>
      <c r="D53" s="226" t="s">
        <v>365</v>
      </c>
      <c r="E53" s="226">
        <v>5.6</v>
      </c>
      <c r="F53" s="226" t="s">
        <v>367</v>
      </c>
      <c r="G53" s="226">
        <v>8.8000000000000007</v>
      </c>
      <c r="H53" s="226" t="s">
        <v>36</v>
      </c>
      <c r="I53" s="226" t="s">
        <v>261</v>
      </c>
      <c r="J53" s="226">
        <v>3.2</v>
      </c>
      <c r="K53" s="226">
        <v>7.7</v>
      </c>
      <c r="L53" s="226">
        <v>24640000</v>
      </c>
      <c r="M53" s="226">
        <v>0.22229740397410741</v>
      </c>
      <c r="N53" s="226">
        <v>49539</v>
      </c>
      <c r="O53" s="226">
        <v>14111.819247965141</v>
      </c>
      <c r="P53" s="227" t="s">
        <v>390</v>
      </c>
      <c r="Q53" s="225">
        <f>$O53*'RAIL EMIS FACTOR'!C$7</f>
        <v>7732.977277726538</v>
      </c>
      <c r="R53" s="226">
        <f>$O53*'RAIL EMIS FACTOR'!D$7</f>
        <v>760.11577494479934</v>
      </c>
      <c r="S53" s="226">
        <f>$O53*'RAIL EMIS FACTOR'!E$7</f>
        <v>176.19441898617436</v>
      </c>
      <c r="T53" s="226">
        <f>$O53*'RAIL EMIS FACTOR'!F$7</f>
        <v>170.90858641658912</v>
      </c>
      <c r="U53" s="226">
        <f>$O53*'RAIL EMIS FACTOR'!G$7</f>
        <v>41.200697871040759</v>
      </c>
      <c r="V53" s="226">
        <f>$O53*'RAIL EMIS FACTOR'!H$7</f>
        <v>401.98756691695667</v>
      </c>
      <c r="W53" s="226">
        <f>$O53*'RAIL EMIS FACTOR'!I$7</f>
        <v>2.7179611049961974</v>
      </c>
      <c r="X53" s="227">
        <f>$O53*'RAIL EMIS FACTOR'!J$7</f>
        <v>333366.36644106352</v>
      </c>
    </row>
    <row r="54" spans="1:28" x14ac:dyDescent="0.25">
      <c r="A54" s="259">
        <v>34015</v>
      </c>
      <c r="B54" s="226" t="s">
        <v>368</v>
      </c>
      <c r="C54" s="226" t="s">
        <v>361</v>
      </c>
      <c r="D54" s="226" t="s">
        <v>367</v>
      </c>
      <c r="E54" s="226">
        <v>8.8000000000000007</v>
      </c>
      <c r="F54" s="226" t="s">
        <v>365</v>
      </c>
      <c r="G54" s="226">
        <v>30.1</v>
      </c>
      <c r="H54" s="226" t="s">
        <v>36</v>
      </c>
      <c r="I54" s="226" t="s">
        <v>261</v>
      </c>
      <c r="J54" s="226">
        <v>21.3</v>
      </c>
      <c r="K54" s="226">
        <v>1.1000000000000001</v>
      </c>
      <c r="L54" s="226">
        <v>23430000.000000004</v>
      </c>
      <c r="M54" s="226">
        <v>0.21138101360037895</v>
      </c>
      <c r="N54" s="226">
        <v>49539</v>
      </c>
      <c r="O54" s="226">
        <v>13418.82812418114</v>
      </c>
      <c r="P54" s="227" t="s">
        <v>390</v>
      </c>
      <c r="Q54" s="225">
        <f>$O54*'RAIL EMIS FACTOR'!C$7</f>
        <v>7353.2328578381821</v>
      </c>
      <c r="R54" s="226">
        <f>$O54*'RAIL EMIS FACTOR'!D$7</f>
        <v>722.78866099661741</v>
      </c>
      <c r="S54" s="226">
        <f>$O54*'RAIL EMIS FACTOR'!E$7</f>
        <v>167.54201448238902</v>
      </c>
      <c r="T54" s="226">
        <f>$O54*'RAIL EMIS FACTOR'!F$7</f>
        <v>162.51575404791734</v>
      </c>
      <c r="U54" s="226">
        <f>$O54*'RAIL EMIS FACTOR'!G$7</f>
        <v>39.177449314873584</v>
      </c>
      <c r="V54" s="226">
        <f>$O54*'RAIL EMIS FACTOR'!H$7</f>
        <v>382.24710604157048</v>
      </c>
      <c r="W54" s="226">
        <f>$O54*'RAIL EMIS FACTOR'!I$7</f>
        <v>2.5844898007329915</v>
      </c>
      <c r="X54" s="227">
        <f>$O54*'RAIL EMIS FACTOR'!J$7</f>
        <v>316995.69666047563</v>
      </c>
    </row>
    <row r="55" spans="1:28" x14ac:dyDescent="0.25">
      <c r="A55" s="142">
        <v>34011</v>
      </c>
      <c r="B55" s="226" t="s">
        <v>369</v>
      </c>
      <c r="C55" s="226" t="s">
        <v>361</v>
      </c>
      <c r="D55" s="226" t="s">
        <v>365</v>
      </c>
      <c r="E55" s="226">
        <v>30.1</v>
      </c>
      <c r="F55" s="226" t="s">
        <v>370</v>
      </c>
      <c r="G55" s="226">
        <v>34</v>
      </c>
      <c r="H55" s="226" t="s">
        <v>36</v>
      </c>
      <c r="I55" s="226" t="s">
        <v>260</v>
      </c>
      <c r="J55" s="226">
        <v>3.9</v>
      </c>
      <c r="K55" s="226">
        <v>1.1000000000000001</v>
      </c>
      <c r="L55" s="226">
        <v>4290000</v>
      </c>
      <c r="M55" s="226">
        <v>3.8703565870491917E-2</v>
      </c>
      <c r="N55" s="226">
        <v>49539</v>
      </c>
      <c r="O55" s="226">
        <v>2456.968529779645</v>
      </c>
      <c r="P55" s="227" t="s">
        <v>390</v>
      </c>
      <c r="Q55" s="225">
        <f>$O55*'RAIL EMIS FACTOR'!C$7</f>
        <v>1346.3665796041739</v>
      </c>
      <c r="R55" s="226">
        <f>$O55*'RAIL EMIS FACTOR'!D$7</f>
        <v>132.34158581628202</v>
      </c>
      <c r="S55" s="226">
        <f>$O55*'RAIL EMIS FACTOR'!E$7</f>
        <v>30.676706877057139</v>
      </c>
      <c r="T55" s="226">
        <f>$O55*'RAIL EMIS FACTOR'!F$7</f>
        <v>29.756405670745426</v>
      </c>
      <c r="U55" s="226">
        <f>$O55*'RAIL EMIS FACTOR'!G$7</f>
        <v>7.1733357900472754</v>
      </c>
      <c r="V55" s="226">
        <f>$O55*'RAIL EMIS FACTOR'!H$7</f>
        <v>69.988906740005845</v>
      </c>
      <c r="W55" s="226">
        <f>$O55*'RAIL EMIS FACTOR'!I$7</f>
        <v>0.47321644238773075</v>
      </c>
      <c r="X55" s="227">
        <f>$O55*'RAIL EMIS FACTOR'!J$7</f>
        <v>58041.465585720878</v>
      </c>
    </row>
    <row r="56" spans="1:28" x14ac:dyDescent="0.25">
      <c r="A56" s="142">
        <v>34011</v>
      </c>
      <c r="B56" s="226">
        <v>22</v>
      </c>
      <c r="C56" s="226" t="s">
        <v>387</v>
      </c>
      <c r="D56" s="226" t="s">
        <v>388</v>
      </c>
      <c r="E56" s="226">
        <v>122.5</v>
      </c>
      <c r="F56" s="226" t="s">
        <v>370</v>
      </c>
      <c r="G56" s="226">
        <v>120.5</v>
      </c>
      <c r="H56" s="226" t="s">
        <v>36</v>
      </c>
      <c r="I56" s="226" t="s">
        <v>260</v>
      </c>
      <c r="J56" s="226">
        <v>2</v>
      </c>
      <c r="K56" s="226">
        <v>0.51500000000000001</v>
      </c>
      <c r="L56" s="226">
        <v>1030000</v>
      </c>
      <c r="M56" s="226">
        <v>9.2924645330085473E-3</v>
      </c>
      <c r="N56" s="226">
        <v>49539</v>
      </c>
      <c r="O56" s="226">
        <v>589.90153512191932</v>
      </c>
      <c r="P56" s="227" t="s">
        <v>390</v>
      </c>
      <c r="Q56" s="225">
        <f>$O56*'RAIL EMIS FACTOR'!C$7</f>
        <v>323.25351445041935</v>
      </c>
      <c r="R56" s="226">
        <f>$O56*'RAIL EMIS FACTOR'!D$7</f>
        <v>31.774320137708735</v>
      </c>
      <c r="S56" s="226">
        <f>$O56*'RAIL EMIS FACTOR'!E$7</f>
        <v>7.3652699495032277</v>
      </c>
      <c r="T56" s="226">
        <f>$O56*'RAIL EMIS FACTOR'!F$7</f>
        <v>7.1443118510181316</v>
      </c>
      <c r="U56" s="226">
        <f>$O56*'RAIL EMIS FACTOR'!G$7</f>
        <v>1.7222694321092522</v>
      </c>
      <c r="V56" s="226">
        <f>$O56*'RAIL EMIS FACTOR'!H$7</f>
        <v>16.803863389791612</v>
      </c>
      <c r="W56" s="226">
        <f>$O56*'RAIL EMIS FACTOR'!I$7</f>
        <v>0.11361606891826634</v>
      </c>
      <c r="X56" s="227">
        <f>$O56*'RAIL EMIS FACTOR'!J$7</f>
        <v>13935.363532236013</v>
      </c>
    </row>
    <row r="57" spans="1:28" x14ac:dyDescent="0.25">
      <c r="A57" s="142">
        <v>34011</v>
      </c>
      <c r="B57" s="226">
        <v>23</v>
      </c>
      <c r="C57" s="226" t="s">
        <v>389</v>
      </c>
      <c r="D57" s="226" t="s">
        <v>370</v>
      </c>
      <c r="E57" s="226">
        <v>34</v>
      </c>
      <c r="F57" s="226" t="s">
        <v>390</v>
      </c>
      <c r="G57" s="226">
        <v>39.9</v>
      </c>
      <c r="H57" s="226" t="s">
        <v>36</v>
      </c>
      <c r="I57" s="226" t="s">
        <v>260</v>
      </c>
      <c r="J57" s="226">
        <v>5.9</v>
      </c>
      <c r="K57" s="226">
        <v>1.9</v>
      </c>
      <c r="L57" s="226">
        <v>11210000</v>
      </c>
      <c r="M57" s="226">
        <v>0.1011344926359474</v>
      </c>
      <c r="N57" s="226">
        <v>49539</v>
      </c>
      <c r="O57" s="226">
        <v>6420.190493899725</v>
      </c>
      <c r="P57" s="227" t="s">
        <v>390</v>
      </c>
      <c r="Q57" s="225">
        <f>$O57*'RAIL EMIS FACTOR'!C$7</f>
        <v>3518.1280553293218</v>
      </c>
      <c r="R57" s="226">
        <f>$O57*'RAIL EMIS FACTOR'!D$7</f>
        <v>345.81565897448053</v>
      </c>
      <c r="S57" s="226">
        <f>$O57*'RAIL EMIS FACTOR'!E$7</f>
        <v>80.159879741680783</v>
      </c>
      <c r="T57" s="226">
        <f>$O57*'RAIL EMIS FACTOR'!F$7</f>
        <v>77.75508334943035</v>
      </c>
      <c r="U57" s="226">
        <f>$O57*'RAIL EMIS FACTOR'!G$7</f>
        <v>18.744311003829825</v>
      </c>
      <c r="V57" s="226">
        <f>$O57*'RAIL EMIS FACTOR'!H$7</f>
        <v>182.88476563064464</v>
      </c>
      <c r="W57" s="226">
        <f>$O57*'RAIL EMIS FACTOR'!I$7</f>
        <v>1.2365399345376369</v>
      </c>
      <c r="X57" s="227">
        <f>$O57*'RAIL EMIS FACTOR'!J$7</f>
        <v>151665.46135569489</v>
      </c>
    </row>
    <row r="58" spans="1:28" x14ac:dyDescent="0.25">
      <c r="A58" s="142">
        <v>34011</v>
      </c>
      <c r="B58" s="226">
        <v>24</v>
      </c>
      <c r="C58" s="226" t="s">
        <v>391</v>
      </c>
      <c r="D58" s="226" t="s">
        <v>390</v>
      </c>
      <c r="E58" s="226">
        <v>39.9</v>
      </c>
      <c r="F58" s="226" t="s">
        <v>388</v>
      </c>
      <c r="G58" s="226">
        <v>41</v>
      </c>
      <c r="H58" s="226" t="s">
        <v>36</v>
      </c>
      <c r="I58" s="226" t="s">
        <v>260</v>
      </c>
      <c r="J58" s="226">
        <v>1.1000000000000001</v>
      </c>
      <c r="K58" s="226">
        <v>0.17499999999999999</v>
      </c>
      <c r="L58" s="226">
        <v>192500</v>
      </c>
      <c r="M58" s="226">
        <v>1.7366984685477141E-3</v>
      </c>
      <c r="N58" s="226">
        <v>49539</v>
      </c>
      <c r="O58" s="226">
        <v>110.24858787472766</v>
      </c>
      <c r="P58" s="227" t="s">
        <v>390</v>
      </c>
      <c r="Q58" s="225">
        <f>$O58*'RAIL EMIS FACTOR'!C$7</f>
        <v>60.413884982238578</v>
      </c>
      <c r="R58" s="226">
        <f>$O58*'RAIL EMIS FACTOR'!D$7</f>
        <v>5.9384044917562449</v>
      </c>
      <c r="S58" s="226">
        <f>$O58*'RAIL EMIS FACTOR'!E$7</f>
        <v>1.3765188983294872</v>
      </c>
      <c r="T58" s="226">
        <f>$O58*'RAIL EMIS FACTOR'!F$7</f>
        <v>1.3352233313796025</v>
      </c>
      <c r="U58" s="226">
        <f>$O58*'RAIL EMIS FACTOR'!G$7</f>
        <v>0.32188045211750593</v>
      </c>
      <c r="V58" s="226">
        <f>$O58*'RAIL EMIS FACTOR'!H$7</f>
        <v>3.140527866538724</v>
      </c>
      <c r="W58" s="226">
        <f>$O58*'RAIL EMIS FACTOR'!I$7</f>
        <v>2.1234071132782792E-2</v>
      </c>
      <c r="X58" s="227">
        <f>$O58*'RAIL EMIS FACTOR'!J$7</f>
        <v>2604.4247378208088</v>
      </c>
      <c r="AA58" s="139">
        <f>SUM(O50:O58)</f>
        <v>63481.709618205205</v>
      </c>
      <c r="AB58" s="141" t="s">
        <v>758</v>
      </c>
    </row>
    <row r="59" spans="1:28" x14ac:dyDescent="0.25">
      <c r="A59" s="259">
        <v>34015</v>
      </c>
      <c r="B59" s="226">
        <v>5</v>
      </c>
      <c r="C59" s="226" t="s">
        <v>371</v>
      </c>
      <c r="D59" s="226" t="s">
        <v>367</v>
      </c>
      <c r="E59" s="226">
        <v>8.8000000000000007</v>
      </c>
      <c r="F59" s="226" t="s">
        <v>372</v>
      </c>
      <c r="G59" s="226">
        <v>14.3</v>
      </c>
      <c r="H59" s="226" t="s">
        <v>36</v>
      </c>
      <c r="I59" s="226" t="s">
        <v>261</v>
      </c>
      <c r="J59" s="226">
        <v>5.5</v>
      </c>
      <c r="K59" s="226">
        <v>5.2</v>
      </c>
      <c r="L59" s="226">
        <v>28600000</v>
      </c>
      <c r="M59" s="226">
        <v>0.42008907063371759</v>
      </c>
      <c r="N59" s="226">
        <v>50430</v>
      </c>
      <c r="O59" s="226">
        <v>27147.617996280518</v>
      </c>
      <c r="P59" s="227" t="s">
        <v>800</v>
      </c>
      <c r="Q59" s="225">
        <f>$O59*'RAIL EMIS FACTOR'!C$7</f>
        <v>14876.318171373156</v>
      </c>
      <c r="R59" s="226">
        <f>$O59*'RAIL EMIS FACTOR'!D$7</f>
        <v>1462.2730300434982</v>
      </c>
      <c r="S59" s="226">
        <f>$O59*'RAIL EMIS FACTOR'!E$7</f>
        <v>338.95408491736316</v>
      </c>
      <c r="T59" s="226">
        <f>$O59*'RAIL EMIS FACTOR'!F$7</f>
        <v>328.78546236984226</v>
      </c>
      <c r="U59" s="226">
        <f>$O59*'RAIL EMIS FACTOR'!G$7</f>
        <v>79.259859223640873</v>
      </c>
      <c r="V59" s="226">
        <f>$O59*'RAIL EMIS FACTOR'!H$7</f>
        <v>773.32374473896391</v>
      </c>
      <c r="W59" s="226">
        <f>$O59*'RAIL EMIS FACTOR'!I$7</f>
        <v>5.2286787770347098</v>
      </c>
      <c r="X59" s="227">
        <f>$O59*'RAIL EMIS FACTOR'!J$7</f>
        <v>641313.68251864798</v>
      </c>
    </row>
    <row r="60" spans="1:28" x14ac:dyDescent="0.25">
      <c r="A60" s="259">
        <v>34015</v>
      </c>
      <c r="B60" s="226">
        <v>6</v>
      </c>
      <c r="C60" s="226" t="s">
        <v>371</v>
      </c>
      <c r="D60" s="226" t="s">
        <v>372</v>
      </c>
      <c r="E60" s="226">
        <v>14.3</v>
      </c>
      <c r="F60" s="226" t="s">
        <v>373</v>
      </c>
      <c r="G60" s="226">
        <v>17.2</v>
      </c>
      <c r="H60" s="226" t="s">
        <v>36</v>
      </c>
      <c r="I60" s="226" t="s">
        <v>261</v>
      </c>
      <c r="J60" s="226">
        <v>2.9</v>
      </c>
      <c r="K60" s="226">
        <v>2.8</v>
      </c>
      <c r="L60" s="226">
        <v>8119999.9999999991</v>
      </c>
      <c r="M60" s="226">
        <v>0.11927004383027225</v>
      </c>
      <c r="N60" s="226">
        <v>50430</v>
      </c>
      <c r="O60" s="226">
        <v>7707.6453891537685</v>
      </c>
      <c r="P60" s="227" t="s">
        <v>372</v>
      </c>
      <c r="Q60" s="225">
        <f>$O60*'RAIL EMIS FACTOR'!C$7</f>
        <v>4223.6259983059444</v>
      </c>
      <c r="R60" s="226">
        <f>$O60*'RAIL EMIS FACTOR'!D$7</f>
        <v>415.16283230605609</v>
      </c>
      <c r="S60" s="226">
        <f>$O60*'RAIL EMIS FACTOR'!E$7</f>
        <v>96.23451641709751</v>
      </c>
      <c r="T60" s="226">
        <f>$O60*'RAIL EMIS FACTOR'!F$7</f>
        <v>93.347480924584588</v>
      </c>
      <c r="U60" s="226">
        <f>$O60*'RAIL EMIS FACTOR'!G$7</f>
        <v>22.503148842516215</v>
      </c>
      <c r="V60" s="226">
        <f>$O60*'RAIL EMIS FACTOR'!H$7</f>
        <v>219.55904920560789</v>
      </c>
      <c r="W60" s="226">
        <f>$O60*'RAIL EMIS FACTOR'!I$7</f>
        <v>1.4845060024308334</v>
      </c>
      <c r="X60" s="227">
        <f>$O60*'RAIL EMIS FACTOR'!J$7</f>
        <v>182079.26930249724</v>
      </c>
    </row>
    <row r="61" spans="1:28" x14ac:dyDescent="0.25">
      <c r="A61" s="259">
        <v>34015</v>
      </c>
      <c r="B61" s="226" t="s">
        <v>374</v>
      </c>
      <c r="C61" s="226" t="s">
        <v>371</v>
      </c>
      <c r="D61" s="226" t="s">
        <v>373</v>
      </c>
      <c r="E61" s="226">
        <v>17.2</v>
      </c>
      <c r="F61" s="226" t="s">
        <v>365</v>
      </c>
      <c r="G61" s="226">
        <v>23.8</v>
      </c>
      <c r="H61" s="226" t="s">
        <v>36</v>
      </c>
      <c r="I61" s="226" t="s">
        <v>261</v>
      </c>
      <c r="J61" s="226">
        <v>6.6</v>
      </c>
      <c r="K61" s="226">
        <v>2.8</v>
      </c>
      <c r="L61" s="226">
        <v>18479999.999999996</v>
      </c>
      <c r="M61" s="226">
        <v>0.27144216871717131</v>
      </c>
      <c r="N61" s="226">
        <v>50430</v>
      </c>
      <c r="O61" s="226">
        <v>17541.537782212024</v>
      </c>
      <c r="P61" s="227" t="s">
        <v>372</v>
      </c>
      <c r="Q61" s="225">
        <f>$O61*'RAIL EMIS FACTOR'!C$7</f>
        <v>9612.3902030411155</v>
      </c>
      <c r="R61" s="226">
        <f>$O61*'RAIL EMIS FACTOR'!D$7</f>
        <v>944.85334248964489</v>
      </c>
      <c r="S61" s="226">
        <f>$O61*'RAIL EMIS FACTOR'!E$7</f>
        <v>219.01648563891155</v>
      </c>
      <c r="T61" s="226">
        <f>$O61*'RAIL EMIS FACTOR'!F$7</f>
        <v>212.44599106974422</v>
      </c>
      <c r="U61" s="226">
        <f>$O61*'RAIL EMIS FACTOR'!G$7</f>
        <v>51.214062882967937</v>
      </c>
      <c r="V61" s="226">
        <f>$O61*'RAIL EMIS FACTOR'!H$7</f>
        <v>499.68611198517658</v>
      </c>
      <c r="W61" s="226">
        <f>$O61*'RAIL EMIS FACTOR'!I$7</f>
        <v>3.3785309020839658</v>
      </c>
      <c r="X61" s="227">
        <f>$O61*'RAIL EMIS FACTOR'!J$7</f>
        <v>414387.30255051097</v>
      </c>
    </row>
    <row r="62" spans="1:28" x14ac:dyDescent="0.25">
      <c r="A62" s="142">
        <v>34033</v>
      </c>
      <c r="B62" s="226" t="s">
        <v>375</v>
      </c>
      <c r="C62" s="226" t="s">
        <v>371</v>
      </c>
      <c r="D62" s="226" t="s">
        <v>365</v>
      </c>
      <c r="E62" s="226">
        <v>23.8</v>
      </c>
      <c r="F62" s="226" t="s">
        <v>376</v>
      </c>
      <c r="G62" s="226">
        <v>26</v>
      </c>
      <c r="H62" s="226" t="s">
        <v>36</v>
      </c>
      <c r="I62" s="226" t="s">
        <v>264</v>
      </c>
      <c r="J62" s="226">
        <v>2.2000000000000002</v>
      </c>
      <c r="K62" s="226">
        <v>2.2000000000000002</v>
      </c>
      <c r="L62" s="226">
        <v>4840000.0000000009</v>
      </c>
      <c r="M62" s="226">
        <v>7.1091996568782984E-2</v>
      </c>
      <c r="N62" s="226">
        <v>50430</v>
      </c>
      <c r="O62" s="226">
        <v>4594.2122762936269</v>
      </c>
      <c r="P62" s="227" t="s">
        <v>372</v>
      </c>
      <c r="Q62" s="225">
        <f>$O62*'RAIL EMIS FACTOR'!C$7</f>
        <v>2517.5307674631499</v>
      </c>
      <c r="R62" s="226">
        <f>$O62*'RAIL EMIS FACTOR'!D$7</f>
        <v>247.46158969966899</v>
      </c>
      <c r="S62" s="226">
        <f>$O62*'RAIL EMIS FACTOR'!E$7</f>
        <v>57.361460524476854</v>
      </c>
      <c r="T62" s="226">
        <f>$O62*'RAIL EMIS FACTOR'!F$7</f>
        <v>55.640616708742549</v>
      </c>
      <c r="U62" s="226">
        <f>$O62*'RAIL EMIS FACTOR'!G$7</f>
        <v>13.413206945539226</v>
      </c>
      <c r="V62" s="226">
        <f>$O62*'RAIL EMIS FACTOR'!H$7</f>
        <v>130.87017218659392</v>
      </c>
      <c r="W62" s="226">
        <f>$O62*'RAIL EMIS FACTOR'!I$7</f>
        <v>0.88485333149818179</v>
      </c>
      <c r="X62" s="227">
        <f>$O62*'RAIL EMIS FACTOR'!J$7</f>
        <v>108530.00781084814</v>
      </c>
    </row>
    <row r="63" spans="1:28" x14ac:dyDescent="0.25">
      <c r="A63" s="259">
        <v>34015</v>
      </c>
      <c r="B63" s="226">
        <v>17</v>
      </c>
      <c r="C63" s="226" t="s">
        <v>383</v>
      </c>
      <c r="D63" s="226" t="s">
        <v>367</v>
      </c>
      <c r="E63" s="226">
        <v>0</v>
      </c>
      <c r="F63" s="226" t="s">
        <v>384</v>
      </c>
      <c r="G63" s="226">
        <v>10</v>
      </c>
      <c r="H63" s="226" t="s">
        <v>36</v>
      </c>
      <c r="I63" s="226" t="s">
        <v>261</v>
      </c>
      <c r="J63" s="226">
        <v>10</v>
      </c>
      <c r="K63" s="226">
        <v>0.78400000000000003</v>
      </c>
      <c r="L63" s="226">
        <v>7840000</v>
      </c>
      <c r="M63" s="226">
        <v>0.1151572836981939</v>
      </c>
      <c r="N63" s="226">
        <v>50430</v>
      </c>
      <c r="O63" s="226">
        <v>7441.8645136657087</v>
      </c>
      <c r="P63" s="227" t="s">
        <v>800</v>
      </c>
      <c r="Q63" s="225">
        <f>$O63*'RAIL EMIS FACTOR'!C$7</f>
        <v>4077.983722502292</v>
      </c>
      <c r="R63" s="226">
        <f>$O63*'RAIL EMIS FACTOR'!D$7</f>
        <v>400.8468725713646</v>
      </c>
      <c r="S63" s="226">
        <f>$O63*'RAIL EMIS FACTOR'!E$7</f>
        <v>92.916084816507947</v>
      </c>
      <c r="T63" s="226">
        <f>$O63*'RAIL EMIS FACTOR'!F$7</f>
        <v>90.128602272012714</v>
      </c>
      <c r="U63" s="226">
        <f>$O63*'RAIL EMIS FACTOR'!G$7</f>
        <v>21.727178192774282</v>
      </c>
      <c r="V63" s="226">
        <f>$O63*'RAIL EMIS FACTOR'!H$7</f>
        <v>211.98804750886285</v>
      </c>
      <c r="W63" s="226">
        <f>$O63*'RAIL EMIS FACTOR'!I$7</f>
        <v>1.4333161402780463</v>
      </c>
      <c r="X63" s="227">
        <f>$O63*'RAIL EMIS FACTOR'!J$7</f>
        <v>175800.67380930771</v>
      </c>
    </row>
    <row r="64" spans="1:28" x14ac:dyDescent="0.25">
      <c r="A64" s="259">
        <v>34015</v>
      </c>
      <c r="B64" s="226">
        <v>18</v>
      </c>
      <c r="C64" s="226" t="s">
        <v>385</v>
      </c>
      <c r="D64" s="226" t="s">
        <v>384</v>
      </c>
      <c r="E64" s="226">
        <v>10</v>
      </c>
      <c r="F64" s="226" t="s">
        <v>386</v>
      </c>
      <c r="G64" s="226">
        <v>10.8</v>
      </c>
      <c r="H64" s="226" t="s">
        <v>36</v>
      </c>
      <c r="I64" s="226" t="s">
        <v>261</v>
      </c>
      <c r="J64" s="226">
        <v>0.80000000000000071</v>
      </c>
      <c r="K64" s="226">
        <v>0.251</v>
      </c>
      <c r="L64" s="226">
        <v>200800.00000000017</v>
      </c>
      <c r="M64" s="226">
        <v>2.9494365518619079E-3</v>
      </c>
      <c r="N64" s="226">
        <v>50430</v>
      </c>
      <c r="O64" s="226">
        <v>190.60285642143822</v>
      </c>
      <c r="P64" s="227" t="s">
        <v>800</v>
      </c>
      <c r="Q64" s="225">
        <f>$O64*'RAIL EMIS FACTOR'!C$7</f>
        <v>104.44631779062001</v>
      </c>
      <c r="R64" s="226">
        <f>$O64*'RAIL EMIS FACTOR'!D$7</f>
        <v>10.266588266878836</v>
      </c>
      <c r="S64" s="226">
        <f>$O64*'RAIL EMIS FACTOR'!E$7</f>
        <v>2.3797895192799507</v>
      </c>
      <c r="T64" s="226">
        <f>$O64*'RAIL EMIS FACTOR'!F$7</f>
        <v>2.3083958337015522</v>
      </c>
      <c r="U64" s="226">
        <f>$O64*'RAIL EMIS FACTOR'!G$7</f>
        <v>0.55648180881493359</v>
      </c>
      <c r="V64" s="226">
        <f>$O64*'RAIL EMIS FACTOR'!H$7</f>
        <v>5.4294897882372064</v>
      </c>
      <c r="W64" s="226">
        <f>$O64*'RAIL EMIS FACTOR'!I$7</f>
        <v>3.6710444000998974E-2</v>
      </c>
      <c r="X64" s="227">
        <f>$O64*'RAIL EMIS FACTOR'!J$7</f>
        <v>4502.6499108302323</v>
      </c>
      <c r="AA64" s="139">
        <f>SUM(O59:O64)</f>
        <v>64623.480814027076</v>
      </c>
      <c r="AB64" s="141" t="s">
        <v>758</v>
      </c>
    </row>
    <row r="65" spans="1:25" x14ac:dyDescent="0.25">
      <c r="A65" s="225">
        <v>34013</v>
      </c>
      <c r="B65" s="226"/>
      <c r="C65" s="226"/>
      <c r="D65" s="226" t="s">
        <v>112</v>
      </c>
      <c r="E65" s="226">
        <f>H65</f>
        <v>0</v>
      </c>
      <c r="F65" s="226"/>
      <c r="G65" s="226"/>
      <c r="H65" s="226"/>
      <c r="I65" s="107" t="s">
        <v>418</v>
      </c>
      <c r="J65" s="226"/>
      <c r="K65" s="226"/>
      <c r="L65" s="226"/>
      <c r="M65" s="226"/>
      <c r="N65" s="226"/>
      <c r="O65" s="226">
        <v>29272</v>
      </c>
      <c r="P65" s="227"/>
      <c r="Q65" s="225">
        <f>$O65*'RAIL EMIS FACTOR'!C$7</f>
        <v>16040.434397305029</v>
      </c>
      <c r="R65" s="226">
        <f>$O65*'RAIL EMIS FACTOR'!D$7</f>
        <v>1576.7002519815105</v>
      </c>
      <c r="S65" s="226">
        <f>$O65*'RAIL EMIS FACTOR'!E$7</f>
        <v>365.47825209049444</v>
      </c>
      <c r="T65" s="226">
        <f>$O65*'RAIL EMIS FACTOR'!F$7</f>
        <v>354.51390452777963</v>
      </c>
      <c r="U65" s="226">
        <f>$O65*'RAIL EMIS FACTOR'!G$7</f>
        <v>85.462179389451052</v>
      </c>
      <c r="V65" s="226">
        <f>$O65*'RAIL EMIS FACTOR'!H$7</f>
        <v>833.83863214446285</v>
      </c>
      <c r="W65" s="226">
        <f>$O65*'RAIL EMIS FACTOR'!I$7</f>
        <v>5.6378384719546979</v>
      </c>
      <c r="X65" s="227">
        <f>$O65*'RAIL EMIS FACTOR'!J$7</f>
        <v>691498.38918677426</v>
      </c>
    </row>
    <row r="66" spans="1:25" ht="15.75" thickBot="1" x14ac:dyDescent="0.3">
      <c r="A66" s="228">
        <v>34023</v>
      </c>
      <c r="B66" s="229"/>
      <c r="C66" s="229"/>
      <c r="D66" s="229" t="s">
        <v>726</v>
      </c>
      <c r="E66" s="229"/>
      <c r="F66" s="229"/>
      <c r="G66" s="229"/>
      <c r="H66" s="229"/>
      <c r="I66" s="229" t="s">
        <v>424</v>
      </c>
      <c r="J66" s="229"/>
      <c r="K66" s="229"/>
      <c r="L66" s="229"/>
      <c r="M66" s="229"/>
      <c r="N66" s="229"/>
      <c r="O66" s="229">
        <v>6774</v>
      </c>
      <c r="P66" s="230"/>
      <c r="Q66" s="228">
        <f>$O66*'RAIL EMIS FACTOR'!C$7</f>
        <v>3712.0081513850869</v>
      </c>
      <c r="R66" s="229">
        <f>$O66*'RAIL EMIS FACTOR'!D$7</f>
        <v>364.87317255133752</v>
      </c>
      <c r="S66" s="229">
        <f>$O66*'RAIL EMIS FACTOR'!E$7</f>
        <v>84.577400917634918</v>
      </c>
      <c r="T66" s="229">
        <f>$O66*'RAIL EMIS FACTOR'!F$7</f>
        <v>82.040078890105875</v>
      </c>
      <c r="U66" s="229">
        <f>$O66*'RAIL EMIS FACTOR'!G$7</f>
        <v>19.777288985520002</v>
      </c>
      <c r="V66" s="229">
        <f>$O66*'RAIL EMIS FACTOR'!H$7</f>
        <v>192.96334019358403</v>
      </c>
      <c r="W66" s="229">
        <f>$O66*'RAIL EMIS FACTOR'!I$7</f>
        <v>1.304684265134638</v>
      </c>
      <c r="X66" s="230">
        <f>$O66*'RAIL EMIS FACTOR'!J$7</f>
        <v>160023.57503249554</v>
      </c>
      <c r="Y66" t="s">
        <v>351</v>
      </c>
    </row>
    <row r="67" spans="1:25" x14ac:dyDescent="0.25">
      <c r="O67">
        <f>SUM(O3:O66)</f>
        <v>850342.54473132151</v>
      </c>
      <c r="Q67">
        <f>SUM(Q3:Q66)</f>
        <v>465969.65714676731</v>
      </c>
    </row>
    <row r="68" spans="1:25" x14ac:dyDescent="0.25">
      <c r="O68">
        <f>SUM(AN11:AN18)</f>
        <v>709697.02875674993</v>
      </c>
    </row>
    <row r="106" spans="2:12" x14ac:dyDescent="0.25">
      <c r="B106" s="2"/>
      <c r="H106" s="139"/>
      <c r="I106" s="141"/>
      <c r="L106" s="140"/>
    </row>
    <row r="107" spans="2:12" x14ac:dyDescent="0.25">
      <c r="B107" s="2"/>
      <c r="H107" s="139"/>
      <c r="I107" s="141"/>
      <c r="L107" s="140"/>
    </row>
    <row r="108" spans="2:12" x14ac:dyDescent="0.25">
      <c r="B108" s="2"/>
      <c r="H108" s="139"/>
      <c r="I108" s="141"/>
      <c r="L108" s="140"/>
    </row>
    <row r="109" spans="2:12" x14ac:dyDescent="0.25">
      <c r="B109" s="2"/>
      <c r="L109" s="7"/>
    </row>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A2" sqref="A2"/>
    </sheetView>
  </sheetViews>
  <sheetFormatPr defaultRowHeight="15" x14ac:dyDescent="0.25"/>
  <cols>
    <col min="2" max="2" width="26.140625" customWidth="1"/>
    <col min="14" max="15" width="10" customWidth="1"/>
    <col min="24" max="24" width="20.5703125" customWidth="1"/>
  </cols>
  <sheetData>
    <row r="1" spans="1:24" ht="15.75" thickBot="1" x14ac:dyDescent="0.3">
      <c r="A1" s="31" t="s">
        <v>1052</v>
      </c>
    </row>
    <row r="2" spans="1:24" x14ac:dyDescent="0.25">
      <c r="A2" s="222" t="s">
        <v>79</v>
      </c>
      <c r="B2" s="223" t="s">
        <v>734</v>
      </c>
      <c r="C2" s="223" t="s">
        <v>729</v>
      </c>
      <c r="D2" s="201" t="s">
        <v>723</v>
      </c>
      <c r="E2" s="243"/>
      <c r="F2" s="243"/>
      <c r="G2" s="243"/>
      <c r="H2" s="206"/>
      <c r="I2" s="201" t="s">
        <v>731</v>
      </c>
      <c r="J2" s="206"/>
      <c r="K2" s="243"/>
      <c r="L2" s="243"/>
      <c r="M2" s="243"/>
      <c r="N2" s="243" t="s">
        <v>335</v>
      </c>
      <c r="O2" s="476" t="s">
        <v>340</v>
      </c>
      <c r="P2" s="477"/>
      <c r="Q2" s="477"/>
      <c r="R2" s="477"/>
      <c r="S2" s="477"/>
      <c r="T2" s="477"/>
      <c r="U2" s="477"/>
      <c r="V2" s="477"/>
      <c r="W2" s="477"/>
      <c r="X2" s="485"/>
    </row>
    <row r="3" spans="1:24" ht="45" x14ac:dyDescent="0.25">
      <c r="A3" s="225"/>
      <c r="B3" s="242"/>
      <c r="C3" s="226">
        <v>2014</v>
      </c>
      <c r="D3" s="236">
        <v>2008</v>
      </c>
      <c r="E3" s="226">
        <v>2007</v>
      </c>
      <c r="F3" s="226" t="s">
        <v>721</v>
      </c>
      <c r="G3" s="263" t="s">
        <v>732</v>
      </c>
      <c r="H3" s="263" t="s">
        <v>733</v>
      </c>
      <c r="I3" s="226" t="s">
        <v>335</v>
      </c>
      <c r="J3" s="226" t="s">
        <v>340</v>
      </c>
      <c r="K3" s="283" t="s">
        <v>742</v>
      </c>
      <c r="L3" s="283" t="s">
        <v>743</v>
      </c>
      <c r="M3" s="283" t="s">
        <v>744</v>
      </c>
      <c r="N3" s="283" t="s">
        <v>823</v>
      </c>
      <c r="O3" s="332" t="s">
        <v>823</v>
      </c>
      <c r="P3" s="533" t="s">
        <v>96</v>
      </c>
      <c r="Q3" s="106" t="s">
        <v>10</v>
      </c>
      <c r="R3" s="106" t="s">
        <v>7</v>
      </c>
      <c r="S3" s="106" t="s">
        <v>95</v>
      </c>
      <c r="T3" s="106" t="s">
        <v>17</v>
      </c>
      <c r="U3" s="106" t="s">
        <v>69</v>
      </c>
      <c r="V3" s="106" t="s">
        <v>16</v>
      </c>
      <c r="W3" s="106" t="s">
        <v>94</v>
      </c>
      <c r="X3" s="534" t="s">
        <v>135</v>
      </c>
    </row>
    <row r="4" spans="1:24" ht="30" x14ac:dyDescent="0.25">
      <c r="A4" s="225">
        <v>34017</v>
      </c>
      <c r="B4" s="236" t="s">
        <v>108</v>
      </c>
      <c r="C4" s="226">
        <f t="shared" ref="C4:C13" si="0">D4</f>
        <v>96939</v>
      </c>
      <c r="D4" s="536">
        <v>96939</v>
      </c>
      <c r="E4" s="444">
        <v>91675</v>
      </c>
      <c r="F4" s="444">
        <v>88297</v>
      </c>
      <c r="G4" s="226">
        <v>3</v>
      </c>
      <c r="H4" s="226">
        <v>3</v>
      </c>
      <c r="I4" s="240">
        <v>1</v>
      </c>
      <c r="J4" s="226">
        <v>2</v>
      </c>
      <c r="K4" s="180">
        <v>0.4</v>
      </c>
      <c r="L4" s="180">
        <f>(K4*J4)/(K4*J4+(1-K4)*I4)</f>
        <v>0.57142857142857151</v>
      </c>
      <c r="M4" s="182">
        <f>1-L4</f>
        <v>0.42857142857142849</v>
      </c>
      <c r="N4" s="255">
        <f t="shared" ref="N4:N18" si="1">M4*C4</f>
        <v>41545.28571428571</v>
      </c>
      <c r="O4" s="333">
        <f t="shared" ref="O4:O18" si="2">C4-N4</f>
        <v>55393.71428571429</v>
      </c>
      <c r="P4" s="318">
        <f>$O4*'RAIL EMIS FACTOR'!C$7</f>
        <v>30354.579120765866</v>
      </c>
      <c r="Q4" s="360">
        <f>$O4*'RAIL EMIS FACTOR'!D$7</f>
        <v>2983.7142413390789</v>
      </c>
      <c r="R4" s="360">
        <f>$O4*'RAIL EMIS FACTOR'!E$7</f>
        <v>691.62332173896937</v>
      </c>
      <c r="S4" s="360">
        <f>$O4*'RAIL EMIS FACTOR'!F$7</f>
        <v>670.87462208680029</v>
      </c>
      <c r="T4" s="360">
        <f>$O4*'RAIL EMIS FACTOR'!G$7</f>
        <v>161.72682246972235</v>
      </c>
      <c r="U4" s="360">
        <f>$O4*'RAIL EMIS FACTOR'!H$7</f>
        <v>1577.9386085474582</v>
      </c>
      <c r="V4" s="360">
        <f>$O4*'RAIL EMIS FACTOR'!I$7</f>
        <v>10.668926397392273</v>
      </c>
      <c r="W4" s="360">
        <f>$O4*'RAIL EMIS FACTOR'!J$7</f>
        <v>1308576.9404087127</v>
      </c>
      <c r="X4" s="331" t="s">
        <v>745</v>
      </c>
    </row>
    <row r="5" spans="1:24" x14ac:dyDescent="0.25">
      <c r="A5" s="225">
        <v>34013</v>
      </c>
      <c r="B5" s="242" t="s">
        <v>103</v>
      </c>
      <c r="C5" s="226">
        <f t="shared" si="0"/>
        <v>34325</v>
      </c>
      <c r="D5" s="536">
        <v>34325</v>
      </c>
      <c r="E5" s="444">
        <v>36888</v>
      </c>
      <c r="F5" s="444">
        <v>30137</v>
      </c>
      <c r="G5" s="226"/>
      <c r="H5" s="226">
        <v>1</v>
      </c>
      <c r="I5" s="226"/>
      <c r="J5" s="226">
        <v>1</v>
      </c>
      <c r="K5" s="180">
        <v>1</v>
      </c>
      <c r="L5" s="180">
        <f t="shared" ref="L5:L18" si="3">(K5*J5)/(K5*J5+(1-K5)*I5)</f>
        <v>1</v>
      </c>
      <c r="M5" s="182">
        <f t="shared" ref="M5:M18" si="4">1-L5</f>
        <v>0</v>
      </c>
      <c r="N5" s="255">
        <f t="shared" si="1"/>
        <v>0</v>
      </c>
      <c r="O5" s="333">
        <f t="shared" si="2"/>
        <v>34325</v>
      </c>
      <c r="P5" s="318">
        <f>$O5*'RAIL EMIS FACTOR'!C$7</f>
        <v>18809.371094817405</v>
      </c>
      <c r="Q5" s="360">
        <f>$O5*'RAIL EMIS FACTOR'!D$7</f>
        <v>1848.8738777420519</v>
      </c>
      <c r="R5" s="360">
        <f>$O5*'RAIL EMIS FACTOR'!E$7</f>
        <v>428.56794899583974</v>
      </c>
      <c r="S5" s="360">
        <f>$O5*'RAIL EMIS FACTOR'!F$7</f>
        <v>415.71091052596461</v>
      </c>
      <c r="T5" s="360">
        <f>$O5*'RAIL EMIS FACTOR'!G$7</f>
        <v>100.21485745910452</v>
      </c>
      <c r="U5" s="360">
        <f>$O5*'RAIL EMIS FACTOR'!H$7</f>
        <v>977.77777563400821</v>
      </c>
      <c r="V5" s="360">
        <f>$O5*'RAIL EMIS FACTOR'!I$7</f>
        <v>6.6110551226375041</v>
      </c>
      <c r="W5" s="360">
        <f>$O5*'RAIL EMIS FACTOR'!J$7</f>
        <v>810866.43238712859</v>
      </c>
      <c r="X5" s="298" t="s">
        <v>346</v>
      </c>
    </row>
    <row r="6" spans="1:24" x14ac:dyDescent="0.25">
      <c r="A6" s="225">
        <v>34023</v>
      </c>
      <c r="B6" s="242" t="s">
        <v>109</v>
      </c>
      <c r="C6" s="226">
        <f t="shared" si="0"/>
        <v>208529</v>
      </c>
      <c r="D6" s="536">
        <v>208529</v>
      </c>
      <c r="E6" s="444">
        <v>297547</v>
      </c>
      <c r="F6" s="444">
        <v>263425</v>
      </c>
      <c r="G6" s="226">
        <v>6</v>
      </c>
      <c r="H6" s="226">
        <v>3</v>
      </c>
      <c r="I6" s="240"/>
      <c r="J6" s="240">
        <v>3</v>
      </c>
      <c r="K6" s="180">
        <v>1</v>
      </c>
      <c r="L6" s="180">
        <f t="shared" si="3"/>
        <v>1</v>
      </c>
      <c r="M6" s="182">
        <f t="shared" si="4"/>
        <v>0</v>
      </c>
      <c r="N6" s="255">
        <f t="shared" si="1"/>
        <v>0</v>
      </c>
      <c r="O6" s="333">
        <f t="shared" si="2"/>
        <v>208529</v>
      </c>
      <c r="P6" s="236">
        <f>$O6*'RAIL EMIS FACTOR'!C$7</f>
        <v>114269.463802802</v>
      </c>
      <c r="Q6" s="226">
        <f>$O6*'RAIL EMIS FACTOR'!D$7</f>
        <v>11232.15792721551</v>
      </c>
      <c r="R6" s="226">
        <f>$O6*'RAIL EMIS FACTOR'!E$7</f>
        <v>2603.6080360132109</v>
      </c>
      <c r="S6" s="226">
        <f>$O6*'RAIL EMIS FACTOR'!F$7</f>
        <v>2525.4997949328149</v>
      </c>
      <c r="T6" s="226">
        <f>$O6*'RAIL EMIS FACTOR'!G$7</f>
        <v>608.81876215847365</v>
      </c>
      <c r="U6" s="226">
        <f>$O6*'RAIL EMIS FACTOR'!H$7</f>
        <v>5940.1317341641397</v>
      </c>
      <c r="V6" s="226">
        <f>$O6*'RAIL EMIS FACTOR'!I$7</f>
        <v>40.163050653123847</v>
      </c>
      <c r="W6" s="226">
        <f>$O6*'RAIL EMIS FACTOR'!J$7</f>
        <v>4926122.8340642545</v>
      </c>
      <c r="X6" s="227" t="s">
        <v>339</v>
      </c>
    </row>
    <row r="7" spans="1:24" x14ac:dyDescent="0.25">
      <c r="A7" s="225">
        <v>34013</v>
      </c>
      <c r="B7" s="236" t="s">
        <v>104</v>
      </c>
      <c r="C7" s="226">
        <f t="shared" si="0"/>
        <v>17701</v>
      </c>
      <c r="D7" s="536">
        <v>17701</v>
      </c>
      <c r="E7" s="444">
        <v>15395</v>
      </c>
      <c r="F7" s="444">
        <v>15367</v>
      </c>
      <c r="G7" s="226">
        <v>1</v>
      </c>
      <c r="H7" s="226">
        <v>1</v>
      </c>
      <c r="I7" s="226"/>
      <c r="J7" s="226">
        <v>1</v>
      </c>
      <c r="K7" s="180">
        <v>1</v>
      </c>
      <c r="L7" s="180">
        <f t="shared" si="3"/>
        <v>1</v>
      </c>
      <c r="M7" s="182">
        <f t="shared" si="4"/>
        <v>0</v>
      </c>
      <c r="N7" s="255">
        <f t="shared" si="1"/>
        <v>0</v>
      </c>
      <c r="O7" s="333">
        <f t="shared" si="2"/>
        <v>17701</v>
      </c>
      <c r="P7" s="236">
        <f>$O7*'RAIL EMIS FACTOR'!C$7</f>
        <v>9699.7721121445848</v>
      </c>
      <c r="Q7" s="226">
        <f>$O7*'RAIL EMIS FACTOR'!D$7</f>
        <v>953.44257858447384</v>
      </c>
      <c r="R7" s="226">
        <f>$O7*'RAIL EMIS FACTOR'!E$7</f>
        <v>221.00746584633239</v>
      </c>
      <c r="S7" s="226">
        <f>$O7*'RAIL EMIS FACTOR'!F$7</f>
        <v>214.37724187094244</v>
      </c>
      <c r="T7" s="226">
        <f>$O7*'RAIL EMIS FACTOR'!G$7</f>
        <v>51.679626857497716</v>
      </c>
      <c r="U7" s="226">
        <f>$O7*'RAIL EMIS FACTOR'!H$7</f>
        <v>504.22853332840725</v>
      </c>
      <c r="V7" s="226">
        <f>$O7*'RAIL EMIS FACTOR'!I$7</f>
        <v>3.4092436045391539</v>
      </c>
      <c r="W7" s="226">
        <f>$O7*'RAIL EMIS FACTOR'!J$7</f>
        <v>418154.31084295886</v>
      </c>
      <c r="X7" s="227" t="s">
        <v>346</v>
      </c>
    </row>
    <row r="8" spans="1:24" x14ac:dyDescent="0.25">
      <c r="A8" s="225">
        <v>34013</v>
      </c>
      <c r="B8" s="236" t="s">
        <v>105</v>
      </c>
      <c r="C8" s="226">
        <f t="shared" si="0"/>
        <v>38748</v>
      </c>
      <c r="D8" s="536">
        <v>38748</v>
      </c>
      <c r="E8" s="444">
        <v>52640</v>
      </c>
      <c r="F8" s="444">
        <v>53575</v>
      </c>
      <c r="G8" s="226">
        <v>0</v>
      </c>
      <c r="H8" s="226">
        <v>1</v>
      </c>
      <c r="I8" s="226"/>
      <c r="J8" s="226">
        <v>1</v>
      </c>
      <c r="K8" s="180">
        <v>0.4</v>
      </c>
      <c r="L8" s="180">
        <f t="shared" si="3"/>
        <v>1</v>
      </c>
      <c r="M8" s="182">
        <f t="shared" si="4"/>
        <v>0</v>
      </c>
      <c r="N8" s="255">
        <f t="shared" si="1"/>
        <v>0</v>
      </c>
      <c r="O8" s="333">
        <f t="shared" si="2"/>
        <v>38748</v>
      </c>
      <c r="P8" s="236">
        <f>$O8*'RAIL EMIS FACTOR'!C$7</f>
        <v>21233.081170633206</v>
      </c>
      <c r="Q8" s="226">
        <f>$O8*'RAIL EMIS FACTOR'!D$7</f>
        <v>2087.1133289074737</v>
      </c>
      <c r="R8" s="226">
        <f>$O8*'RAIL EMIS FACTOR'!E$7</f>
        <v>483.79172287518713</v>
      </c>
      <c r="S8" s="226">
        <f>$O8*'RAIL EMIS FACTOR'!F$7</f>
        <v>469.27797118893153</v>
      </c>
      <c r="T8" s="226">
        <f>$O8*'RAIL EMIS FACTOR'!G$7</f>
        <v>113.12819510052095</v>
      </c>
      <c r="U8" s="226">
        <f>$O8*'RAIL EMIS FACTOR'!H$7</f>
        <v>1103.7708157397392</v>
      </c>
      <c r="V8" s="226">
        <f>$O8*'RAIL EMIS FACTOR'!I$7</f>
        <v>7.4629326698312601</v>
      </c>
      <c r="W8" s="226">
        <f>$O8*'RAIL EMIS FACTOR'!J$7</f>
        <v>915351.85789181234</v>
      </c>
      <c r="X8" s="227" t="s">
        <v>346</v>
      </c>
    </row>
    <row r="9" spans="1:24" ht="31.5" customHeight="1" x14ac:dyDescent="0.25">
      <c r="A9" s="225">
        <v>34023</v>
      </c>
      <c r="B9" s="242" t="s">
        <v>110</v>
      </c>
      <c r="C9" s="226">
        <f t="shared" si="0"/>
        <v>122430</v>
      </c>
      <c r="D9" s="536">
        <v>122430</v>
      </c>
      <c r="E9" s="444">
        <v>142579</v>
      </c>
      <c r="F9" s="444">
        <v>187531</v>
      </c>
      <c r="G9" s="226">
        <v>5</v>
      </c>
      <c r="H9" s="226">
        <v>4</v>
      </c>
      <c r="I9" s="240">
        <v>3</v>
      </c>
      <c r="J9" s="240">
        <v>1</v>
      </c>
      <c r="K9" s="180">
        <v>0.4</v>
      </c>
      <c r="L9" s="180">
        <f t="shared" si="3"/>
        <v>0.18181818181818185</v>
      </c>
      <c r="M9" s="182">
        <f t="shared" si="4"/>
        <v>0.81818181818181812</v>
      </c>
      <c r="N9" s="255">
        <f t="shared" si="1"/>
        <v>100169.99999999999</v>
      </c>
      <c r="O9" s="333">
        <f t="shared" si="2"/>
        <v>22260.000000000015</v>
      </c>
      <c r="P9" s="236">
        <f>$O9*'RAIL EMIS FACTOR'!C$7</f>
        <v>12198.007299945688</v>
      </c>
      <c r="Q9" s="226">
        <f>$O9*'RAIL EMIS FACTOR'!D$7</f>
        <v>1199.0075023609063</v>
      </c>
      <c r="R9" s="226">
        <f>$O9*'RAIL EMIS FACTOR'!E$7</f>
        <v>277.92928025192714</v>
      </c>
      <c r="S9" s="226">
        <f>$O9*'RAIL EMIS FACTOR'!F$7</f>
        <v>269.59140184436933</v>
      </c>
      <c r="T9" s="226">
        <f>$O9*'RAIL EMIS FACTOR'!G$7</f>
        <v>64.990028464374888</v>
      </c>
      <c r="U9" s="226">
        <f>$O9*'RAIL EMIS FACTOR'!H$7</f>
        <v>634.09565289477166</v>
      </c>
      <c r="V9" s="226">
        <f>$O9*'RAIL EMIS FACTOR'!I$7</f>
        <v>4.287314989946422</v>
      </c>
      <c r="W9" s="226">
        <f>$O9*'RAIL EMIS FACTOR'!J$7</f>
        <v>525852.49191369244</v>
      </c>
      <c r="X9" s="331" t="s">
        <v>341</v>
      </c>
    </row>
    <row r="10" spans="1:24" x14ac:dyDescent="0.25">
      <c r="A10" s="225">
        <v>34013</v>
      </c>
      <c r="B10" s="242" t="s">
        <v>334</v>
      </c>
      <c r="C10" s="226">
        <f t="shared" si="0"/>
        <v>112419</v>
      </c>
      <c r="D10" s="536">
        <v>112419</v>
      </c>
      <c r="E10" s="444">
        <v>344484</v>
      </c>
      <c r="F10" s="444">
        <v>379254</v>
      </c>
      <c r="G10" s="226"/>
      <c r="H10" s="226"/>
      <c r="I10" s="226"/>
      <c r="J10" s="226">
        <v>1</v>
      </c>
      <c r="K10" s="180">
        <v>0.4</v>
      </c>
      <c r="L10" s="180">
        <f t="shared" si="3"/>
        <v>1</v>
      </c>
      <c r="M10" s="182">
        <f t="shared" si="4"/>
        <v>0</v>
      </c>
      <c r="N10" s="255">
        <f t="shared" si="1"/>
        <v>0</v>
      </c>
      <c r="O10" s="333">
        <f t="shared" si="2"/>
        <v>112419</v>
      </c>
      <c r="P10" s="236">
        <f>$O10*'RAIL EMIS FACTOR'!C$7</f>
        <v>61603.22473731327</v>
      </c>
      <c r="Q10" s="226">
        <f>$O10*'RAIL EMIS FACTOR'!D$7</f>
        <v>6055.3110695377636</v>
      </c>
      <c r="R10" s="226">
        <f>$O10*'RAIL EMIS FACTOR'!E$7</f>
        <v>1403.6177788248597</v>
      </c>
      <c r="S10" s="226">
        <f>$O10*'RAIL EMIS FACTOR'!F$7</f>
        <v>1361.509245460114</v>
      </c>
      <c r="T10" s="226">
        <f>$O10*'RAIL EMIS FACTOR'!G$7</f>
        <v>328.21716127298095</v>
      </c>
      <c r="U10" s="226">
        <f>$O10*'RAIL EMIS FACTOR'!H$7</f>
        <v>3202.3539623889169</v>
      </c>
      <c r="V10" s="226">
        <f>$O10*'RAIL EMIS FACTOR'!I$7</f>
        <v>21.652096309738837</v>
      </c>
      <c r="W10" s="226">
        <f>$O10*'RAIL EMIS FACTOR'!J$7</f>
        <v>2655696.8233802947</v>
      </c>
      <c r="X10" s="227" t="s">
        <v>346</v>
      </c>
    </row>
    <row r="11" spans="1:24" x14ac:dyDescent="0.25">
      <c r="A11" s="225">
        <v>34013</v>
      </c>
      <c r="B11" s="242" t="s">
        <v>333</v>
      </c>
      <c r="C11" s="226">
        <f t="shared" si="0"/>
        <v>214789</v>
      </c>
      <c r="D11" s="536">
        <v>214789</v>
      </c>
      <c r="E11" s="444"/>
      <c r="F11" s="444"/>
      <c r="G11" s="226">
        <v>13</v>
      </c>
      <c r="H11" s="226">
        <v>5</v>
      </c>
      <c r="I11" s="226"/>
      <c r="J11" s="226">
        <v>4</v>
      </c>
      <c r="K11" s="180">
        <v>0.4</v>
      </c>
      <c r="L11" s="180">
        <f t="shared" si="3"/>
        <v>1</v>
      </c>
      <c r="M11" s="182">
        <f t="shared" si="4"/>
        <v>0</v>
      </c>
      <c r="N11" s="255">
        <f t="shared" si="1"/>
        <v>0</v>
      </c>
      <c r="O11" s="333">
        <f t="shared" si="2"/>
        <v>214789</v>
      </c>
      <c r="P11" s="236">
        <f>$O11*'RAIL EMIS FACTOR'!C$7</f>
        <v>117699.81086918386</v>
      </c>
      <c r="Q11" s="226">
        <f>$O11*'RAIL EMIS FACTOR'!D$7</f>
        <v>11569.345122398765</v>
      </c>
      <c r="R11" s="226">
        <f>$O11*'RAIL EMIS FACTOR'!E$7</f>
        <v>2681.7678425889999</v>
      </c>
      <c r="S11" s="226">
        <f>$O11*'RAIL EMIS FACTOR'!F$7</f>
        <v>2601.3148073113302</v>
      </c>
      <c r="T11" s="226">
        <f>$O11*'RAIL EMIS FACTOR'!G$7</f>
        <v>627.09538292159073</v>
      </c>
      <c r="U11" s="226">
        <f>$O11*'RAIL EMIS FACTOR'!H$7</f>
        <v>6118.4533328668022</v>
      </c>
      <c r="V11" s="226">
        <f>$O11*'RAIL EMIS FACTOR'!I$7</f>
        <v>41.368737617951545</v>
      </c>
      <c r="W11" s="226">
        <f>$O11*'RAIL EMIS FACTOR'!J$7</f>
        <v>5074004.0829132982</v>
      </c>
      <c r="X11" s="227" t="s">
        <v>346</v>
      </c>
    </row>
    <row r="12" spans="1:24" x14ac:dyDescent="0.25">
      <c r="A12" s="225">
        <v>34013</v>
      </c>
      <c r="B12" s="242" t="s">
        <v>106</v>
      </c>
      <c r="C12" s="226">
        <f t="shared" si="0"/>
        <v>208093</v>
      </c>
      <c r="D12" s="536">
        <v>208093</v>
      </c>
      <c r="E12" s="444">
        <v>280455</v>
      </c>
      <c r="F12" s="444">
        <v>254998</v>
      </c>
      <c r="G12" s="226">
        <v>5</v>
      </c>
      <c r="H12" s="226">
        <v>4</v>
      </c>
      <c r="I12" s="226"/>
      <c r="J12" s="226">
        <v>4</v>
      </c>
      <c r="K12" s="180">
        <v>0.4</v>
      </c>
      <c r="L12" s="180">
        <f t="shared" si="3"/>
        <v>1</v>
      </c>
      <c r="M12" s="182">
        <f t="shared" si="4"/>
        <v>0</v>
      </c>
      <c r="N12" s="255">
        <f t="shared" si="1"/>
        <v>0</v>
      </c>
      <c r="O12" s="333">
        <f t="shared" si="2"/>
        <v>208093</v>
      </c>
      <c r="P12" s="236">
        <f>$O12*'RAIL EMIS FACTOR'!C$7</f>
        <v>114030.54506143738</v>
      </c>
      <c r="Q12" s="226">
        <f>$O12*'RAIL EMIS FACTOR'!D$7</f>
        <v>11208.67332384492</v>
      </c>
      <c r="R12" s="226">
        <f>$O12*'RAIL EMIS FACTOR'!E$7</f>
        <v>2598.1643178555364</v>
      </c>
      <c r="S12" s="226">
        <f>$O12*'RAIL EMIS FACTOR'!F$7</f>
        <v>2520.2193883198702</v>
      </c>
      <c r="T12" s="226">
        <f>$O12*'RAIL EMIS FACTOR'!G$7</f>
        <v>607.54582179861438</v>
      </c>
      <c r="U12" s="226">
        <f>$O12*'RAIL EMIS FACTOR'!H$7</f>
        <v>5927.7118911874049</v>
      </c>
      <c r="V12" s="226">
        <f>$O12*'RAIL EMIS FACTOR'!I$7</f>
        <v>40.079076289439364</v>
      </c>
      <c r="W12" s="226">
        <f>$O12*'RAIL EMIS FACTOR'!J$7</f>
        <v>4915823.1176907429</v>
      </c>
      <c r="X12" s="227" t="s">
        <v>346</v>
      </c>
    </row>
    <row r="13" spans="1:24" ht="44.25" customHeight="1" x14ac:dyDescent="0.25">
      <c r="A13" s="225">
        <v>34023</v>
      </c>
      <c r="B13" s="242" t="s">
        <v>111</v>
      </c>
      <c r="C13" s="226">
        <f t="shared" si="0"/>
        <v>144337</v>
      </c>
      <c r="D13" s="536">
        <v>144337</v>
      </c>
      <c r="E13" s="444">
        <v>223143</v>
      </c>
      <c r="F13" s="444">
        <v>246679</v>
      </c>
      <c r="G13" s="226">
        <v>6</v>
      </c>
      <c r="H13" s="226">
        <v>4</v>
      </c>
      <c r="I13" s="226">
        <v>1</v>
      </c>
      <c r="J13" s="226">
        <v>3</v>
      </c>
      <c r="K13" s="180">
        <v>0.4</v>
      </c>
      <c r="L13" s="180">
        <f t="shared" si="3"/>
        <v>0.66666666666666663</v>
      </c>
      <c r="M13" s="182">
        <f t="shared" si="4"/>
        <v>0.33333333333333337</v>
      </c>
      <c r="N13" s="255">
        <f t="shared" si="1"/>
        <v>48112.333333333336</v>
      </c>
      <c r="O13" s="333">
        <f t="shared" si="2"/>
        <v>96224.666666666657</v>
      </c>
      <c r="P13" s="236">
        <f>$O15*'RAIL EMIS FACTOR'!C$7</f>
        <v>11951.855238888376</v>
      </c>
      <c r="Q13" s="226">
        <f>$O15*'RAIL EMIS FACTOR'!D$7</f>
        <v>1174.8118972368932</v>
      </c>
      <c r="R13" s="226">
        <f>$O15*'RAIL EMIS FACTOR'!E$7</f>
        <v>272.32075227846946</v>
      </c>
      <c r="S13" s="226">
        <f>$O15*'RAIL EMIS FACTOR'!F$7</f>
        <v>264.15112971011536</v>
      </c>
      <c r="T13" s="226">
        <f>$O15*'RAIL EMIS FACTOR'!G$7</f>
        <v>63.678549543162042</v>
      </c>
      <c r="U13" s="226">
        <f>$O15*'RAIL EMIS FACTOR'!H$7</f>
        <v>621.29979632332788</v>
      </c>
      <c r="V13" s="226">
        <f>$O15*'RAIL EMIS FACTOR'!I$7</f>
        <v>4.2007982831412116</v>
      </c>
      <c r="W13" s="226">
        <f>$O15*'RAIL EMIS FACTOR'!J$7</f>
        <v>515240.94926465221</v>
      </c>
      <c r="X13" s="331" t="s">
        <v>350</v>
      </c>
    </row>
    <row r="14" spans="1:24" x14ac:dyDescent="0.25">
      <c r="A14" s="204">
        <v>34035</v>
      </c>
      <c r="B14" s="115" t="s">
        <v>331</v>
      </c>
      <c r="C14" s="183">
        <v>60490</v>
      </c>
      <c r="D14" s="537"/>
      <c r="E14" s="538"/>
      <c r="F14" s="538">
        <v>110754</v>
      </c>
      <c r="G14" s="183">
        <v>1</v>
      </c>
      <c r="H14" s="183">
        <v>1</v>
      </c>
      <c r="I14" s="183"/>
      <c r="J14" s="183">
        <v>1</v>
      </c>
      <c r="K14" s="199">
        <v>0.4</v>
      </c>
      <c r="L14" s="199">
        <f t="shared" si="3"/>
        <v>1</v>
      </c>
      <c r="M14" s="185">
        <f t="shared" si="4"/>
        <v>0</v>
      </c>
      <c r="N14" s="286">
        <f t="shared" si="1"/>
        <v>0</v>
      </c>
      <c r="O14" s="333">
        <f t="shared" si="2"/>
        <v>60490</v>
      </c>
      <c r="P14" s="236">
        <f>$O14*'RAIL EMIS FACTOR'!C$7</f>
        <v>33147.235470517255</v>
      </c>
      <c r="Q14" s="226">
        <f>$O14*'RAIL EMIS FACTOR'!D$7</f>
        <v>3258.2193988235026</v>
      </c>
      <c r="R14" s="226">
        <f>$O14*'RAIL EMIS FACTOR'!E$7</f>
        <v>755.25346641684916</v>
      </c>
      <c r="S14" s="226">
        <f>$O14*'RAIL EMIS FACTOR'!F$7</f>
        <v>732.59586242434375</v>
      </c>
      <c r="T14" s="226">
        <f>$O14*'RAIL EMIS FACTOR'!G$7</f>
        <v>176.60587699056759</v>
      </c>
      <c r="U14" s="226">
        <f>$O14*'RAIL EMIS FACTOR'!H$7</f>
        <v>1723.1107836300409</v>
      </c>
      <c r="V14" s="226">
        <f>$O14*'RAIL EMIS FACTOR'!I$7</f>
        <v>11.65047995246446</v>
      </c>
      <c r="W14" s="226">
        <f>$O14*'RAIL EMIS FACTOR'!J$7</f>
        <v>1428967.5308112865</v>
      </c>
      <c r="X14" s="227" t="s">
        <v>347</v>
      </c>
    </row>
    <row r="15" spans="1:24" ht="39" customHeight="1" x14ac:dyDescent="0.25">
      <c r="A15" s="303">
        <v>34005</v>
      </c>
      <c r="B15" s="360" t="s">
        <v>100</v>
      </c>
      <c r="C15" s="360">
        <f>D15</f>
        <v>54527</v>
      </c>
      <c r="D15" s="444">
        <v>54527</v>
      </c>
      <c r="E15" s="444">
        <v>40250</v>
      </c>
      <c r="F15" s="444">
        <v>46416</v>
      </c>
      <c r="G15" s="360">
        <v>2</v>
      </c>
      <c r="H15" s="360">
        <v>2</v>
      </c>
      <c r="I15" s="360">
        <v>1</v>
      </c>
      <c r="J15" s="240">
        <v>1</v>
      </c>
      <c r="K15" s="180">
        <v>0.4</v>
      </c>
      <c r="L15" s="180">
        <f t="shared" si="3"/>
        <v>0.4</v>
      </c>
      <c r="M15" s="182">
        <f t="shared" si="4"/>
        <v>0.6</v>
      </c>
      <c r="N15" s="452">
        <f t="shared" si="1"/>
        <v>32716.199999999997</v>
      </c>
      <c r="O15" s="333">
        <f t="shared" si="2"/>
        <v>21810.800000000003</v>
      </c>
      <c r="P15" s="236">
        <f>$O15*'RAIL EMIS FACTOR'!C$7</f>
        <v>11951.855238888376</v>
      </c>
      <c r="Q15" s="226">
        <f>$O15*'RAIL EMIS FACTOR'!D$7</f>
        <v>1174.8118972368932</v>
      </c>
      <c r="R15" s="226">
        <f>$O15*'RAIL EMIS FACTOR'!E$7</f>
        <v>272.32075227846946</v>
      </c>
      <c r="S15" s="226">
        <f>$O15*'RAIL EMIS FACTOR'!F$7</f>
        <v>264.15112971011536</v>
      </c>
      <c r="T15" s="226">
        <f>$O15*'RAIL EMIS FACTOR'!G$7</f>
        <v>63.678549543162042</v>
      </c>
      <c r="U15" s="226">
        <f>$O15*'RAIL EMIS FACTOR'!H$7</f>
        <v>621.29979632332788</v>
      </c>
      <c r="V15" s="226">
        <f>$O15*'RAIL EMIS FACTOR'!I$7</f>
        <v>4.2007982831412116</v>
      </c>
      <c r="W15" s="226">
        <f>$O15*'RAIL EMIS FACTOR'!J$7</f>
        <v>515240.94926465221</v>
      </c>
      <c r="X15" s="331" t="s">
        <v>348</v>
      </c>
    </row>
    <row r="16" spans="1:24" ht="45.75" customHeight="1" x14ac:dyDescent="0.25">
      <c r="A16" s="303">
        <v>34007</v>
      </c>
      <c r="B16" s="360" t="s">
        <v>101</v>
      </c>
      <c r="C16" s="360">
        <f>D16</f>
        <v>536208</v>
      </c>
      <c r="D16" s="444">
        <v>536208</v>
      </c>
      <c r="E16" s="444">
        <v>558540</v>
      </c>
      <c r="F16" s="444">
        <v>589665</v>
      </c>
      <c r="G16" s="360">
        <v>11</v>
      </c>
      <c r="H16" s="360">
        <v>13</v>
      </c>
      <c r="I16" s="240">
        <v>3</v>
      </c>
      <c r="J16" s="240">
        <v>10</v>
      </c>
      <c r="K16" s="180">
        <v>0.4</v>
      </c>
      <c r="L16" s="180">
        <f t="shared" si="3"/>
        <v>0.68965517241379315</v>
      </c>
      <c r="M16" s="182">
        <f t="shared" si="4"/>
        <v>0.31034482758620685</v>
      </c>
      <c r="N16" s="452">
        <f t="shared" si="1"/>
        <v>166409.37931034481</v>
      </c>
      <c r="O16" s="333">
        <f t="shared" si="2"/>
        <v>369798.62068965519</v>
      </c>
      <c r="P16" s="236">
        <f>$O16*'RAIL EMIS FACTOR'!C$7</f>
        <v>202641.79131546529</v>
      </c>
      <c r="Q16" s="226">
        <f>$O16*'RAIL EMIS FACTOR'!D$7</f>
        <v>19918.747554789366</v>
      </c>
      <c r="R16" s="226">
        <f>$O16*'RAIL EMIS FACTOR'!E$7</f>
        <v>4617.1547388333884</v>
      </c>
      <c r="S16" s="226">
        <f>$O16*'RAIL EMIS FACTOR'!F$7</f>
        <v>4478.6400966683868</v>
      </c>
      <c r="T16" s="226">
        <f>$O16*'RAIL EMIS FACTOR'!G$7</f>
        <v>1079.6596084774146</v>
      </c>
      <c r="U16" s="226">
        <f>$O16*'RAIL EMIS FACTOR'!H$7</f>
        <v>10534.038536648372</v>
      </c>
      <c r="V16" s="226">
        <f>$O16*'RAIL EMIS FACTOR'!I$7</f>
        <v>71.223862072968046</v>
      </c>
      <c r="W16" s="226">
        <f>$O16*'RAIL EMIS FACTOR'!J$7</f>
        <v>8735827.7716038376</v>
      </c>
      <c r="X16" s="331" t="s">
        <v>349</v>
      </c>
    </row>
    <row r="17" spans="1:24" ht="46.5" customHeight="1" x14ac:dyDescent="0.25">
      <c r="A17" s="303">
        <v>34011</v>
      </c>
      <c r="B17" s="360" t="s">
        <v>102</v>
      </c>
      <c r="C17" s="360">
        <f>D17</f>
        <v>82565</v>
      </c>
      <c r="D17" s="444">
        <v>82565</v>
      </c>
      <c r="E17" s="444">
        <v>67760</v>
      </c>
      <c r="F17" s="444">
        <v>47757</v>
      </c>
      <c r="G17" s="360">
        <v>2</v>
      </c>
      <c r="H17" s="360">
        <v>2</v>
      </c>
      <c r="I17" s="240">
        <v>1</v>
      </c>
      <c r="J17" s="360">
        <v>1</v>
      </c>
      <c r="K17" s="180">
        <v>0.4</v>
      </c>
      <c r="L17" s="180">
        <f t="shared" si="3"/>
        <v>0.4</v>
      </c>
      <c r="M17" s="182">
        <f t="shared" si="4"/>
        <v>0.6</v>
      </c>
      <c r="N17" s="452">
        <f t="shared" si="1"/>
        <v>49539</v>
      </c>
      <c r="O17" s="333">
        <f t="shared" si="2"/>
        <v>33026</v>
      </c>
      <c r="P17" s="236">
        <f>$O17*'RAIL EMIS FACTOR'!C$7</f>
        <v>18097.54667960494</v>
      </c>
      <c r="Q17" s="226">
        <f>$O17*'RAIL EMIS FACTOR'!D$7</f>
        <v>1778.9048415530667</v>
      </c>
      <c r="R17" s="226">
        <f>$O17*'RAIL EMIS FACTOR'!E$7</f>
        <v>412.3491648517583</v>
      </c>
      <c r="S17" s="226">
        <f>$O17*'RAIL EMIS FACTOR'!F$7</f>
        <v>399.9786899062056</v>
      </c>
      <c r="T17" s="226">
        <f>$O17*'RAIL EMIS FACTOR'!G$7</f>
        <v>96.422312671358654</v>
      </c>
      <c r="U17" s="226">
        <f>$O17*'RAIL EMIS FACTOR'!H$7</f>
        <v>940.77461960928633</v>
      </c>
      <c r="V17" s="226">
        <f>$O17*'RAIL EMIS FACTOR'!I$7</f>
        <v>6.3608654473481776</v>
      </c>
      <c r="W17" s="226">
        <f>$O17*'RAIL EMIS FACTOR'!J$7</f>
        <v>780179.89209081745</v>
      </c>
      <c r="X17" s="331" t="s">
        <v>343</v>
      </c>
    </row>
    <row r="18" spans="1:24" ht="48" customHeight="1" x14ac:dyDescent="0.25">
      <c r="A18" s="303">
        <v>34015</v>
      </c>
      <c r="B18" s="360" t="s">
        <v>107</v>
      </c>
      <c r="C18" s="360">
        <f>F18</f>
        <v>84050</v>
      </c>
      <c r="D18" s="444">
        <v>110800</v>
      </c>
      <c r="E18" s="444">
        <v>92815</v>
      </c>
      <c r="F18" s="444">
        <v>84050</v>
      </c>
      <c r="G18" s="360">
        <v>3</v>
      </c>
      <c r="H18" s="360">
        <v>2</v>
      </c>
      <c r="I18" s="360">
        <v>1</v>
      </c>
      <c r="J18" s="360">
        <v>1</v>
      </c>
      <c r="K18" s="180">
        <v>0.4</v>
      </c>
      <c r="L18" s="180">
        <f t="shared" si="3"/>
        <v>0.4</v>
      </c>
      <c r="M18" s="182">
        <f t="shared" si="4"/>
        <v>0.6</v>
      </c>
      <c r="N18" s="452">
        <f t="shared" si="1"/>
        <v>50430</v>
      </c>
      <c r="O18" s="333">
        <f t="shared" si="2"/>
        <v>33620</v>
      </c>
      <c r="P18" s="236">
        <f>$O18*'RAIL EMIS FACTOR'!C$7</f>
        <v>18423.046065775998</v>
      </c>
      <c r="Q18" s="226">
        <f>$O18*'RAIL EMIS FACTOR'!D$7</f>
        <v>1810.8999204570368</v>
      </c>
      <c r="R18" s="226">
        <f>$O18*'RAIL EMIS FACTOR'!E$7</f>
        <v>419.76560656198495</v>
      </c>
      <c r="S18" s="226">
        <f>$O18*'RAIL EMIS FACTOR'!F$7</f>
        <v>407.17263836512541</v>
      </c>
      <c r="T18" s="226">
        <f>$O18*'RAIL EMIS FACTOR'!G$7</f>
        <v>98.156547932267856</v>
      </c>
      <c r="U18" s="226">
        <f>$O18*'RAIL EMIS FACTOR'!H$7</f>
        <v>957.69523137116846</v>
      </c>
      <c r="V18" s="226">
        <f>$O18*'RAIL EMIS FACTOR'!I$7</f>
        <v>6.4752708877807104</v>
      </c>
      <c r="W18" s="226">
        <f>$O18*'RAIL EMIS FACTOR'!J$7</f>
        <v>794212.07448959257</v>
      </c>
      <c r="X18" s="331" t="s">
        <v>719</v>
      </c>
    </row>
    <row r="19" spans="1:24" x14ac:dyDescent="0.25">
      <c r="A19" s="535"/>
      <c r="B19" s="106"/>
      <c r="C19" s="106"/>
      <c r="D19" s="106"/>
      <c r="E19" s="106"/>
      <c r="F19" s="106"/>
      <c r="G19" s="106"/>
      <c r="H19" s="106"/>
      <c r="I19" s="106">
        <f>SUM(I4:I18)</f>
        <v>11</v>
      </c>
      <c r="J19" s="106">
        <f>SUM(J4:J18)</f>
        <v>35</v>
      </c>
      <c r="K19" s="246"/>
      <c r="L19" s="246"/>
      <c r="M19" s="246" t="s">
        <v>119</v>
      </c>
      <c r="N19" s="256">
        <f>SUM(N4:N18)</f>
        <v>488922.19835796382</v>
      </c>
      <c r="O19" s="333">
        <f>SUM(O4:O18)</f>
        <v>1527227.8016420363</v>
      </c>
      <c r="P19" s="236">
        <f>SUM(P4:P18)</f>
        <v>796111.18527818355</v>
      </c>
      <c r="Q19" s="226">
        <f t="shared" ref="Q19:W19" si="5">SUM(Q4:Q18)</f>
        <v>78254.034482027695</v>
      </c>
      <c r="R19" s="226">
        <f t="shared" si="5"/>
        <v>18139.242196211781</v>
      </c>
      <c r="S19" s="226">
        <f t="shared" si="5"/>
        <v>17595.064930325429</v>
      </c>
      <c r="T19" s="226">
        <f t="shared" si="5"/>
        <v>4241.6181036608132</v>
      </c>
      <c r="U19" s="226">
        <f t="shared" si="5"/>
        <v>41384.68107065717</v>
      </c>
      <c r="V19" s="226">
        <f t="shared" si="5"/>
        <v>279.81450858144404</v>
      </c>
      <c r="W19" s="226">
        <f t="shared" si="5"/>
        <v>34320118.059017733</v>
      </c>
      <c r="X19" s="227"/>
    </row>
    <row r="20" spans="1:24" x14ac:dyDescent="0.25">
      <c r="A20" s="225"/>
      <c r="B20" s="226"/>
      <c r="C20" s="226"/>
      <c r="D20" s="226"/>
      <c r="E20" s="226"/>
      <c r="F20" s="226"/>
      <c r="G20" s="226"/>
      <c r="H20" s="226"/>
      <c r="I20" s="226"/>
      <c r="J20" s="226"/>
      <c r="K20" s="180"/>
      <c r="L20" s="180"/>
      <c r="M20" s="180" t="s">
        <v>119</v>
      </c>
      <c r="N20" s="255">
        <f>SUM(N19:O19)</f>
        <v>2016150</v>
      </c>
      <c r="O20" s="333"/>
      <c r="P20" s="236"/>
      <c r="Q20" s="226"/>
      <c r="R20" s="226"/>
      <c r="S20" s="226"/>
      <c r="T20" s="226"/>
      <c r="U20" s="226"/>
      <c r="V20" s="226"/>
      <c r="W20" s="226"/>
      <c r="X20" s="227"/>
    </row>
    <row r="21" spans="1:24" x14ac:dyDescent="0.25">
      <c r="A21" s="225"/>
      <c r="B21" s="226"/>
      <c r="C21" s="226"/>
      <c r="D21" s="226"/>
      <c r="E21" s="226"/>
      <c r="F21" s="226"/>
      <c r="G21" s="226"/>
      <c r="H21" s="226"/>
      <c r="I21" s="226"/>
      <c r="J21" s="226"/>
      <c r="K21" s="180"/>
      <c r="L21" s="180"/>
      <c r="M21" s="180"/>
      <c r="N21" s="255"/>
      <c r="O21" s="333"/>
      <c r="P21" s="236"/>
      <c r="Q21" s="226"/>
      <c r="R21" s="226"/>
      <c r="S21" s="226"/>
      <c r="T21" s="226"/>
      <c r="U21" s="226"/>
      <c r="V21" s="226"/>
      <c r="W21" s="226"/>
      <c r="X21" s="227"/>
    </row>
    <row r="22" spans="1:24" x14ac:dyDescent="0.25">
      <c r="A22" s="225"/>
      <c r="B22" s="226"/>
      <c r="C22" s="226"/>
      <c r="D22" s="226"/>
      <c r="E22" s="226"/>
      <c r="F22" s="226"/>
      <c r="G22" s="226">
        <v>60</v>
      </c>
      <c r="H22" s="226">
        <f>SUM(H4:H21)</f>
        <v>46</v>
      </c>
      <c r="I22" s="226"/>
      <c r="J22" s="226"/>
      <c r="K22" s="180"/>
      <c r="L22" s="180"/>
      <c r="M22" s="180"/>
      <c r="N22" s="255"/>
      <c r="O22" s="333"/>
      <c r="P22" s="236"/>
      <c r="Q22" s="226"/>
      <c r="R22" s="226"/>
      <c r="S22" s="226"/>
      <c r="T22" s="226"/>
      <c r="U22" s="226"/>
      <c r="V22" s="226"/>
      <c r="W22" s="226"/>
      <c r="X22" s="227"/>
    </row>
    <row r="23" spans="1:24" ht="15.75" thickBot="1" x14ac:dyDescent="0.3">
      <c r="A23" s="228"/>
      <c r="B23" s="22" t="s">
        <v>248</v>
      </c>
      <c r="C23" s="229">
        <f>SUM(C4:C22)</f>
        <v>2016150</v>
      </c>
      <c r="D23" s="208">
        <f>SUM(D4:D21)</f>
        <v>1982410</v>
      </c>
      <c r="E23" s="229">
        <f>SUM(E4:E22)</f>
        <v>2244171</v>
      </c>
      <c r="F23" s="229">
        <f>SUM(F4:F22)</f>
        <v>2397905</v>
      </c>
      <c r="G23" s="229"/>
      <c r="H23" s="229"/>
      <c r="I23" s="229"/>
      <c r="J23" s="229"/>
      <c r="K23" s="209"/>
      <c r="L23" s="209"/>
      <c r="M23" s="209"/>
      <c r="N23" s="244"/>
      <c r="O23" s="334"/>
      <c r="P23" s="208"/>
      <c r="Q23" s="229"/>
      <c r="R23" s="229"/>
      <c r="S23" s="229"/>
      <c r="T23" s="229"/>
      <c r="U23" s="229"/>
      <c r="V23" s="229"/>
      <c r="W23" s="229"/>
      <c r="X23" s="230"/>
    </row>
    <row r="24" spans="1:24" x14ac:dyDescent="0.25">
      <c r="A24" t="s">
        <v>730</v>
      </c>
      <c r="B24" s="6"/>
      <c r="C24" s="6"/>
      <c r="D24" s="6"/>
      <c r="E24" s="6"/>
      <c r="F24" s="6"/>
      <c r="H24" s="6"/>
      <c r="I24" s="6"/>
      <c r="J24" s="6"/>
      <c r="K24" s="6"/>
      <c r="L24" s="6"/>
      <c r="M24" s="6"/>
      <c r="N24" s="6"/>
      <c r="O24" s="6"/>
    </row>
    <row r="25" spans="1:24" x14ac:dyDescent="0.25">
      <c r="A25" t="s">
        <v>833</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A2" sqref="A2"/>
    </sheetView>
  </sheetViews>
  <sheetFormatPr defaultRowHeight="15" x14ac:dyDescent="0.25"/>
  <cols>
    <col min="1" max="1" width="6.5703125" customWidth="1"/>
    <col min="2" max="2" width="19.5703125" customWidth="1"/>
    <col min="3" max="3" width="8.140625" customWidth="1"/>
    <col min="7" max="7" width="5.85546875" customWidth="1"/>
    <col min="8" max="8" width="6.140625" customWidth="1"/>
    <col min="9" max="9" width="5.85546875" customWidth="1"/>
    <col min="10" max="10" width="7.42578125" customWidth="1"/>
    <col min="13" max="13" width="8.5703125" customWidth="1"/>
    <col min="14" max="14" width="9.5703125" customWidth="1"/>
    <col min="15" max="15" width="9.85546875" customWidth="1"/>
    <col min="16" max="16" width="31.42578125" customWidth="1"/>
  </cols>
  <sheetData>
    <row r="1" spans="1:18" ht="15.75" thickBot="1" x14ac:dyDescent="0.3">
      <c r="A1" s="31" t="s">
        <v>1006</v>
      </c>
    </row>
    <row r="2" spans="1:18" x14ac:dyDescent="0.25">
      <c r="A2" s="222" t="s">
        <v>79</v>
      </c>
      <c r="B2" s="223" t="s">
        <v>734</v>
      </c>
      <c r="C2" s="223" t="s">
        <v>729</v>
      </c>
      <c r="D2" s="201" t="s">
        <v>723</v>
      </c>
      <c r="E2" s="243"/>
      <c r="F2" s="243"/>
      <c r="G2" s="243"/>
      <c r="H2" s="206"/>
      <c r="I2" s="201" t="s">
        <v>731</v>
      </c>
      <c r="J2" s="206"/>
      <c r="K2" s="243"/>
      <c r="L2" s="243"/>
      <c r="M2" s="243"/>
      <c r="N2" s="243"/>
      <c r="O2" s="243"/>
      <c r="P2" s="201" t="s">
        <v>135</v>
      </c>
      <c r="Q2" s="111"/>
      <c r="R2" s="6"/>
    </row>
    <row r="3" spans="1:18" ht="45" x14ac:dyDescent="0.25">
      <c r="A3" s="225"/>
      <c r="B3" s="242"/>
      <c r="C3" s="226">
        <v>2014</v>
      </c>
      <c r="D3" s="236">
        <v>2008</v>
      </c>
      <c r="E3" s="226">
        <v>2007</v>
      </c>
      <c r="F3" s="226" t="s">
        <v>721</v>
      </c>
      <c r="G3" s="263" t="s">
        <v>732</v>
      </c>
      <c r="H3" s="263" t="s">
        <v>733</v>
      </c>
      <c r="I3" s="226" t="s">
        <v>335</v>
      </c>
      <c r="J3" s="226" t="s">
        <v>340</v>
      </c>
      <c r="K3" s="232" t="s">
        <v>742</v>
      </c>
      <c r="L3" s="232" t="s">
        <v>743</v>
      </c>
      <c r="M3" s="279" t="s">
        <v>744</v>
      </c>
      <c r="N3" s="279" t="s">
        <v>741</v>
      </c>
      <c r="O3" s="279" t="s">
        <v>825</v>
      </c>
      <c r="P3" s="180"/>
      <c r="Q3" s="111"/>
      <c r="R3" s="6"/>
    </row>
    <row r="4" spans="1:18" x14ac:dyDescent="0.25">
      <c r="A4" s="225">
        <v>34017</v>
      </c>
      <c r="B4" s="236" t="s">
        <v>108</v>
      </c>
      <c r="C4" s="226">
        <f t="shared" ref="C4:C13" si="0">D4</f>
        <v>96939</v>
      </c>
      <c r="D4" s="241">
        <v>96939</v>
      </c>
      <c r="E4" s="226">
        <v>91675</v>
      </c>
      <c r="F4" s="226">
        <v>88297</v>
      </c>
      <c r="G4" s="226">
        <v>3</v>
      </c>
      <c r="H4" s="226">
        <v>3</v>
      </c>
      <c r="I4" s="240">
        <v>1</v>
      </c>
      <c r="J4" s="226">
        <v>2</v>
      </c>
      <c r="K4" s="180">
        <v>0.4</v>
      </c>
      <c r="L4" s="180">
        <f>(K4*J4)/(K4*J4+(1-K4)*I4)</f>
        <v>0.57142857142857151</v>
      </c>
      <c r="M4" s="182">
        <f>1-L4</f>
        <v>0.42857142857142849</v>
      </c>
      <c r="N4" s="255">
        <f t="shared" ref="N4:N9" si="1">M4*C4</f>
        <v>41545.28571428571</v>
      </c>
      <c r="O4" s="255">
        <f>C4-N4</f>
        <v>55393.71428571429</v>
      </c>
      <c r="P4" s="237" t="s">
        <v>745</v>
      </c>
      <c r="Q4" s="111" t="s">
        <v>896</v>
      </c>
      <c r="R4" s="6"/>
    </row>
    <row r="5" spans="1:18" ht="37.5" customHeight="1" x14ac:dyDescent="0.25">
      <c r="A5" s="225">
        <v>34039</v>
      </c>
      <c r="B5" s="242" t="s">
        <v>332</v>
      </c>
      <c r="C5" s="226">
        <f t="shared" si="0"/>
        <v>89568</v>
      </c>
      <c r="D5" s="241">
        <v>89568</v>
      </c>
      <c r="E5" s="226">
        <v>26892</v>
      </c>
      <c r="F5" s="226"/>
      <c r="G5" s="226"/>
      <c r="H5" s="239">
        <v>2</v>
      </c>
      <c r="I5" s="226">
        <v>2</v>
      </c>
      <c r="J5" s="226"/>
      <c r="K5" s="180">
        <v>0.4</v>
      </c>
      <c r="L5" s="180">
        <f t="shared" ref="L5:L25" si="2">(K5*J5)/(K5*J5+(1-K5)*I5)</f>
        <v>0</v>
      </c>
      <c r="M5" s="182">
        <f t="shared" ref="M5:M25" si="3">1-L5</f>
        <v>1</v>
      </c>
      <c r="N5" s="255">
        <f t="shared" si="1"/>
        <v>89568</v>
      </c>
      <c r="O5" s="255">
        <f t="shared" ref="O5:O25" si="4">C5-N5</f>
        <v>0</v>
      </c>
      <c r="P5" s="237" t="s">
        <v>342</v>
      </c>
      <c r="Q5" s="111" t="s">
        <v>585</v>
      </c>
      <c r="R5" s="6"/>
    </row>
    <row r="6" spans="1:18" ht="50.25" customHeight="1" x14ac:dyDescent="0.25">
      <c r="A6" s="225"/>
      <c r="B6" s="236" t="s">
        <v>724</v>
      </c>
      <c r="C6" s="226">
        <f t="shared" si="0"/>
        <v>41122</v>
      </c>
      <c r="D6" s="6">
        <v>41122</v>
      </c>
      <c r="E6" s="226">
        <f>37660</f>
        <v>37660</v>
      </c>
      <c r="F6" s="226">
        <v>6210</v>
      </c>
      <c r="G6" s="226"/>
      <c r="H6" s="226">
        <f>SUM(I6)</f>
        <v>2</v>
      </c>
      <c r="I6" s="226">
        <v>2</v>
      </c>
      <c r="J6" s="226"/>
      <c r="K6" s="180">
        <v>0.4</v>
      </c>
      <c r="L6" s="180">
        <f t="shared" si="2"/>
        <v>0</v>
      </c>
      <c r="M6" s="182">
        <f t="shared" si="3"/>
        <v>1</v>
      </c>
      <c r="N6" s="255">
        <f t="shared" si="1"/>
        <v>41122</v>
      </c>
      <c r="O6" s="255">
        <f t="shared" si="4"/>
        <v>0</v>
      </c>
      <c r="P6" s="237" t="s">
        <v>344</v>
      </c>
      <c r="Q6" s="111" t="s">
        <v>897</v>
      </c>
      <c r="R6" s="6"/>
    </row>
    <row r="7" spans="1:18" ht="50.25" customHeight="1" x14ac:dyDescent="0.25">
      <c r="A7" s="225"/>
      <c r="B7" s="242" t="s">
        <v>725</v>
      </c>
      <c r="C7" s="226">
        <f>E7</f>
        <v>38335</v>
      </c>
      <c r="D7" s="241">
        <v>25917</v>
      </c>
      <c r="E7" s="226">
        <v>38335</v>
      </c>
      <c r="F7" s="226">
        <v>35343</v>
      </c>
      <c r="G7" s="226">
        <v>2</v>
      </c>
      <c r="H7" s="226"/>
      <c r="I7" s="240">
        <v>2</v>
      </c>
      <c r="J7" s="226"/>
      <c r="K7" s="180">
        <v>0.4</v>
      </c>
      <c r="L7" s="180"/>
      <c r="M7" s="182">
        <v>1</v>
      </c>
      <c r="N7" s="255">
        <f t="shared" si="1"/>
        <v>38335</v>
      </c>
      <c r="O7" s="255">
        <f t="shared" si="4"/>
        <v>0</v>
      </c>
      <c r="P7" s="335" t="s">
        <v>902</v>
      </c>
      <c r="Q7" s="111" t="s">
        <v>897</v>
      </c>
      <c r="R7" s="6"/>
    </row>
    <row r="8" spans="1:18" ht="50.25" customHeight="1" x14ac:dyDescent="0.25">
      <c r="A8" s="225"/>
      <c r="B8" s="242" t="s">
        <v>727</v>
      </c>
      <c r="C8" s="226">
        <f>D8</f>
        <v>3051</v>
      </c>
      <c r="D8" s="241">
        <v>3051</v>
      </c>
      <c r="E8" s="226">
        <v>1785</v>
      </c>
      <c r="F8" s="226"/>
      <c r="G8" s="226"/>
      <c r="H8" s="226"/>
      <c r="I8" s="226">
        <v>2</v>
      </c>
      <c r="J8" s="226"/>
      <c r="K8" s="180">
        <v>0.4</v>
      </c>
      <c r="L8" s="180"/>
      <c r="M8" s="182">
        <v>1</v>
      </c>
      <c r="N8" s="255">
        <f t="shared" si="1"/>
        <v>3051</v>
      </c>
      <c r="O8" s="255">
        <f t="shared" si="4"/>
        <v>0</v>
      </c>
      <c r="P8" s="335" t="s">
        <v>902</v>
      </c>
      <c r="Q8" s="111" t="s">
        <v>896</v>
      </c>
      <c r="R8" s="6"/>
    </row>
    <row r="9" spans="1:18" ht="50.25" customHeight="1" x14ac:dyDescent="0.25">
      <c r="A9" s="225"/>
      <c r="B9" s="242" t="s">
        <v>728</v>
      </c>
      <c r="C9" s="226">
        <f>D9</f>
        <v>4400</v>
      </c>
      <c r="D9" s="241">
        <v>4400</v>
      </c>
      <c r="E9" s="226">
        <v>4450</v>
      </c>
      <c r="F9" s="226"/>
      <c r="G9" s="226"/>
      <c r="H9" s="226"/>
      <c r="I9" s="226">
        <v>2</v>
      </c>
      <c r="J9" s="226"/>
      <c r="K9" s="180">
        <v>0.4</v>
      </c>
      <c r="L9" s="180"/>
      <c r="M9" s="182">
        <v>1</v>
      </c>
      <c r="N9" s="255">
        <f t="shared" si="1"/>
        <v>4400</v>
      </c>
      <c r="O9" s="255">
        <f t="shared" si="4"/>
        <v>0</v>
      </c>
      <c r="P9" s="335" t="s">
        <v>902</v>
      </c>
      <c r="Q9" s="111" t="s">
        <v>585</v>
      </c>
      <c r="R9" s="6"/>
    </row>
    <row r="10" spans="1:18" x14ac:dyDescent="0.25">
      <c r="A10" s="225">
        <v>34013</v>
      </c>
      <c r="B10" s="242" t="s">
        <v>103</v>
      </c>
      <c r="C10" s="226">
        <f t="shared" si="0"/>
        <v>34325</v>
      </c>
      <c r="D10" s="241">
        <v>34325</v>
      </c>
      <c r="E10" s="226">
        <v>36888</v>
      </c>
      <c r="F10" s="226">
        <v>30137</v>
      </c>
      <c r="G10" s="226"/>
      <c r="H10" s="226">
        <v>1</v>
      </c>
      <c r="I10" s="226"/>
      <c r="J10" s="226">
        <v>1</v>
      </c>
      <c r="K10" s="180">
        <v>1</v>
      </c>
      <c r="L10" s="180">
        <f t="shared" si="2"/>
        <v>1</v>
      </c>
      <c r="M10" s="182">
        <f t="shared" si="3"/>
        <v>0</v>
      </c>
      <c r="N10" s="255">
        <f t="shared" ref="N10:N25" si="5">M10*C10</f>
        <v>0</v>
      </c>
      <c r="O10" s="255">
        <f t="shared" si="4"/>
        <v>34325</v>
      </c>
      <c r="P10" s="180" t="s">
        <v>346</v>
      </c>
      <c r="Q10" s="111" t="s">
        <v>585</v>
      </c>
      <c r="R10" s="6"/>
    </row>
    <row r="11" spans="1:18" x14ac:dyDescent="0.25">
      <c r="A11" s="225">
        <v>34023</v>
      </c>
      <c r="B11" s="242" t="s">
        <v>109</v>
      </c>
      <c r="C11" s="226">
        <f t="shared" si="0"/>
        <v>208529</v>
      </c>
      <c r="D11" s="241">
        <v>208529</v>
      </c>
      <c r="E11" s="226">
        <v>297547</v>
      </c>
      <c r="F11" s="226">
        <v>263425</v>
      </c>
      <c r="G11" s="226">
        <v>6</v>
      </c>
      <c r="H11" s="226">
        <v>3</v>
      </c>
      <c r="I11" s="240"/>
      <c r="J11" s="240">
        <v>3</v>
      </c>
      <c r="K11" s="180">
        <v>1</v>
      </c>
      <c r="L11" s="180">
        <f t="shared" si="2"/>
        <v>1</v>
      </c>
      <c r="M11" s="182">
        <f t="shared" si="3"/>
        <v>0</v>
      </c>
      <c r="N11" s="255">
        <f t="shared" si="5"/>
        <v>0</v>
      </c>
      <c r="O11" s="255">
        <f t="shared" si="4"/>
        <v>208529</v>
      </c>
      <c r="P11" s="180" t="s">
        <v>339</v>
      </c>
      <c r="Q11" s="111" t="s">
        <v>585</v>
      </c>
      <c r="R11" s="6"/>
    </row>
    <row r="12" spans="1:18" x14ac:dyDescent="0.25">
      <c r="A12" s="225">
        <v>34023</v>
      </c>
      <c r="B12" s="242" t="s">
        <v>726</v>
      </c>
      <c r="C12" s="226">
        <f t="shared" si="0"/>
        <v>6774</v>
      </c>
      <c r="D12" s="241">
        <v>6774</v>
      </c>
      <c r="E12" s="226"/>
      <c r="F12" s="226"/>
      <c r="G12" s="226"/>
      <c r="H12" s="226">
        <v>1</v>
      </c>
      <c r="I12" s="226">
        <v>1</v>
      </c>
      <c r="J12" s="226"/>
      <c r="K12" s="180">
        <v>0.4</v>
      </c>
      <c r="L12" s="180">
        <f t="shared" si="2"/>
        <v>0</v>
      </c>
      <c r="M12" s="182">
        <f t="shared" si="3"/>
        <v>1</v>
      </c>
      <c r="N12" s="255">
        <f t="shared" si="5"/>
        <v>6774</v>
      </c>
      <c r="O12" s="255">
        <f t="shared" si="4"/>
        <v>0</v>
      </c>
      <c r="P12" s="180" t="s">
        <v>323</v>
      </c>
      <c r="Q12" s="111" t="s">
        <v>585</v>
      </c>
      <c r="R12" s="6"/>
    </row>
    <row r="13" spans="1:18" x14ac:dyDescent="0.25">
      <c r="A13" s="225">
        <v>34013</v>
      </c>
      <c r="B13" s="236" t="s">
        <v>104</v>
      </c>
      <c r="C13" s="226">
        <f t="shared" si="0"/>
        <v>17701</v>
      </c>
      <c r="D13" s="241">
        <v>17701</v>
      </c>
      <c r="E13" s="226">
        <v>15395</v>
      </c>
      <c r="F13" s="226">
        <v>15367</v>
      </c>
      <c r="G13" s="226">
        <v>1</v>
      </c>
      <c r="H13" s="226">
        <v>1</v>
      </c>
      <c r="I13" s="226"/>
      <c r="J13" s="226">
        <v>1</v>
      </c>
      <c r="K13" s="180">
        <v>1</v>
      </c>
      <c r="L13" s="180">
        <f t="shared" si="2"/>
        <v>1</v>
      </c>
      <c r="M13" s="182">
        <f t="shared" si="3"/>
        <v>0</v>
      </c>
      <c r="N13" s="255">
        <f t="shared" si="5"/>
        <v>0</v>
      </c>
      <c r="O13" s="255">
        <f t="shared" si="4"/>
        <v>17701</v>
      </c>
      <c r="P13" s="180" t="s">
        <v>346</v>
      </c>
      <c r="Q13" s="111" t="s">
        <v>896</v>
      </c>
      <c r="R13" s="6"/>
    </row>
    <row r="14" spans="1:18" x14ac:dyDescent="0.25">
      <c r="A14" s="225">
        <v>34013</v>
      </c>
      <c r="B14" s="236" t="s">
        <v>105</v>
      </c>
      <c r="C14" s="226">
        <f>D14</f>
        <v>38748</v>
      </c>
      <c r="D14" s="241">
        <v>38748</v>
      </c>
      <c r="E14" s="226">
        <v>52640</v>
      </c>
      <c r="F14" s="226">
        <v>53575</v>
      </c>
      <c r="G14" s="226">
        <v>0</v>
      </c>
      <c r="H14" s="226">
        <v>1</v>
      </c>
      <c r="I14" s="226"/>
      <c r="J14" s="226">
        <v>1</v>
      </c>
      <c r="K14" s="180">
        <v>0.4</v>
      </c>
      <c r="L14" s="180">
        <f t="shared" si="2"/>
        <v>1</v>
      </c>
      <c r="M14" s="182">
        <f t="shared" si="3"/>
        <v>0</v>
      </c>
      <c r="N14" s="255">
        <f t="shared" si="5"/>
        <v>0</v>
      </c>
      <c r="O14" s="255">
        <f t="shared" si="4"/>
        <v>38748</v>
      </c>
      <c r="P14" s="180" t="s">
        <v>346</v>
      </c>
      <c r="Q14" s="111" t="s">
        <v>898</v>
      </c>
      <c r="R14" s="6"/>
    </row>
    <row r="15" spans="1:18" ht="21" customHeight="1" x14ac:dyDescent="0.25">
      <c r="A15" s="225">
        <v>34023</v>
      </c>
      <c r="B15" s="242" t="s">
        <v>110</v>
      </c>
      <c r="C15" s="226">
        <f>D15</f>
        <v>122430</v>
      </c>
      <c r="D15" s="241">
        <v>122430</v>
      </c>
      <c r="E15" s="226">
        <v>142579</v>
      </c>
      <c r="F15" s="226">
        <v>187531</v>
      </c>
      <c r="G15" s="226">
        <v>5</v>
      </c>
      <c r="H15" s="226">
        <v>4</v>
      </c>
      <c r="I15" s="240">
        <v>3</v>
      </c>
      <c r="J15" s="240">
        <v>1</v>
      </c>
      <c r="K15" s="180">
        <v>0.4</v>
      </c>
      <c r="L15" s="180">
        <f t="shared" si="2"/>
        <v>0.18181818181818185</v>
      </c>
      <c r="M15" s="182">
        <f t="shared" si="3"/>
        <v>0.81818181818181812</v>
      </c>
      <c r="N15" s="255">
        <f t="shared" si="5"/>
        <v>100169.99999999999</v>
      </c>
      <c r="O15" s="255">
        <f t="shared" si="4"/>
        <v>22260.000000000015</v>
      </c>
      <c r="P15" s="237" t="s">
        <v>341</v>
      </c>
      <c r="Q15" s="111" t="s">
        <v>896</v>
      </c>
      <c r="R15" s="6"/>
    </row>
    <row r="16" spans="1:18" x14ac:dyDescent="0.25">
      <c r="A16" s="225">
        <v>34013</v>
      </c>
      <c r="B16" s="242" t="s">
        <v>334</v>
      </c>
      <c r="C16" s="226">
        <f>D16</f>
        <v>112419</v>
      </c>
      <c r="D16" s="241">
        <v>112419</v>
      </c>
      <c r="E16" s="226">
        <v>344484</v>
      </c>
      <c r="F16" s="226">
        <v>379254</v>
      </c>
      <c r="G16" s="226"/>
      <c r="H16" s="226"/>
      <c r="I16" s="226"/>
      <c r="J16" s="226">
        <v>1</v>
      </c>
      <c r="K16" s="180">
        <v>0.4</v>
      </c>
      <c r="L16" s="180">
        <f t="shared" si="2"/>
        <v>1</v>
      </c>
      <c r="M16" s="182">
        <f t="shared" si="3"/>
        <v>0</v>
      </c>
      <c r="N16" s="255">
        <f t="shared" si="5"/>
        <v>0</v>
      </c>
      <c r="O16" s="255">
        <f t="shared" si="4"/>
        <v>112419</v>
      </c>
      <c r="P16" s="180" t="s">
        <v>346</v>
      </c>
      <c r="Q16" s="111" t="s">
        <v>896</v>
      </c>
      <c r="R16" s="6"/>
    </row>
    <row r="17" spans="1:18" x14ac:dyDescent="0.25">
      <c r="A17" s="225">
        <v>34013</v>
      </c>
      <c r="B17" s="242" t="s">
        <v>333</v>
      </c>
      <c r="C17" s="226">
        <f>D17</f>
        <v>214789</v>
      </c>
      <c r="D17" s="241">
        <v>214789</v>
      </c>
      <c r="E17" s="226"/>
      <c r="F17" s="226"/>
      <c r="G17" s="226">
        <v>13</v>
      </c>
      <c r="H17" s="226">
        <v>5</v>
      </c>
      <c r="I17" s="226"/>
      <c r="J17" s="226">
        <v>4</v>
      </c>
      <c r="K17" s="180">
        <v>0.4</v>
      </c>
      <c r="L17" s="180">
        <f t="shared" si="2"/>
        <v>1</v>
      </c>
      <c r="M17" s="182">
        <f t="shared" si="3"/>
        <v>0</v>
      </c>
      <c r="N17" s="255">
        <f t="shared" si="5"/>
        <v>0</v>
      </c>
      <c r="O17" s="255">
        <f t="shared" si="4"/>
        <v>214789</v>
      </c>
      <c r="P17" s="180" t="s">
        <v>346</v>
      </c>
      <c r="Q17" s="111" t="s">
        <v>898</v>
      </c>
      <c r="R17" s="6"/>
    </row>
    <row r="18" spans="1:18" x14ac:dyDescent="0.25">
      <c r="A18" s="225">
        <v>34013</v>
      </c>
      <c r="B18" s="242" t="s">
        <v>112</v>
      </c>
      <c r="C18" s="226">
        <f>F18</f>
        <v>29272</v>
      </c>
      <c r="D18" s="236">
        <v>4025</v>
      </c>
      <c r="E18" s="226">
        <v>10741</v>
      </c>
      <c r="F18" s="226">
        <v>29272</v>
      </c>
      <c r="G18" s="226"/>
      <c r="H18" s="226">
        <v>1</v>
      </c>
      <c r="I18" s="240">
        <v>1</v>
      </c>
      <c r="J18" s="226"/>
      <c r="K18" s="180">
        <v>0.4</v>
      </c>
      <c r="L18" s="180">
        <f t="shared" si="2"/>
        <v>0</v>
      </c>
      <c r="M18" s="182">
        <f t="shared" si="3"/>
        <v>1</v>
      </c>
      <c r="N18" s="255">
        <f t="shared" si="5"/>
        <v>29272</v>
      </c>
      <c r="O18" s="255">
        <f t="shared" si="4"/>
        <v>0</v>
      </c>
      <c r="P18" s="180" t="s">
        <v>345</v>
      </c>
      <c r="Q18" s="111" t="s">
        <v>896</v>
      </c>
      <c r="R18" s="6"/>
    </row>
    <row r="19" spans="1:18" x14ac:dyDescent="0.25">
      <c r="A19" s="225">
        <v>34013</v>
      </c>
      <c r="B19" s="242" t="s">
        <v>106</v>
      </c>
      <c r="C19" s="226">
        <f>D19</f>
        <v>208093</v>
      </c>
      <c r="D19" s="241">
        <v>208093</v>
      </c>
      <c r="E19" s="226">
        <v>280455</v>
      </c>
      <c r="F19" s="226">
        <v>254998</v>
      </c>
      <c r="G19" s="226">
        <v>5</v>
      </c>
      <c r="H19" s="226">
        <v>4</v>
      </c>
      <c r="I19" s="226"/>
      <c r="J19" s="226">
        <v>4</v>
      </c>
      <c r="K19" s="180">
        <v>0.4</v>
      </c>
      <c r="L19" s="180">
        <f t="shared" si="2"/>
        <v>1</v>
      </c>
      <c r="M19" s="182">
        <f t="shared" si="3"/>
        <v>0</v>
      </c>
      <c r="N19" s="255">
        <f t="shared" si="5"/>
        <v>0</v>
      </c>
      <c r="O19" s="255">
        <f t="shared" si="4"/>
        <v>208093</v>
      </c>
      <c r="P19" s="180" t="s">
        <v>346</v>
      </c>
      <c r="Q19" s="111" t="s">
        <v>585</v>
      </c>
      <c r="R19" s="6"/>
    </row>
    <row r="20" spans="1:18" ht="30" customHeight="1" x14ac:dyDescent="0.25">
      <c r="A20" s="225">
        <v>34023</v>
      </c>
      <c r="B20" s="242" t="s">
        <v>111</v>
      </c>
      <c r="C20" s="226">
        <f>D20</f>
        <v>144337</v>
      </c>
      <c r="D20" s="241">
        <v>144337</v>
      </c>
      <c r="E20" s="226">
        <v>223143</v>
      </c>
      <c r="F20" s="226">
        <v>246679</v>
      </c>
      <c r="G20" s="226">
        <v>6</v>
      </c>
      <c r="H20" s="226">
        <v>4</v>
      </c>
      <c r="I20" s="226">
        <v>1</v>
      </c>
      <c r="J20" s="226">
        <v>3</v>
      </c>
      <c r="K20" s="180">
        <v>0.4</v>
      </c>
      <c r="L20" s="180">
        <f t="shared" si="2"/>
        <v>0.66666666666666663</v>
      </c>
      <c r="M20" s="182">
        <f t="shared" si="3"/>
        <v>0.33333333333333337</v>
      </c>
      <c r="N20" s="255">
        <f t="shared" si="5"/>
        <v>48112.333333333336</v>
      </c>
      <c r="O20" s="255">
        <f t="shared" si="4"/>
        <v>96224.666666666657</v>
      </c>
      <c r="P20" s="237" t="s">
        <v>350</v>
      </c>
      <c r="Q20" s="111" t="s">
        <v>897</v>
      </c>
      <c r="R20" s="6"/>
    </row>
    <row r="21" spans="1:18" ht="15.75" thickBot="1" x14ac:dyDescent="0.3">
      <c r="A21" s="204">
        <v>34035</v>
      </c>
      <c r="B21" s="115" t="s">
        <v>331</v>
      </c>
      <c r="C21" s="183">
        <v>60490</v>
      </c>
      <c r="D21" s="245"/>
      <c r="E21" s="183"/>
      <c r="F21" s="183">
        <v>110754</v>
      </c>
      <c r="G21" s="183">
        <v>1</v>
      </c>
      <c r="H21" s="183">
        <v>1</v>
      </c>
      <c r="I21" s="183"/>
      <c r="J21" s="183">
        <v>1</v>
      </c>
      <c r="K21" s="209">
        <v>0.4</v>
      </c>
      <c r="L21" s="209">
        <f t="shared" si="2"/>
        <v>1</v>
      </c>
      <c r="M21" s="194">
        <f t="shared" si="3"/>
        <v>0</v>
      </c>
      <c r="N21" s="285">
        <f t="shared" si="5"/>
        <v>0</v>
      </c>
      <c r="O21" s="255">
        <f t="shared" si="4"/>
        <v>60490</v>
      </c>
      <c r="P21" s="230" t="s">
        <v>347</v>
      </c>
      <c r="Q21" s="111" t="s">
        <v>896</v>
      </c>
      <c r="R21" s="6"/>
    </row>
    <row r="22" spans="1:18" ht="25.5" customHeight="1" x14ac:dyDescent="0.25">
      <c r="A22" s="222">
        <v>34005</v>
      </c>
      <c r="B22" s="223" t="s">
        <v>100</v>
      </c>
      <c r="C22" s="223">
        <f>D22</f>
        <v>54527</v>
      </c>
      <c r="D22" s="67">
        <v>54527</v>
      </c>
      <c r="E22" s="223">
        <v>40250</v>
      </c>
      <c r="F22" s="223">
        <v>46416</v>
      </c>
      <c r="G22" s="223">
        <v>2</v>
      </c>
      <c r="H22" s="223">
        <v>2</v>
      </c>
      <c r="I22" s="223">
        <v>1</v>
      </c>
      <c r="J22" s="247">
        <v>1</v>
      </c>
      <c r="K22" s="246">
        <v>0.4</v>
      </c>
      <c r="L22" s="246">
        <f t="shared" si="2"/>
        <v>0.4</v>
      </c>
      <c r="M22" s="197">
        <f t="shared" si="3"/>
        <v>0.6</v>
      </c>
      <c r="N22" s="256">
        <f t="shared" si="5"/>
        <v>32716.199999999997</v>
      </c>
      <c r="O22" s="255">
        <f t="shared" si="4"/>
        <v>21810.800000000003</v>
      </c>
      <c r="P22" s="284" t="s">
        <v>348</v>
      </c>
      <c r="Q22" s="111" t="s">
        <v>896</v>
      </c>
      <c r="R22" s="6"/>
    </row>
    <row r="23" spans="1:18" ht="60" customHeight="1" x14ac:dyDescent="0.25">
      <c r="A23" s="225">
        <v>34007</v>
      </c>
      <c r="B23" s="226" t="s">
        <v>101</v>
      </c>
      <c r="C23" s="226">
        <f>D23</f>
        <v>536208</v>
      </c>
      <c r="D23" s="239">
        <v>536208</v>
      </c>
      <c r="E23" s="226">
        <v>558540</v>
      </c>
      <c r="F23" s="226">
        <v>589665</v>
      </c>
      <c r="G23" s="226">
        <v>11</v>
      </c>
      <c r="H23" s="226">
        <v>13</v>
      </c>
      <c r="I23" s="240">
        <v>3</v>
      </c>
      <c r="J23" s="240">
        <v>10</v>
      </c>
      <c r="K23" s="180">
        <v>0.4</v>
      </c>
      <c r="L23" s="180">
        <f t="shared" si="2"/>
        <v>0.68965517241379315</v>
      </c>
      <c r="M23" s="182">
        <f t="shared" si="3"/>
        <v>0.31034482758620685</v>
      </c>
      <c r="N23" s="255">
        <f t="shared" si="5"/>
        <v>166409.37931034481</v>
      </c>
      <c r="O23" s="255">
        <f t="shared" si="4"/>
        <v>369798.62068965519</v>
      </c>
      <c r="P23" s="237" t="s">
        <v>349</v>
      </c>
      <c r="Q23" s="111" t="s">
        <v>896</v>
      </c>
      <c r="R23" s="6"/>
    </row>
    <row r="24" spans="1:18" ht="44.25" customHeight="1" x14ac:dyDescent="0.25">
      <c r="A24" s="225">
        <v>34011</v>
      </c>
      <c r="B24" s="226" t="s">
        <v>102</v>
      </c>
      <c r="C24" s="226">
        <f>D24</f>
        <v>82565</v>
      </c>
      <c r="D24" s="226">
        <v>82565</v>
      </c>
      <c r="E24" s="226">
        <v>67760</v>
      </c>
      <c r="F24" s="226">
        <v>47757</v>
      </c>
      <c r="G24" s="226">
        <v>2</v>
      </c>
      <c r="H24" s="226">
        <v>2</v>
      </c>
      <c r="I24" s="240">
        <v>1</v>
      </c>
      <c r="J24" s="226">
        <v>1</v>
      </c>
      <c r="K24" s="180">
        <v>0.4</v>
      </c>
      <c r="L24" s="180">
        <f t="shared" si="2"/>
        <v>0.4</v>
      </c>
      <c r="M24" s="182">
        <f t="shared" si="3"/>
        <v>0.6</v>
      </c>
      <c r="N24" s="255">
        <f t="shared" si="5"/>
        <v>49539</v>
      </c>
      <c r="O24" s="255">
        <f t="shared" si="4"/>
        <v>33026</v>
      </c>
      <c r="P24" s="237" t="s">
        <v>343</v>
      </c>
      <c r="Q24" s="111" t="s">
        <v>896</v>
      </c>
      <c r="R24" s="6"/>
    </row>
    <row r="25" spans="1:18" ht="44.25" customHeight="1" thickBot="1" x14ac:dyDescent="0.3">
      <c r="A25" s="228">
        <v>34015</v>
      </c>
      <c r="B25" s="229" t="s">
        <v>107</v>
      </c>
      <c r="C25" s="229">
        <f>F25</f>
        <v>84050</v>
      </c>
      <c r="D25" s="229">
        <v>110800</v>
      </c>
      <c r="E25" s="229">
        <v>92815</v>
      </c>
      <c r="F25" s="21">
        <v>84050</v>
      </c>
      <c r="G25" s="229">
        <v>3</v>
      </c>
      <c r="H25" s="229">
        <v>2</v>
      </c>
      <c r="I25" s="229">
        <v>1</v>
      </c>
      <c r="J25" s="229">
        <v>1</v>
      </c>
      <c r="K25" s="199">
        <v>0.4</v>
      </c>
      <c r="L25" s="199">
        <f t="shared" si="2"/>
        <v>0.4</v>
      </c>
      <c r="M25" s="185">
        <f t="shared" si="3"/>
        <v>0.6</v>
      </c>
      <c r="N25" s="286">
        <f t="shared" si="5"/>
        <v>50430</v>
      </c>
      <c r="O25" s="255">
        <f t="shared" si="4"/>
        <v>33620</v>
      </c>
      <c r="P25" s="248" t="s">
        <v>719</v>
      </c>
      <c r="Q25" s="111" t="s">
        <v>896</v>
      </c>
      <c r="R25" s="6"/>
    </row>
    <row r="26" spans="1:18" x14ac:dyDescent="0.25">
      <c r="A26" s="222"/>
      <c r="B26" s="223"/>
      <c r="C26" s="223"/>
      <c r="D26" s="223"/>
      <c r="E26" s="223"/>
      <c r="F26" s="106"/>
      <c r="G26" s="106"/>
      <c r="H26" s="106"/>
      <c r="I26" s="106">
        <f>23-8+2</f>
        <v>17</v>
      </c>
      <c r="J26" s="106">
        <f>SUM(J4:J25)</f>
        <v>35</v>
      </c>
      <c r="K26" s="201"/>
      <c r="L26" s="201"/>
      <c r="M26" s="201" t="s">
        <v>119</v>
      </c>
      <c r="N26" s="287">
        <f>SUM(N4:N25)</f>
        <v>701444.19835796382</v>
      </c>
      <c r="O26" s="287">
        <f>SUM(O4:O25)</f>
        <v>1527227.8016420363</v>
      </c>
      <c r="P26" s="224"/>
      <c r="Q26" s="111"/>
      <c r="R26" s="6"/>
    </row>
    <row r="27" spans="1:18" x14ac:dyDescent="0.25">
      <c r="A27" s="225"/>
      <c r="B27" s="226"/>
      <c r="C27" s="226"/>
      <c r="D27" s="226"/>
      <c r="E27" s="226"/>
      <c r="F27" s="226"/>
      <c r="G27" s="226"/>
      <c r="H27" s="226"/>
      <c r="I27" s="226"/>
      <c r="J27" s="226">
        <f>SUM(I26:J26)</f>
        <v>52</v>
      </c>
      <c r="K27" s="180"/>
      <c r="L27" s="180"/>
      <c r="M27" s="180" t="s">
        <v>119</v>
      </c>
      <c r="N27" s="255">
        <f>SUM(N26:O26)</f>
        <v>2228672</v>
      </c>
      <c r="O27" s="255"/>
      <c r="P27" s="227"/>
      <c r="Q27" s="111"/>
      <c r="R27" s="6"/>
    </row>
    <row r="28" spans="1:18" x14ac:dyDescent="0.25">
      <c r="A28" s="225"/>
      <c r="B28" s="226"/>
      <c r="C28" s="226"/>
      <c r="D28" s="226"/>
      <c r="E28" s="226"/>
      <c r="F28" s="226"/>
      <c r="G28" s="226"/>
      <c r="H28" s="226"/>
      <c r="I28" s="226"/>
      <c r="J28" s="226"/>
      <c r="K28" s="180"/>
      <c r="L28" s="180"/>
      <c r="M28" s="180"/>
      <c r="N28" s="255"/>
      <c r="O28" s="255"/>
      <c r="P28" s="180"/>
      <c r="Q28" s="111"/>
      <c r="R28" s="6"/>
    </row>
    <row r="29" spans="1:18" x14ac:dyDescent="0.25">
      <c r="A29" s="225"/>
      <c r="B29" s="226"/>
      <c r="C29" s="226"/>
      <c r="D29" s="226"/>
      <c r="E29" s="226"/>
      <c r="F29" s="226"/>
      <c r="G29" s="226">
        <v>60</v>
      </c>
      <c r="H29" s="226">
        <f>SUM(H4:H28)</f>
        <v>52</v>
      </c>
      <c r="I29" s="226"/>
      <c r="J29" s="226"/>
      <c r="K29" s="180"/>
      <c r="L29" s="180"/>
      <c r="M29" s="180"/>
      <c r="N29" s="255"/>
      <c r="O29" s="255"/>
      <c r="P29" s="180"/>
      <c r="Q29" s="111"/>
      <c r="R29" s="6"/>
    </row>
    <row r="30" spans="1:18" ht="15.75" thickBot="1" x14ac:dyDescent="0.3">
      <c r="A30" s="228"/>
      <c r="B30" s="22" t="s">
        <v>248</v>
      </c>
      <c r="C30" s="229">
        <f>SUM(C4:C29)</f>
        <v>2228672</v>
      </c>
      <c r="D30" s="208">
        <f>SUM(D4:D28)</f>
        <v>2157267</v>
      </c>
      <c r="E30" s="229">
        <f>SUM(E4:E29)</f>
        <v>2364034</v>
      </c>
      <c r="F30" s="229">
        <f>SUM(F4:F29)</f>
        <v>2468730</v>
      </c>
      <c r="G30" s="229"/>
      <c r="H30" s="229"/>
      <c r="I30" s="229"/>
      <c r="J30" s="229"/>
      <c r="K30" s="209"/>
      <c r="L30" s="209"/>
      <c r="M30" s="209"/>
      <c r="N30" s="244"/>
      <c r="O30" s="244"/>
      <c r="P30" s="209"/>
      <c r="Q30" s="111"/>
      <c r="R30" s="6"/>
    </row>
    <row r="31" spans="1:18" ht="17.25" x14ac:dyDescent="0.25">
      <c r="A31" s="204" t="s">
        <v>251</v>
      </c>
    </row>
    <row r="32" spans="1:18" ht="17.25" x14ac:dyDescent="0.25">
      <c r="A32" s="6" t="s">
        <v>827</v>
      </c>
    </row>
    <row r="33" spans="1:1" ht="17.25" x14ac:dyDescent="0.25">
      <c r="A33" s="6" t="s">
        <v>255</v>
      </c>
    </row>
    <row r="34" spans="1:1" ht="17.25" x14ac:dyDescent="0.25">
      <c r="A34" s="6" t="s">
        <v>250</v>
      </c>
    </row>
    <row r="35" spans="1:1" ht="17.25" x14ac:dyDescent="0.25">
      <c r="A35" t="s">
        <v>826</v>
      </c>
    </row>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2" sqref="A2"/>
    </sheetView>
  </sheetViews>
  <sheetFormatPr defaultRowHeight="15" x14ac:dyDescent="0.25"/>
  <cols>
    <col min="5" max="5" width="10.5703125" bestFit="1" customWidth="1"/>
    <col min="6" max="13" width="9.42578125" bestFit="1" customWidth="1"/>
  </cols>
  <sheetData>
    <row r="1" spans="1:13" ht="15.75" thickBot="1" x14ac:dyDescent="0.3">
      <c r="A1" s="31" t="s">
        <v>1053</v>
      </c>
    </row>
    <row r="2" spans="1:13" x14ac:dyDescent="0.25">
      <c r="A2" s="476"/>
      <c r="B2" s="477"/>
      <c r="C2" s="477"/>
      <c r="D2" s="16" t="s">
        <v>4</v>
      </c>
      <c r="E2" s="401" t="s">
        <v>823</v>
      </c>
      <c r="F2" s="26" t="s">
        <v>96</v>
      </c>
      <c r="G2" s="26" t="s">
        <v>10</v>
      </c>
      <c r="H2" s="26" t="s">
        <v>7</v>
      </c>
      <c r="I2" s="27" t="s">
        <v>95</v>
      </c>
      <c r="J2" s="28" t="s">
        <v>17</v>
      </c>
      <c r="K2" s="26" t="s">
        <v>69</v>
      </c>
      <c r="L2" s="63" t="s">
        <v>16</v>
      </c>
      <c r="M2" s="164" t="s">
        <v>94</v>
      </c>
    </row>
    <row r="3" spans="1:13" x14ac:dyDescent="0.25">
      <c r="A3" s="303"/>
      <c r="B3" s="360"/>
      <c r="C3" s="360"/>
      <c r="D3" s="360"/>
      <c r="E3" s="181">
        <f>DSUM(NSCOMPILE!$B$2:$K$25,NSCOMPILE!C2,'CLASS 1 LINE HAUL COMPILE EMISS'!$D$25:$D$26)+DSUM(CSX!$B$2:$M$8,CSX!E2,'CLASS 1 LINE HAUL COMPILE EMISS'!$D$25:$D$26)</f>
        <v>24853.332278682559</v>
      </c>
      <c r="F3" s="181">
        <f>DSUM(NSCOMPILE!$B$2:$K$25,NSCOMPILE!D2,'CLASS 1 LINE HAUL COMPILE EMISS'!$D$25:$D$26)+DSUM(CSX!$B$2:$M$8,CSX!F2,'CLASS 1 LINE HAUL COMPILE EMISS'!$D$25:$D$26)</f>
        <v>3.2754793423542052</v>
      </c>
      <c r="G3" s="181">
        <f>DSUM(NSCOMPILE!$B$2:$K$25,NSCOMPILE!E2,'CLASS 1 LINE HAUL COMPILE EMISS'!$D$25:$D$26)+DSUM(CSX!$B$2:$M$8,CSX!G2,'CLASS 1 LINE HAUL COMPILE EMISS'!$D$25:$D$26)</f>
        <v>0.76496808781437176</v>
      </c>
      <c r="H3" s="181">
        <f>DSUM(NSCOMPILE!$B$2:$K$25,NSCOMPILE!F2,'CLASS 1 LINE HAUL COMPILE EMISS'!$D$25:$D$26)+DSUM(CSX!$B$2:$M$8,CSX!H2,'CLASS 1 LINE HAUL COMPILE EMISS'!$D$25:$D$26)</f>
        <v>8.332359730550172E-2</v>
      </c>
      <c r="I3" s="181">
        <f>DSUM(NSCOMPILE!$B$2:$K$25,NSCOMPILE!G2,'CLASS 1 LINE HAUL COMPILE EMISS'!$D$25:$D$26)+DSUM(CSX!$B$2:$M$8,CSX!I2,'CLASS 1 LINE HAUL COMPILE EMISS'!$D$25:$D$26)</f>
        <v>8.0823889386336653E-2</v>
      </c>
      <c r="J3" s="181">
        <f>DSUM(NSCOMPILE!$B$2:$K$25,NSCOMPILE!H2,'CLASS 1 LINE HAUL COMPILE EMISS'!$D$25:$D$26)+DSUM(CSX!$B$2:$M$8,CSX!J2,'CLASS 1 LINE HAUL COMPILE EMISS'!$D$25:$D$26)</f>
        <v>4.1463708695318853E-2</v>
      </c>
      <c r="K3" s="181">
        <f>DSUM(NSCOMPILE!$B$2:$K$25,NSCOMPILE!I2,'CLASS 1 LINE HAUL COMPILE EMISS'!$D$25:$D$26)+DSUM(CSX!$B$2:$M$8,CSX!K2,'CLASS 1 LINE HAUL COMPILE EMISS'!$D$25:$D$26)</f>
        <v>0.1391733933201342</v>
      </c>
      <c r="L3" s="181">
        <f>DSUM(NSCOMPILE!$B$2:$K$25,NSCOMPILE!J2,'CLASS 1 LINE HAUL COMPILE EMISS'!$D$25:$D$26)+DSUM(CSX!$B$2:$M$8,CSX!L2,'CLASS 1 LINE HAUL COMPILE EMISS'!$D$25:$D$26)</f>
        <v>2.3933976646117456E-3</v>
      </c>
      <c r="M3" s="104">
        <f>DSUM(NSCOMPILE!$B$2:$K$25,NSCOMPILE!K2,'CLASS 1 LINE HAUL COMPILE EMISS'!$D$25:$D$26)+DSUM(CSX!$B$2:$M$8,CSX!M2,'CLASS 1 LINE HAUL COMPILE EMISS'!$D$25:$D$26)</f>
        <v>293.5576529897624</v>
      </c>
    </row>
    <row r="4" spans="1:13" x14ac:dyDescent="0.25">
      <c r="A4" s="451" t="s">
        <v>70</v>
      </c>
      <c r="B4" s="18" t="s">
        <v>71</v>
      </c>
      <c r="C4" s="18" t="s">
        <v>120</v>
      </c>
      <c r="D4" s="18" t="s">
        <v>37</v>
      </c>
      <c r="E4" s="181">
        <f t="dataTable" ref="E4:M24" dt2D="0" dtr="0" r1="D26"/>
        <v>24853.332278682559</v>
      </c>
      <c r="F4" s="181">
        <v>3.2754793423542052</v>
      </c>
      <c r="G4" s="181">
        <v>0.76496808781437176</v>
      </c>
      <c r="H4" s="181">
        <v>8.332359730550172E-2</v>
      </c>
      <c r="I4" s="181">
        <v>8.0823889386336653E-2</v>
      </c>
      <c r="J4" s="181">
        <v>4.1463708695318853E-2</v>
      </c>
      <c r="K4" s="181">
        <v>0.1391733933201342</v>
      </c>
      <c r="L4" s="181">
        <v>2.3933976646117456E-3</v>
      </c>
      <c r="M4" s="104">
        <v>293.5576529897624</v>
      </c>
    </row>
    <row r="5" spans="1:13" x14ac:dyDescent="0.25">
      <c r="A5" s="451" t="s">
        <v>70</v>
      </c>
      <c r="B5" s="18" t="s">
        <v>71</v>
      </c>
      <c r="C5" s="18" t="s">
        <v>113</v>
      </c>
      <c r="D5" s="18" t="s">
        <v>65</v>
      </c>
      <c r="E5" s="181">
        <v>1250982.1137166743</v>
      </c>
      <c r="F5" s="181">
        <v>164.86988646782669</v>
      </c>
      <c r="G5" s="181">
        <v>38.504349625608938</v>
      </c>
      <c r="H5" s="181">
        <v>4.1940585154096262</v>
      </c>
      <c r="I5" s="181">
        <v>4.0682367599473377</v>
      </c>
      <c r="J5" s="181">
        <v>2.0870584823224356</v>
      </c>
      <c r="K5" s="181">
        <v>7.0052347023934995</v>
      </c>
      <c r="L5" s="181">
        <v>0.12047067314223617</v>
      </c>
      <c r="M5" s="104">
        <v>14776.1020179104</v>
      </c>
    </row>
    <row r="6" spans="1:13" x14ac:dyDescent="0.25">
      <c r="A6" s="451" t="s">
        <v>70</v>
      </c>
      <c r="B6" s="18" t="s">
        <v>71</v>
      </c>
      <c r="C6" s="18" t="s">
        <v>88</v>
      </c>
      <c r="D6" s="18" t="s">
        <v>21</v>
      </c>
      <c r="E6" s="181">
        <v>48801</v>
      </c>
      <c r="F6" s="181">
        <v>6.4315990143234352</v>
      </c>
      <c r="G6" s="181">
        <v>1.5020604575205894</v>
      </c>
      <c r="H6" s="181">
        <v>0.16361085211875406</v>
      </c>
      <c r="I6" s="181">
        <v>0.15870252655519143</v>
      </c>
      <c r="J6" s="181">
        <v>8.1416464615324272E-2</v>
      </c>
      <c r="K6" s="181">
        <v>0.27327525706648997</v>
      </c>
      <c r="L6" s="181">
        <v>4.6995790391818329E-3</v>
      </c>
      <c r="M6" s="104">
        <v>576.41795727493468</v>
      </c>
    </row>
    <row r="7" spans="1:13" x14ac:dyDescent="0.25">
      <c r="A7" s="451" t="s">
        <v>70</v>
      </c>
      <c r="B7" s="18" t="s">
        <v>71</v>
      </c>
      <c r="C7" s="18" t="s">
        <v>87</v>
      </c>
      <c r="D7" s="18" t="s">
        <v>38</v>
      </c>
      <c r="E7" s="181">
        <v>122986.16183807084</v>
      </c>
      <c r="F7" s="181">
        <v>16.208636651977599</v>
      </c>
      <c r="G7" s="181">
        <v>3.7854275633530849</v>
      </c>
      <c r="H7" s="181">
        <v>0.41232496746258807</v>
      </c>
      <c r="I7" s="181">
        <v>0.39995521843871046</v>
      </c>
      <c r="J7" s="181">
        <v>0.20518223998409538</v>
      </c>
      <c r="K7" s="181">
        <v>0.68869644048113243</v>
      </c>
      <c r="L7" s="181">
        <v>1.1843675094437046E-2</v>
      </c>
      <c r="M7" s="104">
        <v>1452.6635146776769</v>
      </c>
    </row>
    <row r="8" spans="1:13" x14ac:dyDescent="0.25">
      <c r="A8" s="451" t="s">
        <v>70</v>
      </c>
      <c r="B8" s="18" t="s">
        <v>71</v>
      </c>
      <c r="C8" s="18" t="s">
        <v>121</v>
      </c>
      <c r="D8" s="18" t="s">
        <v>35</v>
      </c>
      <c r="E8" s="181">
        <v>9370.9285640934231</v>
      </c>
      <c r="F8" s="181">
        <v>1.2350168012155198</v>
      </c>
      <c r="G8" s="181">
        <v>0.28843059048738606</v>
      </c>
      <c r="H8" s="181">
        <v>3.1417094066008844E-2</v>
      </c>
      <c r="I8" s="181">
        <v>3.0474581244028576E-2</v>
      </c>
      <c r="J8" s="181">
        <v>1.56338573769235E-2</v>
      </c>
      <c r="K8" s="181">
        <v>5.2475213874804701E-2</v>
      </c>
      <c r="L8" s="181">
        <v>9.0242862764049431E-4</v>
      </c>
      <c r="M8" s="104">
        <v>110.68567243876288</v>
      </c>
    </row>
    <row r="9" spans="1:13" x14ac:dyDescent="0.25">
      <c r="A9" s="451" t="s">
        <v>70</v>
      </c>
      <c r="B9" s="18" t="s">
        <v>71</v>
      </c>
      <c r="C9" s="18" t="s">
        <v>122</v>
      </c>
      <c r="D9" s="18" t="s">
        <v>39</v>
      </c>
      <c r="E9" s="181">
        <v>0</v>
      </c>
      <c r="F9" s="181">
        <v>0</v>
      </c>
      <c r="G9" s="181">
        <v>0</v>
      </c>
      <c r="H9" s="181">
        <v>0</v>
      </c>
      <c r="I9" s="181">
        <v>0</v>
      </c>
      <c r="J9" s="181">
        <v>0</v>
      </c>
      <c r="K9" s="181">
        <v>0</v>
      </c>
      <c r="L9" s="181">
        <v>0</v>
      </c>
      <c r="M9" s="104">
        <v>0</v>
      </c>
    </row>
    <row r="10" spans="1:13" x14ac:dyDescent="0.25">
      <c r="A10" s="451" t="s">
        <v>70</v>
      </c>
      <c r="B10" s="18" t="s">
        <v>71</v>
      </c>
      <c r="C10" s="18" t="s">
        <v>114</v>
      </c>
      <c r="D10" s="18" t="s">
        <v>40</v>
      </c>
      <c r="E10" s="181">
        <v>140849.13063509113</v>
      </c>
      <c r="F10" s="181">
        <v>18.562839486095879</v>
      </c>
      <c r="G10" s="181">
        <v>4.3352371796299716</v>
      </c>
      <c r="H10" s="181">
        <v>0.47221258341822853</v>
      </c>
      <c r="I10" s="181">
        <v>0.45804620591568163</v>
      </c>
      <c r="J10" s="181">
        <v>0.23498367370445458</v>
      </c>
      <c r="K10" s="181">
        <v>0.788725279848695</v>
      </c>
      <c r="L10" s="181">
        <v>1.3563894633709517E-2</v>
      </c>
      <c r="M10" s="104">
        <v>1663.6537809600143</v>
      </c>
    </row>
    <row r="11" spans="1:13" x14ac:dyDescent="0.25">
      <c r="A11" s="451" t="s">
        <v>70</v>
      </c>
      <c r="B11" s="18" t="s">
        <v>71</v>
      </c>
      <c r="C11" s="18" t="s">
        <v>123</v>
      </c>
      <c r="D11" s="18" t="s">
        <v>41</v>
      </c>
      <c r="E11" s="181">
        <v>158847.24394577043</v>
      </c>
      <c r="F11" s="181">
        <v>20.934853334759765</v>
      </c>
      <c r="G11" s="181">
        <v>4.889206448988106</v>
      </c>
      <c r="H11" s="181">
        <v>0.5325532865859941</v>
      </c>
      <c r="I11" s="181">
        <v>0.51657668798841416</v>
      </c>
      <c r="J11" s="181">
        <v>0.26501057388071148</v>
      </c>
      <c r="K11" s="181">
        <v>0.88951089985008203</v>
      </c>
      <c r="L11" s="181">
        <v>1.5297128708004877E-2</v>
      </c>
      <c r="M11" s="104">
        <v>1876.2403203617591</v>
      </c>
    </row>
    <row r="12" spans="1:13" x14ac:dyDescent="0.25">
      <c r="A12" s="451" t="s">
        <v>70</v>
      </c>
      <c r="B12" s="18" t="s">
        <v>71</v>
      </c>
      <c r="C12" s="18" t="s">
        <v>115</v>
      </c>
      <c r="D12" s="18" t="s">
        <v>42</v>
      </c>
      <c r="E12" s="181">
        <v>323445.62013438344</v>
      </c>
      <c r="F12" s="181">
        <v>42.627661966835362</v>
      </c>
      <c r="G12" s="181">
        <v>9.955428703552851</v>
      </c>
      <c r="H12" s="181">
        <v>1.0843878921387944</v>
      </c>
      <c r="I12" s="181">
        <v>1.0518562553746307</v>
      </c>
      <c r="J12" s="181">
        <v>0.53961596866155703</v>
      </c>
      <c r="K12" s="181">
        <v>1.8112269213592733</v>
      </c>
      <c r="L12" s="181">
        <v>3.1148096487750614E-2</v>
      </c>
      <c r="M12" s="104">
        <v>3820.4107220627807</v>
      </c>
    </row>
    <row r="13" spans="1:13" x14ac:dyDescent="0.25">
      <c r="A13" s="451" t="s">
        <v>70</v>
      </c>
      <c r="B13" s="18" t="s">
        <v>71</v>
      </c>
      <c r="C13" s="18" t="s">
        <v>124</v>
      </c>
      <c r="D13" s="18" t="s">
        <v>24</v>
      </c>
      <c r="E13" s="181">
        <v>654944.96518165921</v>
      </c>
      <c r="F13" s="181">
        <v>86.3167433556373</v>
      </c>
      <c r="G13" s="181">
        <v>20.158745395618315</v>
      </c>
      <c r="H13" s="181">
        <v>2.1957768046609494</v>
      </c>
      <c r="I13" s="181">
        <v>2.1299035005211207</v>
      </c>
      <c r="J13" s="181">
        <v>1.0926682564434611</v>
      </c>
      <c r="K13" s="181">
        <v>3.6675529953161057</v>
      </c>
      <c r="L13" s="181">
        <v>6.3071773737943912E-2</v>
      </c>
      <c r="M13" s="104">
        <v>7735.9488321451445</v>
      </c>
    </row>
    <row r="14" spans="1:13" x14ac:dyDescent="0.25">
      <c r="A14" s="451" t="s">
        <v>70</v>
      </c>
      <c r="B14" s="18" t="s">
        <v>71</v>
      </c>
      <c r="C14" s="18" t="s">
        <v>125</v>
      </c>
      <c r="D14" s="18" t="s">
        <v>43</v>
      </c>
      <c r="E14" s="181">
        <v>532391.58801498124</v>
      </c>
      <c r="F14" s="181">
        <v>70.165144417352948</v>
      </c>
      <c r="G14" s="181">
        <v>16.386638640066717</v>
      </c>
      <c r="H14" s="181">
        <v>1.7849027965817861</v>
      </c>
      <c r="I14" s="181">
        <v>1.7313557126843324</v>
      </c>
      <c r="J14" s="181">
        <v>0.88820804670228115</v>
      </c>
      <c r="K14" s="181">
        <v>2.9812800572699505</v>
      </c>
      <c r="L14" s="181">
        <v>5.1269776186388311E-2</v>
      </c>
      <c r="M14" s="104">
        <v>6288.39719747452</v>
      </c>
    </row>
    <row r="15" spans="1:13" x14ac:dyDescent="0.25">
      <c r="A15" s="451" t="s">
        <v>70</v>
      </c>
      <c r="B15" s="18" t="s">
        <v>71</v>
      </c>
      <c r="C15" s="18" t="s">
        <v>116</v>
      </c>
      <c r="D15" s="18" t="s">
        <v>44</v>
      </c>
      <c r="E15" s="181">
        <v>358163.54789715545</v>
      </c>
      <c r="F15" s="181">
        <v>47.203219639391172</v>
      </c>
      <c r="G15" s="181">
        <v>11.024022102448697</v>
      </c>
      <c r="H15" s="181">
        <v>1.2007836574932844</v>
      </c>
      <c r="I15" s="181">
        <v>1.1647601477684859</v>
      </c>
      <c r="J15" s="181">
        <v>0.59753713702317057</v>
      </c>
      <c r="K15" s="181">
        <v>2.005639958677921</v>
      </c>
      <c r="L15" s="181">
        <v>3.4491463336744521E-2</v>
      </c>
      <c r="M15" s="104">
        <v>4230.4850443478927</v>
      </c>
    </row>
    <row r="16" spans="1:13" x14ac:dyDescent="0.25">
      <c r="A16" s="451" t="s">
        <v>70</v>
      </c>
      <c r="B16" s="18" t="s">
        <v>71</v>
      </c>
      <c r="C16" s="18" t="s">
        <v>126</v>
      </c>
      <c r="D16" s="18" t="s">
        <v>45</v>
      </c>
      <c r="E16" s="181">
        <v>127152.80148829066</v>
      </c>
      <c r="F16" s="181">
        <v>16.757767929357055</v>
      </c>
      <c r="G16" s="181">
        <v>3.9136738013263357</v>
      </c>
      <c r="H16" s="181">
        <v>0.4262940964485567</v>
      </c>
      <c r="I16" s="181">
        <v>0.41350527355509997</v>
      </c>
      <c r="J16" s="181">
        <v>0.21213359486712913</v>
      </c>
      <c r="K16" s="181">
        <v>0.71202873944052381</v>
      </c>
      <c r="L16" s="181">
        <v>1.2244926141833557E-2</v>
      </c>
      <c r="M16" s="104">
        <v>1501.8782011775531</v>
      </c>
    </row>
    <row r="17" spans="1:13" x14ac:dyDescent="0.25">
      <c r="A17" s="451" t="s">
        <v>70</v>
      </c>
      <c r="B17" s="18" t="s">
        <v>71</v>
      </c>
      <c r="C17" s="18" t="s">
        <v>127</v>
      </c>
      <c r="D17" s="18" t="s">
        <v>50</v>
      </c>
      <c r="E17" s="181">
        <v>17758.200651583247</v>
      </c>
      <c r="F17" s="181">
        <v>2.3403951928624536</v>
      </c>
      <c r="G17" s="181">
        <v>0.54658492644535073</v>
      </c>
      <c r="H17" s="181">
        <v>5.9536368941237858E-2</v>
      </c>
      <c r="I17" s="181">
        <v>5.7750277873000737E-2</v>
      </c>
      <c r="J17" s="181">
        <v>2.9626645252791052E-2</v>
      </c>
      <c r="K17" s="181">
        <v>9.944215995778205E-2</v>
      </c>
      <c r="L17" s="181">
        <v>1.7101302751125142E-3</v>
      </c>
      <c r="M17" s="104">
        <v>209.75278671469908</v>
      </c>
    </row>
    <row r="18" spans="1:13" x14ac:dyDescent="0.25">
      <c r="A18" s="451" t="s">
        <v>70</v>
      </c>
      <c r="B18" s="18" t="s">
        <v>71</v>
      </c>
      <c r="C18" s="18" t="s">
        <v>128</v>
      </c>
      <c r="D18" s="18" t="s">
        <v>22</v>
      </c>
      <c r="E18" s="181">
        <v>3930.1775005471659</v>
      </c>
      <c r="F18" s="181">
        <v>0.51796737236194534</v>
      </c>
      <c r="G18" s="181">
        <v>0.12096809931372313</v>
      </c>
      <c r="H18" s="181">
        <v>1.3176362981137207E-2</v>
      </c>
      <c r="I18" s="181">
        <v>1.2781072091703091E-2</v>
      </c>
      <c r="J18" s="181">
        <v>6.5568565686203546E-3</v>
      </c>
      <c r="K18" s="181">
        <v>2.2008161037252554E-2</v>
      </c>
      <c r="L18" s="181">
        <v>3.7847953529303714E-4</v>
      </c>
      <c r="M18" s="104">
        <v>46.421689854578915</v>
      </c>
    </row>
    <row r="19" spans="1:13" x14ac:dyDescent="0.25">
      <c r="A19" s="451" t="s">
        <v>70</v>
      </c>
      <c r="B19" s="18" t="s">
        <v>71</v>
      </c>
      <c r="C19" s="18" t="s">
        <v>129</v>
      </c>
      <c r="D19" s="18" t="s">
        <v>66</v>
      </c>
      <c r="E19" s="181">
        <v>64432.409443797631</v>
      </c>
      <c r="F19" s="181">
        <v>8.491699372332798</v>
      </c>
      <c r="G19" s="181">
        <v>1.9831842463946354</v>
      </c>
      <c r="H19" s="181">
        <v>0.21601691385758873</v>
      </c>
      <c r="I19" s="181">
        <v>0.20953640644186106</v>
      </c>
      <c r="J19" s="181">
        <v>0.1074949075543746</v>
      </c>
      <c r="K19" s="181">
        <v>0.3608078370149615</v>
      </c>
      <c r="L19" s="181">
        <v>6.2048974583728388E-3</v>
      </c>
      <c r="M19" s="104">
        <v>761.04993409758072</v>
      </c>
    </row>
    <row r="20" spans="1:13" x14ac:dyDescent="0.25">
      <c r="A20" s="451" t="s">
        <v>70</v>
      </c>
      <c r="B20" s="18" t="s">
        <v>71</v>
      </c>
      <c r="C20" s="18" t="s">
        <v>130</v>
      </c>
      <c r="D20" s="18" t="s">
        <v>46</v>
      </c>
      <c r="E20" s="181">
        <v>19091.084279643743</v>
      </c>
      <c r="F20" s="181">
        <v>2.5160590732837917</v>
      </c>
      <c r="G20" s="181">
        <v>0.58761014707989201</v>
      </c>
      <c r="H20" s="181">
        <v>6.4005011513359633E-2</v>
      </c>
      <c r="I20" s="181">
        <v>6.2084861167958832E-2</v>
      </c>
      <c r="J20" s="181">
        <v>3.1850342979073965E-2</v>
      </c>
      <c r="K20" s="181">
        <v>0.1069060257822108</v>
      </c>
      <c r="L20" s="181">
        <v>1.8384881358141747E-3</v>
      </c>
      <c r="M20" s="104">
        <v>225.49627676965355</v>
      </c>
    </row>
    <row r="21" spans="1:13" x14ac:dyDescent="0.25">
      <c r="A21" s="451" t="s">
        <v>70</v>
      </c>
      <c r="B21" s="18" t="s">
        <v>71</v>
      </c>
      <c r="C21" s="18" t="s">
        <v>131</v>
      </c>
      <c r="D21" s="18" t="s">
        <v>47</v>
      </c>
      <c r="E21" s="181">
        <v>983907.41844306001</v>
      </c>
      <c r="F21" s="181">
        <v>129.67148178610887</v>
      </c>
      <c r="G21" s="181">
        <v>30.28397834274881</v>
      </c>
      <c r="H21" s="181">
        <v>3.298660501576455</v>
      </c>
      <c r="I21" s="181">
        <v>3.1997006865291611</v>
      </c>
      <c r="J21" s="181">
        <v>1.6414881563579526</v>
      </c>
      <c r="K21" s="181">
        <v>5.509673012943459</v>
      </c>
      <c r="L21" s="181">
        <v>9.4751146087385774E-2</v>
      </c>
      <c r="M21" s="104">
        <v>11621.522187795392</v>
      </c>
    </row>
    <row r="22" spans="1:13" x14ac:dyDescent="0.25">
      <c r="A22" s="451" t="s">
        <v>70</v>
      </c>
      <c r="B22" s="18" t="s">
        <v>71</v>
      </c>
      <c r="C22" s="18" t="s">
        <v>132</v>
      </c>
      <c r="D22" s="18" t="s">
        <v>67</v>
      </c>
      <c r="E22" s="181">
        <v>0</v>
      </c>
      <c r="F22" s="181">
        <v>0</v>
      </c>
      <c r="G22" s="181">
        <v>0</v>
      </c>
      <c r="H22" s="181">
        <v>0</v>
      </c>
      <c r="I22" s="181">
        <v>0</v>
      </c>
      <c r="J22" s="181">
        <v>0</v>
      </c>
      <c r="K22" s="181">
        <v>0</v>
      </c>
      <c r="L22" s="181">
        <v>0</v>
      </c>
      <c r="M22" s="104">
        <v>0</v>
      </c>
    </row>
    <row r="23" spans="1:13" x14ac:dyDescent="0.25">
      <c r="A23" s="451" t="s">
        <v>70</v>
      </c>
      <c r="B23" s="18" t="s">
        <v>71</v>
      </c>
      <c r="C23" s="18" t="s">
        <v>117</v>
      </c>
      <c r="D23" s="18" t="s">
        <v>48</v>
      </c>
      <c r="E23" s="181">
        <v>289405.23921688902</v>
      </c>
      <c r="F23" s="181">
        <v>38.141399792778458</v>
      </c>
      <c r="G23" s="181">
        <v>8.9076897200257346</v>
      </c>
      <c r="H23" s="181">
        <v>0.97026367893910137</v>
      </c>
      <c r="I23" s="181">
        <v>0.94115576857092809</v>
      </c>
      <c r="J23" s="181">
        <v>0.48282517608637743</v>
      </c>
      <c r="K23" s="181">
        <v>1.6206080027742131</v>
      </c>
      <c r="L23" s="181">
        <v>2.786997799334226E-2</v>
      </c>
      <c r="M23" s="104">
        <v>3418.3393130071718</v>
      </c>
    </row>
    <row r="24" spans="1:13" x14ac:dyDescent="0.25">
      <c r="A24" s="451" t="s">
        <v>70</v>
      </c>
      <c r="B24" s="18" t="s">
        <v>71</v>
      </c>
      <c r="C24" s="18" t="s">
        <v>133</v>
      </c>
      <c r="D24" s="18" t="s">
        <v>25</v>
      </c>
      <c r="E24" s="181">
        <v>182087.03676962649</v>
      </c>
      <c r="F24" s="181">
        <v>23.997680502625048</v>
      </c>
      <c r="G24" s="181">
        <v>5.6045109272095575</v>
      </c>
      <c r="H24" s="181">
        <v>0.61046731103168994</v>
      </c>
      <c r="I24" s="181">
        <v>0.59215329170073905</v>
      </c>
      <c r="J24" s="181">
        <v>0.30378235663333841</v>
      </c>
      <c r="K24" s="181">
        <v>1.0196488141983793</v>
      </c>
      <c r="L24" s="181">
        <v>1.7535141110003243E-2</v>
      </c>
      <c r="M24" s="104">
        <v>2150.7394885554395</v>
      </c>
    </row>
    <row r="25" spans="1:13" x14ac:dyDescent="0.25">
      <c r="A25" s="303"/>
      <c r="B25" s="360"/>
      <c r="C25" s="360"/>
      <c r="D25" s="530" t="s">
        <v>4</v>
      </c>
      <c r="E25" s="181">
        <f>SUM(E4:E24)</f>
        <v>5313400.0000000009</v>
      </c>
      <c r="F25" s="181">
        <f t="shared" ref="F25:M25" si="0">SUM(F4:F24)</f>
        <v>700.26553149948029</v>
      </c>
      <c r="G25" s="181">
        <f t="shared" si="0"/>
        <v>163.54271500563306</v>
      </c>
      <c r="H25" s="181">
        <f t="shared" si="0"/>
        <v>17.81377229253064</v>
      </c>
      <c r="I25" s="181">
        <f t="shared" si="0"/>
        <v>17.279359123754723</v>
      </c>
      <c r="J25" s="181">
        <f t="shared" si="0"/>
        <v>8.8645364457093905</v>
      </c>
      <c r="K25" s="181">
        <f t="shared" si="0"/>
        <v>29.753913872606869</v>
      </c>
      <c r="L25" s="181">
        <f t="shared" si="0"/>
        <v>0.51168507339580627</v>
      </c>
      <c r="M25" s="104">
        <f t="shared" si="0"/>
        <v>62759.762590615726</v>
      </c>
    </row>
    <row r="26" spans="1:13" ht="15.75" thickBot="1" x14ac:dyDescent="0.3">
      <c r="A26" s="228"/>
      <c r="B26" s="299"/>
      <c r="C26" s="299"/>
      <c r="D26" s="34" t="s">
        <v>37</v>
      </c>
      <c r="E26" s="105">
        <f>NSCOMPILE!C26+CSX!E9</f>
        <v>5313400</v>
      </c>
      <c r="F26" s="105">
        <f>SUM(F4:F24)</f>
        <v>700.26553149948029</v>
      </c>
      <c r="G26" s="105">
        <f>NSCOMPILE!E26+CSX!G9</f>
        <v>163.54271500563306</v>
      </c>
      <c r="H26" s="105">
        <f>NSCOMPILE!F26+CSX!H9</f>
        <v>17.81377229253064</v>
      </c>
      <c r="I26" s="105">
        <f>NSCOMPILE!G26+CSX!I9</f>
        <v>17.27935912375473</v>
      </c>
      <c r="J26" s="105">
        <f>NSCOMPILE!H26+CSX!J9</f>
        <v>8.8645364457093905</v>
      </c>
      <c r="K26" s="105">
        <f>NSCOMPILE!I26+CSX!K9</f>
        <v>29.753913872606866</v>
      </c>
      <c r="L26" s="105">
        <f>NSCOMPILE!J26+CSX!L9</f>
        <v>0.51168507339580649</v>
      </c>
      <c r="M26" s="531">
        <f>NSCOMPILE!K26+CSX!M9</f>
        <v>62759.762590615734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M17" sqref="M17"/>
    </sheetView>
  </sheetViews>
  <sheetFormatPr defaultRowHeight="15" x14ac:dyDescent="0.25"/>
  <cols>
    <col min="4" max="4" width="6.5703125" customWidth="1"/>
    <col min="5" max="5" width="10" customWidth="1"/>
    <col min="6" max="6" width="11.42578125" customWidth="1"/>
    <col min="7" max="7" width="9.140625" customWidth="1"/>
    <col min="8" max="8" width="8.5703125" customWidth="1"/>
    <col min="9" max="9" width="7.5703125" customWidth="1"/>
    <col min="10" max="10" width="9.42578125" customWidth="1"/>
    <col min="11" max="12" width="8.42578125" customWidth="1"/>
    <col min="13" max="13" width="8.5703125" customWidth="1"/>
    <col min="14" max="14" width="9.140625" customWidth="1"/>
    <col min="15" max="15" width="10.42578125" customWidth="1"/>
  </cols>
  <sheetData>
    <row r="1" spans="1:18" ht="18" thickBot="1" x14ac:dyDescent="0.3">
      <c r="A1" s="31" t="s">
        <v>1054</v>
      </c>
    </row>
    <row r="2" spans="1:18" ht="31.5" customHeight="1" x14ac:dyDescent="0.25">
      <c r="A2" s="161" t="s">
        <v>517</v>
      </c>
      <c r="B2" s="16" t="s">
        <v>4</v>
      </c>
      <c r="C2" s="162" t="s">
        <v>392</v>
      </c>
      <c r="D2" s="163" t="s">
        <v>521</v>
      </c>
      <c r="E2" s="401" t="s">
        <v>823</v>
      </c>
      <c r="F2" s="26" t="s">
        <v>96</v>
      </c>
      <c r="G2" s="26" t="s">
        <v>10</v>
      </c>
      <c r="H2" s="26" t="s">
        <v>7</v>
      </c>
      <c r="I2" s="27" t="s">
        <v>95</v>
      </c>
      <c r="J2" s="28" t="s">
        <v>17</v>
      </c>
      <c r="K2" s="26" t="s">
        <v>69</v>
      </c>
      <c r="L2" s="63" t="s">
        <v>16</v>
      </c>
      <c r="M2" s="164" t="s">
        <v>94</v>
      </c>
      <c r="R2" t="s">
        <v>981</v>
      </c>
    </row>
    <row r="3" spans="1:18" x14ac:dyDescent="0.25">
      <c r="A3" s="165" t="s">
        <v>113</v>
      </c>
      <c r="B3" s="318">
        <v>34003</v>
      </c>
      <c r="C3" s="159">
        <v>21</v>
      </c>
      <c r="D3" s="159">
        <v>1102</v>
      </c>
      <c r="E3" s="160">
        <f>1170781-G18-G19</f>
        <v>1005781</v>
      </c>
      <c r="F3" s="181">
        <f>$E3*'RAIL EMIS FACTOR'!C$8/2000</f>
        <v>132.55425274533798</v>
      </c>
      <c r="G3" s="181">
        <f>$E3*'RAIL EMIS FACTOR'!D$8/2000</f>
        <v>30.957231799051574</v>
      </c>
      <c r="H3" s="181">
        <f>$E3*'RAIL EMIS FACTOR'!E$8/2000</f>
        <v>3.3719941487849137</v>
      </c>
      <c r="I3" s="181">
        <f>$E3*'RAIL EMIS FACTOR'!F$8/2000</f>
        <v>3.2708343243213664</v>
      </c>
      <c r="J3" s="181">
        <f>$E3*'RAIL EMIS FACTOR'!G$8/2000</f>
        <v>1.6779806396849544</v>
      </c>
      <c r="K3" s="181">
        <f>$E3*'RAIL EMIS FACTOR'!H$8/2000</f>
        <v>5.6321604337532296</v>
      </c>
      <c r="L3" s="181">
        <f>$E3*'RAIL EMIS FACTOR'!I$8/2000</f>
        <v>9.685759114787286E-2</v>
      </c>
      <c r="M3" s="104">
        <f>$E3*'RAIL EMIS FACTOR'!J$8/2000</f>
        <v>11879.884213150162</v>
      </c>
    </row>
    <row r="4" spans="1:18" x14ac:dyDescent="0.25">
      <c r="A4" s="165" t="s">
        <v>114</v>
      </c>
      <c r="B4" s="318">
        <v>34013</v>
      </c>
      <c r="C4" s="159">
        <v>0</v>
      </c>
      <c r="D4" s="159">
        <v>0</v>
      </c>
      <c r="E4" s="160">
        <v>0</v>
      </c>
      <c r="F4" s="181">
        <f>$E4*'RAIL EMIS FACTOR'!C$8/2000</f>
        <v>0</v>
      </c>
      <c r="G4" s="181">
        <f>$E4*'RAIL EMIS FACTOR'!D$8/2000</f>
        <v>0</v>
      </c>
      <c r="H4" s="181">
        <f>$E4*'RAIL EMIS FACTOR'!E$8/2000</f>
        <v>0</v>
      </c>
      <c r="I4" s="181">
        <f>$E4*'RAIL EMIS FACTOR'!F$8/2000</f>
        <v>0</v>
      </c>
      <c r="J4" s="181">
        <f>$E4*'RAIL EMIS FACTOR'!G$8/2000</f>
        <v>0</v>
      </c>
      <c r="K4" s="181">
        <f>$E4*'RAIL EMIS FACTOR'!H$8/2000</f>
        <v>0</v>
      </c>
      <c r="L4" s="181">
        <f>$E4*'RAIL EMIS FACTOR'!I$8/2000</f>
        <v>0</v>
      </c>
      <c r="M4" s="104">
        <f>$E4*'RAIL EMIS FACTOR'!J$8/2000</f>
        <v>0</v>
      </c>
    </row>
    <row r="5" spans="1:18" x14ac:dyDescent="0.25">
      <c r="A5" s="165" t="s">
        <v>115</v>
      </c>
      <c r="B5" s="318">
        <v>34017</v>
      </c>
      <c r="C5" s="159">
        <v>16</v>
      </c>
      <c r="D5" s="159">
        <v>177</v>
      </c>
      <c r="E5" s="160">
        <f>188494-G17</f>
        <v>143494</v>
      </c>
      <c r="F5" s="181">
        <f>$E5*'RAIL EMIS FACTOR'!C$8/2000</f>
        <v>18.911413064513575</v>
      </c>
      <c r="G5" s="181">
        <f>$E5*'RAIL EMIS FACTOR'!D$8/2000</f>
        <v>4.4166443985053467</v>
      </c>
      <c r="H5" s="181">
        <f>$E5*'RAIL EMIS FACTOR'!E$8/2000</f>
        <v>0.48107980602709977</v>
      </c>
      <c r="I5" s="181">
        <f>$E5*'RAIL EMIS FACTOR'!F$8/2000</f>
        <v>0.46664741184628677</v>
      </c>
      <c r="J5" s="181">
        <f>$E5*'RAIL EMIS FACTOR'!G$8/2000</f>
        <v>0.23939620445300999</v>
      </c>
      <c r="K5" s="181">
        <f>$E5*'RAIL EMIS FACTOR'!H$8/2000</f>
        <v>0.80353598773588475</v>
      </c>
      <c r="L5" s="181">
        <f>$E5*'RAIL EMIS FACTOR'!I$8/2000</f>
        <v>1.381859786988705E-2</v>
      </c>
      <c r="M5" s="104">
        <f>$E5*'RAIL EMIS FACTOR'!J$8/2000</f>
        <v>1694.8939235099583</v>
      </c>
    </row>
    <row r="6" spans="1:18" x14ac:dyDescent="0.25">
      <c r="A6" s="165" t="s">
        <v>125</v>
      </c>
      <c r="B6" s="318">
        <v>34021</v>
      </c>
      <c r="C6" s="159">
        <v>13</v>
      </c>
      <c r="D6" s="159">
        <v>486</v>
      </c>
      <c r="E6" s="160">
        <f>516489</f>
        <v>516489</v>
      </c>
      <c r="F6" s="181">
        <f>$E6*'RAIL EMIS FACTOR'!C$8/2000</f>
        <v>68.069304795166005</v>
      </c>
      <c r="G6" s="181">
        <f>$E6*'RAIL EMIS FACTOR'!D$8/2000</f>
        <v>15.897168165495618</v>
      </c>
      <c r="H6" s="181">
        <f>$E6*'RAIL EMIS FACTOR'!E$8/2000</f>
        <v>1.7315875781226444</v>
      </c>
      <c r="I6" s="181">
        <f>$E6*'RAIL EMIS FACTOR'!F$8/2000</f>
        <v>1.679639950778965</v>
      </c>
      <c r="J6" s="181">
        <f>$E6*'RAIL EMIS FACTOR'!G$8/2000</f>
        <v>0.86167718679338989</v>
      </c>
      <c r="K6" s="181">
        <f>$E6*'RAIL EMIS FACTOR'!H$8/2000</f>
        <v>2.8922289347967123</v>
      </c>
      <c r="L6" s="181">
        <f>$E6*'RAIL EMIS FACTOR'!I$8/2000</f>
        <v>4.9738343033298209E-2</v>
      </c>
      <c r="M6" s="104">
        <f>$E6*'RAIL EMIS FACTOR'!J$8/2000</f>
        <v>6100.5621674755375</v>
      </c>
    </row>
    <row r="7" spans="1:18" x14ac:dyDescent="0.25">
      <c r="A7" s="165" t="s">
        <v>518</v>
      </c>
      <c r="B7" s="318">
        <v>34035</v>
      </c>
      <c r="C7" s="159">
        <v>13</v>
      </c>
      <c r="D7" s="159">
        <v>494</v>
      </c>
      <c r="E7" s="160">
        <f>524474</f>
        <v>524474</v>
      </c>
      <c r="F7" s="181">
        <f>$E7*'RAIL EMIS FACTOR'!C$8/2000</f>
        <v>69.121666798595697</v>
      </c>
      <c r="G7" s="181">
        <f>$E7*'RAIL EMIS FACTOR'!D$8/2000</f>
        <v>16.14294084952467</v>
      </c>
      <c r="H7" s="181">
        <f>$E7*'RAIL EMIS FACTOR'!E$8/2000</f>
        <v>1.7583581904905927</v>
      </c>
      <c r="I7" s="181">
        <f>$E7*'RAIL EMIS FACTOR'!F$8/2000</f>
        <v>1.7056074447758749</v>
      </c>
      <c r="J7" s="181">
        <f>$E7*'RAIL EMIS FACTOR'!G$8/2000</f>
        <v>0.87499884966819497</v>
      </c>
      <c r="K7" s="181">
        <f>$E7*'RAIL EMIS FACTOR'!H$8/2000</f>
        <v>2.9369432424477013</v>
      </c>
      <c r="L7" s="181">
        <f>$E7*'RAIL EMIS FACTOR'!I$8/2000</f>
        <v>5.0507305526441108E-2</v>
      </c>
      <c r="M7" s="104">
        <f>$E7*'RAIL EMIS FACTOR'!J$8/2000</f>
        <v>6194.8778042215126</v>
      </c>
    </row>
    <row r="8" spans="1:18" ht="15.75" thickBot="1" x14ac:dyDescent="0.3">
      <c r="A8" s="204" t="s">
        <v>117</v>
      </c>
      <c r="B8" s="319">
        <v>34039</v>
      </c>
      <c r="C8" s="183">
        <v>5</v>
      </c>
      <c r="D8" s="183">
        <v>3</v>
      </c>
      <c r="E8" s="249">
        <v>3103</v>
      </c>
      <c r="F8" s="184">
        <f>$E8*'RAIL EMIS FACTOR'!C$8/2000</f>
        <v>0.40895169651125218</v>
      </c>
      <c r="G8" s="184">
        <f>$E8*'RAIL EMIS FACTOR'!D$8/2000</f>
        <v>9.5508157613294578E-2</v>
      </c>
      <c r="H8" s="184">
        <f>$E8*'RAIL EMIS FACTOR'!E$8/2000</f>
        <v>1.0403157191952908E-2</v>
      </c>
      <c r="I8" s="184">
        <f>$E8*'RAIL EMIS FACTOR'!F$8/2000</f>
        <v>1.009106247619432E-2</v>
      </c>
      <c r="J8" s="184">
        <f>$E8*'RAIL EMIS FACTOR'!G$8/2000</f>
        <v>5.1768465748929576E-3</v>
      </c>
      <c r="K8" s="184">
        <f>$E8*'RAIL EMIS FACTOR'!H$8/2000</f>
        <v>1.7376142347028101E-2</v>
      </c>
      <c r="L8" s="184">
        <f>$E8*'RAIL EMIS FACTOR'!I$8/2000</f>
        <v>2.9882161756073091E-4</v>
      </c>
      <c r="M8" s="254">
        <f>$E8*'RAIL EMIS FACTOR'!J$8/2000</f>
        <v>36.651398975925126</v>
      </c>
    </row>
    <row r="9" spans="1:18" ht="15.75" thickBot="1" x14ac:dyDescent="0.3">
      <c r="A9" s="320" t="s">
        <v>119</v>
      </c>
      <c r="B9" s="210"/>
      <c r="C9" s="210"/>
      <c r="D9" s="210"/>
      <c r="E9" s="321">
        <f>SUM(E3:E8)</f>
        <v>2193341</v>
      </c>
      <c r="F9" s="322">
        <f>SUM(F3:F8)</f>
        <v>289.06558910012444</v>
      </c>
      <c r="G9" s="322">
        <f t="shared" ref="G9:M9" si="0">SUM(G3:G8)</f>
        <v>67.509493370190512</v>
      </c>
      <c r="H9" s="322">
        <f t="shared" si="0"/>
        <v>7.3534228806172033</v>
      </c>
      <c r="I9" s="322">
        <f t="shared" si="0"/>
        <v>7.132820194198688</v>
      </c>
      <c r="J9" s="322">
        <f t="shared" si="0"/>
        <v>3.6592297271744423</v>
      </c>
      <c r="K9" s="322">
        <f t="shared" si="0"/>
        <v>12.282244741080557</v>
      </c>
      <c r="L9" s="322">
        <f t="shared" si="0"/>
        <v>0.21122065919505997</v>
      </c>
      <c r="M9" s="323">
        <f t="shared" si="0"/>
        <v>25906.869507333096</v>
      </c>
    </row>
    <row r="10" spans="1:18" x14ac:dyDescent="0.25">
      <c r="A10" s="6"/>
      <c r="B10" s="6"/>
      <c r="C10" s="6"/>
      <c r="D10" s="6"/>
      <c r="E10" s="108"/>
      <c r="F10" s="290"/>
      <c r="G10" s="290"/>
      <c r="H10" s="290"/>
      <c r="I10" s="290"/>
      <c r="J10" s="290"/>
      <c r="K10" s="290"/>
      <c r="L10" s="290"/>
      <c r="M10" s="290"/>
    </row>
    <row r="11" spans="1:18" ht="17.25" x14ac:dyDescent="0.25">
      <c r="A11" s="6" t="s">
        <v>519</v>
      </c>
      <c r="B11" s="6"/>
      <c r="C11" s="6"/>
      <c r="D11" s="6"/>
      <c r="E11" s="6"/>
      <c r="F11" s="6"/>
      <c r="G11" s="6"/>
      <c r="H11" s="6"/>
      <c r="I11" s="6"/>
      <c r="J11" s="6"/>
      <c r="K11" s="6"/>
      <c r="L11" s="6"/>
      <c r="M11" s="6"/>
    </row>
    <row r="12" spans="1:18" ht="17.25" x14ac:dyDescent="0.25">
      <c r="A12" s="6" t="s">
        <v>520</v>
      </c>
      <c r="B12" s="6"/>
      <c r="C12" s="6"/>
      <c r="D12" s="6"/>
      <c r="E12" s="108"/>
      <c r="F12" s="6"/>
      <c r="G12" s="6"/>
      <c r="H12" s="6"/>
      <c r="I12" s="6"/>
      <c r="J12" s="6"/>
      <c r="K12" s="6"/>
      <c r="L12" s="6"/>
      <c r="M12" s="6"/>
    </row>
    <row r="13" spans="1:18" ht="61.5" customHeight="1" x14ac:dyDescent="0.25">
      <c r="A13" s="601" t="s">
        <v>941</v>
      </c>
      <c r="B13" s="601"/>
      <c r="C13" s="601"/>
      <c r="D13" s="601"/>
      <c r="E13" s="601"/>
      <c r="F13" s="601"/>
      <c r="G13" s="601"/>
      <c r="H13" s="6"/>
      <c r="I13" s="6"/>
      <c r="J13" s="6"/>
      <c r="K13" s="6"/>
      <c r="L13" s="6"/>
      <c r="M13" s="6"/>
    </row>
    <row r="15" spans="1:18" ht="18" thickBot="1" x14ac:dyDescent="0.3">
      <c r="A15" s="31" t="s">
        <v>1055</v>
      </c>
      <c r="B15" s="31"/>
      <c r="C15" s="31"/>
      <c r="D15" s="31"/>
      <c r="E15" s="31"/>
      <c r="F15" s="31"/>
    </row>
    <row r="16" spans="1:18" ht="30" customHeight="1" x14ac:dyDescent="0.25">
      <c r="A16" s="161" t="s">
        <v>517</v>
      </c>
      <c r="B16" s="162" t="s">
        <v>144</v>
      </c>
      <c r="C16" s="223"/>
      <c r="D16" s="162" t="s">
        <v>522</v>
      </c>
      <c r="E16" s="162" t="s">
        <v>523</v>
      </c>
      <c r="F16" s="223"/>
      <c r="G16" s="163" t="s">
        <v>528</v>
      </c>
      <c r="H16" s="26" t="s">
        <v>96</v>
      </c>
      <c r="I16" s="26" t="s">
        <v>10</v>
      </c>
      <c r="J16" s="26" t="s">
        <v>7</v>
      </c>
      <c r="K16" s="27" t="s">
        <v>95</v>
      </c>
      <c r="L16" s="28" t="s">
        <v>17</v>
      </c>
      <c r="M16" s="26" t="s">
        <v>69</v>
      </c>
      <c r="N16" s="63" t="s">
        <v>16</v>
      </c>
      <c r="O16" s="164" t="s">
        <v>94</v>
      </c>
    </row>
    <row r="17" spans="1:16" x14ac:dyDescent="0.25">
      <c r="A17" s="165" t="s">
        <v>115</v>
      </c>
      <c r="B17" s="159" t="s">
        <v>497</v>
      </c>
      <c r="C17" s="295">
        <v>34017</v>
      </c>
      <c r="D17" s="159">
        <v>0</v>
      </c>
      <c r="E17" s="159">
        <v>1</v>
      </c>
      <c r="F17" s="226" t="s">
        <v>831</v>
      </c>
      <c r="G17" s="160">
        <v>45000</v>
      </c>
      <c r="H17" s="147">
        <f>$G17*'RAIL EMIS FACTOR'!C$6/2000</f>
        <v>1.9107702014971146</v>
      </c>
      <c r="I17" s="147">
        <f>$G17*'RAIL EMIS FACTOR'!D$6/2000</f>
        <v>0.2584181545486206</v>
      </c>
      <c r="J17" s="147">
        <f>$G17*'RAIL EMIS FACTOR'!E$6/2000</f>
        <v>6.058539663283536E-2</v>
      </c>
      <c r="K17" s="147">
        <f>$G17*'RAIL EMIS FACTOR'!F$6/2000</f>
        <v>5.8767834733850291E-2</v>
      </c>
      <c r="L17" s="147">
        <f>$G17*'RAIL EMIS FACTOR'!G$6/2000</f>
        <v>5.4862587341449699E-2</v>
      </c>
      <c r="M17" s="147">
        <f>$G17*'RAIL EMIS FACTOR'!H$6/2000</f>
        <v>0.1749752802297892</v>
      </c>
      <c r="N17" s="147">
        <f>$G17*'RAIL EMIS FACTOR'!I$6/2000</f>
        <v>4.3335394103231999E-3</v>
      </c>
      <c r="O17" s="20">
        <f>$G17*'RAIL EMIS FACTOR'!J$6/2000</f>
        <v>531.52206055966178</v>
      </c>
    </row>
    <row r="18" spans="1:16" x14ac:dyDescent="0.25">
      <c r="A18" s="165" t="s">
        <v>919</v>
      </c>
      <c r="B18" s="159" t="s">
        <v>920</v>
      </c>
      <c r="C18" s="295">
        <v>34017</v>
      </c>
      <c r="D18" s="159"/>
      <c r="E18" s="159">
        <v>1</v>
      </c>
      <c r="F18" s="226" t="s">
        <v>831</v>
      </c>
      <c r="G18" s="160">
        <v>45000</v>
      </c>
      <c r="H18" s="147">
        <f>$G18*'RAIL EMIS FACTOR'!C$6/2000</f>
        <v>1.9107702014971146</v>
      </c>
      <c r="I18" s="147">
        <f>$G18*'RAIL EMIS FACTOR'!D$6/2000</f>
        <v>0.2584181545486206</v>
      </c>
      <c r="J18" s="147">
        <f>$G18*'RAIL EMIS FACTOR'!E$6/2000</f>
        <v>6.058539663283536E-2</v>
      </c>
      <c r="K18" s="147">
        <f>$G18*'RAIL EMIS FACTOR'!F$6/2000</f>
        <v>5.8767834733850291E-2</v>
      </c>
      <c r="L18" s="147">
        <f>$G18*'RAIL EMIS FACTOR'!G$6/2000</f>
        <v>5.4862587341449699E-2</v>
      </c>
      <c r="M18" s="147">
        <f>$G18*'RAIL EMIS FACTOR'!H$6/2000</f>
        <v>0.1749752802297892</v>
      </c>
      <c r="N18" s="147">
        <f>$G18*'RAIL EMIS FACTOR'!I$6/2000</f>
        <v>4.3335394103231999E-3</v>
      </c>
      <c r="O18" s="20">
        <f>$G18*'RAIL EMIS FACTOR'!J$6/2000</f>
        <v>531.52206055966178</v>
      </c>
      <c r="P18" t="s">
        <v>931</v>
      </c>
    </row>
    <row r="19" spans="1:16" x14ac:dyDescent="0.25">
      <c r="A19" s="165" t="s">
        <v>115</v>
      </c>
      <c r="B19" s="159" t="s">
        <v>920</v>
      </c>
      <c r="C19" s="295">
        <v>34017</v>
      </c>
      <c r="D19" s="159">
        <v>2</v>
      </c>
      <c r="E19" s="159"/>
      <c r="F19" s="226" t="s">
        <v>323</v>
      </c>
      <c r="G19" s="160">
        <f>165000-45000</f>
        <v>120000</v>
      </c>
      <c r="H19" s="147">
        <f>$G19*'RAIL EMIS FACTOR'!C$5/2000</f>
        <v>28.578133039780845</v>
      </c>
      <c r="I19" s="147">
        <f>$G19*'RAIL EMIS FACTOR'!D$5/2000</f>
        <v>2.6991075554464858</v>
      </c>
      <c r="J19" s="147">
        <f>$G19*'RAIL EMIS FACTOR'!E$5/2000</f>
        <v>0.62427960523793113</v>
      </c>
      <c r="K19" s="147">
        <f>$G19*'RAIL EMIS FACTOR'!F$5/2000</f>
        <v>0.60555121708079318</v>
      </c>
      <c r="L19" s="147">
        <f>$G19*'RAIL EMIS FACTOR'!G$5/2000</f>
        <v>0.14630023291053251</v>
      </c>
      <c r="M19" s="147">
        <f>$G19*'RAIL EMIS FACTOR'!H$5/2000</f>
        <v>1.7237608459829752</v>
      </c>
      <c r="N19" s="147">
        <f>$G19*'RAIL EMIS FACTOR'!I$5/2000</f>
        <v>1.1556105094195199E-2</v>
      </c>
      <c r="O19" s="20">
        <f>$G19*'RAIL EMIS FACTOR'!J$5/2000</f>
        <v>1417.3921614924316</v>
      </c>
      <c r="P19" t="s">
        <v>918</v>
      </c>
    </row>
    <row r="20" spans="1:16" ht="15.75" thickBot="1" x14ac:dyDescent="0.3">
      <c r="A20" s="166" t="s">
        <v>117</v>
      </c>
      <c r="B20" s="167" t="s">
        <v>524</v>
      </c>
      <c r="C20" s="229">
        <v>34039</v>
      </c>
      <c r="D20" s="167">
        <v>0</v>
      </c>
      <c r="E20" s="167">
        <v>1</v>
      </c>
      <c r="F20" s="229" t="s">
        <v>323</v>
      </c>
      <c r="G20" s="170">
        <v>45000</v>
      </c>
      <c r="H20" s="252">
        <f>$G20*'RAIL EMIS FACTOR'!C$5/2000</f>
        <v>10.716799889917816</v>
      </c>
      <c r="I20" s="252">
        <f>$G20*'RAIL EMIS FACTOR'!D$5/2000</f>
        <v>1.0121653332924323</v>
      </c>
      <c r="J20" s="252">
        <f>$G20*'RAIL EMIS FACTOR'!E$5/2000</f>
        <v>0.23410485196422418</v>
      </c>
      <c r="K20" s="252">
        <f>$G20*'RAIL EMIS FACTOR'!F$5/2000</f>
        <v>0.22708170640529743</v>
      </c>
      <c r="L20" s="252">
        <f>$G20*'RAIL EMIS FACTOR'!G$5/2000</f>
        <v>5.4862587341449699E-2</v>
      </c>
      <c r="M20" s="252">
        <f>$G20*'RAIL EMIS FACTOR'!H$5/2000</f>
        <v>0.64641031724361575</v>
      </c>
      <c r="N20" s="252">
        <f>$G20*'RAIL EMIS FACTOR'!I$5/2000</f>
        <v>4.3335394103231999E-3</v>
      </c>
      <c r="O20" s="253">
        <f>$G20*'RAIL EMIS FACTOR'!J$5/2000</f>
        <v>531.52206055966178</v>
      </c>
      <c r="P20" t="s">
        <v>917</v>
      </c>
    </row>
    <row r="21" spans="1:16" x14ac:dyDescent="0.25">
      <c r="A21" s="6"/>
      <c r="B21" s="6"/>
      <c r="C21" s="6"/>
      <c r="D21" s="6"/>
      <c r="E21" s="6"/>
      <c r="F21" s="6"/>
      <c r="G21" s="108">
        <f>SUM(G17:G20)</f>
        <v>255000</v>
      </c>
      <c r="H21" s="291"/>
      <c r="I21" s="291"/>
      <c r="J21" s="291"/>
      <c r="K21" s="291"/>
      <c r="L21" s="291"/>
      <c r="M21" s="291"/>
      <c r="N21" s="291"/>
      <c r="O21" s="291"/>
    </row>
    <row r="22" spans="1:16" ht="17.25" x14ac:dyDescent="0.25">
      <c r="A22" t="s">
        <v>525</v>
      </c>
    </row>
    <row r="23" spans="1:16" ht="17.25" x14ac:dyDescent="0.25">
      <c r="A23" t="s">
        <v>526</v>
      </c>
    </row>
    <row r="24" spans="1:16" ht="17.25" x14ac:dyDescent="0.25">
      <c r="A24" t="s">
        <v>527</v>
      </c>
    </row>
  </sheetData>
  <mergeCells count="1">
    <mergeCell ref="A13:G13"/>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 sqref="A2"/>
    </sheetView>
  </sheetViews>
  <sheetFormatPr defaultRowHeight="15" x14ac:dyDescent="0.25"/>
  <cols>
    <col min="3" max="3" width="12.5703125" bestFit="1" customWidth="1"/>
    <col min="4" max="10" width="9.42578125" bestFit="1" customWidth="1"/>
    <col min="11" max="11" width="10.5703125" bestFit="1" customWidth="1"/>
  </cols>
  <sheetData>
    <row r="1" spans="1:11" ht="15.75" thickBot="1" x14ac:dyDescent="0.3">
      <c r="A1" s="31" t="s">
        <v>1056</v>
      </c>
    </row>
    <row r="2" spans="1:11" x14ac:dyDescent="0.25">
      <c r="A2" s="476"/>
      <c r="B2" s="16" t="s">
        <v>4</v>
      </c>
      <c r="C2" s="401" t="s">
        <v>823</v>
      </c>
      <c r="D2" s="26" t="s">
        <v>96</v>
      </c>
      <c r="E2" s="26" t="s">
        <v>10</v>
      </c>
      <c r="F2" s="26" t="s">
        <v>7</v>
      </c>
      <c r="G2" s="27" t="s">
        <v>95</v>
      </c>
      <c r="H2" s="28" t="s">
        <v>17</v>
      </c>
      <c r="I2" s="26" t="s">
        <v>69</v>
      </c>
      <c r="J2" s="63" t="s">
        <v>16</v>
      </c>
      <c r="K2" s="164" t="s">
        <v>94</v>
      </c>
    </row>
    <row r="3" spans="1:11" x14ac:dyDescent="0.25">
      <c r="A3" s="303"/>
      <c r="B3" s="360"/>
      <c r="C3" s="181">
        <f>DSUM('NS EMISSION CALC'!$O$2:$X$87,'NS EMISSION CALC'!P2,NSCOMPILE!$B$25:$B$26)</f>
        <v>24853.332278682559</v>
      </c>
      <c r="D3" s="181">
        <f>DSUM('NS EMISSION CALC'!$O$2:$X$87,'NS EMISSION CALC'!Q2,NSCOMPILE!$B$25:$B$26)</f>
        <v>3.2754793423542052</v>
      </c>
      <c r="E3" s="181">
        <f>DSUM('NS EMISSION CALC'!$O$2:$X$87,'NS EMISSION CALC'!R2,NSCOMPILE!$B$25:$B$26)</f>
        <v>0.76496808781437176</v>
      </c>
      <c r="F3" s="181">
        <f>DSUM('NS EMISSION CALC'!$O$2:$X$87,'NS EMISSION CALC'!S2,NSCOMPILE!$B$25:$B$26)</f>
        <v>8.332359730550172E-2</v>
      </c>
      <c r="G3" s="181">
        <f>DSUM('NS EMISSION CALC'!$O$2:$X$87,'NS EMISSION CALC'!T2,NSCOMPILE!$B$25:$B$26)</f>
        <v>8.0823889386336653E-2</v>
      </c>
      <c r="H3" s="181">
        <f>DSUM('NS EMISSION CALC'!$O$2:$X$87,'NS EMISSION CALC'!U2,NSCOMPILE!$B$25:$B$26)</f>
        <v>4.1463708695318853E-2</v>
      </c>
      <c r="I3" s="181">
        <f>DSUM('NS EMISSION CALC'!$O$2:$X$87,'NS EMISSION CALC'!V2,NSCOMPILE!$B$25:$B$26)</f>
        <v>0.1391733933201342</v>
      </c>
      <c r="J3" s="181">
        <f>DSUM('NS EMISSION CALC'!$O$2:$X$87,'NS EMISSION CALC'!W2,NSCOMPILE!$B$25:$B$26)</f>
        <v>2.3933976646117456E-3</v>
      </c>
      <c r="K3" s="104">
        <f>DSUM('NS EMISSION CALC'!$O$2:$X$87,'NS EMISSION CALC'!X2,NSCOMPILE!$B$25:$B$26)</f>
        <v>293.5576529897624</v>
      </c>
    </row>
    <row r="4" spans="1:11" x14ac:dyDescent="0.25">
      <c r="A4" s="68" t="s">
        <v>120</v>
      </c>
      <c r="B4" s="66" t="s">
        <v>37</v>
      </c>
      <c r="C4" s="181">
        <f t="dataTable" ref="C4:K24" dt2D="0" dtr="0" r1="B26"/>
        <v>24853.332278682559</v>
      </c>
      <c r="D4" s="181">
        <v>3.2754793423542052</v>
      </c>
      <c r="E4" s="181">
        <v>0.76496808781437176</v>
      </c>
      <c r="F4" s="181">
        <v>8.332359730550172E-2</v>
      </c>
      <c r="G4" s="181">
        <v>8.0823889386336653E-2</v>
      </c>
      <c r="H4" s="181">
        <v>4.1463708695318853E-2</v>
      </c>
      <c r="I4" s="181">
        <v>0.1391733933201342</v>
      </c>
      <c r="J4" s="181">
        <v>2.3933976646117456E-3</v>
      </c>
      <c r="K4" s="104">
        <v>293.5576529897624</v>
      </c>
    </row>
    <row r="5" spans="1:11" x14ac:dyDescent="0.25">
      <c r="A5" s="68" t="s">
        <v>113</v>
      </c>
      <c r="B5" s="66" t="s">
        <v>65</v>
      </c>
      <c r="C5" s="181">
        <v>245201.11371667433</v>
      </c>
      <c r="D5" s="181">
        <v>32.315633722488705</v>
      </c>
      <c r="E5" s="181">
        <v>7.5471178265573631</v>
      </c>
      <c r="F5" s="181">
        <v>0.82206436662471261</v>
      </c>
      <c r="G5" s="181">
        <v>0.79740243562597135</v>
      </c>
      <c r="H5" s="181">
        <v>0.40907784263748115</v>
      </c>
      <c r="I5" s="181">
        <v>1.3730742686402699</v>
      </c>
      <c r="J5" s="181">
        <v>2.3613081994363301E-2</v>
      </c>
      <c r="K5" s="104">
        <v>2896.2178047602379</v>
      </c>
    </row>
    <row r="6" spans="1:11" x14ac:dyDescent="0.25">
      <c r="A6" s="68" t="s">
        <v>88</v>
      </c>
      <c r="B6" s="66" t="s">
        <v>21</v>
      </c>
      <c r="C6" s="181">
        <v>48801</v>
      </c>
      <c r="D6" s="181">
        <v>6.4315990143234352</v>
      </c>
      <c r="E6" s="181">
        <v>1.5020604575205894</v>
      </c>
      <c r="F6" s="181">
        <v>0.16361085211875406</v>
      </c>
      <c r="G6" s="181">
        <v>0.15870252655519143</v>
      </c>
      <c r="H6" s="181">
        <v>8.1416464615324272E-2</v>
      </c>
      <c r="I6" s="181">
        <v>0.27327525706648997</v>
      </c>
      <c r="J6" s="181">
        <v>4.6995790391818329E-3</v>
      </c>
      <c r="K6" s="104">
        <v>576.41795727493468</v>
      </c>
    </row>
    <row r="7" spans="1:11" x14ac:dyDescent="0.25">
      <c r="A7" s="68" t="s">
        <v>87</v>
      </c>
      <c r="B7" s="66" t="s">
        <v>38</v>
      </c>
      <c r="C7" s="181">
        <v>122986.16183807084</v>
      </c>
      <c r="D7" s="181">
        <v>16.208636651977599</v>
      </c>
      <c r="E7" s="181">
        <v>3.7854275633530849</v>
      </c>
      <c r="F7" s="181">
        <v>0.41232496746258807</v>
      </c>
      <c r="G7" s="181">
        <v>0.39995521843871046</v>
      </c>
      <c r="H7" s="181">
        <v>0.20518223998409538</v>
      </c>
      <c r="I7" s="181">
        <v>0.68869644048113243</v>
      </c>
      <c r="J7" s="181">
        <v>1.1843675094437046E-2</v>
      </c>
      <c r="K7" s="104">
        <v>1452.6635146776769</v>
      </c>
    </row>
    <row r="8" spans="1:11" x14ac:dyDescent="0.25">
      <c r="A8" s="68" t="s">
        <v>121</v>
      </c>
      <c r="B8" s="66" t="s">
        <v>35</v>
      </c>
      <c r="C8" s="181">
        <v>9370.9285640934231</v>
      </c>
      <c r="D8" s="181">
        <v>1.2350168012155198</v>
      </c>
      <c r="E8" s="181">
        <v>0.28843059048738606</v>
      </c>
      <c r="F8" s="181">
        <v>3.1417094066008844E-2</v>
      </c>
      <c r="G8" s="181">
        <v>3.0474581244028576E-2</v>
      </c>
      <c r="H8" s="181">
        <v>1.56338573769235E-2</v>
      </c>
      <c r="I8" s="181">
        <v>5.2475213874804701E-2</v>
      </c>
      <c r="J8" s="181">
        <v>9.0242862764049431E-4</v>
      </c>
      <c r="K8" s="104">
        <v>110.68567243876288</v>
      </c>
    </row>
    <row r="9" spans="1:11" x14ac:dyDescent="0.25">
      <c r="A9" s="68" t="s">
        <v>122</v>
      </c>
      <c r="B9" s="66" t="s">
        <v>39</v>
      </c>
      <c r="C9" s="181">
        <v>0</v>
      </c>
      <c r="D9" s="181">
        <v>0</v>
      </c>
      <c r="E9" s="181">
        <v>0</v>
      </c>
      <c r="F9" s="181">
        <v>0</v>
      </c>
      <c r="G9" s="181">
        <v>0</v>
      </c>
      <c r="H9" s="181">
        <v>0</v>
      </c>
      <c r="I9" s="181">
        <v>0</v>
      </c>
      <c r="J9" s="181">
        <v>0</v>
      </c>
      <c r="K9" s="104">
        <v>0</v>
      </c>
    </row>
    <row r="10" spans="1:11" x14ac:dyDescent="0.25">
      <c r="A10" s="68" t="s">
        <v>114</v>
      </c>
      <c r="B10" s="66" t="s">
        <v>40</v>
      </c>
      <c r="C10" s="181">
        <v>140849.13063509113</v>
      </c>
      <c r="D10" s="181">
        <v>18.562839486095879</v>
      </c>
      <c r="E10" s="181">
        <v>4.3352371796299716</v>
      </c>
      <c r="F10" s="181">
        <v>0.47221258341822853</v>
      </c>
      <c r="G10" s="181">
        <v>0.45804620591568163</v>
      </c>
      <c r="H10" s="181">
        <v>0.23498367370445458</v>
      </c>
      <c r="I10" s="181">
        <v>0.788725279848695</v>
      </c>
      <c r="J10" s="181">
        <v>1.3563894633709517E-2</v>
      </c>
      <c r="K10" s="104">
        <v>1663.6537809600143</v>
      </c>
    </row>
    <row r="11" spans="1:11" x14ac:dyDescent="0.25">
      <c r="A11" s="68" t="s">
        <v>123</v>
      </c>
      <c r="B11" s="66" t="s">
        <v>41</v>
      </c>
      <c r="C11" s="181">
        <v>158847.24394577043</v>
      </c>
      <c r="D11" s="181">
        <v>20.934853334759765</v>
      </c>
      <c r="E11" s="181">
        <v>4.889206448988106</v>
      </c>
      <c r="F11" s="181">
        <v>0.5325532865859941</v>
      </c>
      <c r="G11" s="181">
        <v>0.51657668798841416</v>
      </c>
      <c r="H11" s="181">
        <v>0.26501057388071148</v>
      </c>
      <c r="I11" s="181">
        <v>0.88951089985008203</v>
      </c>
      <c r="J11" s="181">
        <v>1.5297128708004877E-2</v>
      </c>
      <c r="K11" s="104">
        <v>1876.2403203617591</v>
      </c>
    </row>
    <row r="12" spans="1:11" x14ac:dyDescent="0.25">
      <c r="A12" s="68" t="s">
        <v>115</v>
      </c>
      <c r="B12" s="66" t="s">
        <v>42</v>
      </c>
      <c r="C12" s="181">
        <v>179951.62013438341</v>
      </c>
      <c r="D12" s="181">
        <v>23.716248902321787</v>
      </c>
      <c r="E12" s="181">
        <v>5.5387843050475034</v>
      </c>
      <c r="F12" s="181">
        <v>0.60330808611169462</v>
      </c>
      <c r="G12" s="181">
        <v>0.58520884352834379</v>
      </c>
      <c r="H12" s="181">
        <v>0.30021976420854701</v>
      </c>
      <c r="I12" s="181">
        <v>1.0076909336233886</v>
      </c>
      <c r="J12" s="181">
        <v>1.7329498617863565E-2</v>
      </c>
      <c r="K12" s="104">
        <v>2125.5167985528224</v>
      </c>
    </row>
    <row r="13" spans="1:11" x14ac:dyDescent="0.25">
      <c r="A13" s="68" t="s">
        <v>124</v>
      </c>
      <c r="B13" s="66" t="s">
        <v>24</v>
      </c>
      <c r="C13" s="181">
        <v>654944.96518165921</v>
      </c>
      <c r="D13" s="181">
        <v>86.3167433556373</v>
      </c>
      <c r="E13" s="181">
        <v>20.158745395618315</v>
      </c>
      <c r="F13" s="181">
        <v>2.1957768046609494</v>
      </c>
      <c r="G13" s="181">
        <v>2.1299035005211207</v>
      </c>
      <c r="H13" s="181">
        <v>1.0926682564434611</v>
      </c>
      <c r="I13" s="181">
        <v>3.6675529953161057</v>
      </c>
      <c r="J13" s="181">
        <v>6.3071773737943912E-2</v>
      </c>
      <c r="K13" s="104">
        <v>7735.9488321451445</v>
      </c>
    </row>
    <row r="14" spans="1:11" x14ac:dyDescent="0.25">
      <c r="A14" s="68" t="s">
        <v>125</v>
      </c>
      <c r="B14" s="66" t="s">
        <v>43</v>
      </c>
      <c r="C14" s="181">
        <v>15902.588014981273</v>
      </c>
      <c r="D14" s="181">
        <v>2.0958396221869475</v>
      </c>
      <c r="E14" s="181">
        <v>0.48947047457109916</v>
      </c>
      <c r="F14" s="181">
        <v>5.3315218459141653E-2</v>
      </c>
      <c r="G14" s="181">
        <v>5.1715761905367398E-2</v>
      </c>
      <c r="H14" s="181">
        <v>2.6530859908891265E-2</v>
      </c>
      <c r="I14" s="181">
        <v>8.9051122473238056E-2</v>
      </c>
      <c r="J14" s="181">
        <v>1.5314331530901051E-3</v>
      </c>
      <c r="K14" s="104">
        <v>187.83502999898289</v>
      </c>
    </row>
    <row r="15" spans="1:11" x14ac:dyDescent="0.25">
      <c r="A15" s="68" t="s">
        <v>116</v>
      </c>
      <c r="B15" s="66" t="s">
        <v>44</v>
      </c>
      <c r="C15" s="181">
        <v>358163.54789715545</v>
      </c>
      <c r="D15" s="181">
        <v>47.203219639391172</v>
      </c>
      <c r="E15" s="181">
        <v>11.024022102448697</v>
      </c>
      <c r="F15" s="181">
        <v>1.2007836574932844</v>
      </c>
      <c r="G15" s="181">
        <v>1.1647601477684859</v>
      </c>
      <c r="H15" s="181">
        <v>0.59753713702317057</v>
      </c>
      <c r="I15" s="181">
        <v>2.005639958677921</v>
      </c>
      <c r="J15" s="181">
        <v>3.4491463336744521E-2</v>
      </c>
      <c r="K15" s="104">
        <v>4230.4850443478927</v>
      </c>
    </row>
    <row r="16" spans="1:11" x14ac:dyDescent="0.25">
      <c r="A16" s="68" t="s">
        <v>126</v>
      </c>
      <c r="B16" s="66" t="s">
        <v>45</v>
      </c>
      <c r="C16" s="181">
        <v>127152.80148829066</v>
      </c>
      <c r="D16" s="181">
        <v>16.757767929357055</v>
      </c>
      <c r="E16" s="181">
        <v>3.9136738013263357</v>
      </c>
      <c r="F16" s="181">
        <v>0.4262940964485567</v>
      </c>
      <c r="G16" s="181">
        <v>0.41350527355509997</v>
      </c>
      <c r="H16" s="181">
        <v>0.21213359486712913</v>
      </c>
      <c r="I16" s="181">
        <v>0.71202873944052381</v>
      </c>
      <c r="J16" s="181">
        <v>1.2244926141833557E-2</v>
      </c>
      <c r="K16" s="104">
        <v>1501.8782011775531</v>
      </c>
    </row>
    <row r="17" spans="1:11" x14ac:dyDescent="0.25">
      <c r="A17" s="68" t="s">
        <v>127</v>
      </c>
      <c r="B17" s="66" t="s">
        <v>50</v>
      </c>
      <c r="C17" s="181">
        <v>17758.200651583247</v>
      </c>
      <c r="D17" s="181">
        <v>2.3403951928624536</v>
      </c>
      <c r="E17" s="181">
        <v>0.54658492644535073</v>
      </c>
      <c r="F17" s="181">
        <v>5.9536368941237858E-2</v>
      </c>
      <c r="G17" s="181">
        <v>5.7750277873000737E-2</v>
      </c>
      <c r="H17" s="181">
        <v>2.9626645252791052E-2</v>
      </c>
      <c r="I17" s="181">
        <v>9.944215995778205E-2</v>
      </c>
      <c r="J17" s="181">
        <v>1.7101302751125142E-3</v>
      </c>
      <c r="K17" s="104">
        <v>209.75278671469908</v>
      </c>
    </row>
    <row r="18" spans="1:11" x14ac:dyDescent="0.25">
      <c r="A18" s="68" t="s">
        <v>128</v>
      </c>
      <c r="B18" s="66" t="s">
        <v>22</v>
      </c>
      <c r="C18" s="181">
        <v>3930.1775005471659</v>
      </c>
      <c r="D18" s="181">
        <v>0.51796737236194534</v>
      </c>
      <c r="E18" s="181">
        <v>0.12096809931372313</v>
      </c>
      <c r="F18" s="181">
        <v>1.3176362981137207E-2</v>
      </c>
      <c r="G18" s="181">
        <v>1.2781072091703091E-2</v>
      </c>
      <c r="H18" s="181">
        <v>6.5568565686203546E-3</v>
      </c>
      <c r="I18" s="181">
        <v>2.2008161037252554E-2</v>
      </c>
      <c r="J18" s="181">
        <v>3.7847953529303714E-4</v>
      </c>
      <c r="K18" s="104">
        <v>46.421689854578915</v>
      </c>
    </row>
    <row r="19" spans="1:11" x14ac:dyDescent="0.25">
      <c r="A19" s="68" t="s">
        <v>129</v>
      </c>
      <c r="B19" s="66" t="s">
        <v>66</v>
      </c>
      <c r="C19" s="181">
        <v>64432.409443797631</v>
      </c>
      <c r="D19" s="181">
        <v>8.491699372332798</v>
      </c>
      <c r="E19" s="181">
        <v>1.9831842463946354</v>
      </c>
      <c r="F19" s="181">
        <v>0.21601691385758873</v>
      </c>
      <c r="G19" s="181">
        <v>0.20953640644186106</v>
      </c>
      <c r="H19" s="181">
        <v>0.1074949075543746</v>
      </c>
      <c r="I19" s="181">
        <v>0.3608078370149615</v>
      </c>
      <c r="J19" s="181">
        <v>6.2048974583728388E-3</v>
      </c>
      <c r="K19" s="104">
        <v>761.04993409758072</v>
      </c>
    </row>
    <row r="20" spans="1:11" x14ac:dyDescent="0.25">
      <c r="A20" s="68" t="s">
        <v>130</v>
      </c>
      <c r="B20" s="66" t="s">
        <v>46</v>
      </c>
      <c r="C20" s="181">
        <v>19091.084279643743</v>
      </c>
      <c r="D20" s="181">
        <v>2.5160590732837917</v>
      </c>
      <c r="E20" s="181">
        <v>0.58761014707989201</v>
      </c>
      <c r="F20" s="181">
        <v>6.4005011513359633E-2</v>
      </c>
      <c r="G20" s="181">
        <v>6.2084861167958832E-2</v>
      </c>
      <c r="H20" s="181">
        <v>3.1850342979073965E-2</v>
      </c>
      <c r="I20" s="181">
        <v>0.1069060257822108</v>
      </c>
      <c r="J20" s="181">
        <v>1.8384881358141747E-3</v>
      </c>
      <c r="K20" s="104">
        <v>225.49627676965355</v>
      </c>
    </row>
    <row r="21" spans="1:11" x14ac:dyDescent="0.25">
      <c r="A21" s="68" t="s">
        <v>131</v>
      </c>
      <c r="B21" s="66" t="s">
        <v>47</v>
      </c>
      <c r="C21" s="181">
        <v>459433.41844305996</v>
      </c>
      <c r="D21" s="181">
        <v>60.549814987513187</v>
      </c>
      <c r="E21" s="181">
        <v>14.141037493224138</v>
      </c>
      <c r="F21" s="181">
        <v>1.5403023110858622</v>
      </c>
      <c r="G21" s="181">
        <v>1.4940932417532862</v>
      </c>
      <c r="H21" s="181">
        <v>0.76648930668975779</v>
      </c>
      <c r="I21" s="181">
        <v>2.5727297704957581</v>
      </c>
      <c r="J21" s="181">
        <v>4.4243840560944665E-2</v>
      </c>
      <c r="K21" s="104">
        <v>5426.6443835738801</v>
      </c>
    </row>
    <row r="22" spans="1:11" x14ac:dyDescent="0.25">
      <c r="A22" s="68" t="s">
        <v>132</v>
      </c>
      <c r="B22" s="66" t="s">
        <v>67</v>
      </c>
      <c r="C22" s="181">
        <v>0</v>
      </c>
      <c r="D22" s="181">
        <v>0</v>
      </c>
      <c r="E22" s="181">
        <v>0</v>
      </c>
      <c r="F22" s="181">
        <v>0</v>
      </c>
      <c r="G22" s="181">
        <v>0</v>
      </c>
      <c r="H22" s="181">
        <v>0</v>
      </c>
      <c r="I22" s="181">
        <v>0</v>
      </c>
      <c r="J22" s="181">
        <v>0</v>
      </c>
      <c r="K22" s="104">
        <v>0</v>
      </c>
    </row>
    <row r="23" spans="1:11" x14ac:dyDescent="0.25">
      <c r="A23" s="68" t="s">
        <v>117</v>
      </c>
      <c r="B23" s="66" t="s">
        <v>48</v>
      </c>
      <c r="C23" s="181">
        <v>286302.23921688902</v>
      </c>
      <c r="D23" s="181">
        <v>37.732448096267206</v>
      </c>
      <c r="E23" s="181">
        <v>8.8121815624124391</v>
      </c>
      <c r="F23" s="181">
        <v>0.95986052174714842</v>
      </c>
      <c r="G23" s="181">
        <v>0.9310647060947338</v>
      </c>
      <c r="H23" s="181">
        <v>0.47764832951148445</v>
      </c>
      <c r="I23" s="181">
        <v>1.6032318604271851</v>
      </c>
      <c r="J23" s="181">
        <v>2.757115637578153E-2</v>
      </c>
      <c r="K23" s="104">
        <v>3381.6879140312467</v>
      </c>
    </row>
    <row r="24" spans="1:11" x14ac:dyDescent="0.25">
      <c r="A24" s="68" t="s">
        <v>133</v>
      </c>
      <c r="B24" s="66" t="s">
        <v>25</v>
      </c>
      <c r="C24" s="181">
        <v>182087.03676962649</v>
      </c>
      <c r="D24" s="181">
        <v>23.997680502625048</v>
      </c>
      <c r="E24" s="181">
        <v>5.6045109272095575</v>
      </c>
      <c r="F24" s="181">
        <v>0.61046731103168994</v>
      </c>
      <c r="G24" s="181">
        <v>0.59215329170073905</v>
      </c>
      <c r="H24" s="181">
        <v>0.30378235663333841</v>
      </c>
      <c r="I24" s="181">
        <v>1.0196488141983793</v>
      </c>
      <c r="J24" s="181">
        <v>1.7535141110003243E-2</v>
      </c>
      <c r="K24" s="104">
        <v>2150.7394885554395</v>
      </c>
    </row>
    <row r="25" spans="1:11" ht="15.75" thickBot="1" x14ac:dyDescent="0.3">
      <c r="A25" s="69" t="s">
        <v>119</v>
      </c>
      <c r="B25" s="70" t="s">
        <v>4</v>
      </c>
      <c r="C25" s="105">
        <f>SUM(C4:C24)</f>
        <v>3120059</v>
      </c>
      <c r="D25" s="105">
        <f>SUM(D4:D24)</f>
        <v>411.19994239935573</v>
      </c>
      <c r="E25" s="105">
        <f t="shared" ref="E25:K25" si="0">SUM(E4:E24)</f>
        <v>96.033221635442544</v>
      </c>
      <c r="F25" s="105">
        <f t="shared" si="0"/>
        <v>10.460349411913437</v>
      </c>
      <c r="G25" s="105">
        <f t="shared" si="0"/>
        <v>10.146538929556034</v>
      </c>
      <c r="H25" s="105">
        <f t="shared" si="0"/>
        <v>5.2053067185349491</v>
      </c>
      <c r="I25" s="105">
        <f t="shared" si="0"/>
        <v>17.471669131526316</v>
      </c>
      <c r="J25" s="105">
        <f t="shared" si="0"/>
        <v>0.30046441420074649</v>
      </c>
      <c r="K25" s="531">
        <f t="shared" si="0"/>
        <v>36852.893083282623</v>
      </c>
    </row>
    <row r="26" spans="1:11" x14ac:dyDescent="0.25">
      <c r="A26" s="14" t="s">
        <v>134</v>
      </c>
      <c r="B26" s="11" t="s">
        <v>37</v>
      </c>
      <c r="C26" s="7">
        <f>'NS EMISSION CALC'!P88</f>
        <v>3120059.0000000005</v>
      </c>
      <c r="D26" s="7">
        <f>'NS EMISSION CALC'!Q88</f>
        <v>411.19994239935585</v>
      </c>
      <c r="E26" s="7">
        <f>'NS EMISSION CALC'!R88</f>
        <v>96.033221635442558</v>
      </c>
      <c r="F26" s="7">
        <f>'NS EMISSION CALC'!S88</f>
        <v>10.460349411913437</v>
      </c>
      <c r="G26" s="7">
        <f>'NS EMISSION CALC'!T88</f>
        <v>10.146538929556041</v>
      </c>
      <c r="H26" s="7">
        <f>'NS EMISSION CALC'!U88</f>
        <v>5.2053067185349482</v>
      </c>
      <c r="I26" s="7">
        <f>'NS EMISSION CALC'!V88</f>
        <v>17.471669131526308</v>
      </c>
      <c r="J26" s="7">
        <f>'NS EMISSION CALC'!W88</f>
        <v>0.30046441420074649</v>
      </c>
      <c r="K26" s="7">
        <f>'NS EMISSION CALC'!X88</f>
        <v>36852.893083282637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workbookViewId="0">
      <selection activeCell="K39" sqref="K39"/>
    </sheetView>
  </sheetViews>
  <sheetFormatPr defaultRowHeight="15" x14ac:dyDescent="0.25"/>
  <cols>
    <col min="2" max="2" width="28" customWidth="1"/>
    <col min="3" max="3" width="24.140625" customWidth="1"/>
    <col min="11" max="11" width="10.140625" bestFit="1" customWidth="1"/>
    <col min="12" max="12" width="18.42578125" customWidth="1"/>
    <col min="16" max="16" width="14.85546875" customWidth="1"/>
    <col min="17" max="17" width="10.140625" bestFit="1" customWidth="1"/>
    <col min="24" max="24" width="11.5703125" customWidth="1"/>
  </cols>
  <sheetData>
    <row r="1" spans="1:24" ht="15.75" thickBot="1" x14ac:dyDescent="0.3">
      <c r="A1" s="31" t="s">
        <v>1057</v>
      </c>
    </row>
    <row r="2" spans="1:24" x14ac:dyDescent="0.25">
      <c r="A2" s="476"/>
      <c r="B2" s="238" t="s">
        <v>352</v>
      </c>
      <c r="C2" s="200" t="s">
        <v>353</v>
      </c>
      <c r="D2" s="200" t="s">
        <v>354</v>
      </c>
      <c r="E2" s="200" t="s">
        <v>355</v>
      </c>
      <c r="F2" s="200" t="s">
        <v>356</v>
      </c>
      <c r="G2" s="200" t="s">
        <v>357</v>
      </c>
      <c r="H2" s="200" t="s">
        <v>834</v>
      </c>
      <c r="I2" s="200" t="s">
        <v>68</v>
      </c>
      <c r="J2" s="200" t="s">
        <v>358</v>
      </c>
      <c r="K2" s="200" t="s">
        <v>359</v>
      </c>
      <c r="L2" s="200" t="s">
        <v>360</v>
      </c>
      <c r="M2" s="477"/>
      <c r="N2" s="200" t="s">
        <v>68</v>
      </c>
      <c r="O2" s="16" t="s">
        <v>4</v>
      </c>
      <c r="P2" s="401" t="s">
        <v>823</v>
      </c>
      <c r="Q2" s="26" t="s">
        <v>96</v>
      </c>
      <c r="R2" s="26" t="s">
        <v>10</v>
      </c>
      <c r="S2" s="26" t="s">
        <v>7</v>
      </c>
      <c r="T2" s="27" t="s">
        <v>95</v>
      </c>
      <c r="U2" s="28" t="s">
        <v>17</v>
      </c>
      <c r="V2" s="26" t="s">
        <v>69</v>
      </c>
      <c r="W2" s="63" t="s">
        <v>16</v>
      </c>
      <c r="X2" s="164" t="s">
        <v>94</v>
      </c>
    </row>
    <row r="3" spans="1:24" x14ac:dyDescent="0.25">
      <c r="A3" s="294"/>
      <c r="B3" s="360" t="s">
        <v>835</v>
      </c>
      <c r="C3" s="360" t="s">
        <v>835</v>
      </c>
      <c r="D3" s="107" t="s">
        <v>836</v>
      </c>
      <c r="E3" s="360"/>
      <c r="F3" s="107" t="s">
        <v>837</v>
      </c>
      <c r="G3" s="360"/>
      <c r="H3" s="360">
        <v>34041</v>
      </c>
      <c r="I3" s="107" t="s">
        <v>814</v>
      </c>
      <c r="J3" s="360">
        <v>6.45</v>
      </c>
      <c r="K3" s="292">
        <v>19200000</v>
      </c>
      <c r="L3" s="261">
        <f>(J3*K3)</f>
        <v>123840000</v>
      </c>
      <c r="M3" s="107">
        <f>L3/SUM($L$3:$L$72)</f>
        <v>6.755583728065935E-2</v>
      </c>
      <c r="N3" s="107" t="s">
        <v>814</v>
      </c>
      <c r="O3" s="360">
        <v>34041</v>
      </c>
      <c r="P3" s="297">
        <f>2667441*M3</f>
        <v>180201.21015175927</v>
      </c>
      <c r="Q3" s="296">
        <f>$P3*'RAIL EMIS FACTOR'!C$8/2000</f>
        <v>23.749142960020183</v>
      </c>
      <c r="R3" s="296">
        <f>$P3*'RAIL EMIS FACTOR'!D$8/2000</f>
        <v>5.5464665102419088</v>
      </c>
      <c r="S3" s="296">
        <f>$P3*'RAIL EMIS FACTOR'!E$8/2000</f>
        <v>0.60414486477244334</v>
      </c>
      <c r="T3" s="296">
        <f>$P3*'RAIL EMIS FACTOR'!F$8/2000</f>
        <v>0.58602051882926998</v>
      </c>
      <c r="U3" s="296">
        <f>$P3*'RAIL EMIS FACTOR'!G$8/2000</f>
        <v>0.30063616421711281</v>
      </c>
      <c r="V3" s="296">
        <f>$P3*'RAIL EMIS FACTOR'!H$8/2000</f>
        <v>1.0090885848223314</v>
      </c>
      <c r="W3" s="296">
        <f>$P3*'RAIL EMIS FACTOR'!I$8/2000</f>
        <v>1.7353534355124042E-2</v>
      </c>
      <c r="X3" s="301">
        <f>$P3*'RAIL EMIS FACTOR'!J$8/2000</f>
        <v>2128.4648563379496</v>
      </c>
    </row>
    <row r="4" spans="1:24" x14ac:dyDescent="0.25">
      <c r="A4" s="294"/>
      <c r="B4" s="360" t="s">
        <v>835</v>
      </c>
      <c r="C4" s="360" t="s">
        <v>835</v>
      </c>
      <c r="D4" s="107" t="s">
        <v>838</v>
      </c>
      <c r="E4" s="360"/>
      <c r="F4" s="107" t="s">
        <v>836</v>
      </c>
      <c r="G4" s="360"/>
      <c r="H4" s="360">
        <v>34019</v>
      </c>
      <c r="I4" s="107" t="s">
        <v>819</v>
      </c>
      <c r="J4" s="360">
        <v>23.4</v>
      </c>
      <c r="K4" s="292">
        <v>19200000</v>
      </c>
      <c r="L4" s="261">
        <f t="shared" ref="L4:L24" si="0">(J4*K4)</f>
        <v>449280000</v>
      </c>
      <c r="M4" s="107">
        <f t="shared" ref="M4:M67" si="1">L4/SUM($L$3:$L$72)</f>
        <v>0.24508629339029903</v>
      </c>
      <c r="N4" s="107" t="s">
        <v>819</v>
      </c>
      <c r="O4" s="360">
        <v>34019</v>
      </c>
      <c r="P4" s="297">
        <f t="shared" ref="P4:P67" si="2">2667441*M4</f>
        <v>653753.22752731259</v>
      </c>
      <c r="Q4" s="296">
        <f>$P4*'RAIL EMIS FACTOR'!C$8/2000</f>
        <v>86.159681436352287</v>
      </c>
      <c r="R4" s="296">
        <f>$P4*'RAIL EMIS FACTOR'!D$8/2000</f>
        <v>20.122064548784593</v>
      </c>
      <c r="S4" s="296">
        <f>$P4*'RAIL EMIS FACTOR'!E$8/2000</f>
        <v>2.1917813698721198</v>
      </c>
      <c r="T4" s="296">
        <f>$P4*'RAIL EMIS FACTOR'!F$8/2000</f>
        <v>2.1260279287759563</v>
      </c>
      <c r="U4" s="296">
        <f>$P4*'RAIL EMIS FACTOR'!G$8/2000</f>
        <v>1.0906800376248742</v>
      </c>
      <c r="V4" s="296">
        <f>$P4*'RAIL EMIS FACTOR'!H$8/2000</f>
        <v>3.6608795170298531</v>
      </c>
      <c r="W4" s="296">
        <f>$P4*'RAIL EMIS FACTOR'!I$8/2000</f>
        <v>6.2957008358124414E-2</v>
      </c>
      <c r="X4" s="301">
        <f>$P4*'RAIL EMIS FACTOR'!J$8/2000</f>
        <v>7721.8725020632583</v>
      </c>
    </row>
    <row r="5" spans="1:24" x14ac:dyDescent="0.25">
      <c r="A5" s="294"/>
      <c r="B5" s="360" t="s">
        <v>835</v>
      </c>
      <c r="C5" s="360" t="s">
        <v>835</v>
      </c>
      <c r="D5" s="107" t="s">
        <v>839</v>
      </c>
      <c r="E5" s="360"/>
      <c r="F5" s="107" t="s">
        <v>838</v>
      </c>
      <c r="G5" s="360"/>
      <c r="H5" s="360">
        <v>34035</v>
      </c>
      <c r="I5" s="107" t="s">
        <v>470</v>
      </c>
      <c r="J5" s="360">
        <v>13.5</v>
      </c>
      <c r="K5" s="292">
        <v>19200000</v>
      </c>
      <c r="L5" s="261">
        <f t="shared" si="0"/>
        <v>259200000</v>
      </c>
      <c r="M5" s="107">
        <f t="shared" si="1"/>
        <v>0.14139593849440329</v>
      </c>
      <c r="N5" s="107" t="s">
        <v>470</v>
      </c>
      <c r="O5" s="360">
        <v>34035</v>
      </c>
      <c r="P5" s="297">
        <f t="shared" si="2"/>
        <v>377165.32357344963</v>
      </c>
      <c r="Q5" s="296">
        <f>$P5*'RAIL EMIS FACTOR'!C$8/2000</f>
        <v>49.707508520972482</v>
      </c>
      <c r="R5" s="296">
        <f>$P5*'RAIL EMIS FACTOR'!D$8/2000</f>
        <v>11.608883393529576</v>
      </c>
      <c r="S5" s="296">
        <f>$P5*'RAIL EMIS FACTOR'!E$8/2000</f>
        <v>1.2644892518493001</v>
      </c>
      <c r="T5" s="296">
        <f>$P5*'RAIL EMIS FACTOR'!F$8/2000</f>
        <v>1.2265545742938211</v>
      </c>
      <c r="U5" s="296">
        <f>$P5*'RAIL EMIS FACTOR'!G$8/2000</f>
        <v>0.62923848324511977</v>
      </c>
      <c r="V5" s="296">
        <f>$P5*'RAIL EMIS FACTOR'!H$8/2000</f>
        <v>2.1120458752095308</v>
      </c>
      <c r="W5" s="296">
        <f>$P5*'RAIL EMIS FACTOR'!I$8/2000</f>
        <v>3.6321350975841014E-2</v>
      </c>
      <c r="X5" s="301">
        <f>$P5*'RAIL EMIS FACTOR'!J$8/2000</f>
        <v>4454.926443498035</v>
      </c>
    </row>
    <row r="6" spans="1:24" x14ac:dyDescent="0.25">
      <c r="A6" s="294">
        <v>1</v>
      </c>
      <c r="B6" s="360" t="s">
        <v>835</v>
      </c>
      <c r="C6" s="360" t="s">
        <v>835</v>
      </c>
      <c r="D6" s="360" t="s">
        <v>840</v>
      </c>
      <c r="E6" s="360">
        <v>35.799999999999997</v>
      </c>
      <c r="F6" s="360" t="s">
        <v>841</v>
      </c>
      <c r="G6" s="360">
        <v>33.5</v>
      </c>
      <c r="H6" s="360">
        <v>34035</v>
      </c>
      <c r="I6" s="360" t="s">
        <v>470</v>
      </c>
      <c r="J6" s="360">
        <v>2.2999999999999998</v>
      </c>
      <c r="K6" s="296">
        <v>19200000</v>
      </c>
      <c r="L6" s="261">
        <f t="shared" si="0"/>
        <v>44160000</v>
      </c>
      <c r="M6" s="107">
        <f t="shared" si="1"/>
        <v>2.4089678410157595E-2</v>
      </c>
      <c r="N6" s="360" t="s">
        <v>470</v>
      </c>
      <c r="O6" s="360">
        <v>34035</v>
      </c>
      <c r="P6" s="297">
        <f t="shared" si="2"/>
        <v>64257.795868069188</v>
      </c>
      <c r="Q6" s="296">
        <f>$P6*'RAIL EMIS FACTOR'!C$8/2000</f>
        <v>8.4686866369064209</v>
      </c>
      <c r="R6" s="296">
        <f>$P6*'RAIL EMIS FACTOR'!D$8/2000</f>
        <v>1.9778097633420757</v>
      </c>
      <c r="S6" s="296">
        <f>$P6*'RAIL EMIS FACTOR'!E$8/2000</f>
        <v>0.21543150216691775</v>
      </c>
      <c r="T6" s="296">
        <f>$P6*'RAIL EMIS FACTOR'!F$8/2000</f>
        <v>0.20896855710191023</v>
      </c>
      <c r="U6" s="296">
        <f>$P6*'RAIL EMIS FACTOR'!G$8/2000</f>
        <v>0.10720359344176114</v>
      </c>
      <c r="V6" s="296">
        <f>$P6*'RAIL EMIS FACTOR'!H$8/2000</f>
        <v>0.35983003799866076</v>
      </c>
      <c r="W6" s="296">
        <f>$P6*'RAIL EMIS FACTOR'!I$8/2000</f>
        <v>6.1880820181062467E-3</v>
      </c>
      <c r="X6" s="301">
        <f>$P6*'RAIL EMIS FACTOR'!J$8/2000</f>
        <v>758.98746815151685</v>
      </c>
    </row>
    <row r="7" spans="1:24" x14ac:dyDescent="0.25">
      <c r="A7" s="294" t="s">
        <v>767</v>
      </c>
      <c r="B7" s="360" t="s">
        <v>835</v>
      </c>
      <c r="C7" s="360" t="s">
        <v>835</v>
      </c>
      <c r="D7" s="360" t="s">
        <v>841</v>
      </c>
      <c r="E7" s="360">
        <v>33.5</v>
      </c>
      <c r="F7" s="360" t="s">
        <v>365</v>
      </c>
      <c r="G7" s="360">
        <v>32.9</v>
      </c>
      <c r="H7" s="360">
        <v>34035</v>
      </c>
      <c r="I7" s="360" t="s">
        <v>470</v>
      </c>
      <c r="J7" s="360">
        <v>0.60000000000000142</v>
      </c>
      <c r="K7" s="296">
        <v>18200000</v>
      </c>
      <c r="L7" s="261">
        <f t="shared" si="0"/>
        <v>10920000.000000026</v>
      </c>
      <c r="M7" s="107">
        <f t="shared" si="1"/>
        <v>5.9569585199031154E-3</v>
      </c>
      <c r="N7" s="360" t="s">
        <v>470</v>
      </c>
      <c r="O7" s="360">
        <v>34035</v>
      </c>
      <c r="P7" s="297">
        <f t="shared" si="2"/>
        <v>15889.835391288885</v>
      </c>
      <c r="Q7" s="296">
        <f>$P7*'RAIL EMIS FACTOR'!C$8/2000</f>
        <v>2.0941589238002343</v>
      </c>
      <c r="R7" s="296">
        <f>$P7*'RAIL EMIS FACTOR'!D$8/2000</f>
        <v>0.48907795778296009</v>
      </c>
      <c r="S7" s="296">
        <f>$P7*'RAIL EMIS FACTOR'!E$8/2000</f>
        <v>5.3272463851058598E-2</v>
      </c>
      <c r="T7" s="296">
        <f>$P7*'RAIL EMIS FACTOR'!F$8/2000</f>
        <v>5.1674289935526835E-2</v>
      </c>
      <c r="U7" s="296">
        <f>$P7*'RAIL EMIS FACTOR'!G$8/2000</f>
        <v>2.6509584247826866E-2</v>
      </c>
      <c r="V7" s="296">
        <f>$P7*'RAIL EMIS FACTOR'!H$8/2000</f>
        <v>8.8979710483364699E-2</v>
      </c>
      <c r="W7" s="296">
        <f>$P7*'RAIL EMIS FACTOR'!I$8/2000</f>
        <v>1.5302050642599723E-3</v>
      </c>
      <c r="X7" s="301">
        <f>$P7*'RAIL EMIS FACTOR'!J$8/2000</f>
        <v>187.68440109181577</v>
      </c>
    </row>
    <row r="8" spans="1:24" x14ac:dyDescent="0.25">
      <c r="A8" s="294" t="s">
        <v>768</v>
      </c>
      <c r="B8" s="360" t="s">
        <v>835</v>
      </c>
      <c r="C8" s="360" t="s">
        <v>835</v>
      </c>
      <c r="D8" s="360" t="s">
        <v>365</v>
      </c>
      <c r="E8" s="360">
        <v>32.9</v>
      </c>
      <c r="F8" s="360" t="s">
        <v>842</v>
      </c>
      <c r="G8" s="360">
        <v>26.5</v>
      </c>
      <c r="H8" s="101">
        <v>34023</v>
      </c>
      <c r="I8" s="360" t="s">
        <v>424</v>
      </c>
      <c r="J8" s="360">
        <v>6.4</v>
      </c>
      <c r="K8" s="296">
        <v>18200000</v>
      </c>
      <c r="L8" s="261">
        <f t="shared" si="0"/>
        <v>116480000</v>
      </c>
      <c r="M8" s="107">
        <f t="shared" si="1"/>
        <v>6.3540890878966416E-2</v>
      </c>
      <c r="N8" s="360" t="s">
        <v>424</v>
      </c>
      <c r="O8" s="101">
        <v>34023</v>
      </c>
      <c r="P8" s="297">
        <f t="shared" si="2"/>
        <v>169491.57750708106</v>
      </c>
      <c r="Q8" s="296">
        <f>$P8*'RAIL EMIS FACTOR'!C$8/2000</f>
        <v>22.337695187202449</v>
      </c>
      <c r="R8" s="296">
        <f>$P8*'RAIL EMIS FACTOR'!D$8/2000</f>
        <v>5.2168315496848958</v>
      </c>
      <c r="S8" s="296">
        <f>$P8*'RAIL EMIS FACTOR'!E$8/2000</f>
        <v>0.56823961441129045</v>
      </c>
      <c r="T8" s="296">
        <f>$P8*'RAIL EMIS FACTOR'!F$8/2000</f>
        <v>0.55119242597895168</v>
      </c>
      <c r="U8" s="296">
        <f>$P8*'RAIL EMIS FACTOR'!G$8/2000</f>
        <v>0.28276889864348598</v>
      </c>
      <c r="V8" s="296">
        <f>$P8*'RAIL EMIS FACTOR'!H$8/2000</f>
        <v>0.94911691182255453</v>
      </c>
      <c r="W8" s="296">
        <f>$P8*'RAIL EMIS FACTOR'!I$8/2000</f>
        <v>1.6322187352106332E-2</v>
      </c>
      <c r="X8" s="301">
        <f>$P8*'RAIL EMIS FACTOR'!J$8/2000</f>
        <v>2001.9669449793637</v>
      </c>
    </row>
    <row r="9" spans="1:24" x14ac:dyDescent="0.25">
      <c r="A9" s="294" t="s">
        <v>364</v>
      </c>
      <c r="B9" s="360" t="s">
        <v>835</v>
      </c>
      <c r="C9" s="360" t="s">
        <v>835</v>
      </c>
      <c r="D9" s="360" t="s">
        <v>842</v>
      </c>
      <c r="E9" s="360">
        <v>26.5</v>
      </c>
      <c r="F9" s="360" t="s">
        <v>365</v>
      </c>
      <c r="G9" s="360">
        <v>22.4</v>
      </c>
      <c r="H9" s="101">
        <v>34023</v>
      </c>
      <c r="I9" s="360" t="s">
        <v>424</v>
      </c>
      <c r="J9" s="360">
        <v>4.0999999999999996</v>
      </c>
      <c r="K9" s="296">
        <v>18200000</v>
      </c>
      <c r="L9" s="261">
        <f t="shared" si="0"/>
        <v>74620000</v>
      </c>
      <c r="M9" s="107">
        <f t="shared" si="1"/>
        <v>4.0705883219337859E-2</v>
      </c>
      <c r="N9" s="360" t="s">
        <v>424</v>
      </c>
      <c r="O9" s="101">
        <v>34023</v>
      </c>
      <c r="P9" s="297">
        <f t="shared" si="2"/>
        <v>108580.5418404738</v>
      </c>
      <c r="Q9" s="296">
        <f>$P9*'RAIL EMIS FACTOR'!C$8/2000</f>
        <v>14.310085979301569</v>
      </c>
      <c r="R9" s="296">
        <f>$P9*'RAIL EMIS FACTOR'!D$8/2000</f>
        <v>3.342032711516886</v>
      </c>
      <c r="S9" s="296">
        <f>$P9*'RAIL EMIS FACTOR'!E$8/2000</f>
        <v>0.36402850298223288</v>
      </c>
      <c r="T9" s="296">
        <f>$P9*'RAIL EMIS FACTOR'!F$8/2000</f>
        <v>0.35310764789276589</v>
      </c>
      <c r="U9" s="296">
        <f>$P9*'RAIL EMIS FACTOR'!G$8/2000</f>
        <v>0.18114882569348317</v>
      </c>
      <c r="V9" s="296">
        <f>$P9*'RAIL EMIS FACTOR'!H$8/2000</f>
        <v>0.60802802163632408</v>
      </c>
      <c r="W9" s="296">
        <f>$P9*'RAIL EMIS FACTOR'!I$8/2000</f>
        <v>1.0456401272443121E-2</v>
      </c>
      <c r="X9" s="301">
        <f>$P9*'RAIL EMIS FACTOR'!J$8/2000</f>
        <v>1282.5100741274048</v>
      </c>
    </row>
    <row r="10" spans="1:24" x14ac:dyDescent="0.25">
      <c r="A10" s="294" t="s">
        <v>366</v>
      </c>
      <c r="B10" s="360" t="s">
        <v>835</v>
      </c>
      <c r="C10" s="360" t="s">
        <v>835</v>
      </c>
      <c r="D10" s="360" t="s">
        <v>365</v>
      </c>
      <c r="E10" s="360">
        <v>22.4</v>
      </c>
      <c r="F10" s="360" t="s">
        <v>843</v>
      </c>
      <c r="G10" s="360">
        <v>19.399999999999999</v>
      </c>
      <c r="H10" s="198">
        <v>34039</v>
      </c>
      <c r="I10" s="360" t="s">
        <v>420</v>
      </c>
      <c r="J10" s="360">
        <v>3</v>
      </c>
      <c r="K10" s="296">
        <v>18200000</v>
      </c>
      <c r="L10" s="261">
        <f t="shared" si="0"/>
        <v>54600000</v>
      </c>
      <c r="M10" s="107">
        <f t="shared" si="1"/>
        <v>2.9784792599515508E-2</v>
      </c>
      <c r="N10" s="360" t="s">
        <v>420</v>
      </c>
      <c r="O10" s="198">
        <v>34039</v>
      </c>
      <c r="P10" s="297">
        <f t="shared" si="2"/>
        <v>79449.176956444251</v>
      </c>
      <c r="Q10" s="296">
        <f>$P10*'RAIL EMIS FACTOR'!C$8/2000</f>
        <v>10.470794619001149</v>
      </c>
      <c r="R10" s="296">
        <f>$P10*'RAIL EMIS FACTOR'!D$8/2000</f>
        <v>2.4453897889147953</v>
      </c>
      <c r="S10" s="296">
        <f>$P10*'RAIL EMIS FACTOR'!E$8/2000</f>
        <v>0.26636231925529241</v>
      </c>
      <c r="T10" s="296">
        <f>$P10*'RAIL EMIS FACTOR'!F$8/2000</f>
        <v>0.25837144967763365</v>
      </c>
      <c r="U10" s="296">
        <f>$P10*'RAIL EMIS FACTOR'!G$8/2000</f>
        <v>0.13254792123913403</v>
      </c>
      <c r="V10" s="296">
        <f>$P10*'RAIL EMIS FACTOR'!H$8/2000</f>
        <v>0.44489855241682252</v>
      </c>
      <c r="W10" s="296">
        <f>$P10*'RAIL EMIS FACTOR'!I$8/2000</f>
        <v>7.651025321299844E-3</v>
      </c>
      <c r="X10" s="301">
        <f>$P10*'RAIL EMIS FACTOR'!J$8/2000</f>
        <v>938.42200545907667</v>
      </c>
    </row>
    <row r="11" spans="1:24" x14ac:dyDescent="0.25">
      <c r="A11" s="294">
        <v>4</v>
      </c>
      <c r="B11" s="360" t="s">
        <v>835</v>
      </c>
      <c r="C11" s="360" t="s">
        <v>835</v>
      </c>
      <c r="D11" s="360" t="s">
        <v>843</v>
      </c>
      <c r="E11" s="360">
        <v>19.399999999999999</v>
      </c>
      <c r="F11" s="360" t="s">
        <v>844</v>
      </c>
      <c r="G11" s="360">
        <v>16.899999999999999</v>
      </c>
      <c r="H11" s="198">
        <v>34039</v>
      </c>
      <c r="I11" s="360" t="s">
        <v>420</v>
      </c>
      <c r="J11" s="360">
        <v>2.5</v>
      </c>
      <c r="K11" s="296">
        <v>18200000</v>
      </c>
      <c r="L11" s="261">
        <f t="shared" si="0"/>
        <v>45500000</v>
      </c>
      <c r="M11" s="107">
        <f t="shared" si="1"/>
        <v>2.4820660499596255E-2</v>
      </c>
      <c r="N11" s="360" t="s">
        <v>420</v>
      </c>
      <c r="O11" s="198">
        <v>34039</v>
      </c>
      <c r="P11" s="297">
        <f t="shared" si="2"/>
        <v>66207.647463703528</v>
      </c>
      <c r="Q11" s="296">
        <f>$P11*'RAIL EMIS FACTOR'!C$8/2000</f>
        <v>8.7256621825009546</v>
      </c>
      <c r="R11" s="296">
        <f>$P11*'RAIL EMIS FACTOR'!D$8/2000</f>
        <v>2.037824824095662</v>
      </c>
      <c r="S11" s="296">
        <f>$P11*'RAIL EMIS FACTOR'!E$8/2000</f>
        <v>0.22196859937941027</v>
      </c>
      <c r="T11" s="296">
        <f>$P11*'RAIL EMIS FACTOR'!F$8/2000</f>
        <v>0.21530954139802796</v>
      </c>
      <c r="U11" s="296">
        <f>$P11*'RAIL EMIS FACTOR'!G$8/2000</f>
        <v>0.11045660103261168</v>
      </c>
      <c r="V11" s="296">
        <f>$P11*'RAIL EMIS FACTOR'!H$8/2000</f>
        <v>0.37074879368068531</v>
      </c>
      <c r="W11" s="296">
        <f>$P11*'RAIL EMIS FACTOR'!I$8/2000</f>
        <v>6.3758544344165351E-3</v>
      </c>
      <c r="X11" s="301">
        <f>$P11*'RAIL EMIS FACTOR'!J$8/2000</f>
        <v>782.01833788256386</v>
      </c>
    </row>
    <row r="12" spans="1:24" x14ac:dyDescent="0.25">
      <c r="A12" s="294">
        <v>5</v>
      </c>
      <c r="B12" s="360" t="s">
        <v>835</v>
      </c>
      <c r="C12" s="360" t="s">
        <v>835</v>
      </c>
      <c r="D12" s="360" t="s">
        <v>844</v>
      </c>
      <c r="E12" s="360">
        <v>16.899999999999999</v>
      </c>
      <c r="F12" s="360" t="s">
        <v>845</v>
      </c>
      <c r="G12" s="360">
        <v>12.7</v>
      </c>
      <c r="H12" s="198">
        <v>34039</v>
      </c>
      <c r="I12" s="360" t="s">
        <v>420</v>
      </c>
      <c r="J12" s="360">
        <v>4.2</v>
      </c>
      <c r="K12" s="296">
        <v>18200000</v>
      </c>
      <c r="L12" s="261">
        <f t="shared" si="0"/>
        <v>76440000</v>
      </c>
      <c r="M12" s="107">
        <f t="shared" si="1"/>
        <v>4.1698709639321707E-2</v>
      </c>
      <c r="N12" s="360" t="s">
        <v>420</v>
      </c>
      <c r="O12" s="198">
        <v>34039</v>
      </c>
      <c r="P12" s="297">
        <f t="shared" si="2"/>
        <v>111228.84773902193</v>
      </c>
      <c r="Q12" s="296">
        <f>$P12*'RAIL EMIS FACTOR'!C$8/2000</f>
        <v>14.659112466601604</v>
      </c>
      <c r="R12" s="296">
        <f>$P12*'RAIL EMIS FACTOR'!D$8/2000</f>
        <v>3.4235457044807127</v>
      </c>
      <c r="S12" s="296">
        <f>$P12*'RAIL EMIS FACTOR'!E$8/2000</f>
        <v>0.37290724695740923</v>
      </c>
      <c r="T12" s="296">
        <f>$P12*'RAIL EMIS FACTOR'!F$8/2000</f>
        <v>0.36172002954868698</v>
      </c>
      <c r="U12" s="296">
        <f>$P12*'RAIL EMIS FACTOR'!G$8/2000</f>
        <v>0.18556708973478764</v>
      </c>
      <c r="V12" s="296">
        <f>$P12*'RAIL EMIS FACTOR'!H$8/2000</f>
        <v>0.62285797338355142</v>
      </c>
      <c r="W12" s="296">
        <f>$P12*'RAIL EMIS FACTOR'!I$8/2000</f>
        <v>1.0711435449819779E-2</v>
      </c>
      <c r="X12" s="301">
        <f>$P12*'RAIL EMIS FACTOR'!J$8/2000</f>
        <v>1313.790807642707</v>
      </c>
    </row>
    <row r="13" spans="1:24" x14ac:dyDescent="0.25">
      <c r="A13" s="294" t="s">
        <v>783</v>
      </c>
      <c r="B13" s="360" t="s">
        <v>835</v>
      </c>
      <c r="C13" s="360" t="s">
        <v>835</v>
      </c>
      <c r="D13" s="360" t="s">
        <v>845</v>
      </c>
      <c r="E13" s="360">
        <v>12.7</v>
      </c>
      <c r="F13" s="360" t="s">
        <v>365</v>
      </c>
      <c r="G13" s="360">
        <v>12.4</v>
      </c>
      <c r="H13" s="198">
        <v>34039</v>
      </c>
      <c r="I13" s="360" t="s">
        <v>420</v>
      </c>
      <c r="J13" s="360">
        <v>0.29999999999999893</v>
      </c>
      <c r="K13" s="296">
        <v>18200000</v>
      </c>
      <c r="L13" s="261">
        <f t="shared" si="0"/>
        <v>5459999.9999999804</v>
      </c>
      <c r="M13" s="107">
        <f t="shared" si="1"/>
        <v>2.9784792599515399E-3</v>
      </c>
      <c r="N13" s="360" t="s">
        <v>420</v>
      </c>
      <c r="O13" s="198">
        <v>34039</v>
      </c>
      <c r="P13" s="297">
        <f t="shared" si="2"/>
        <v>7944.9176956443953</v>
      </c>
      <c r="Q13" s="296">
        <f>$P13*'RAIL EMIS FACTOR'!C$8/2000</f>
        <v>1.0470794619001107</v>
      </c>
      <c r="R13" s="296">
        <f>$P13*'RAIL EMIS FACTOR'!D$8/2000</f>
        <v>0.2445389788914786</v>
      </c>
      <c r="S13" s="296">
        <f>$P13*'RAIL EMIS FACTOR'!E$8/2000</f>
        <v>2.6636231925529139E-2</v>
      </c>
      <c r="T13" s="296">
        <f>$P13*'RAIL EMIS FACTOR'!F$8/2000</f>
        <v>2.5837144967763261E-2</v>
      </c>
      <c r="U13" s="296">
        <f>$P13*'RAIL EMIS FACTOR'!G$8/2000</f>
        <v>1.3254792123913355E-2</v>
      </c>
      <c r="V13" s="296">
        <f>$P13*'RAIL EMIS FACTOR'!H$8/2000</f>
        <v>4.4489855241682079E-2</v>
      </c>
      <c r="W13" s="296">
        <f>$P13*'RAIL EMIS FACTOR'!I$8/2000</f>
        <v>7.6510253212998161E-4</v>
      </c>
      <c r="X13" s="301">
        <f>$P13*'RAIL EMIS FACTOR'!J$8/2000</f>
        <v>93.842200545907332</v>
      </c>
    </row>
    <row r="14" spans="1:24" x14ac:dyDescent="0.25">
      <c r="A14" s="294" t="s">
        <v>784</v>
      </c>
      <c r="B14" s="360" t="s">
        <v>835</v>
      </c>
      <c r="C14" s="360" t="s">
        <v>835</v>
      </c>
      <c r="D14" s="360" t="s">
        <v>365</v>
      </c>
      <c r="E14" s="360">
        <v>12.4</v>
      </c>
      <c r="F14" s="360" t="s">
        <v>846</v>
      </c>
      <c r="G14" s="360">
        <v>11.4</v>
      </c>
      <c r="H14" s="440">
        <v>34013</v>
      </c>
      <c r="I14" s="360" t="s">
        <v>418</v>
      </c>
      <c r="J14" s="360">
        <v>1</v>
      </c>
      <c r="K14" s="296">
        <v>18200000</v>
      </c>
      <c r="L14" s="261">
        <f t="shared" si="0"/>
        <v>18200000</v>
      </c>
      <c r="M14" s="107">
        <f t="shared" si="1"/>
        <v>9.9282641998385025E-3</v>
      </c>
      <c r="N14" s="360" t="s">
        <v>418</v>
      </c>
      <c r="O14" s="440">
        <v>34013</v>
      </c>
      <c r="P14" s="297">
        <f t="shared" si="2"/>
        <v>26483.058985481413</v>
      </c>
      <c r="Q14" s="296">
        <f>$P14*'RAIL EMIS FACTOR'!C$8/2000</f>
        <v>3.490264873000382</v>
      </c>
      <c r="R14" s="296">
        <f>$P14*'RAIL EMIS FACTOR'!D$8/2000</f>
        <v>0.81512992963826492</v>
      </c>
      <c r="S14" s="296">
        <f>$P14*'RAIL EMIS FACTOR'!E$8/2000</f>
        <v>8.8787439751764105E-2</v>
      </c>
      <c r="T14" s="296">
        <f>$P14*'RAIL EMIS FACTOR'!F$8/2000</f>
        <v>8.6123816559211197E-2</v>
      </c>
      <c r="U14" s="296">
        <f>$P14*'RAIL EMIS FACTOR'!G$8/2000</f>
        <v>4.418264041304467E-2</v>
      </c>
      <c r="V14" s="296">
        <f>$P14*'RAIL EMIS FACTOR'!H$8/2000</f>
        <v>0.14829951747227416</v>
      </c>
      <c r="W14" s="296">
        <f>$P14*'RAIL EMIS FACTOR'!I$8/2000</f>
        <v>2.5503417737666144E-3</v>
      </c>
      <c r="X14" s="301">
        <f>$P14*'RAIL EMIS FACTOR'!J$8/2000</f>
        <v>312.80733515302552</v>
      </c>
    </row>
    <row r="15" spans="1:24" x14ac:dyDescent="0.25">
      <c r="A15" s="294">
        <v>7</v>
      </c>
      <c r="B15" s="360" t="s">
        <v>835</v>
      </c>
      <c r="C15" s="360" t="s">
        <v>835</v>
      </c>
      <c r="D15" s="360" t="s">
        <v>846</v>
      </c>
      <c r="E15" s="360">
        <v>11.4</v>
      </c>
      <c r="F15" s="360" t="s">
        <v>847</v>
      </c>
      <c r="G15" s="360">
        <v>10.5</v>
      </c>
      <c r="H15" s="440">
        <v>34013</v>
      </c>
      <c r="I15" s="360" t="s">
        <v>418</v>
      </c>
      <c r="J15" s="360">
        <v>0.9</v>
      </c>
      <c r="K15" s="296">
        <v>18200000</v>
      </c>
      <c r="L15" s="261">
        <f t="shared" si="0"/>
        <v>16380000</v>
      </c>
      <c r="M15" s="107">
        <f t="shared" si="1"/>
        <v>8.9354377798546523E-3</v>
      </c>
      <c r="N15" s="360" t="s">
        <v>418</v>
      </c>
      <c r="O15" s="440">
        <v>34013</v>
      </c>
      <c r="P15" s="297">
        <f t="shared" si="2"/>
        <v>23834.753086933273</v>
      </c>
      <c r="Q15" s="296">
        <f>$P15*'RAIL EMIS FACTOR'!C$8/2000</f>
        <v>3.1412383857003436</v>
      </c>
      <c r="R15" s="296">
        <f>$P15*'RAIL EMIS FACTOR'!D$8/2000</f>
        <v>0.73361693667443839</v>
      </c>
      <c r="S15" s="296">
        <f>$P15*'RAIL EMIS FACTOR'!E$8/2000</f>
        <v>7.9908695776587713E-2</v>
      </c>
      <c r="T15" s="296">
        <f>$P15*'RAIL EMIS FACTOR'!F$8/2000</f>
        <v>7.7511434903290072E-2</v>
      </c>
      <c r="U15" s="296">
        <f>$P15*'RAIL EMIS FACTOR'!G$8/2000</f>
        <v>3.9764376371740205E-2</v>
      </c>
      <c r="V15" s="296">
        <f>$P15*'RAIL EMIS FACTOR'!H$8/2000</f>
        <v>0.13346956572504673</v>
      </c>
      <c r="W15" s="296">
        <f>$P15*'RAIL EMIS FACTOR'!I$8/2000</f>
        <v>2.2953075963899534E-3</v>
      </c>
      <c r="X15" s="301">
        <f>$P15*'RAIL EMIS FACTOR'!J$8/2000</f>
        <v>281.52660163772299</v>
      </c>
    </row>
    <row r="16" spans="1:24" x14ac:dyDescent="0.25">
      <c r="A16" s="294">
        <v>8</v>
      </c>
      <c r="B16" s="360" t="s">
        <v>835</v>
      </c>
      <c r="C16" s="360" t="s">
        <v>848</v>
      </c>
      <c r="D16" s="360" t="s">
        <v>847</v>
      </c>
      <c r="E16" s="360">
        <v>7.8</v>
      </c>
      <c r="F16" s="360" t="s">
        <v>849</v>
      </c>
      <c r="G16" s="360">
        <v>6.9</v>
      </c>
      <c r="H16" s="440">
        <v>34013</v>
      </c>
      <c r="I16" s="360" t="s">
        <v>418</v>
      </c>
      <c r="J16" s="360">
        <v>0.9</v>
      </c>
      <c r="K16" s="296">
        <v>8000000</v>
      </c>
      <c r="L16" s="261">
        <f t="shared" si="0"/>
        <v>7200000</v>
      </c>
      <c r="M16" s="107">
        <f t="shared" si="1"/>
        <v>3.9276649581778686E-3</v>
      </c>
      <c r="N16" s="360" t="s">
        <v>418</v>
      </c>
      <c r="O16" s="440">
        <v>34013</v>
      </c>
      <c r="P16" s="297">
        <f t="shared" si="2"/>
        <v>10476.814543706932</v>
      </c>
      <c r="Q16" s="296">
        <f>$P16*'RAIL EMIS FACTOR'!C$8/2000</f>
        <v>1.3807641255825687</v>
      </c>
      <c r="R16" s="296">
        <f>$P16*'RAIL EMIS FACTOR'!D$8/2000</f>
        <v>0.32246898315359929</v>
      </c>
      <c r="S16" s="296">
        <f>$P16*'RAIL EMIS FACTOR'!E$8/2000</f>
        <v>3.5124701440258324E-2</v>
      </c>
      <c r="T16" s="296">
        <f>$P16*'RAIL EMIS FACTOR'!F$8/2000</f>
        <v>3.4070960397050577E-2</v>
      </c>
      <c r="U16" s="296">
        <f>$P16*'RAIL EMIS FACTOR'!G$8/2000</f>
        <v>1.7478846756808882E-2</v>
      </c>
      <c r="V16" s="296">
        <f>$P16*'RAIL EMIS FACTOR'!H$8/2000</f>
        <v>5.8667940978042517E-2</v>
      </c>
      <c r="W16" s="296">
        <f>$P16*'RAIL EMIS FACTOR'!I$8/2000</f>
        <v>1.0089264159955837E-3</v>
      </c>
      <c r="X16" s="301">
        <f>$P16*'RAIL EMIS FACTOR'!J$8/2000</f>
        <v>123.74795676383427</v>
      </c>
    </row>
    <row r="17" spans="1:24" x14ac:dyDescent="0.25">
      <c r="A17" s="294" t="s">
        <v>850</v>
      </c>
      <c r="B17" s="360" t="s">
        <v>835</v>
      </c>
      <c r="C17" s="360" t="s">
        <v>851</v>
      </c>
      <c r="D17" s="360" t="s">
        <v>849</v>
      </c>
      <c r="E17" s="360">
        <v>6.9</v>
      </c>
      <c r="F17" s="360" t="s">
        <v>365</v>
      </c>
      <c r="G17" s="360">
        <v>3.5</v>
      </c>
      <c r="H17" s="440">
        <v>34013</v>
      </c>
      <c r="I17" s="360" t="s">
        <v>418</v>
      </c>
      <c r="J17" s="360">
        <v>3.4</v>
      </c>
      <c r="K17" s="296">
        <v>8000000</v>
      </c>
      <c r="L17" s="261">
        <f t="shared" si="0"/>
        <v>27200000</v>
      </c>
      <c r="M17" s="107">
        <f t="shared" si="1"/>
        <v>1.4837845397560839E-2</v>
      </c>
      <c r="N17" s="360" t="s">
        <v>418</v>
      </c>
      <c r="O17" s="440">
        <v>34013</v>
      </c>
      <c r="P17" s="297">
        <f t="shared" si="2"/>
        <v>39579.077165115079</v>
      </c>
      <c r="Q17" s="296">
        <f>$P17*'RAIL EMIS FACTOR'!C$8/2000</f>
        <v>5.2162200299785928</v>
      </c>
      <c r="R17" s="296">
        <f>$P17*'RAIL EMIS FACTOR'!D$8/2000</f>
        <v>1.218216158580264</v>
      </c>
      <c r="S17" s="296">
        <f>$P17*'RAIL EMIS FACTOR'!E$8/2000</f>
        <v>0.13269331655208702</v>
      </c>
      <c r="T17" s="296">
        <f>$P17*'RAIL EMIS FACTOR'!F$8/2000</f>
        <v>0.12871251705552442</v>
      </c>
      <c r="U17" s="296">
        <f>$P17*'RAIL EMIS FACTOR'!G$8/2000</f>
        <v>6.6031198859055784E-2</v>
      </c>
      <c r="V17" s="296">
        <f>$P17*'RAIL EMIS FACTOR'!H$8/2000</f>
        <v>0.22163444369482729</v>
      </c>
      <c r="W17" s="296">
        <f>$P17*'RAIL EMIS FACTOR'!I$8/2000</f>
        <v>3.8114997937610936E-3</v>
      </c>
      <c r="X17" s="301">
        <f>$P17*'RAIL EMIS FACTOR'!J$8/2000</f>
        <v>467.49228110781837</v>
      </c>
    </row>
    <row r="18" spans="1:24" x14ac:dyDescent="0.25">
      <c r="A18" s="294" t="s">
        <v>852</v>
      </c>
      <c r="B18" s="360" t="s">
        <v>835</v>
      </c>
      <c r="C18" s="360" t="s">
        <v>851</v>
      </c>
      <c r="D18" s="360" t="s">
        <v>365</v>
      </c>
      <c r="E18" s="360">
        <v>3.5</v>
      </c>
      <c r="F18" s="360" t="s">
        <v>853</v>
      </c>
      <c r="G18" s="360">
        <v>2.5</v>
      </c>
      <c r="H18" s="440">
        <v>34013</v>
      </c>
      <c r="I18" s="360" t="s">
        <v>418</v>
      </c>
      <c r="J18" s="360">
        <v>1</v>
      </c>
      <c r="K18" s="296">
        <v>8000000</v>
      </c>
      <c r="L18" s="261">
        <f t="shared" si="0"/>
        <v>8000000</v>
      </c>
      <c r="M18" s="107">
        <f t="shared" si="1"/>
        <v>4.3640721757531881E-3</v>
      </c>
      <c r="N18" s="360" t="s">
        <v>418</v>
      </c>
      <c r="O18" s="440">
        <v>34013</v>
      </c>
      <c r="P18" s="297">
        <f t="shared" si="2"/>
        <v>11640.90504856326</v>
      </c>
      <c r="Q18" s="296">
        <f>$P18*'RAIL EMIS FACTOR'!C$8/2000</f>
        <v>1.5341823617584098</v>
      </c>
      <c r="R18" s="296">
        <f>$P18*'RAIL EMIS FACTOR'!D$8/2000</f>
        <v>0.35829887017066592</v>
      </c>
      <c r="S18" s="296">
        <f>$P18*'RAIL EMIS FACTOR'!E$8/2000</f>
        <v>3.9027446044731483E-2</v>
      </c>
      <c r="T18" s="296">
        <f>$P18*'RAIL EMIS FACTOR'!F$8/2000</f>
        <v>3.7856622663389537E-2</v>
      </c>
      <c r="U18" s="296">
        <f>$P18*'RAIL EMIS FACTOR'!G$8/2000</f>
        <v>1.9420940840898758E-2</v>
      </c>
      <c r="V18" s="296">
        <f>$P18*'RAIL EMIS FACTOR'!H$8/2000</f>
        <v>6.5186601086713925E-2</v>
      </c>
      <c r="W18" s="296">
        <f>$P18*'RAIL EMIS FACTOR'!I$8/2000</f>
        <v>1.1210293511062042E-3</v>
      </c>
      <c r="X18" s="301">
        <f>$P18*'RAIL EMIS FACTOR'!J$8/2000</f>
        <v>137.49772973759366</v>
      </c>
    </row>
    <row r="19" spans="1:24" x14ac:dyDescent="0.25">
      <c r="A19" s="294">
        <v>10</v>
      </c>
      <c r="B19" s="360" t="s">
        <v>835</v>
      </c>
      <c r="C19" s="360" t="s">
        <v>851</v>
      </c>
      <c r="D19" s="360" t="s">
        <v>853</v>
      </c>
      <c r="E19" s="360">
        <v>2.5</v>
      </c>
      <c r="F19" s="360" t="s">
        <v>854</v>
      </c>
      <c r="G19" s="360">
        <v>1.6</v>
      </c>
      <c r="H19" s="101">
        <v>34017</v>
      </c>
      <c r="I19" s="360" t="s">
        <v>450</v>
      </c>
      <c r="J19" s="360">
        <v>0.9</v>
      </c>
      <c r="K19" s="296">
        <v>8000000</v>
      </c>
      <c r="L19" s="261">
        <f t="shared" si="0"/>
        <v>7200000</v>
      </c>
      <c r="M19" s="107">
        <f t="shared" si="1"/>
        <v>3.9276649581778686E-3</v>
      </c>
      <c r="N19" s="360" t="s">
        <v>450</v>
      </c>
      <c r="O19" s="101">
        <v>34017</v>
      </c>
      <c r="P19" s="297">
        <f t="shared" si="2"/>
        <v>10476.814543706932</v>
      </c>
      <c r="Q19" s="296">
        <f>$P19*'RAIL EMIS FACTOR'!C$8/2000</f>
        <v>1.3807641255825687</v>
      </c>
      <c r="R19" s="296">
        <f>$P19*'RAIL EMIS FACTOR'!D$8/2000</f>
        <v>0.32246898315359929</v>
      </c>
      <c r="S19" s="296">
        <f>$P19*'RAIL EMIS FACTOR'!E$8/2000</f>
        <v>3.5124701440258324E-2</v>
      </c>
      <c r="T19" s="296">
        <f>$P19*'RAIL EMIS FACTOR'!F$8/2000</f>
        <v>3.4070960397050577E-2</v>
      </c>
      <c r="U19" s="296">
        <f>$P19*'RAIL EMIS FACTOR'!G$8/2000</f>
        <v>1.7478846756808882E-2</v>
      </c>
      <c r="V19" s="296">
        <f>$P19*'RAIL EMIS FACTOR'!H$8/2000</f>
        <v>5.8667940978042517E-2</v>
      </c>
      <c r="W19" s="296">
        <f>$P19*'RAIL EMIS FACTOR'!I$8/2000</f>
        <v>1.0089264159955837E-3</v>
      </c>
      <c r="X19" s="301">
        <f>$P19*'RAIL EMIS FACTOR'!J$8/2000</f>
        <v>123.74795676383427</v>
      </c>
    </row>
    <row r="20" spans="1:24" x14ac:dyDescent="0.25">
      <c r="A20" s="294" t="s">
        <v>855</v>
      </c>
      <c r="B20" s="360" t="s">
        <v>835</v>
      </c>
      <c r="C20" s="360" t="s">
        <v>751</v>
      </c>
      <c r="D20" s="360" t="s">
        <v>841</v>
      </c>
      <c r="E20" s="360">
        <v>0</v>
      </c>
      <c r="F20" s="360" t="s">
        <v>365</v>
      </c>
      <c r="G20" s="360">
        <v>0.6</v>
      </c>
      <c r="H20" s="360">
        <v>34035</v>
      </c>
      <c r="I20" s="360" t="s">
        <v>470</v>
      </c>
      <c r="J20" s="360">
        <v>0.6</v>
      </c>
      <c r="K20" s="296">
        <v>1000000</v>
      </c>
      <c r="L20" s="261">
        <f t="shared" si="0"/>
        <v>600000</v>
      </c>
      <c r="M20" s="107">
        <f t="shared" si="1"/>
        <v>3.2730541318148909E-4</v>
      </c>
      <c r="N20" s="360" t="s">
        <v>470</v>
      </c>
      <c r="O20" s="360">
        <v>34035</v>
      </c>
      <c r="P20" s="297">
        <f t="shared" si="2"/>
        <v>873.06787864224441</v>
      </c>
      <c r="Q20" s="296">
        <f>$P20*'RAIL EMIS FACTOR'!C$8/2000</f>
        <v>0.11506367713188072</v>
      </c>
      <c r="R20" s="296">
        <f>$P20*'RAIL EMIS FACTOR'!D$8/2000</f>
        <v>2.6872415262799942E-2</v>
      </c>
      <c r="S20" s="296">
        <f>$P20*'RAIL EMIS FACTOR'!E$8/2000</f>
        <v>2.9270584533548608E-3</v>
      </c>
      <c r="T20" s="296">
        <f>$P20*'RAIL EMIS FACTOR'!F$8/2000</f>
        <v>2.8392466997542152E-3</v>
      </c>
      <c r="U20" s="296">
        <f>$P20*'RAIL EMIS FACTOR'!G$8/2000</f>
        <v>1.4565705630674068E-3</v>
      </c>
      <c r="V20" s="296">
        <f>$P20*'RAIL EMIS FACTOR'!H$8/2000</f>
        <v>4.8889950815035428E-3</v>
      </c>
      <c r="W20" s="296">
        <f>$P20*'RAIL EMIS FACTOR'!I$8/2000</f>
        <v>8.4077201332965316E-5</v>
      </c>
      <c r="X20" s="301">
        <f>$P20*'RAIL EMIS FACTOR'!J$8/2000</f>
        <v>10.312329730319522</v>
      </c>
    </row>
    <row r="21" spans="1:24" x14ac:dyDescent="0.25">
      <c r="A21" s="294" t="s">
        <v>856</v>
      </c>
      <c r="B21" s="360" t="s">
        <v>835</v>
      </c>
      <c r="C21" s="360" t="s">
        <v>751</v>
      </c>
      <c r="D21" s="360" t="s">
        <v>365</v>
      </c>
      <c r="E21" s="360">
        <v>0.6</v>
      </c>
      <c r="F21" s="360" t="s">
        <v>857</v>
      </c>
      <c r="G21" s="360">
        <v>3</v>
      </c>
      <c r="H21" s="101">
        <v>34023</v>
      </c>
      <c r="I21" s="360" t="s">
        <v>424</v>
      </c>
      <c r="J21" s="360">
        <v>2.4</v>
      </c>
      <c r="K21" s="296">
        <v>1000000</v>
      </c>
      <c r="L21" s="261">
        <f t="shared" si="0"/>
        <v>2400000</v>
      </c>
      <c r="M21" s="107">
        <f t="shared" si="1"/>
        <v>1.3092216527259564E-3</v>
      </c>
      <c r="N21" s="360" t="s">
        <v>424</v>
      </c>
      <c r="O21" s="101">
        <v>34023</v>
      </c>
      <c r="P21" s="297">
        <f t="shared" si="2"/>
        <v>3492.2715145689776</v>
      </c>
      <c r="Q21" s="296">
        <f>$P21*'RAIL EMIS FACTOR'!C$8/2000</f>
        <v>0.46025470852752287</v>
      </c>
      <c r="R21" s="296">
        <f>$P21*'RAIL EMIS FACTOR'!D$8/2000</f>
        <v>0.10748966105119977</v>
      </c>
      <c r="S21" s="296">
        <f>$P21*'RAIL EMIS FACTOR'!E$8/2000</f>
        <v>1.1708233813419443E-2</v>
      </c>
      <c r="T21" s="296">
        <f>$P21*'RAIL EMIS FACTOR'!F$8/2000</f>
        <v>1.1356986799016861E-2</v>
      </c>
      <c r="U21" s="296">
        <f>$P21*'RAIL EMIS FACTOR'!G$8/2000</f>
        <v>5.8262822522696274E-3</v>
      </c>
      <c r="V21" s="296">
        <f>$P21*'RAIL EMIS FACTOR'!H$8/2000</f>
        <v>1.9555980326014171E-2</v>
      </c>
      <c r="W21" s="296">
        <f>$P21*'RAIL EMIS FACTOR'!I$8/2000</f>
        <v>3.3630880533186126E-4</v>
      </c>
      <c r="X21" s="301">
        <f>$P21*'RAIL EMIS FACTOR'!J$8/2000</f>
        <v>41.249318921278089</v>
      </c>
    </row>
    <row r="22" spans="1:24" x14ac:dyDescent="0.25">
      <c r="A22" s="294">
        <v>12</v>
      </c>
      <c r="B22" s="360" t="s">
        <v>835</v>
      </c>
      <c r="C22" s="360" t="s">
        <v>751</v>
      </c>
      <c r="D22" s="360" t="s">
        <v>857</v>
      </c>
      <c r="E22" s="360">
        <v>3</v>
      </c>
      <c r="F22" s="360" t="s">
        <v>858</v>
      </c>
      <c r="G22" s="360">
        <v>7</v>
      </c>
      <c r="H22" s="101">
        <v>34023</v>
      </c>
      <c r="I22" s="360" t="s">
        <v>424</v>
      </c>
      <c r="J22" s="360">
        <v>4</v>
      </c>
      <c r="K22" s="296">
        <v>1000000</v>
      </c>
      <c r="L22" s="261">
        <f t="shared" si="0"/>
        <v>4000000</v>
      </c>
      <c r="M22" s="107">
        <f t="shared" si="1"/>
        <v>2.1820360878765941E-3</v>
      </c>
      <c r="N22" s="360" t="s">
        <v>424</v>
      </c>
      <c r="O22" s="101">
        <v>34023</v>
      </c>
      <c r="P22" s="297">
        <f t="shared" si="2"/>
        <v>5820.4525242816298</v>
      </c>
      <c r="Q22" s="296">
        <f>$P22*'RAIL EMIS FACTOR'!C$8/2000</f>
        <v>0.76709118087920491</v>
      </c>
      <c r="R22" s="296">
        <f>$P22*'RAIL EMIS FACTOR'!D$8/2000</f>
        <v>0.17914943508533296</v>
      </c>
      <c r="S22" s="296">
        <f>$P22*'RAIL EMIS FACTOR'!E$8/2000</f>
        <v>1.9513723022365741E-2</v>
      </c>
      <c r="T22" s="296">
        <f>$P22*'RAIL EMIS FACTOR'!F$8/2000</f>
        <v>1.8928311331694769E-2</v>
      </c>
      <c r="U22" s="296">
        <f>$P22*'RAIL EMIS FACTOR'!G$8/2000</f>
        <v>9.710470420449379E-3</v>
      </c>
      <c r="V22" s="296">
        <f>$P22*'RAIL EMIS FACTOR'!H$8/2000</f>
        <v>3.2593300543356962E-2</v>
      </c>
      <c r="W22" s="296">
        <f>$P22*'RAIL EMIS FACTOR'!I$8/2000</f>
        <v>5.6051467555310209E-4</v>
      </c>
      <c r="X22" s="301">
        <f>$P22*'RAIL EMIS FACTOR'!J$8/2000</f>
        <v>68.748864868796829</v>
      </c>
    </row>
    <row r="23" spans="1:24" x14ac:dyDescent="0.25">
      <c r="A23" s="478">
        <v>16</v>
      </c>
      <c r="B23" s="360" t="s">
        <v>835</v>
      </c>
      <c r="C23" s="240" t="s">
        <v>859</v>
      </c>
      <c r="D23" s="240" t="s">
        <v>847</v>
      </c>
      <c r="E23" s="240">
        <v>10.5</v>
      </c>
      <c r="F23" s="240" t="s">
        <v>860</v>
      </c>
      <c r="G23" s="240">
        <v>9.1</v>
      </c>
      <c r="H23" s="440">
        <v>34013</v>
      </c>
      <c r="I23" s="240" t="s">
        <v>418</v>
      </c>
      <c r="J23" s="240">
        <v>1.4</v>
      </c>
      <c r="K23" s="293">
        <v>4200000</v>
      </c>
      <c r="L23" s="261">
        <f t="shared" si="0"/>
        <v>5880000</v>
      </c>
      <c r="M23" s="107">
        <f t="shared" si="1"/>
        <v>3.207593049178593E-3</v>
      </c>
      <c r="N23" s="240" t="s">
        <v>418</v>
      </c>
      <c r="O23" s="440">
        <v>34013</v>
      </c>
      <c r="P23" s="297">
        <f t="shared" si="2"/>
        <v>8556.0652106939961</v>
      </c>
      <c r="Q23" s="296">
        <f>$P23*'RAIL EMIS FACTOR'!C$8/2000</f>
        <v>1.1276240358924312</v>
      </c>
      <c r="R23" s="296">
        <f>$P23*'RAIL EMIS FACTOR'!D$8/2000</f>
        <v>0.26334966957543948</v>
      </c>
      <c r="S23" s="296">
        <f>$P23*'RAIL EMIS FACTOR'!E$8/2000</f>
        <v>2.8685172842877641E-2</v>
      </c>
      <c r="T23" s="296">
        <f>$P23*'RAIL EMIS FACTOR'!F$8/2000</f>
        <v>2.7824617657591311E-2</v>
      </c>
      <c r="U23" s="296">
        <f>$P23*'RAIL EMIS FACTOR'!G$8/2000</f>
        <v>1.4274391518060588E-2</v>
      </c>
      <c r="V23" s="296">
        <f>$P23*'RAIL EMIS FACTOR'!H$8/2000</f>
        <v>4.7912151798734724E-2</v>
      </c>
      <c r="W23" s="296">
        <f>$P23*'RAIL EMIS FACTOR'!I$8/2000</f>
        <v>8.2395657306306015E-4</v>
      </c>
      <c r="X23" s="301">
        <f>$P23*'RAIL EMIS FACTOR'!J$8/2000</f>
        <v>101.06083135713133</v>
      </c>
    </row>
    <row r="24" spans="1:24" x14ac:dyDescent="0.25">
      <c r="A24" s="478">
        <v>17</v>
      </c>
      <c r="B24" s="360" t="s">
        <v>835</v>
      </c>
      <c r="C24" s="240" t="s">
        <v>861</v>
      </c>
      <c r="D24" s="240" t="s">
        <v>862</v>
      </c>
      <c r="E24" s="240">
        <v>0</v>
      </c>
      <c r="F24" s="240" t="s">
        <v>863</v>
      </c>
      <c r="G24" s="240">
        <v>0.5</v>
      </c>
      <c r="H24" s="360">
        <v>34035</v>
      </c>
      <c r="I24" s="240" t="s">
        <v>470</v>
      </c>
      <c r="J24" s="240">
        <v>0.5</v>
      </c>
      <c r="K24" s="293">
        <v>286500</v>
      </c>
      <c r="L24" s="261">
        <f t="shared" si="0"/>
        <v>143250</v>
      </c>
      <c r="M24" s="107">
        <f t="shared" si="1"/>
        <v>7.8144167397080521E-5</v>
      </c>
      <c r="N24" s="240" t="s">
        <v>470</v>
      </c>
      <c r="O24" s="360">
        <v>34035</v>
      </c>
      <c r="P24" s="297">
        <f t="shared" si="2"/>
        <v>208.44495602583586</v>
      </c>
      <c r="Q24" s="296">
        <f>$P24*'RAIL EMIS FACTOR'!C$8/2000</f>
        <v>2.7471452915236526E-2</v>
      </c>
      <c r="R24" s="296">
        <f>$P24*'RAIL EMIS FACTOR'!D$8/2000</f>
        <v>6.4157891439934863E-3</v>
      </c>
      <c r="S24" s="296">
        <f>$P24*'RAIL EMIS FACTOR'!E$8/2000</f>
        <v>6.9883520573847311E-4</v>
      </c>
      <c r="T24" s="296">
        <f>$P24*'RAIL EMIS FACTOR'!F$8/2000</f>
        <v>6.7787014956631887E-4</v>
      </c>
      <c r="U24" s="296">
        <f>$P24*'RAIL EMIS FACTOR'!G$8/2000</f>
        <v>3.4775622193234339E-4</v>
      </c>
      <c r="V24" s="296">
        <f>$P24*'RAIL EMIS FACTOR'!H$8/2000</f>
        <v>1.1672475757089711E-3</v>
      </c>
      <c r="W24" s="296">
        <f>$P24*'RAIL EMIS FACTOR'!I$8/2000</f>
        <v>2.0073431818245467E-5</v>
      </c>
      <c r="X24" s="301">
        <f>$P24*'RAIL EMIS FACTOR'!J$8/2000</f>
        <v>2.4620687231137861</v>
      </c>
    </row>
    <row r="25" spans="1:24" x14ac:dyDescent="0.25">
      <c r="A25" s="303"/>
      <c r="B25" s="107" t="s">
        <v>809</v>
      </c>
      <c r="C25" s="107" t="s">
        <v>810</v>
      </c>
      <c r="D25" s="360">
        <v>34003</v>
      </c>
      <c r="E25" s="360" t="s">
        <v>811</v>
      </c>
      <c r="F25" s="360" t="s">
        <v>413</v>
      </c>
      <c r="G25" s="176">
        <v>34003</v>
      </c>
      <c r="H25" s="360">
        <f>11.5*0.5</f>
        <v>5.75</v>
      </c>
      <c r="I25" s="360">
        <v>1.2</v>
      </c>
      <c r="J25" s="360">
        <f>I25*H25</f>
        <v>6.8999999999999995</v>
      </c>
      <c r="K25" s="296">
        <v>8200000</v>
      </c>
      <c r="L25" s="296">
        <f t="shared" ref="L25:L32" si="3">K25*J25</f>
        <v>56579999.999999993</v>
      </c>
      <c r="M25" s="107">
        <f t="shared" si="1"/>
        <v>3.0864900463014416E-2</v>
      </c>
      <c r="N25" s="360" t="s">
        <v>413</v>
      </c>
      <c r="O25" s="176">
        <v>34003</v>
      </c>
      <c r="P25" s="297">
        <f t="shared" si="2"/>
        <v>82330.300955963641</v>
      </c>
      <c r="Q25" s="296">
        <f>$P25*'RAIL EMIS FACTOR'!C$8/2000</f>
        <v>10.850504753536352</v>
      </c>
      <c r="R25" s="296">
        <f>$P25*'RAIL EMIS FACTOR'!D$8/2000</f>
        <v>2.5340687592820341</v>
      </c>
      <c r="S25" s="296">
        <f>$P25*'RAIL EMIS FACTOR'!E$8/2000</f>
        <v>0.27602161215136334</v>
      </c>
      <c r="T25" s="296">
        <f>$P25*'RAIL EMIS FACTOR'!F$8/2000</f>
        <v>0.26774096378682249</v>
      </c>
      <c r="U25" s="296">
        <f>$P25*'RAIL EMIS FACTOR'!G$8/2000</f>
        <v>0.13735460409725644</v>
      </c>
      <c r="V25" s="296">
        <f>$P25*'RAIL EMIS FACTOR'!H$8/2000</f>
        <v>0.46103223618578409</v>
      </c>
      <c r="W25" s="296">
        <f>$P25*'RAIL EMIS FACTOR'!I$8/2000</f>
        <v>7.9284800856986287E-3</v>
      </c>
      <c r="X25" s="301">
        <f>$P25*'RAIL EMIS FACTOR'!J$8/2000</f>
        <v>972.45269356913093</v>
      </c>
    </row>
    <row r="26" spans="1:24" x14ac:dyDescent="0.25">
      <c r="A26" s="303"/>
      <c r="B26" s="107" t="s">
        <v>809</v>
      </c>
      <c r="C26" s="107" t="s">
        <v>810</v>
      </c>
      <c r="D26" s="360">
        <v>34003</v>
      </c>
      <c r="E26" s="304" t="s">
        <v>811</v>
      </c>
      <c r="F26" s="148" t="s">
        <v>413</v>
      </c>
      <c r="G26" s="145">
        <v>34003</v>
      </c>
      <c r="H26" s="360">
        <f>9*0.5</f>
        <v>4.5</v>
      </c>
      <c r="I26" s="360">
        <v>1.2</v>
      </c>
      <c r="J26" s="360">
        <f t="shared" ref="J26:J45" si="4">I26*H26</f>
        <v>5.3999999999999995</v>
      </c>
      <c r="K26" s="296">
        <v>8200000</v>
      </c>
      <c r="L26" s="296">
        <f t="shared" si="3"/>
        <v>44279999.999999993</v>
      </c>
      <c r="M26" s="107">
        <f t="shared" si="1"/>
        <v>2.4155139492793892E-2</v>
      </c>
      <c r="N26" s="148" t="s">
        <v>413</v>
      </c>
      <c r="O26" s="145">
        <v>34003</v>
      </c>
      <c r="P26" s="297">
        <f t="shared" si="2"/>
        <v>64432.409443797631</v>
      </c>
      <c r="Q26" s="296">
        <f>$P26*'RAIL EMIS FACTOR'!C$8/2000</f>
        <v>8.491699372332798</v>
      </c>
      <c r="R26" s="296">
        <f>$P26*'RAIL EMIS FACTOR'!D$8/2000</f>
        <v>1.9831842463946354</v>
      </c>
      <c r="S26" s="296">
        <f>$P26*'RAIL EMIS FACTOR'!E$8/2000</f>
        <v>0.21601691385758873</v>
      </c>
      <c r="T26" s="296">
        <f>$P26*'RAIL EMIS FACTOR'!F$8/2000</f>
        <v>0.20953640644186106</v>
      </c>
      <c r="U26" s="296">
        <f>$P26*'RAIL EMIS FACTOR'!G$8/2000</f>
        <v>0.1074949075543746</v>
      </c>
      <c r="V26" s="296">
        <f>$P26*'RAIL EMIS FACTOR'!H$8/2000</f>
        <v>0.3608078370149615</v>
      </c>
      <c r="W26" s="296">
        <f>$P26*'RAIL EMIS FACTOR'!I$8/2000</f>
        <v>6.2048974583728388E-3</v>
      </c>
      <c r="X26" s="301">
        <f>$P26*'RAIL EMIS FACTOR'!J$8/2000</f>
        <v>761.04993409758072</v>
      </c>
    </row>
    <row r="27" spans="1:24" x14ac:dyDescent="0.25">
      <c r="A27" s="303"/>
      <c r="B27" s="107" t="s">
        <v>809</v>
      </c>
      <c r="C27" s="107" t="s">
        <v>810</v>
      </c>
      <c r="D27" s="360">
        <v>34017</v>
      </c>
      <c r="E27" s="360" t="s">
        <v>811</v>
      </c>
      <c r="F27" s="304" t="s">
        <v>412</v>
      </c>
      <c r="G27" s="145">
        <v>34017</v>
      </c>
      <c r="H27" s="360">
        <f>4.5*0.5</f>
        <v>2.25</v>
      </c>
      <c r="I27" s="360">
        <v>1.2</v>
      </c>
      <c r="J27" s="360">
        <f t="shared" si="4"/>
        <v>2.6999999999999997</v>
      </c>
      <c r="K27" s="296">
        <v>8200000</v>
      </c>
      <c r="L27" s="296">
        <f t="shared" si="3"/>
        <v>22139999.999999996</v>
      </c>
      <c r="M27" s="107">
        <f t="shared" si="1"/>
        <v>1.2077569746396946E-2</v>
      </c>
      <c r="N27" s="304" t="s">
        <v>412</v>
      </c>
      <c r="O27" s="145">
        <v>34017</v>
      </c>
      <c r="P27" s="297">
        <f t="shared" si="2"/>
        <v>32216.204721898815</v>
      </c>
      <c r="Q27" s="296">
        <f>$P27*'RAIL EMIS FACTOR'!C$8/2000</f>
        <v>4.245849686166399</v>
      </c>
      <c r="R27" s="296">
        <f>$P27*'RAIL EMIS FACTOR'!D$8/2000</f>
        <v>0.99159212319731771</v>
      </c>
      <c r="S27" s="296">
        <f>$P27*'RAIL EMIS FACTOR'!E$8/2000</f>
        <v>0.10800845692879436</v>
      </c>
      <c r="T27" s="296">
        <f>$P27*'RAIL EMIS FACTOR'!F$8/2000</f>
        <v>0.10476820322093053</v>
      </c>
      <c r="U27" s="296">
        <f>$P27*'RAIL EMIS FACTOR'!G$8/2000</f>
        <v>5.3747453777187301E-2</v>
      </c>
      <c r="V27" s="296">
        <f>$P27*'RAIL EMIS FACTOR'!H$8/2000</f>
        <v>0.18040391850748075</v>
      </c>
      <c r="W27" s="296">
        <f>$P27*'RAIL EMIS FACTOR'!I$8/2000</f>
        <v>3.1024487291864194E-3</v>
      </c>
      <c r="X27" s="301">
        <f>$P27*'RAIL EMIS FACTOR'!J$8/2000</f>
        <v>380.52496704879036</v>
      </c>
    </row>
    <row r="28" spans="1:24" x14ac:dyDescent="0.25">
      <c r="A28" s="303"/>
      <c r="B28" s="107" t="s">
        <v>809</v>
      </c>
      <c r="C28" s="539" t="s">
        <v>864</v>
      </c>
      <c r="D28" s="360">
        <v>34017</v>
      </c>
      <c r="E28" s="360" t="s">
        <v>811</v>
      </c>
      <c r="F28" s="304" t="s">
        <v>412</v>
      </c>
      <c r="G28" s="145">
        <v>34017</v>
      </c>
      <c r="H28" s="304">
        <f>3*0.5</f>
        <v>1.5</v>
      </c>
      <c r="I28" s="360">
        <v>1.2</v>
      </c>
      <c r="J28" s="360">
        <f t="shared" si="4"/>
        <v>1.7999999999999998</v>
      </c>
      <c r="K28" s="296">
        <v>8200000</v>
      </c>
      <c r="L28" s="296">
        <f t="shared" si="3"/>
        <v>14759999.999999998</v>
      </c>
      <c r="M28" s="107">
        <f t="shared" si="1"/>
        <v>8.0517131642646299E-3</v>
      </c>
      <c r="N28" s="304" t="s">
        <v>412</v>
      </c>
      <c r="O28" s="145">
        <v>34017</v>
      </c>
      <c r="P28" s="297">
        <f t="shared" si="2"/>
        <v>21477.469814599208</v>
      </c>
      <c r="Q28" s="296">
        <f>$P28*'RAIL EMIS FACTOR'!C$8/2000</f>
        <v>2.8305664574442653</v>
      </c>
      <c r="R28" s="296">
        <f>$P28*'RAIL EMIS FACTOR'!D$8/2000</f>
        <v>0.6610614154648784</v>
      </c>
      <c r="S28" s="296">
        <f>$P28*'RAIL EMIS FACTOR'!E$8/2000</f>
        <v>7.2005637952529566E-2</v>
      </c>
      <c r="T28" s="296">
        <f>$P28*'RAIL EMIS FACTOR'!F$8/2000</f>
        <v>6.9845468813953676E-2</v>
      </c>
      <c r="U28" s="296">
        <f>$P28*'RAIL EMIS FACTOR'!G$8/2000</f>
        <v>3.5831635851458203E-2</v>
      </c>
      <c r="V28" s="296">
        <f>$P28*'RAIL EMIS FACTOR'!H$8/2000</f>
        <v>0.12026927900498714</v>
      </c>
      <c r="W28" s="296">
        <f>$P28*'RAIL EMIS FACTOR'!I$8/2000</f>
        <v>2.0682991527909461E-3</v>
      </c>
      <c r="X28" s="301">
        <f>$P28*'RAIL EMIS FACTOR'!J$8/2000</f>
        <v>253.68331136586022</v>
      </c>
    </row>
    <row r="29" spans="1:24" x14ac:dyDescent="0.25">
      <c r="A29" s="303"/>
      <c r="B29" s="107" t="s">
        <v>809</v>
      </c>
      <c r="C29" s="539" t="s">
        <v>864</v>
      </c>
      <c r="D29" s="360">
        <v>34003</v>
      </c>
      <c r="E29" s="304" t="s">
        <v>811</v>
      </c>
      <c r="F29" s="148" t="s">
        <v>413</v>
      </c>
      <c r="G29" s="145">
        <v>34003</v>
      </c>
      <c r="H29" s="304">
        <f>9*0.5</f>
        <v>4.5</v>
      </c>
      <c r="I29" s="360">
        <v>1.2</v>
      </c>
      <c r="J29" s="360">
        <f t="shared" si="4"/>
        <v>5.3999999999999995</v>
      </c>
      <c r="K29" s="296">
        <v>8200000</v>
      </c>
      <c r="L29" s="296">
        <f t="shared" si="3"/>
        <v>44279999.999999993</v>
      </c>
      <c r="M29" s="107">
        <f t="shared" si="1"/>
        <v>2.4155139492793892E-2</v>
      </c>
      <c r="N29" s="148" t="s">
        <v>413</v>
      </c>
      <c r="O29" s="145">
        <v>34003</v>
      </c>
      <c r="P29" s="297">
        <f t="shared" si="2"/>
        <v>64432.409443797631</v>
      </c>
      <c r="Q29" s="296">
        <f>$P29*'RAIL EMIS FACTOR'!C$8/2000</f>
        <v>8.491699372332798</v>
      </c>
      <c r="R29" s="296">
        <f>$P29*'RAIL EMIS FACTOR'!D$8/2000</f>
        <v>1.9831842463946354</v>
      </c>
      <c r="S29" s="296">
        <f>$P29*'RAIL EMIS FACTOR'!E$8/2000</f>
        <v>0.21601691385758873</v>
      </c>
      <c r="T29" s="296">
        <f>$P29*'RAIL EMIS FACTOR'!F$8/2000</f>
        <v>0.20953640644186106</v>
      </c>
      <c r="U29" s="296">
        <f>$P29*'RAIL EMIS FACTOR'!G$8/2000</f>
        <v>0.1074949075543746</v>
      </c>
      <c r="V29" s="296">
        <f>$P29*'RAIL EMIS FACTOR'!H$8/2000</f>
        <v>0.3608078370149615</v>
      </c>
      <c r="W29" s="296">
        <f>$P29*'RAIL EMIS FACTOR'!I$8/2000</f>
        <v>6.2048974583728388E-3</v>
      </c>
      <c r="X29" s="301">
        <f>$P29*'RAIL EMIS FACTOR'!J$8/2000</f>
        <v>761.04993409758072</v>
      </c>
    </row>
    <row r="30" spans="1:24" x14ac:dyDescent="0.25">
      <c r="A30" s="303"/>
      <c r="B30" s="107" t="s">
        <v>809</v>
      </c>
      <c r="C30" s="539" t="s">
        <v>864</v>
      </c>
      <c r="D30" s="360">
        <v>34031</v>
      </c>
      <c r="E30" s="360" t="s">
        <v>811</v>
      </c>
      <c r="F30" s="304" t="s">
        <v>414</v>
      </c>
      <c r="G30" s="145">
        <v>34031</v>
      </c>
      <c r="H30" s="304">
        <f>9*0.5</f>
        <v>4.5</v>
      </c>
      <c r="I30" s="360">
        <v>1.2</v>
      </c>
      <c r="J30" s="360">
        <f t="shared" si="4"/>
        <v>5.3999999999999995</v>
      </c>
      <c r="K30" s="296">
        <v>8200000</v>
      </c>
      <c r="L30" s="296">
        <f t="shared" si="3"/>
        <v>44279999.999999993</v>
      </c>
      <c r="M30" s="107">
        <f t="shared" si="1"/>
        <v>2.4155139492793892E-2</v>
      </c>
      <c r="N30" s="304" t="s">
        <v>414</v>
      </c>
      <c r="O30" s="145">
        <v>34031</v>
      </c>
      <c r="P30" s="297">
        <f t="shared" si="2"/>
        <v>64432.409443797631</v>
      </c>
      <c r="Q30" s="296">
        <f>$P30*'RAIL EMIS FACTOR'!C$8/2000</f>
        <v>8.491699372332798</v>
      </c>
      <c r="R30" s="296">
        <f>$P30*'RAIL EMIS FACTOR'!D$8/2000</f>
        <v>1.9831842463946354</v>
      </c>
      <c r="S30" s="296">
        <f>$P30*'RAIL EMIS FACTOR'!E$8/2000</f>
        <v>0.21601691385758873</v>
      </c>
      <c r="T30" s="296">
        <f>$P30*'RAIL EMIS FACTOR'!F$8/2000</f>
        <v>0.20953640644186106</v>
      </c>
      <c r="U30" s="296">
        <f>$P30*'RAIL EMIS FACTOR'!G$8/2000</f>
        <v>0.1074949075543746</v>
      </c>
      <c r="V30" s="296">
        <f>$P30*'RAIL EMIS FACTOR'!H$8/2000</f>
        <v>0.3608078370149615</v>
      </c>
      <c r="W30" s="296">
        <f>$P30*'RAIL EMIS FACTOR'!I$8/2000</f>
        <v>6.2048974583728388E-3</v>
      </c>
      <c r="X30" s="301">
        <f>$P30*'RAIL EMIS FACTOR'!J$8/2000</f>
        <v>761.04993409758072</v>
      </c>
    </row>
    <row r="31" spans="1:24" x14ac:dyDescent="0.25">
      <c r="A31" s="303"/>
      <c r="B31" s="107" t="s">
        <v>809</v>
      </c>
      <c r="C31" s="539" t="s">
        <v>864</v>
      </c>
      <c r="D31" s="360">
        <v>34003</v>
      </c>
      <c r="E31" s="360" t="s">
        <v>811</v>
      </c>
      <c r="F31" s="304" t="s">
        <v>413</v>
      </c>
      <c r="G31" s="145">
        <v>34003</v>
      </c>
      <c r="H31" s="304">
        <f>4.75*0.5</f>
        <v>2.375</v>
      </c>
      <c r="I31" s="360">
        <v>1.2</v>
      </c>
      <c r="J31" s="360">
        <f t="shared" si="4"/>
        <v>2.85</v>
      </c>
      <c r="K31" s="296">
        <v>8200000</v>
      </c>
      <c r="L31" s="296">
        <f t="shared" si="3"/>
        <v>23370000</v>
      </c>
      <c r="M31" s="107">
        <f t="shared" si="1"/>
        <v>1.2748545843419E-2</v>
      </c>
      <c r="N31" s="304" t="s">
        <v>413</v>
      </c>
      <c r="O31" s="145">
        <v>34003</v>
      </c>
      <c r="P31" s="297">
        <f t="shared" si="2"/>
        <v>34005.993873115418</v>
      </c>
      <c r="Q31" s="296">
        <f>$P31*'RAIL EMIS FACTOR'!C$8/2000</f>
        <v>4.4817302242867543</v>
      </c>
      <c r="R31" s="296">
        <f>$P31*'RAIL EMIS FACTOR'!D$8/2000</f>
        <v>1.0466805744860577</v>
      </c>
      <c r="S31" s="296">
        <f>$P31*'RAIL EMIS FACTOR'!E$8/2000</f>
        <v>0.11400892675817183</v>
      </c>
      <c r="T31" s="296">
        <f>$P31*'RAIL EMIS FACTOR'!F$8/2000</f>
        <v>0.11058865895542666</v>
      </c>
      <c r="U31" s="296">
        <f>$P31*'RAIL EMIS FACTOR'!G$8/2000</f>
        <v>5.6733423431475492E-2</v>
      </c>
      <c r="V31" s="296">
        <f>$P31*'RAIL EMIS FACTOR'!H$8/2000</f>
        <v>0.19042635842456301</v>
      </c>
      <c r="W31" s="296">
        <f>$P31*'RAIL EMIS FACTOR'!I$8/2000</f>
        <v>3.2748069919189982E-3</v>
      </c>
      <c r="X31" s="301">
        <f>$P31*'RAIL EMIS FACTOR'!J$8/2000</f>
        <v>401.66524299594539</v>
      </c>
    </row>
    <row r="32" spans="1:24" x14ac:dyDescent="0.25">
      <c r="A32" s="303"/>
      <c r="B32" s="360" t="s">
        <v>813</v>
      </c>
      <c r="C32" s="107" t="s">
        <v>812</v>
      </c>
      <c r="D32" s="360"/>
      <c r="E32" s="360">
        <v>34041</v>
      </c>
      <c r="F32" s="360" t="s">
        <v>814</v>
      </c>
      <c r="G32" s="360">
        <v>34041</v>
      </c>
      <c r="H32" s="360">
        <v>1.5</v>
      </c>
      <c r="I32" s="360">
        <v>1.2</v>
      </c>
      <c r="J32" s="360">
        <f t="shared" si="4"/>
        <v>1.7999999999999998</v>
      </c>
      <c r="K32" s="296">
        <v>360000</v>
      </c>
      <c r="L32" s="296">
        <f t="shared" si="3"/>
        <v>647999.99999999988</v>
      </c>
      <c r="M32" s="107">
        <f t="shared" si="1"/>
        <v>3.5348984623600815E-4</v>
      </c>
      <c r="N32" s="360" t="s">
        <v>814</v>
      </c>
      <c r="O32" s="360">
        <v>34041</v>
      </c>
      <c r="P32" s="297">
        <f t="shared" si="2"/>
        <v>942.91330893362385</v>
      </c>
      <c r="Q32" s="296">
        <f>$P32*'RAIL EMIS FACTOR'!C$8/2000</f>
        <v>0.12426877130243118</v>
      </c>
      <c r="R32" s="296">
        <f>$P32*'RAIL EMIS FACTOR'!D$8/2000</f>
        <v>2.9022208483823933E-2</v>
      </c>
      <c r="S32" s="296">
        <f>$P32*'RAIL EMIS FACTOR'!E$8/2000</f>
        <v>3.1612231296232495E-3</v>
      </c>
      <c r="T32" s="296">
        <f>$P32*'RAIL EMIS FACTOR'!F$8/2000</f>
        <v>3.0663864357345521E-3</v>
      </c>
      <c r="U32" s="296">
        <f>$P32*'RAIL EMIS FACTOR'!G$8/2000</f>
        <v>1.5730962081127993E-3</v>
      </c>
      <c r="V32" s="296">
        <f>$P32*'RAIL EMIS FACTOR'!H$8/2000</f>
        <v>5.2801146880238261E-3</v>
      </c>
      <c r="W32" s="296">
        <f>$P32*'RAIL EMIS FACTOR'!I$8/2000</f>
        <v>9.0803377439602526E-5</v>
      </c>
      <c r="X32" s="301">
        <f>$P32*'RAIL EMIS FACTOR'!J$8/2000</f>
        <v>11.137316108745084</v>
      </c>
    </row>
    <row r="33" spans="1:24" x14ac:dyDescent="0.25">
      <c r="A33" s="303"/>
      <c r="B33" s="360" t="s">
        <v>813</v>
      </c>
      <c r="C33" s="107" t="s">
        <v>812</v>
      </c>
      <c r="D33" s="360"/>
      <c r="E33" s="360">
        <v>34027</v>
      </c>
      <c r="F33" s="360" t="s">
        <v>127</v>
      </c>
      <c r="G33" s="360">
        <v>34027</v>
      </c>
      <c r="H33" s="360">
        <v>8.5</v>
      </c>
      <c r="I33" s="360">
        <v>1.2</v>
      </c>
      <c r="J33" s="360">
        <f t="shared" si="4"/>
        <v>10.199999999999999</v>
      </c>
      <c r="K33" s="296">
        <v>360000</v>
      </c>
      <c r="L33" s="296">
        <f t="shared" ref="L33:L45" si="5">K33*J33</f>
        <v>3671999.9999999995</v>
      </c>
      <c r="M33" s="107">
        <f t="shared" si="1"/>
        <v>2.0031091286707129E-3</v>
      </c>
      <c r="N33" s="360" t="s">
        <v>127</v>
      </c>
      <c r="O33" s="360">
        <v>34027</v>
      </c>
      <c r="P33" s="297">
        <f t="shared" si="2"/>
        <v>5343.1754172905348</v>
      </c>
      <c r="Q33" s="296">
        <f>$P33*'RAIL EMIS FACTOR'!C$8/2000</f>
        <v>0.7041897040471099</v>
      </c>
      <c r="R33" s="296">
        <f>$P33*'RAIL EMIS FACTOR'!D$8/2000</f>
        <v>0.1644591814083356</v>
      </c>
      <c r="S33" s="296">
        <f>$P33*'RAIL EMIS FACTOR'!E$8/2000</f>
        <v>1.7913597734531744E-2</v>
      </c>
      <c r="T33" s="296">
        <f>$P33*'RAIL EMIS FACTOR'!F$8/2000</f>
        <v>1.7376189802495796E-2</v>
      </c>
      <c r="U33" s="296">
        <f>$P33*'RAIL EMIS FACTOR'!G$8/2000</f>
        <v>8.9142118459725282E-3</v>
      </c>
      <c r="V33" s="296">
        <f>$P33*'RAIL EMIS FACTOR'!H$8/2000</f>
        <v>2.9920649898801676E-2</v>
      </c>
      <c r="W33" s="296">
        <f>$P33*'RAIL EMIS FACTOR'!I$8/2000</f>
        <v>5.1455247215774762E-4</v>
      </c>
      <c r="X33" s="301">
        <f>$P33*'RAIL EMIS FACTOR'!J$8/2000</f>
        <v>63.111457949555472</v>
      </c>
    </row>
    <row r="34" spans="1:24" x14ac:dyDescent="0.25">
      <c r="A34" s="303"/>
      <c r="B34" s="360" t="s">
        <v>813</v>
      </c>
      <c r="C34" s="107" t="s">
        <v>812</v>
      </c>
      <c r="D34" s="360"/>
      <c r="E34" s="360">
        <v>34027</v>
      </c>
      <c r="F34" s="360" t="s">
        <v>127</v>
      </c>
      <c r="G34" s="360">
        <v>34027</v>
      </c>
      <c r="H34" s="360">
        <v>5.625</v>
      </c>
      <c r="I34" s="360">
        <v>1.2</v>
      </c>
      <c r="J34" s="360">
        <f t="shared" si="4"/>
        <v>6.75</v>
      </c>
      <c r="K34" s="296">
        <v>360000</v>
      </c>
      <c r="L34" s="296">
        <f t="shared" si="5"/>
        <v>2430000</v>
      </c>
      <c r="M34" s="107">
        <f t="shared" si="1"/>
        <v>1.3255869233850307E-3</v>
      </c>
      <c r="N34" s="360" t="s">
        <v>127</v>
      </c>
      <c r="O34" s="360">
        <v>34027</v>
      </c>
      <c r="P34" s="297">
        <f t="shared" si="2"/>
        <v>3535.9249085010897</v>
      </c>
      <c r="Q34" s="296">
        <f>$P34*'RAIL EMIS FACTOR'!C$8/2000</f>
        <v>0.46600789238411694</v>
      </c>
      <c r="R34" s="296">
        <f>$P34*'RAIL EMIS FACTOR'!D$8/2000</f>
        <v>0.10883328181433975</v>
      </c>
      <c r="S34" s="296">
        <f>$P34*'RAIL EMIS FACTOR'!E$8/2000</f>
        <v>1.1854586736087186E-2</v>
      </c>
      <c r="T34" s="296">
        <f>$P34*'RAIL EMIS FACTOR'!F$8/2000</f>
        <v>1.1498949134004571E-2</v>
      </c>
      <c r="U34" s="296">
        <f>$P34*'RAIL EMIS FACTOR'!G$8/2000</f>
        <v>5.8991107804229979E-3</v>
      </c>
      <c r="V34" s="296">
        <f>$P34*'RAIL EMIS FACTOR'!H$8/2000</f>
        <v>1.9800430080089349E-2</v>
      </c>
      <c r="W34" s="296">
        <f>$P34*'RAIL EMIS FACTOR'!I$8/2000</f>
        <v>3.4051266539850952E-4</v>
      </c>
      <c r="X34" s="301">
        <f>$P34*'RAIL EMIS FACTOR'!J$8/2000</f>
        <v>41.764935407794063</v>
      </c>
    </row>
    <row r="35" spans="1:24" x14ac:dyDescent="0.25">
      <c r="A35" s="303"/>
      <c r="B35" s="360" t="s">
        <v>813</v>
      </c>
      <c r="C35" s="107" t="s">
        <v>812</v>
      </c>
      <c r="D35" s="360"/>
      <c r="E35" s="360">
        <v>34039</v>
      </c>
      <c r="F35" s="360" t="s">
        <v>815</v>
      </c>
      <c r="G35" s="360">
        <v>34039</v>
      </c>
      <c r="H35" s="360">
        <v>1.5</v>
      </c>
      <c r="I35" s="360">
        <v>1.2</v>
      </c>
      <c r="J35" s="360">
        <f t="shared" si="4"/>
        <v>1.7999999999999998</v>
      </c>
      <c r="K35" s="296">
        <v>360000</v>
      </c>
      <c r="L35" s="296">
        <f t="shared" si="5"/>
        <v>647999.99999999988</v>
      </c>
      <c r="M35" s="107">
        <f t="shared" si="1"/>
        <v>3.5348984623600815E-4</v>
      </c>
      <c r="N35" s="360" t="s">
        <v>815</v>
      </c>
      <c r="O35" s="360">
        <v>34039</v>
      </c>
      <c r="P35" s="297">
        <f t="shared" si="2"/>
        <v>942.91330893362385</v>
      </c>
      <c r="Q35" s="296">
        <f>$P35*'RAIL EMIS FACTOR'!C$8/2000</f>
        <v>0.12426877130243118</v>
      </c>
      <c r="R35" s="296">
        <f>$P35*'RAIL EMIS FACTOR'!D$8/2000</f>
        <v>2.9022208483823933E-2</v>
      </c>
      <c r="S35" s="296">
        <f>$P35*'RAIL EMIS FACTOR'!E$8/2000</f>
        <v>3.1612231296232495E-3</v>
      </c>
      <c r="T35" s="296">
        <f>$P35*'RAIL EMIS FACTOR'!F$8/2000</f>
        <v>3.0663864357345521E-3</v>
      </c>
      <c r="U35" s="296">
        <f>$P35*'RAIL EMIS FACTOR'!G$8/2000</f>
        <v>1.5730962081127993E-3</v>
      </c>
      <c r="V35" s="296">
        <f>$P35*'RAIL EMIS FACTOR'!H$8/2000</f>
        <v>5.2801146880238261E-3</v>
      </c>
      <c r="W35" s="296">
        <f>$P35*'RAIL EMIS FACTOR'!I$8/2000</f>
        <v>9.0803377439602526E-5</v>
      </c>
      <c r="X35" s="301">
        <f>$P35*'RAIL EMIS FACTOR'!J$8/2000</f>
        <v>11.137316108745084</v>
      </c>
    </row>
    <row r="36" spans="1:24" x14ac:dyDescent="0.25">
      <c r="A36" s="303"/>
      <c r="B36" s="360" t="s">
        <v>813</v>
      </c>
      <c r="C36" s="107" t="s">
        <v>812</v>
      </c>
      <c r="D36" s="360"/>
      <c r="E36" s="360">
        <v>34013</v>
      </c>
      <c r="F36" s="360" t="s">
        <v>816</v>
      </c>
      <c r="G36" s="360">
        <v>34013</v>
      </c>
      <c r="H36" s="360">
        <v>4.625</v>
      </c>
      <c r="I36" s="360">
        <v>1.2</v>
      </c>
      <c r="J36" s="360">
        <f t="shared" si="4"/>
        <v>5.55</v>
      </c>
      <c r="K36" s="296">
        <v>360000</v>
      </c>
      <c r="L36" s="296">
        <f t="shared" si="5"/>
        <v>1998000</v>
      </c>
      <c r="M36" s="107">
        <f t="shared" si="1"/>
        <v>1.0899270258943586E-3</v>
      </c>
      <c r="N36" s="360" t="s">
        <v>816</v>
      </c>
      <c r="O36" s="360">
        <v>34013</v>
      </c>
      <c r="P36" s="297">
        <f t="shared" si="2"/>
        <v>2907.3160358786736</v>
      </c>
      <c r="Q36" s="296">
        <f>$P36*'RAIL EMIS FACTOR'!C$8/2000</f>
        <v>0.38316204484916278</v>
      </c>
      <c r="R36" s="296">
        <f>$P36*'RAIL EMIS FACTOR'!D$8/2000</f>
        <v>8.9485142825123806E-2</v>
      </c>
      <c r="S36" s="296">
        <f>$P36*'RAIL EMIS FACTOR'!E$8/2000</f>
        <v>9.7471046496716857E-3</v>
      </c>
      <c r="T36" s="296">
        <f>$P36*'RAIL EMIS FACTOR'!F$8/2000</f>
        <v>9.4546915101815353E-3</v>
      </c>
      <c r="U36" s="296">
        <f>$P36*'RAIL EMIS FACTOR'!G$8/2000</f>
        <v>4.8503799750144643E-3</v>
      </c>
      <c r="V36" s="296">
        <f>$P36*'RAIL EMIS FACTOR'!H$8/2000</f>
        <v>1.6280353621406795E-2</v>
      </c>
      <c r="W36" s="296">
        <f>$P36*'RAIL EMIS FACTOR'!I$8/2000</f>
        <v>2.7997708043877445E-4</v>
      </c>
      <c r="X36" s="301">
        <f>$P36*'RAIL EMIS FACTOR'!J$8/2000</f>
        <v>34.34005800196401</v>
      </c>
    </row>
    <row r="37" spans="1:24" x14ac:dyDescent="0.25">
      <c r="A37" s="303"/>
      <c r="B37" s="360" t="s">
        <v>813</v>
      </c>
      <c r="C37" s="107" t="s">
        <v>812</v>
      </c>
      <c r="D37" s="360"/>
      <c r="E37" s="360">
        <v>34017</v>
      </c>
      <c r="F37" s="360" t="s">
        <v>412</v>
      </c>
      <c r="G37" s="360">
        <v>34017</v>
      </c>
      <c r="H37" s="360">
        <v>1.75</v>
      </c>
      <c r="I37" s="360">
        <v>1.2</v>
      </c>
      <c r="J37" s="360">
        <f t="shared" si="4"/>
        <v>2.1</v>
      </c>
      <c r="K37" s="296">
        <v>360000</v>
      </c>
      <c r="L37" s="296">
        <f t="shared" si="5"/>
        <v>756000</v>
      </c>
      <c r="M37" s="107">
        <f t="shared" si="1"/>
        <v>4.1240482060867623E-4</v>
      </c>
      <c r="N37" s="360" t="s">
        <v>412</v>
      </c>
      <c r="O37" s="360">
        <v>34017</v>
      </c>
      <c r="P37" s="297">
        <f t="shared" si="2"/>
        <v>1100.065527089228</v>
      </c>
      <c r="Q37" s="296">
        <f>$P37*'RAIL EMIS FACTOR'!C$8/2000</f>
        <v>0.14498023318616973</v>
      </c>
      <c r="R37" s="296">
        <f>$P37*'RAIL EMIS FACTOR'!D$8/2000</f>
        <v>3.3859243231127926E-2</v>
      </c>
      <c r="S37" s="296">
        <f>$P37*'RAIL EMIS FACTOR'!E$8/2000</f>
        <v>3.6880936512271251E-3</v>
      </c>
      <c r="T37" s="296">
        <f>$P37*'RAIL EMIS FACTOR'!F$8/2000</f>
        <v>3.577450841690311E-3</v>
      </c>
      <c r="U37" s="296">
        <f>$P37*'RAIL EMIS FACTOR'!G$8/2000</f>
        <v>1.8352789094649327E-3</v>
      </c>
      <c r="V37" s="296">
        <f>$P37*'RAIL EMIS FACTOR'!H$8/2000</f>
        <v>6.1601338026944646E-3</v>
      </c>
      <c r="W37" s="296">
        <f>$P37*'RAIL EMIS FACTOR'!I$8/2000</f>
        <v>1.0593727367953628E-4</v>
      </c>
      <c r="X37" s="301">
        <f>$P37*'RAIL EMIS FACTOR'!J$8/2000</f>
        <v>12.993535460202599</v>
      </c>
    </row>
    <row r="38" spans="1:24" ht="29.45" customHeight="1" x14ac:dyDescent="0.25">
      <c r="A38" s="303"/>
      <c r="B38" s="107" t="s">
        <v>817</v>
      </c>
      <c r="C38" s="107" t="s">
        <v>812</v>
      </c>
      <c r="D38" s="360"/>
      <c r="E38" s="360">
        <v>34041</v>
      </c>
      <c r="F38" s="360" t="s">
        <v>814</v>
      </c>
      <c r="G38" s="360">
        <v>34041</v>
      </c>
      <c r="H38" s="360">
        <v>1.5</v>
      </c>
      <c r="I38" s="360">
        <v>1.2</v>
      </c>
      <c r="J38" s="360">
        <f t="shared" si="4"/>
        <v>1.7999999999999998</v>
      </c>
      <c r="K38" s="296">
        <v>360000</v>
      </c>
      <c r="L38" s="296">
        <f t="shared" si="5"/>
        <v>647999.99999999988</v>
      </c>
      <c r="M38" s="107">
        <f t="shared" si="1"/>
        <v>3.5348984623600815E-4</v>
      </c>
      <c r="N38" s="360" t="s">
        <v>814</v>
      </c>
      <c r="O38" s="360">
        <v>34041</v>
      </c>
      <c r="P38" s="297">
        <f t="shared" si="2"/>
        <v>942.91330893362385</v>
      </c>
      <c r="Q38" s="296">
        <f>$P38*'RAIL EMIS FACTOR'!C$8/2000</f>
        <v>0.12426877130243118</v>
      </c>
      <c r="R38" s="296">
        <f>$P38*'RAIL EMIS FACTOR'!D$8/2000</f>
        <v>2.9022208483823933E-2</v>
      </c>
      <c r="S38" s="296">
        <f>$P38*'RAIL EMIS FACTOR'!E$8/2000</f>
        <v>3.1612231296232495E-3</v>
      </c>
      <c r="T38" s="296">
        <f>$P38*'RAIL EMIS FACTOR'!F$8/2000</f>
        <v>3.0663864357345521E-3</v>
      </c>
      <c r="U38" s="296">
        <f>$P38*'RAIL EMIS FACTOR'!G$8/2000</f>
        <v>1.5730962081127993E-3</v>
      </c>
      <c r="V38" s="296">
        <f>$P38*'RAIL EMIS FACTOR'!H$8/2000</f>
        <v>5.2801146880238261E-3</v>
      </c>
      <c r="W38" s="296">
        <f>$P38*'RAIL EMIS FACTOR'!I$8/2000</f>
        <v>9.0803377439602526E-5</v>
      </c>
      <c r="X38" s="301">
        <f>$P38*'RAIL EMIS FACTOR'!J$8/2000</f>
        <v>11.137316108745084</v>
      </c>
    </row>
    <row r="39" spans="1:24" ht="29.45" customHeight="1" x14ac:dyDescent="0.25">
      <c r="A39" s="303"/>
      <c r="B39" s="107" t="s">
        <v>817</v>
      </c>
      <c r="C39" s="107" t="s">
        <v>812</v>
      </c>
      <c r="D39" s="360"/>
      <c r="E39" s="360">
        <v>34027</v>
      </c>
      <c r="F39" s="360" t="s">
        <v>495</v>
      </c>
      <c r="G39" s="360">
        <v>34027</v>
      </c>
      <c r="H39" s="360">
        <v>8.5</v>
      </c>
      <c r="I39" s="360">
        <v>1.2</v>
      </c>
      <c r="J39" s="360">
        <f t="shared" si="4"/>
        <v>10.199999999999999</v>
      </c>
      <c r="K39" s="296">
        <v>360000</v>
      </c>
      <c r="L39" s="296">
        <f t="shared" si="5"/>
        <v>3671999.9999999995</v>
      </c>
      <c r="M39" s="107">
        <f t="shared" si="1"/>
        <v>2.0031091286707129E-3</v>
      </c>
      <c r="N39" s="360" t="s">
        <v>495</v>
      </c>
      <c r="O39" s="360">
        <v>34027</v>
      </c>
      <c r="P39" s="297">
        <f t="shared" si="2"/>
        <v>5343.1754172905348</v>
      </c>
      <c r="Q39" s="296">
        <f>$P39*'RAIL EMIS FACTOR'!C$8/2000</f>
        <v>0.7041897040471099</v>
      </c>
      <c r="R39" s="296">
        <f>$P39*'RAIL EMIS FACTOR'!D$8/2000</f>
        <v>0.1644591814083356</v>
      </c>
      <c r="S39" s="296">
        <f>$P39*'RAIL EMIS FACTOR'!E$8/2000</f>
        <v>1.7913597734531744E-2</v>
      </c>
      <c r="T39" s="296">
        <f>$P39*'RAIL EMIS FACTOR'!F$8/2000</f>
        <v>1.7376189802495796E-2</v>
      </c>
      <c r="U39" s="296">
        <f>$P39*'RAIL EMIS FACTOR'!G$8/2000</f>
        <v>8.9142118459725282E-3</v>
      </c>
      <c r="V39" s="296">
        <f>$P39*'RAIL EMIS FACTOR'!H$8/2000</f>
        <v>2.9920649898801676E-2</v>
      </c>
      <c r="W39" s="296">
        <f>$P39*'RAIL EMIS FACTOR'!I$8/2000</f>
        <v>5.1455247215774762E-4</v>
      </c>
      <c r="X39" s="301">
        <f>$P39*'RAIL EMIS FACTOR'!J$8/2000</f>
        <v>63.111457949555472</v>
      </c>
    </row>
    <row r="40" spans="1:24" ht="29.45" customHeight="1" x14ac:dyDescent="0.25">
      <c r="A40" s="303"/>
      <c r="B40" s="107" t="s">
        <v>817</v>
      </c>
      <c r="C40" s="107" t="s">
        <v>812</v>
      </c>
      <c r="D40" s="360"/>
      <c r="E40" s="360">
        <v>34027</v>
      </c>
      <c r="F40" s="360" t="s">
        <v>495</v>
      </c>
      <c r="G40" s="360">
        <v>34027</v>
      </c>
      <c r="H40" s="360">
        <v>5.625</v>
      </c>
      <c r="I40" s="360">
        <v>1.2</v>
      </c>
      <c r="J40" s="360">
        <f t="shared" si="4"/>
        <v>6.75</v>
      </c>
      <c r="K40" s="296">
        <v>360000</v>
      </c>
      <c r="L40" s="296">
        <f t="shared" si="5"/>
        <v>2430000</v>
      </c>
      <c r="M40" s="107">
        <f t="shared" si="1"/>
        <v>1.3255869233850307E-3</v>
      </c>
      <c r="N40" s="360" t="s">
        <v>495</v>
      </c>
      <c r="O40" s="360">
        <v>34027</v>
      </c>
      <c r="P40" s="297">
        <f t="shared" si="2"/>
        <v>3535.9249085010897</v>
      </c>
      <c r="Q40" s="296">
        <f>$P40*'RAIL EMIS FACTOR'!C$8/2000</f>
        <v>0.46600789238411694</v>
      </c>
      <c r="R40" s="296">
        <f>$P40*'RAIL EMIS FACTOR'!D$8/2000</f>
        <v>0.10883328181433975</v>
      </c>
      <c r="S40" s="296">
        <f>$P40*'RAIL EMIS FACTOR'!E$8/2000</f>
        <v>1.1854586736087186E-2</v>
      </c>
      <c r="T40" s="296">
        <f>$P40*'RAIL EMIS FACTOR'!F$8/2000</f>
        <v>1.1498949134004571E-2</v>
      </c>
      <c r="U40" s="296">
        <f>$P40*'RAIL EMIS FACTOR'!G$8/2000</f>
        <v>5.8991107804229979E-3</v>
      </c>
      <c r="V40" s="296">
        <f>$P40*'RAIL EMIS FACTOR'!H$8/2000</f>
        <v>1.9800430080089349E-2</v>
      </c>
      <c r="W40" s="296">
        <f>$P40*'RAIL EMIS FACTOR'!I$8/2000</f>
        <v>3.4051266539850952E-4</v>
      </c>
      <c r="X40" s="301">
        <f>$P40*'RAIL EMIS FACTOR'!J$8/2000</f>
        <v>41.764935407794063</v>
      </c>
    </row>
    <row r="41" spans="1:24" ht="29.45" customHeight="1" x14ac:dyDescent="0.25">
      <c r="A41" s="303"/>
      <c r="B41" s="107" t="s">
        <v>817</v>
      </c>
      <c r="C41" s="107" t="s">
        <v>812</v>
      </c>
      <c r="D41" s="360"/>
      <c r="E41" s="360">
        <v>34039</v>
      </c>
      <c r="F41" s="360" t="s">
        <v>815</v>
      </c>
      <c r="G41" s="360">
        <v>34039</v>
      </c>
      <c r="H41" s="360">
        <v>1.5</v>
      </c>
      <c r="I41" s="360">
        <v>1.2</v>
      </c>
      <c r="J41" s="360">
        <f t="shared" si="4"/>
        <v>1.7999999999999998</v>
      </c>
      <c r="K41" s="296">
        <v>360000</v>
      </c>
      <c r="L41" s="296">
        <f t="shared" si="5"/>
        <v>647999.99999999988</v>
      </c>
      <c r="M41" s="107">
        <f t="shared" si="1"/>
        <v>3.5348984623600815E-4</v>
      </c>
      <c r="N41" s="360" t="s">
        <v>815</v>
      </c>
      <c r="O41" s="360">
        <v>34039</v>
      </c>
      <c r="P41" s="297">
        <f t="shared" si="2"/>
        <v>942.91330893362385</v>
      </c>
      <c r="Q41" s="296">
        <f>$P41*'RAIL EMIS FACTOR'!C$8/2000</f>
        <v>0.12426877130243118</v>
      </c>
      <c r="R41" s="296">
        <f>$P41*'RAIL EMIS FACTOR'!D$8/2000</f>
        <v>2.9022208483823933E-2</v>
      </c>
      <c r="S41" s="296">
        <f>$P41*'RAIL EMIS FACTOR'!E$8/2000</f>
        <v>3.1612231296232495E-3</v>
      </c>
      <c r="T41" s="296">
        <f>$P41*'RAIL EMIS FACTOR'!F$8/2000</f>
        <v>3.0663864357345521E-3</v>
      </c>
      <c r="U41" s="296">
        <f>$P41*'RAIL EMIS FACTOR'!G$8/2000</f>
        <v>1.5730962081127993E-3</v>
      </c>
      <c r="V41" s="296">
        <f>$P41*'RAIL EMIS FACTOR'!H$8/2000</f>
        <v>5.2801146880238261E-3</v>
      </c>
      <c r="W41" s="296">
        <f>$P41*'RAIL EMIS FACTOR'!I$8/2000</f>
        <v>9.0803377439602526E-5</v>
      </c>
      <c r="X41" s="301">
        <f>$P41*'RAIL EMIS FACTOR'!J$8/2000</f>
        <v>11.137316108745084</v>
      </c>
    </row>
    <row r="42" spans="1:24" x14ac:dyDescent="0.25">
      <c r="A42" s="303"/>
      <c r="B42" s="107" t="s">
        <v>817</v>
      </c>
      <c r="C42" s="107" t="s">
        <v>812</v>
      </c>
      <c r="D42" s="360"/>
      <c r="E42" s="360">
        <v>34013</v>
      </c>
      <c r="F42" s="360" t="s">
        <v>816</v>
      </c>
      <c r="G42" s="360">
        <v>34013</v>
      </c>
      <c r="H42" s="360">
        <v>4.625</v>
      </c>
      <c r="I42" s="360">
        <v>1.2</v>
      </c>
      <c r="J42" s="360">
        <f t="shared" si="4"/>
        <v>5.55</v>
      </c>
      <c r="K42" s="296">
        <v>360000</v>
      </c>
      <c r="L42" s="296">
        <f t="shared" si="5"/>
        <v>1998000</v>
      </c>
      <c r="M42" s="107">
        <f t="shared" si="1"/>
        <v>1.0899270258943586E-3</v>
      </c>
      <c r="N42" s="360" t="s">
        <v>816</v>
      </c>
      <c r="O42" s="360">
        <v>34013</v>
      </c>
      <c r="P42" s="297">
        <f t="shared" si="2"/>
        <v>2907.3160358786736</v>
      </c>
      <c r="Q42" s="296">
        <f>$P42*'RAIL EMIS FACTOR'!C$8/2000</f>
        <v>0.38316204484916278</v>
      </c>
      <c r="R42" s="296">
        <f>$P42*'RAIL EMIS FACTOR'!D$8/2000</f>
        <v>8.9485142825123806E-2</v>
      </c>
      <c r="S42" s="296">
        <f>$P42*'RAIL EMIS FACTOR'!E$8/2000</f>
        <v>9.7471046496716857E-3</v>
      </c>
      <c r="T42" s="296">
        <f>$P42*'RAIL EMIS FACTOR'!F$8/2000</f>
        <v>9.4546915101815353E-3</v>
      </c>
      <c r="U42" s="296">
        <f>$P42*'RAIL EMIS FACTOR'!G$8/2000</f>
        <v>4.8503799750144643E-3</v>
      </c>
      <c r="V42" s="296">
        <f>$P42*'RAIL EMIS FACTOR'!H$8/2000</f>
        <v>1.6280353621406795E-2</v>
      </c>
      <c r="W42" s="296">
        <f>$P42*'RAIL EMIS FACTOR'!I$8/2000</f>
        <v>2.7997708043877445E-4</v>
      </c>
      <c r="X42" s="301">
        <f>$P42*'RAIL EMIS FACTOR'!J$8/2000</f>
        <v>34.34005800196401</v>
      </c>
    </row>
    <row r="43" spans="1:24" x14ac:dyDescent="0.25">
      <c r="A43" s="303"/>
      <c r="B43" s="107" t="s">
        <v>817</v>
      </c>
      <c r="C43" s="107" t="s">
        <v>812</v>
      </c>
      <c r="D43" s="360"/>
      <c r="E43" s="360">
        <v>34017</v>
      </c>
      <c r="F43" s="360" t="s">
        <v>412</v>
      </c>
      <c r="G43" s="360">
        <v>34017</v>
      </c>
      <c r="H43" s="360">
        <v>1.75</v>
      </c>
      <c r="I43" s="360">
        <v>1.2</v>
      </c>
      <c r="J43" s="360">
        <f t="shared" si="4"/>
        <v>2.1</v>
      </c>
      <c r="K43" s="296">
        <v>360000</v>
      </c>
      <c r="L43" s="296">
        <f t="shared" si="5"/>
        <v>756000</v>
      </c>
      <c r="M43" s="107">
        <f t="shared" si="1"/>
        <v>4.1240482060867623E-4</v>
      </c>
      <c r="N43" s="360" t="s">
        <v>412</v>
      </c>
      <c r="O43" s="360">
        <v>34017</v>
      </c>
      <c r="P43" s="297">
        <f t="shared" si="2"/>
        <v>1100.065527089228</v>
      </c>
      <c r="Q43" s="296">
        <f>$P43*'RAIL EMIS FACTOR'!C$8/2000</f>
        <v>0.14498023318616973</v>
      </c>
      <c r="R43" s="296">
        <f>$P43*'RAIL EMIS FACTOR'!D$8/2000</f>
        <v>3.3859243231127926E-2</v>
      </c>
      <c r="S43" s="296">
        <f>$P43*'RAIL EMIS FACTOR'!E$8/2000</f>
        <v>3.6880936512271251E-3</v>
      </c>
      <c r="T43" s="296">
        <f>$P43*'RAIL EMIS FACTOR'!F$8/2000</f>
        <v>3.577450841690311E-3</v>
      </c>
      <c r="U43" s="296">
        <f>$P43*'RAIL EMIS FACTOR'!G$8/2000</f>
        <v>1.8352789094649327E-3</v>
      </c>
      <c r="V43" s="296">
        <f>$P43*'RAIL EMIS FACTOR'!H$8/2000</f>
        <v>6.1601338026944646E-3</v>
      </c>
      <c r="W43" s="296">
        <f>$P43*'RAIL EMIS FACTOR'!I$8/2000</f>
        <v>1.0593727367953628E-4</v>
      </c>
      <c r="X43" s="301">
        <f>$P43*'RAIL EMIS FACTOR'!J$8/2000</f>
        <v>12.993535460202599</v>
      </c>
    </row>
    <row r="44" spans="1:24" x14ac:dyDescent="0.25">
      <c r="A44" s="303"/>
      <c r="B44" s="107" t="s">
        <v>818</v>
      </c>
      <c r="C44" s="107" t="s">
        <v>812</v>
      </c>
      <c r="D44" s="360"/>
      <c r="E44" s="360">
        <v>34019</v>
      </c>
      <c r="F44" s="360" t="s">
        <v>819</v>
      </c>
      <c r="G44" s="360">
        <v>34019</v>
      </c>
      <c r="H44" s="360">
        <v>9.75</v>
      </c>
      <c r="I44" s="360">
        <v>1.2</v>
      </c>
      <c r="J44" s="360">
        <f t="shared" si="4"/>
        <v>11.7</v>
      </c>
      <c r="K44" s="296">
        <v>70000</v>
      </c>
      <c r="L44" s="296">
        <f t="shared" si="5"/>
        <v>819000</v>
      </c>
      <c r="M44" s="107">
        <f t="shared" si="1"/>
        <v>4.4677188899273261E-4</v>
      </c>
      <c r="N44" s="360" t="s">
        <v>819</v>
      </c>
      <c r="O44" s="360">
        <v>34019</v>
      </c>
      <c r="P44" s="297">
        <f t="shared" si="2"/>
        <v>1191.7376543466637</v>
      </c>
      <c r="Q44" s="296">
        <f>$P44*'RAIL EMIS FACTOR'!C$8/2000</f>
        <v>0.1570619192850172</v>
      </c>
      <c r="R44" s="296">
        <f>$P44*'RAIL EMIS FACTOR'!D$8/2000</f>
        <v>3.6680846833721921E-2</v>
      </c>
      <c r="S44" s="296">
        <f>$P44*'RAIL EMIS FACTOR'!E$8/2000</f>
        <v>3.9954347888293855E-3</v>
      </c>
      <c r="T44" s="296">
        <f>$P44*'RAIL EMIS FACTOR'!F$8/2000</f>
        <v>3.8755717451645039E-3</v>
      </c>
      <c r="U44" s="296">
        <f>$P44*'RAIL EMIS FACTOR'!G$8/2000</f>
        <v>1.9882188185870106E-3</v>
      </c>
      <c r="V44" s="296">
        <f>$P44*'RAIL EMIS FACTOR'!H$8/2000</f>
        <v>6.673478286252337E-3</v>
      </c>
      <c r="W44" s="296">
        <f>$P44*'RAIL EMIS FACTOR'!I$8/2000</f>
        <v>1.1476537981949765E-4</v>
      </c>
      <c r="X44" s="301">
        <f>$P44*'RAIL EMIS FACTOR'!J$8/2000</f>
        <v>14.07633008188615</v>
      </c>
    </row>
    <row r="45" spans="1:24" x14ac:dyDescent="0.25">
      <c r="A45" s="303"/>
      <c r="B45" s="107" t="s">
        <v>818</v>
      </c>
      <c r="C45" s="107" t="s">
        <v>812</v>
      </c>
      <c r="D45" s="360"/>
      <c r="E45" s="360">
        <v>34035</v>
      </c>
      <c r="F45" s="360" t="s">
        <v>504</v>
      </c>
      <c r="G45" s="360">
        <v>34035</v>
      </c>
      <c r="H45" s="360">
        <v>8.5</v>
      </c>
      <c r="I45" s="360">
        <v>1.2</v>
      </c>
      <c r="J45" s="360">
        <f t="shared" si="4"/>
        <v>10.199999999999999</v>
      </c>
      <c r="K45" s="296">
        <v>70000</v>
      </c>
      <c r="L45" s="296">
        <f t="shared" si="5"/>
        <v>714000</v>
      </c>
      <c r="M45" s="107">
        <f t="shared" si="1"/>
        <v>3.8949344168597201E-4</v>
      </c>
      <c r="N45" s="360" t="s">
        <v>504</v>
      </c>
      <c r="O45" s="360">
        <v>34035</v>
      </c>
      <c r="P45" s="297">
        <f t="shared" si="2"/>
        <v>1038.9507755842708</v>
      </c>
      <c r="Q45" s="296">
        <f>$P45*'RAIL EMIS FACTOR'!C$8/2000</f>
        <v>0.13692577578693807</v>
      </c>
      <c r="R45" s="296">
        <f>$P45*'RAIL EMIS FACTOR'!D$8/2000</f>
        <v>3.197817416273193E-2</v>
      </c>
      <c r="S45" s="296">
        <f>$P45*'RAIL EMIS FACTOR'!E$8/2000</f>
        <v>3.4831995594922843E-3</v>
      </c>
      <c r="T45" s="296">
        <f>$P45*'RAIL EMIS FACTOR'!F$8/2000</f>
        <v>3.3787035727075158E-3</v>
      </c>
      <c r="U45" s="296">
        <f>$P45*'RAIL EMIS FACTOR'!G$8/2000</f>
        <v>1.7333189700502142E-3</v>
      </c>
      <c r="V45" s="296">
        <f>$P45*'RAIL EMIS FACTOR'!H$8/2000</f>
        <v>5.8179041469892155E-3</v>
      </c>
      <c r="W45" s="296">
        <f>$P45*'RAIL EMIS FACTOR'!I$8/2000</f>
        <v>1.000518695862287E-4</v>
      </c>
      <c r="X45" s="301">
        <f>$P45*'RAIL EMIS FACTOR'!J$8/2000</f>
        <v>12.271672379080231</v>
      </c>
    </row>
    <row r="46" spans="1:24" x14ac:dyDescent="0.25">
      <c r="A46" s="303"/>
      <c r="B46" s="107" t="s">
        <v>722</v>
      </c>
      <c r="C46" s="360"/>
      <c r="D46" s="360"/>
      <c r="E46" s="360">
        <v>0.8</v>
      </c>
      <c r="F46" s="360" t="s">
        <v>737</v>
      </c>
      <c r="G46" s="360">
        <v>2</v>
      </c>
      <c r="H46" s="440">
        <v>34013</v>
      </c>
      <c r="I46" s="360" t="s">
        <v>418</v>
      </c>
      <c r="J46" s="360">
        <v>1.2</v>
      </c>
      <c r="K46" s="296">
        <v>4200000</v>
      </c>
      <c r="L46" s="296">
        <f t="shared" ref="L46:L52" si="6">K46*J46</f>
        <v>5040000</v>
      </c>
      <c r="M46" s="107">
        <f t="shared" si="1"/>
        <v>2.7493654707245081E-3</v>
      </c>
      <c r="N46" s="360" t="s">
        <v>418</v>
      </c>
      <c r="O46" s="440">
        <v>34013</v>
      </c>
      <c r="P46" s="297">
        <f t="shared" si="2"/>
        <v>7333.7701805948527</v>
      </c>
      <c r="Q46" s="296">
        <f>$P46*'RAIL EMIS FACTOR'!C$8/2000</f>
        <v>0.96653488790779807</v>
      </c>
      <c r="R46" s="296">
        <f>$P46*'RAIL EMIS FACTOR'!D$8/2000</f>
        <v>0.2257282882075195</v>
      </c>
      <c r="S46" s="296">
        <f>$P46*'RAIL EMIS FACTOR'!E$8/2000</f>
        <v>2.4587291008180832E-2</v>
      </c>
      <c r="T46" s="296">
        <f>$P46*'RAIL EMIS FACTOR'!F$8/2000</f>
        <v>2.3849672277935406E-2</v>
      </c>
      <c r="U46" s="296">
        <f>$P46*'RAIL EMIS FACTOR'!G$8/2000</f>
        <v>1.2235192729766217E-2</v>
      </c>
      <c r="V46" s="296">
        <f>$P46*'RAIL EMIS FACTOR'!H$8/2000</f>
        <v>4.106755868462976E-2</v>
      </c>
      <c r="W46" s="296">
        <f>$P46*'RAIL EMIS FACTOR'!I$8/2000</f>
        <v>7.0624849119690859E-4</v>
      </c>
      <c r="X46" s="301">
        <f>$P46*'RAIL EMIS FACTOR'!J$8/2000</f>
        <v>86.623569734683983</v>
      </c>
    </row>
    <row r="47" spans="1:24" x14ac:dyDescent="0.25">
      <c r="A47" s="303"/>
      <c r="B47" s="107" t="s">
        <v>722</v>
      </c>
      <c r="C47" s="360"/>
      <c r="D47" s="360"/>
      <c r="E47" s="360">
        <v>2</v>
      </c>
      <c r="F47" s="360" t="s">
        <v>365</v>
      </c>
      <c r="G47" s="360">
        <v>3</v>
      </c>
      <c r="H47" s="440">
        <v>34013</v>
      </c>
      <c r="I47" s="360" t="s">
        <v>418</v>
      </c>
      <c r="J47" s="360">
        <v>1</v>
      </c>
      <c r="K47" s="296">
        <v>4900000</v>
      </c>
      <c r="L47" s="296">
        <f t="shared" si="6"/>
        <v>4900000</v>
      </c>
      <c r="M47" s="107">
        <f t="shared" si="1"/>
        <v>2.6729942076488275E-3</v>
      </c>
      <c r="N47" s="360" t="s">
        <v>418</v>
      </c>
      <c r="O47" s="440">
        <v>34013</v>
      </c>
      <c r="P47" s="297">
        <f t="shared" si="2"/>
        <v>7130.0543422449964</v>
      </c>
      <c r="Q47" s="296">
        <f>$P47*'RAIL EMIS FACTOR'!C$8/2000</f>
        <v>0.93968669657702608</v>
      </c>
      <c r="R47" s="296">
        <f>$P47*'RAIL EMIS FACTOR'!D$8/2000</f>
        <v>0.21945805797953286</v>
      </c>
      <c r="S47" s="296">
        <f>$P47*'RAIL EMIS FACTOR'!E$8/2000</f>
        <v>2.3904310702398034E-2</v>
      </c>
      <c r="T47" s="296">
        <f>$P47*'RAIL EMIS FACTOR'!F$8/2000</f>
        <v>2.318718138132609E-2</v>
      </c>
      <c r="U47" s="296">
        <f>$P47*'RAIL EMIS FACTOR'!G$8/2000</f>
        <v>1.189532626505049E-2</v>
      </c>
      <c r="V47" s="296">
        <f>$P47*'RAIL EMIS FACTOR'!H$8/2000</f>
        <v>3.9926793165612276E-2</v>
      </c>
      <c r="W47" s="296">
        <f>$P47*'RAIL EMIS FACTOR'!I$8/2000</f>
        <v>6.8663047755255005E-4</v>
      </c>
      <c r="X47" s="301">
        <f>$P47*'RAIL EMIS FACTOR'!J$8/2000</f>
        <v>84.217359464276115</v>
      </c>
    </row>
    <row r="48" spans="1:24" x14ac:dyDescent="0.25">
      <c r="A48" s="303"/>
      <c r="B48" s="107" t="s">
        <v>722</v>
      </c>
      <c r="C48" s="360"/>
      <c r="D48" s="360"/>
      <c r="E48" s="360">
        <v>3</v>
      </c>
      <c r="F48" s="360" t="s">
        <v>769</v>
      </c>
      <c r="G48" s="360">
        <v>4.4000000000000004</v>
      </c>
      <c r="H48" s="440">
        <v>34039</v>
      </c>
      <c r="I48" s="360" t="s">
        <v>420</v>
      </c>
      <c r="J48" s="360">
        <v>1.4</v>
      </c>
      <c r="K48" s="296">
        <v>4900000</v>
      </c>
      <c r="L48" s="296">
        <f t="shared" si="6"/>
        <v>6860000</v>
      </c>
      <c r="M48" s="107">
        <f t="shared" si="1"/>
        <v>3.7421918907083584E-3</v>
      </c>
      <c r="N48" s="360" t="s">
        <v>420</v>
      </c>
      <c r="O48" s="440">
        <v>34039</v>
      </c>
      <c r="P48" s="297">
        <f t="shared" si="2"/>
        <v>9982.0760791429948</v>
      </c>
      <c r="Q48" s="296">
        <f>$P48*'RAIL EMIS FACTOR'!C$8/2000</f>
        <v>1.3155613752078363</v>
      </c>
      <c r="R48" s="296">
        <f>$P48*'RAIL EMIS FACTOR'!D$8/2000</f>
        <v>0.30724128117134603</v>
      </c>
      <c r="S48" s="296">
        <f>$P48*'RAIL EMIS FACTOR'!E$8/2000</f>
        <v>3.3466034983357248E-2</v>
      </c>
      <c r="T48" s="296">
        <f>$P48*'RAIL EMIS FACTOR'!F$8/2000</f>
        <v>3.2462053933856524E-2</v>
      </c>
      <c r="U48" s="296">
        <f>$P48*'RAIL EMIS FACTOR'!G$8/2000</f>
        <v>1.6653456771070687E-2</v>
      </c>
      <c r="V48" s="296">
        <f>$P48*'RAIL EMIS FACTOR'!H$8/2000</f>
        <v>5.5897510431857179E-2</v>
      </c>
      <c r="W48" s="296">
        <f>$P48*'RAIL EMIS FACTOR'!I$8/2000</f>
        <v>9.6128266857357003E-4</v>
      </c>
      <c r="X48" s="301">
        <f>$P48*'RAIL EMIS FACTOR'!J$8/2000</f>
        <v>117.90430324998655</v>
      </c>
    </row>
    <row r="49" spans="1:24" x14ac:dyDescent="0.25">
      <c r="A49" s="303"/>
      <c r="B49" s="107" t="s">
        <v>722</v>
      </c>
      <c r="C49" s="360"/>
      <c r="D49" s="360"/>
      <c r="E49" s="360">
        <v>4.4000000000000004</v>
      </c>
      <c r="F49" s="360" t="s">
        <v>770</v>
      </c>
      <c r="G49" s="360">
        <v>5.5</v>
      </c>
      <c r="H49" s="440">
        <v>34039</v>
      </c>
      <c r="I49" s="360" t="s">
        <v>420</v>
      </c>
      <c r="J49" s="360">
        <v>1.1000000000000001</v>
      </c>
      <c r="K49" s="296">
        <v>1000000</v>
      </c>
      <c r="L49" s="296">
        <f t="shared" si="6"/>
        <v>1100000</v>
      </c>
      <c r="M49" s="107">
        <f t="shared" si="1"/>
        <v>6.0005992416606335E-4</v>
      </c>
      <c r="N49" s="360" t="s">
        <v>420</v>
      </c>
      <c r="O49" s="440">
        <v>34039</v>
      </c>
      <c r="P49" s="297">
        <f t="shared" si="2"/>
        <v>1600.6244441774481</v>
      </c>
      <c r="Q49" s="296">
        <f>$P49*'RAIL EMIS FACTOR'!C$8/2000</f>
        <v>0.21095007474178135</v>
      </c>
      <c r="R49" s="296">
        <f>$P49*'RAIL EMIS FACTOR'!D$8/2000</f>
        <v>4.9266094648466562E-2</v>
      </c>
      <c r="S49" s="296">
        <f>$P49*'RAIL EMIS FACTOR'!E$8/2000</f>
        <v>5.3662738311505784E-3</v>
      </c>
      <c r="T49" s="296">
        <f>$P49*'RAIL EMIS FACTOR'!F$8/2000</f>
        <v>5.2052856162160613E-3</v>
      </c>
      <c r="U49" s="296">
        <f>$P49*'RAIL EMIS FACTOR'!G$8/2000</f>
        <v>2.6703793656235792E-3</v>
      </c>
      <c r="V49" s="296">
        <f>$P49*'RAIL EMIS FACTOR'!H$8/2000</f>
        <v>8.9631576494231639E-3</v>
      </c>
      <c r="W49" s="296">
        <f>$P49*'RAIL EMIS FACTOR'!I$8/2000</f>
        <v>1.5414153577710308E-4</v>
      </c>
      <c r="X49" s="301">
        <f>$P49*'RAIL EMIS FACTOR'!J$8/2000</f>
        <v>18.905937838919126</v>
      </c>
    </row>
    <row r="50" spans="1:24" x14ac:dyDescent="0.25">
      <c r="A50" s="303"/>
      <c r="B50" s="107" t="s">
        <v>722</v>
      </c>
      <c r="C50" s="360"/>
      <c r="D50" s="360"/>
      <c r="E50" s="360">
        <v>9</v>
      </c>
      <c r="F50" s="360" t="s">
        <v>736</v>
      </c>
      <c r="G50" s="360">
        <v>11.4</v>
      </c>
      <c r="H50" s="440">
        <v>34039</v>
      </c>
      <c r="I50" s="360" t="s">
        <v>420</v>
      </c>
      <c r="J50" s="360">
        <v>2.4</v>
      </c>
      <c r="K50" s="296">
        <v>1000000</v>
      </c>
      <c r="L50" s="296">
        <f t="shared" si="6"/>
        <v>2400000</v>
      </c>
      <c r="M50" s="107">
        <f t="shared" si="1"/>
        <v>1.3092216527259564E-3</v>
      </c>
      <c r="N50" s="360" t="s">
        <v>420</v>
      </c>
      <c r="O50" s="440">
        <v>34039</v>
      </c>
      <c r="P50" s="297">
        <f t="shared" si="2"/>
        <v>3492.2715145689776</v>
      </c>
      <c r="Q50" s="296">
        <f>$P50*'RAIL EMIS FACTOR'!C$8/2000</f>
        <v>0.46025470852752287</v>
      </c>
      <c r="R50" s="296">
        <f>$P50*'RAIL EMIS FACTOR'!D$8/2000</f>
        <v>0.10748966105119977</v>
      </c>
      <c r="S50" s="296">
        <f>$P50*'RAIL EMIS FACTOR'!E$8/2000</f>
        <v>1.1708233813419443E-2</v>
      </c>
      <c r="T50" s="296">
        <f>$P50*'RAIL EMIS FACTOR'!F$8/2000</f>
        <v>1.1356986799016861E-2</v>
      </c>
      <c r="U50" s="296">
        <f>$P50*'RAIL EMIS FACTOR'!G$8/2000</f>
        <v>5.8262822522696274E-3</v>
      </c>
      <c r="V50" s="296">
        <f>$P50*'RAIL EMIS FACTOR'!H$8/2000</f>
        <v>1.9555980326014171E-2</v>
      </c>
      <c r="W50" s="296">
        <f>$P50*'RAIL EMIS FACTOR'!I$8/2000</f>
        <v>3.3630880533186126E-4</v>
      </c>
      <c r="X50" s="301">
        <f>$P50*'RAIL EMIS FACTOR'!J$8/2000</f>
        <v>41.249318921278089</v>
      </c>
    </row>
    <row r="51" spans="1:24" x14ac:dyDescent="0.25">
      <c r="A51" s="303"/>
      <c r="B51" s="107" t="s">
        <v>722</v>
      </c>
      <c r="C51" s="360"/>
      <c r="D51" s="360"/>
      <c r="E51" s="360">
        <v>11.4</v>
      </c>
      <c r="F51" s="360" t="s">
        <v>365</v>
      </c>
      <c r="G51" s="360">
        <v>14.5</v>
      </c>
      <c r="H51" s="440">
        <v>34039</v>
      </c>
      <c r="I51" s="360" t="s">
        <v>420</v>
      </c>
      <c r="J51" s="360">
        <v>3.1</v>
      </c>
      <c r="K51" s="296">
        <v>1000000</v>
      </c>
      <c r="L51" s="296">
        <f t="shared" si="6"/>
        <v>3100000</v>
      </c>
      <c r="M51" s="107">
        <f t="shared" si="1"/>
        <v>1.6910779681043602E-3</v>
      </c>
      <c r="N51" s="360" t="s">
        <v>420</v>
      </c>
      <c r="O51" s="440">
        <v>34039</v>
      </c>
      <c r="P51" s="297">
        <f t="shared" si="2"/>
        <v>4510.8507063182624</v>
      </c>
      <c r="Q51" s="296">
        <f>$P51*'RAIL EMIS FACTOR'!C$8/2000</f>
        <v>0.59449566518138375</v>
      </c>
      <c r="R51" s="296">
        <f>$P51*'RAIL EMIS FACTOR'!D$8/2000</f>
        <v>0.13884081219113301</v>
      </c>
      <c r="S51" s="296">
        <f>$P51*'RAIL EMIS FACTOR'!E$8/2000</f>
        <v>1.5123135342333446E-2</v>
      </c>
      <c r="T51" s="296">
        <f>$P51*'RAIL EMIS FACTOR'!F$8/2000</f>
        <v>1.4669441282063444E-2</v>
      </c>
      <c r="U51" s="296">
        <f>$P51*'RAIL EMIS FACTOR'!G$8/2000</f>
        <v>7.5256145758482674E-3</v>
      </c>
      <c r="V51" s="296">
        <f>$P51*'RAIL EMIS FACTOR'!H$8/2000</f>
        <v>2.5259807921101635E-2</v>
      </c>
      <c r="W51" s="296">
        <f>$P51*'RAIL EMIS FACTOR'!I$8/2000</f>
        <v>4.3439887355365401E-4</v>
      </c>
      <c r="X51" s="301">
        <f>$P51*'RAIL EMIS FACTOR'!J$8/2000</f>
        <v>53.28037027331753</v>
      </c>
    </row>
    <row r="52" spans="1:24" x14ac:dyDescent="0.25">
      <c r="A52" s="303"/>
      <c r="B52" s="107" t="s">
        <v>722</v>
      </c>
      <c r="C52" s="360"/>
      <c r="D52" s="360"/>
      <c r="E52" s="360">
        <v>14.5</v>
      </c>
      <c r="F52" s="360" t="s">
        <v>753</v>
      </c>
      <c r="G52" s="360">
        <v>16.899999999999999</v>
      </c>
      <c r="H52" s="360">
        <v>34023</v>
      </c>
      <c r="I52" s="360" t="s">
        <v>424</v>
      </c>
      <c r="J52" s="360">
        <v>2.4</v>
      </c>
      <c r="K52" s="296">
        <v>1000000</v>
      </c>
      <c r="L52" s="296">
        <f t="shared" si="6"/>
        <v>2400000</v>
      </c>
      <c r="M52" s="107">
        <f t="shared" si="1"/>
        <v>1.3092216527259564E-3</v>
      </c>
      <c r="N52" s="360" t="s">
        <v>424</v>
      </c>
      <c r="O52" s="360">
        <v>34023</v>
      </c>
      <c r="P52" s="297">
        <f t="shared" si="2"/>
        <v>3492.2715145689776</v>
      </c>
      <c r="Q52" s="296">
        <f>$P52*'RAIL EMIS FACTOR'!C$8/2000</f>
        <v>0.46025470852752287</v>
      </c>
      <c r="R52" s="296">
        <f>$P52*'RAIL EMIS FACTOR'!D$8/2000</f>
        <v>0.10748966105119977</v>
      </c>
      <c r="S52" s="296">
        <f>$P52*'RAIL EMIS FACTOR'!E$8/2000</f>
        <v>1.1708233813419443E-2</v>
      </c>
      <c r="T52" s="296">
        <f>$P52*'RAIL EMIS FACTOR'!F$8/2000</f>
        <v>1.1356986799016861E-2</v>
      </c>
      <c r="U52" s="296">
        <f>$P52*'RAIL EMIS FACTOR'!G$8/2000</f>
        <v>5.8262822522696274E-3</v>
      </c>
      <c r="V52" s="296">
        <f>$P52*'RAIL EMIS FACTOR'!H$8/2000</f>
        <v>1.9555980326014171E-2</v>
      </c>
      <c r="W52" s="296">
        <f>$P52*'RAIL EMIS FACTOR'!I$8/2000</f>
        <v>3.3630880533186126E-4</v>
      </c>
      <c r="X52" s="301">
        <f>$P52*'RAIL EMIS FACTOR'!J$8/2000</f>
        <v>41.249318921278089</v>
      </c>
    </row>
    <row r="53" spans="1:24" x14ac:dyDescent="0.25">
      <c r="A53" s="294">
        <v>1</v>
      </c>
      <c r="B53" s="107" t="s">
        <v>865</v>
      </c>
      <c r="C53" s="360" t="s">
        <v>793</v>
      </c>
      <c r="D53" s="360" t="s">
        <v>794</v>
      </c>
      <c r="E53" s="360">
        <v>7.4</v>
      </c>
      <c r="F53" s="360" t="s">
        <v>795</v>
      </c>
      <c r="G53" s="360">
        <v>8.3000000000000007</v>
      </c>
      <c r="H53" s="101">
        <v>34007</v>
      </c>
      <c r="I53" s="360" t="s">
        <v>258</v>
      </c>
      <c r="J53" s="360">
        <v>0.9</v>
      </c>
      <c r="K53" s="296">
        <v>9200000</v>
      </c>
      <c r="L53" s="296">
        <f t="shared" ref="L53:L72" si="7">K53*J53</f>
        <v>8280000</v>
      </c>
      <c r="M53" s="107">
        <f t="shared" si="1"/>
        <v>4.5168147019045493E-3</v>
      </c>
      <c r="N53" s="360" t="s">
        <v>258</v>
      </c>
      <c r="O53" s="101">
        <v>34007</v>
      </c>
      <c r="P53" s="297">
        <f t="shared" si="2"/>
        <v>12048.336725262972</v>
      </c>
      <c r="Q53" s="296">
        <f>$P53*'RAIL EMIS FACTOR'!C$8/2000</f>
        <v>1.587878744419954</v>
      </c>
      <c r="R53" s="296">
        <f>$P53*'RAIL EMIS FACTOR'!D$8/2000</f>
        <v>0.37083933062663921</v>
      </c>
      <c r="S53" s="296">
        <f>$P53*'RAIL EMIS FACTOR'!E$8/2000</f>
        <v>4.0393406656297079E-2</v>
      </c>
      <c r="T53" s="296">
        <f>$P53*'RAIL EMIS FACTOR'!F$8/2000</f>
        <v>3.9181604456608163E-2</v>
      </c>
      <c r="U53" s="296">
        <f>$P53*'RAIL EMIS FACTOR'!G$8/2000</f>
        <v>2.0100673770330216E-2</v>
      </c>
      <c r="V53" s="296">
        <f>$P53*'RAIL EMIS FACTOR'!H$8/2000</f>
        <v>6.7468132124748892E-2</v>
      </c>
      <c r="W53" s="296">
        <f>$P53*'RAIL EMIS FACTOR'!I$8/2000</f>
        <v>1.1602653783949213E-3</v>
      </c>
      <c r="X53" s="301">
        <f>$P53*'RAIL EMIS FACTOR'!J$8/2000</f>
        <v>142.31015027840942</v>
      </c>
    </row>
    <row r="54" spans="1:24" x14ac:dyDescent="0.25">
      <c r="A54" s="294">
        <v>2</v>
      </c>
      <c r="B54" s="107" t="s">
        <v>865</v>
      </c>
      <c r="C54" s="360" t="s">
        <v>797</v>
      </c>
      <c r="D54" s="360" t="s">
        <v>795</v>
      </c>
      <c r="E54" s="360">
        <v>4.4000000000000004</v>
      </c>
      <c r="F54" s="360" t="s">
        <v>740</v>
      </c>
      <c r="G54" s="360"/>
      <c r="H54" s="101">
        <v>34007</v>
      </c>
      <c r="I54" s="360" t="s">
        <v>258</v>
      </c>
      <c r="J54" s="360">
        <v>3.5</v>
      </c>
      <c r="K54" s="296">
        <v>9200000</v>
      </c>
      <c r="L54" s="296">
        <f t="shared" si="7"/>
        <v>32200000</v>
      </c>
      <c r="M54" s="107">
        <f t="shared" si="1"/>
        <v>1.7565390507406582E-2</v>
      </c>
      <c r="N54" s="360" t="s">
        <v>258</v>
      </c>
      <c r="O54" s="101">
        <v>34007</v>
      </c>
      <c r="P54" s="297">
        <f t="shared" si="2"/>
        <v>46854.642820467117</v>
      </c>
      <c r="Q54" s="296">
        <f>$P54*'RAIL EMIS FACTOR'!C$8/2000</f>
        <v>6.1750840060775989</v>
      </c>
      <c r="R54" s="296">
        <f>$P54*'RAIL EMIS FACTOR'!D$8/2000</f>
        <v>1.4421529524369303</v>
      </c>
      <c r="S54" s="296">
        <f>$P54*'RAIL EMIS FACTOR'!E$8/2000</f>
        <v>0.15708547033004422</v>
      </c>
      <c r="T54" s="296">
        <f>$P54*'RAIL EMIS FACTOR'!F$8/2000</f>
        <v>0.15237290622014288</v>
      </c>
      <c r="U54" s="296">
        <f>$P54*'RAIL EMIS FACTOR'!G$8/2000</f>
        <v>7.8169286884617509E-2</v>
      </c>
      <c r="V54" s="296">
        <f>$P54*'RAIL EMIS FACTOR'!H$8/2000</f>
        <v>0.26237606937402347</v>
      </c>
      <c r="W54" s="296">
        <f>$P54*'RAIL EMIS FACTOR'!I$8/2000</f>
        <v>4.5121431382024717E-3</v>
      </c>
      <c r="X54" s="301">
        <f>$P54*'RAIL EMIS FACTOR'!J$8/2000</f>
        <v>553.42836219381445</v>
      </c>
    </row>
    <row r="55" spans="1:24" x14ac:dyDescent="0.25">
      <c r="A55" s="294">
        <v>1</v>
      </c>
      <c r="B55" s="479" t="s">
        <v>866</v>
      </c>
      <c r="C55" s="360" t="s">
        <v>361</v>
      </c>
      <c r="D55" s="360" t="s">
        <v>362</v>
      </c>
      <c r="E55" s="360">
        <v>0</v>
      </c>
      <c r="F55" s="360" t="s">
        <v>363</v>
      </c>
      <c r="G55" s="360">
        <v>2.2999999999999998</v>
      </c>
      <c r="H55" s="101">
        <v>34007</v>
      </c>
      <c r="I55" s="360" t="s">
        <v>258</v>
      </c>
      <c r="J55" s="360">
        <v>2.2999999999999998</v>
      </c>
      <c r="K55" s="296">
        <v>2300000</v>
      </c>
      <c r="L55" s="296">
        <f t="shared" si="7"/>
        <v>5290000</v>
      </c>
      <c r="M55" s="107">
        <f t="shared" si="1"/>
        <v>2.8857427262167952E-3</v>
      </c>
      <c r="N55" s="360" t="s">
        <v>258</v>
      </c>
      <c r="O55" s="101">
        <v>34007</v>
      </c>
      <c r="P55" s="297">
        <f t="shared" si="2"/>
        <v>7697.5484633624546</v>
      </c>
      <c r="Q55" s="296">
        <f>$P55*'RAIL EMIS FACTOR'!C$8/2000</f>
        <v>1.0144780867127483</v>
      </c>
      <c r="R55" s="296">
        <f>$P55*'RAIL EMIS FACTOR'!D$8/2000</f>
        <v>0.23692512790035281</v>
      </c>
      <c r="S55" s="296">
        <f>$P55*'RAIL EMIS FACTOR'!E$8/2000</f>
        <v>2.5806898697078692E-2</v>
      </c>
      <c r="T55" s="296">
        <f>$P55*'RAIL EMIS FACTOR'!F$8/2000</f>
        <v>2.5032691736166329E-2</v>
      </c>
      <c r="U55" s="296">
        <f>$P55*'RAIL EMIS FACTOR'!G$8/2000</f>
        <v>1.2842097131044304E-2</v>
      </c>
      <c r="V55" s="296">
        <f>$P55*'RAIL EMIS FACTOR'!H$8/2000</f>
        <v>4.3104639968589577E-2</v>
      </c>
      <c r="W55" s="296">
        <f>$P55*'RAIL EMIS FACTOR'!I$8/2000</f>
        <v>7.4128065841897752E-4</v>
      </c>
      <c r="X55" s="301">
        <f>$P55*'RAIL EMIS FACTOR'!J$8/2000</f>
        <v>90.920373788983795</v>
      </c>
    </row>
    <row r="56" spans="1:24" x14ac:dyDescent="0.25">
      <c r="A56" s="294">
        <v>2</v>
      </c>
      <c r="B56" s="479" t="s">
        <v>866</v>
      </c>
      <c r="C56" s="360" t="s">
        <v>361</v>
      </c>
      <c r="D56" s="360" t="s">
        <v>363</v>
      </c>
      <c r="E56" s="360">
        <v>2.2999999999999998</v>
      </c>
      <c r="F56" s="360" t="s">
        <v>261</v>
      </c>
      <c r="G56" s="360">
        <v>4</v>
      </c>
      <c r="H56" s="101">
        <v>34007</v>
      </c>
      <c r="I56" s="360" t="s">
        <v>258</v>
      </c>
      <c r="J56" s="360">
        <v>1.7</v>
      </c>
      <c r="K56" s="296">
        <v>1600000</v>
      </c>
      <c r="L56" s="296">
        <f t="shared" si="7"/>
        <v>2720000</v>
      </c>
      <c r="M56" s="107">
        <f t="shared" si="1"/>
        <v>1.4837845397560837E-3</v>
      </c>
      <c r="N56" s="360" t="s">
        <v>258</v>
      </c>
      <c r="O56" s="101">
        <v>34007</v>
      </c>
      <c r="P56" s="297">
        <f t="shared" si="2"/>
        <v>3957.9077165115077</v>
      </c>
      <c r="Q56" s="296">
        <f>$P56*'RAIL EMIS FACTOR'!C$8/2000</f>
        <v>0.52162200299785921</v>
      </c>
      <c r="R56" s="296">
        <f>$P56*'RAIL EMIS FACTOR'!D$8/2000</f>
        <v>0.12182161585802639</v>
      </c>
      <c r="S56" s="296">
        <f>$P56*'RAIL EMIS FACTOR'!E$8/2000</f>
        <v>1.3269331655208702E-2</v>
      </c>
      <c r="T56" s="296">
        <f>$P56*'RAIL EMIS FACTOR'!F$8/2000</f>
        <v>1.287125170555244E-2</v>
      </c>
      <c r="U56" s="296">
        <f>$P56*'RAIL EMIS FACTOR'!G$8/2000</f>
        <v>6.6031198859055765E-3</v>
      </c>
      <c r="V56" s="296">
        <f>$P56*'RAIL EMIS FACTOR'!H$8/2000</f>
        <v>2.216344436948273E-2</v>
      </c>
      <c r="W56" s="296">
        <f>$P56*'RAIL EMIS FACTOR'!I$8/2000</f>
        <v>3.8114997937610941E-4</v>
      </c>
      <c r="X56" s="301">
        <f>$P56*'RAIL EMIS FACTOR'!J$8/2000</f>
        <v>46.749228110781836</v>
      </c>
    </row>
    <row r="57" spans="1:24" x14ac:dyDescent="0.25">
      <c r="A57" s="294" t="s">
        <v>364</v>
      </c>
      <c r="B57" s="479" t="s">
        <v>866</v>
      </c>
      <c r="C57" s="360" t="s">
        <v>361</v>
      </c>
      <c r="D57" s="360" t="s">
        <v>261</v>
      </c>
      <c r="E57" s="360">
        <v>4</v>
      </c>
      <c r="F57" s="360" t="s">
        <v>365</v>
      </c>
      <c r="G57" s="360">
        <v>5.6</v>
      </c>
      <c r="H57" s="360">
        <v>34007</v>
      </c>
      <c r="I57" s="360" t="s">
        <v>258</v>
      </c>
      <c r="J57" s="360">
        <f>G57-E57</f>
        <v>1.5999999999999996</v>
      </c>
      <c r="K57" s="296">
        <v>9500000</v>
      </c>
      <c r="L57" s="296">
        <f t="shared" si="7"/>
        <v>15199999.999999996</v>
      </c>
      <c r="M57" s="107">
        <f t="shared" si="1"/>
        <v>8.2917371339310542E-3</v>
      </c>
      <c r="N57" s="360" t="s">
        <v>258</v>
      </c>
      <c r="O57" s="360">
        <v>34007</v>
      </c>
      <c r="P57" s="297">
        <f t="shared" si="2"/>
        <v>22117.719592270187</v>
      </c>
      <c r="Q57" s="296">
        <f>$P57*'RAIL EMIS FACTOR'!C$8/2000</f>
        <v>2.9149464873409778</v>
      </c>
      <c r="R57" s="296">
        <f>$P57*'RAIL EMIS FACTOR'!D$8/2000</f>
        <v>0.68076785332426504</v>
      </c>
      <c r="S57" s="296">
        <f>$P57*'RAIL EMIS FACTOR'!E$8/2000</f>
        <v>7.41521474849898E-2</v>
      </c>
      <c r="T57" s="296">
        <f>$P57*'RAIL EMIS FACTOR'!F$8/2000</f>
        <v>7.1927583060440101E-2</v>
      </c>
      <c r="U57" s="296">
        <f>$P57*'RAIL EMIS FACTOR'!G$8/2000</f>
        <v>3.689978759770763E-2</v>
      </c>
      <c r="V57" s="296">
        <f>$P57*'RAIL EMIS FACTOR'!H$8/2000</f>
        <v>0.12385454206475641</v>
      </c>
      <c r="W57" s="296">
        <f>$P57*'RAIL EMIS FACTOR'!I$8/2000</f>
        <v>2.1299557671017873E-3</v>
      </c>
      <c r="X57" s="301">
        <f>$P57*'RAIL EMIS FACTOR'!J$8/2000</f>
        <v>261.24568650142788</v>
      </c>
    </row>
    <row r="58" spans="1:24" x14ac:dyDescent="0.25">
      <c r="A58" s="294" t="s">
        <v>364</v>
      </c>
      <c r="B58" s="479" t="s">
        <v>866</v>
      </c>
      <c r="C58" s="360" t="s">
        <v>361</v>
      </c>
      <c r="D58" s="360" t="s">
        <v>261</v>
      </c>
      <c r="E58" s="360">
        <v>4</v>
      </c>
      <c r="F58" s="360" t="s">
        <v>365</v>
      </c>
      <c r="G58" s="360">
        <v>5.6</v>
      </c>
      <c r="H58" s="101">
        <v>34007</v>
      </c>
      <c r="I58" s="360" t="s">
        <v>258</v>
      </c>
      <c r="J58" s="360">
        <v>1.6</v>
      </c>
      <c r="K58" s="296">
        <v>1600000</v>
      </c>
      <c r="L58" s="296">
        <f t="shared" si="7"/>
        <v>2560000</v>
      </c>
      <c r="M58" s="107">
        <f t="shared" si="1"/>
        <v>1.39650309624102E-3</v>
      </c>
      <c r="N58" s="360" t="s">
        <v>258</v>
      </c>
      <c r="O58" s="101">
        <v>34007</v>
      </c>
      <c r="P58" s="297">
        <f t="shared" si="2"/>
        <v>3725.0896155402429</v>
      </c>
      <c r="Q58" s="296">
        <f>$P58*'RAIL EMIS FACTOR'!C$8/2000</f>
        <v>0.49093835576269113</v>
      </c>
      <c r="R58" s="296">
        <f>$P58*'RAIL EMIS FACTOR'!D$8/2000</f>
        <v>0.11465563845461309</v>
      </c>
      <c r="S58" s="296">
        <f>$P58*'RAIL EMIS FACTOR'!E$8/2000</f>
        <v>1.2488782734314073E-2</v>
      </c>
      <c r="T58" s="296">
        <f>$P58*'RAIL EMIS FACTOR'!F$8/2000</f>
        <v>1.2114119252284651E-2</v>
      </c>
      <c r="U58" s="296">
        <f>$P58*'RAIL EMIS FACTOR'!G$8/2000</f>
        <v>6.2147010690876024E-3</v>
      </c>
      <c r="V58" s="296">
        <f>$P58*'RAIL EMIS FACTOR'!H$8/2000</f>
        <v>2.0859712347748451E-2</v>
      </c>
      <c r="W58" s="296">
        <f>$P58*'RAIL EMIS FACTOR'!I$8/2000</f>
        <v>3.5872939235398531E-4</v>
      </c>
      <c r="X58" s="301">
        <f>$P58*'RAIL EMIS FACTOR'!J$8/2000</f>
        <v>43.999273516029966</v>
      </c>
    </row>
    <row r="59" spans="1:24" x14ac:dyDescent="0.25">
      <c r="A59" s="294" t="s">
        <v>366</v>
      </c>
      <c r="B59" s="479" t="s">
        <v>866</v>
      </c>
      <c r="C59" s="360" t="s">
        <v>361</v>
      </c>
      <c r="D59" s="360" t="s">
        <v>365</v>
      </c>
      <c r="E59" s="360">
        <v>5.6</v>
      </c>
      <c r="F59" s="360" t="s">
        <v>367</v>
      </c>
      <c r="G59" s="360">
        <v>8.8000000000000007</v>
      </c>
      <c r="H59" s="360">
        <v>34015</v>
      </c>
      <c r="I59" s="360" t="s">
        <v>261</v>
      </c>
      <c r="J59" s="360">
        <f>G59-E59</f>
        <v>3.2000000000000011</v>
      </c>
      <c r="K59" s="296">
        <v>9500000</v>
      </c>
      <c r="L59" s="296">
        <f t="shared" si="7"/>
        <v>30400000.000000011</v>
      </c>
      <c r="M59" s="107">
        <f t="shared" si="1"/>
        <v>1.6583474267862119E-2</v>
      </c>
      <c r="N59" s="360" t="s">
        <v>261</v>
      </c>
      <c r="O59" s="360">
        <v>34015</v>
      </c>
      <c r="P59" s="297">
        <f t="shared" si="2"/>
        <v>44235.439184540395</v>
      </c>
      <c r="Q59" s="296">
        <f>$P59*'RAIL EMIS FACTOR'!C$8/2000</f>
        <v>5.8298929746819583</v>
      </c>
      <c r="R59" s="296">
        <f>$P59*'RAIL EMIS FACTOR'!D$8/2000</f>
        <v>1.3615357066485307</v>
      </c>
      <c r="S59" s="296">
        <f>$P59*'RAIL EMIS FACTOR'!E$8/2000</f>
        <v>0.14830429496997966</v>
      </c>
      <c r="T59" s="296">
        <f>$P59*'RAIL EMIS FACTOR'!F$8/2000</f>
        <v>0.14385516612088026</v>
      </c>
      <c r="U59" s="296">
        <f>$P59*'RAIL EMIS FACTOR'!G$8/2000</f>
        <v>7.3799575195415301E-2</v>
      </c>
      <c r="V59" s="296">
        <f>$P59*'RAIL EMIS FACTOR'!H$8/2000</f>
        <v>0.24770908412951292</v>
      </c>
      <c r="W59" s="296">
        <f>$P59*'RAIL EMIS FACTOR'!I$8/2000</f>
        <v>4.2599115342035771E-3</v>
      </c>
      <c r="X59" s="301">
        <f>$P59*'RAIL EMIS FACTOR'!J$8/2000</f>
        <v>522.49137300285599</v>
      </c>
    </row>
    <row r="60" spans="1:24" x14ac:dyDescent="0.25">
      <c r="A60" s="294" t="s">
        <v>366</v>
      </c>
      <c r="B60" s="479" t="s">
        <v>866</v>
      </c>
      <c r="C60" s="360" t="s">
        <v>361</v>
      </c>
      <c r="D60" s="360" t="s">
        <v>365</v>
      </c>
      <c r="E60" s="360">
        <v>5.6</v>
      </c>
      <c r="F60" s="360" t="s">
        <v>367</v>
      </c>
      <c r="G60" s="360">
        <v>8.8000000000000007</v>
      </c>
      <c r="H60" s="101">
        <v>34015</v>
      </c>
      <c r="I60" s="360" t="s">
        <v>261</v>
      </c>
      <c r="J60" s="360">
        <v>1.6</v>
      </c>
      <c r="K60" s="296">
        <v>1600000</v>
      </c>
      <c r="L60" s="296">
        <f t="shared" si="7"/>
        <v>2560000</v>
      </c>
      <c r="M60" s="107">
        <f t="shared" si="1"/>
        <v>1.39650309624102E-3</v>
      </c>
      <c r="N60" s="360" t="s">
        <v>261</v>
      </c>
      <c r="O60" s="101">
        <v>34015</v>
      </c>
      <c r="P60" s="297">
        <f t="shared" si="2"/>
        <v>3725.0896155402429</v>
      </c>
      <c r="Q60" s="296">
        <f>$P60*'RAIL EMIS FACTOR'!C$8/2000</f>
        <v>0.49093835576269113</v>
      </c>
      <c r="R60" s="296">
        <f>$P60*'RAIL EMIS FACTOR'!D$8/2000</f>
        <v>0.11465563845461309</v>
      </c>
      <c r="S60" s="296">
        <f>$P60*'RAIL EMIS FACTOR'!E$8/2000</f>
        <v>1.2488782734314073E-2</v>
      </c>
      <c r="T60" s="296">
        <f>$P60*'RAIL EMIS FACTOR'!F$8/2000</f>
        <v>1.2114119252284651E-2</v>
      </c>
      <c r="U60" s="296">
        <f>$P60*'RAIL EMIS FACTOR'!G$8/2000</f>
        <v>6.2147010690876024E-3</v>
      </c>
      <c r="V60" s="296">
        <f>$P60*'RAIL EMIS FACTOR'!H$8/2000</f>
        <v>2.0859712347748451E-2</v>
      </c>
      <c r="W60" s="296">
        <f>$P60*'RAIL EMIS FACTOR'!I$8/2000</f>
        <v>3.5872939235398531E-4</v>
      </c>
      <c r="X60" s="301">
        <f>$P60*'RAIL EMIS FACTOR'!J$8/2000</f>
        <v>43.999273516029966</v>
      </c>
    </row>
    <row r="61" spans="1:24" x14ac:dyDescent="0.25">
      <c r="A61" s="294">
        <v>5</v>
      </c>
      <c r="B61" s="479" t="s">
        <v>866</v>
      </c>
      <c r="C61" s="360" t="s">
        <v>371</v>
      </c>
      <c r="D61" s="360" t="s">
        <v>367</v>
      </c>
      <c r="E61" s="360">
        <v>8.8000000000000007</v>
      </c>
      <c r="F61" s="360" t="s">
        <v>372</v>
      </c>
      <c r="G61" s="360">
        <v>14.3</v>
      </c>
      <c r="H61" s="101">
        <v>34015</v>
      </c>
      <c r="I61" s="360" t="s">
        <v>261</v>
      </c>
      <c r="J61" s="360">
        <v>5.5</v>
      </c>
      <c r="K61" s="296">
        <v>1600000</v>
      </c>
      <c r="L61" s="296">
        <f t="shared" si="7"/>
        <v>8800000</v>
      </c>
      <c r="M61" s="107">
        <f t="shared" si="1"/>
        <v>4.8004793933285068E-3</v>
      </c>
      <c r="N61" s="360" t="s">
        <v>261</v>
      </c>
      <c r="O61" s="101">
        <v>34015</v>
      </c>
      <c r="P61" s="297">
        <f t="shared" si="2"/>
        <v>12804.995553419585</v>
      </c>
      <c r="Q61" s="296">
        <f>$P61*'RAIL EMIS FACTOR'!C$8/2000</f>
        <v>1.6876005979342508</v>
      </c>
      <c r="R61" s="296">
        <f>$P61*'RAIL EMIS FACTOR'!D$8/2000</f>
        <v>0.39412875718773249</v>
      </c>
      <c r="S61" s="296">
        <f>$P61*'RAIL EMIS FACTOR'!E$8/2000</f>
        <v>4.2930190649204628E-2</v>
      </c>
      <c r="T61" s="296">
        <f>$P61*'RAIL EMIS FACTOR'!F$8/2000</f>
        <v>4.164228492972849E-2</v>
      </c>
      <c r="U61" s="296">
        <f>$P61*'RAIL EMIS FACTOR'!G$8/2000</f>
        <v>2.1363034924988634E-2</v>
      </c>
      <c r="V61" s="296">
        <f>$P61*'RAIL EMIS FACTOR'!H$8/2000</f>
        <v>7.1705261195385311E-2</v>
      </c>
      <c r="W61" s="296">
        <f>$P61*'RAIL EMIS FACTOR'!I$8/2000</f>
        <v>1.2331322862168246E-3</v>
      </c>
      <c r="X61" s="301">
        <f>$P61*'RAIL EMIS FACTOR'!J$8/2000</f>
        <v>151.24750271135301</v>
      </c>
    </row>
    <row r="62" spans="1:24" x14ac:dyDescent="0.25">
      <c r="A62" s="294">
        <v>6</v>
      </c>
      <c r="B62" s="479" t="s">
        <v>866</v>
      </c>
      <c r="C62" s="360" t="s">
        <v>371</v>
      </c>
      <c r="D62" s="360" t="s">
        <v>372</v>
      </c>
      <c r="E62" s="360">
        <v>14.3</v>
      </c>
      <c r="F62" s="360" t="s">
        <v>373</v>
      </c>
      <c r="G62" s="360">
        <v>17.2</v>
      </c>
      <c r="H62" s="101">
        <v>34015</v>
      </c>
      <c r="I62" s="360" t="s">
        <v>261</v>
      </c>
      <c r="J62" s="360">
        <v>2.9</v>
      </c>
      <c r="K62" s="296">
        <v>1600000</v>
      </c>
      <c r="L62" s="296">
        <f t="shared" si="7"/>
        <v>4640000</v>
      </c>
      <c r="M62" s="107">
        <f t="shared" si="1"/>
        <v>2.5311618619368488E-3</v>
      </c>
      <c r="N62" s="360" t="s">
        <v>261</v>
      </c>
      <c r="O62" s="101">
        <v>34015</v>
      </c>
      <c r="P62" s="297">
        <f t="shared" si="2"/>
        <v>6751.72492816669</v>
      </c>
      <c r="Q62" s="296">
        <f>$P62*'RAIL EMIS FACTOR'!C$8/2000</f>
        <v>0.8898257698198776</v>
      </c>
      <c r="R62" s="296">
        <f>$P62*'RAIL EMIS FACTOR'!D$8/2000</f>
        <v>0.20781334469898621</v>
      </c>
      <c r="S62" s="296">
        <f>$P62*'RAIL EMIS FACTOR'!E$8/2000</f>
        <v>2.2635918705944259E-2</v>
      </c>
      <c r="T62" s="296">
        <f>$P62*'RAIL EMIS FACTOR'!F$8/2000</f>
        <v>2.195684114476593E-2</v>
      </c>
      <c r="U62" s="296">
        <f>$P62*'RAIL EMIS FACTOR'!G$8/2000</f>
        <v>1.1264145687721279E-2</v>
      </c>
      <c r="V62" s="296">
        <f>$P62*'RAIL EMIS FACTOR'!H$8/2000</f>
        <v>3.7808228630294066E-2</v>
      </c>
      <c r="W62" s="296">
        <f>$P62*'RAIL EMIS FACTOR'!I$8/2000</f>
        <v>6.5019702364159837E-4</v>
      </c>
      <c r="X62" s="301">
        <f>$P62*'RAIL EMIS FACTOR'!J$8/2000</f>
        <v>79.748683247804308</v>
      </c>
    </row>
    <row r="63" spans="1:24" x14ac:dyDescent="0.25">
      <c r="A63" s="294" t="s">
        <v>374</v>
      </c>
      <c r="B63" s="479" t="s">
        <v>866</v>
      </c>
      <c r="C63" s="360" t="s">
        <v>371</v>
      </c>
      <c r="D63" s="360" t="s">
        <v>373</v>
      </c>
      <c r="E63" s="360">
        <v>17.2</v>
      </c>
      <c r="F63" s="360" t="s">
        <v>365</v>
      </c>
      <c r="G63" s="360">
        <v>23.8</v>
      </c>
      <c r="H63" s="101">
        <v>34015</v>
      </c>
      <c r="I63" s="360" t="s">
        <v>261</v>
      </c>
      <c r="J63" s="360">
        <v>6.6</v>
      </c>
      <c r="K63" s="296">
        <v>1600000</v>
      </c>
      <c r="L63" s="296">
        <f t="shared" si="7"/>
        <v>10560000</v>
      </c>
      <c r="M63" s="107">
        <f t="shared" si="1"/>
        <v>5.760575271994208E-3</v>
      </c>
      <c r="N63" s="360" t="s">
        <v>261</v>
      </c>
      <c r="O63" s="101">
        <v>34015</v>
      </c>
      <c r="P63" s="297">
        <f t="shared" si="2"/>
        <v>15365.994664103502</v>
      </c>
      <c r="Q63" s="296">
        <f>$P63*'RAIL EMIS FACTOR'!C$8/2000</f>
        <v>2.025120717521101</v>
      </c>
      <c r="R63" s="296">
        <f>$P63*'RAIL EMIS FACTOR'!D$8/2000</f>
        <v>0.47295450862527899</v>
      </c>
      <c r="S63" s="296">
        <f>$P63*'RAIL EMIS FACTOR'!E$8/2000</f>
        <v>5.1516228779045554E-2</v>
      </c>
      <c r="T63" s="296">
        <f>$P63*'RAIL EMIS FACTOR'!F$8/2000</f>
        <v>4.9970741915674188E-2</v>
      </c>
      <c r="U63" s="296">
        <f>$P63*'RAIL EMIS FACTOR'!G$8/2000</f>
        <v>2.5635641909986361E-2</v>
      </c>
      <c r="V63" s="296">
        <f>$P63*'RAIL EMIS FACTOR'!H$8/2000</f>
        <v>8.6046313434462368E-2</v>
      </c>
      <c r="W63" s="296">
        <f>$P63*'RAIL EMIS FACTOR'!I$8/2000</f>
        <v>1.4797587434601895E-3</v>
      </c>
      <c r="X63" s="301">
        <f>$P63*'RAIL EMIS FACTOR'!J$8/2000</f>
        <v>181.4970032536236</v>
      </c>
    </row>
    <row r="64" spans="1:24" x14ac:dyDescent="0.25">
      <c r="A64" s="294" t="s">
        <v>375</v>
      </c>
      <c r="B64" s="479" t="s">
        <v>866</v>
      </c>
      <c r="C64" s="360" t="s">
        <v>371</v>
      </c>
      <c r="D64" s="360" t="s">
        <v>365</v>
      </c>
      <c r="E64" s="360">
        <v>23.8</v>
      </c>
      <c r="F64" s="360" t="s">
        <v>376</v>
      </c>
      <c r="G64" s="360">
        <v>26</v>
      </c>
      <c r="H64" s="101">
        <v>34033</v>
      </c>
      <c r="I64" s="360" t="s">
        <v>264</v>
      </c>
      <c r="J64" s="360">
        <v>2.2000000000000002</v>
      </c>
      <c r="K64" s="296">
        <v>1600000</v>
      </c>
      <c r="L64" s="296">
        <f t="shared" si="7"/>
        <v>3520000.0000000005</v>
      </c>
      <c r="M64" s="107">
        <f t="shared" si="1"/>
        <v>1.9201917573314028E-3</v>
      </c>
      <c r="N64" s="360" t="s">
        <v>264</v>
      </c>
      <c r="O64" s="101">
        <v>34033</v>
      </c>
      <c r="P64" s="297">
        <f t="shared" si="2"/>
        <v>5121.998221367834</v>
      </c>
      <c r="Q64" s="296">
        <f>$P64*'RAIL EMIS FACTOR'!C$8/2000</f>
        <v>0.67504023917370037</v>
      </c>
      <c r="R64" s="296">
        <f>$P64*'RAIL EMIS FACTOR'!D$8/2000</f>
        <v>0.157651502875093</v>
      </c>
      <c r="S64" s="296">
        <f>$P64*'RAIL EMIS FACTOR'!E$8/2000</f>
        <v>1.717207625968185E-2</v>
      </c>
      <c r="T64" s="296">
        <f>$P64*'RAIL EMIS FACTOR'!F$8/2000</f>
        <v>1.6656913971891396E-2</v>
      </c>
      <c r="U64" s="296">
        <f>$P64*'RAIL EMIS FACTOR'!G$8/2000</f>
        <v>8.5452139699954532E-3</v>
      </c>
      <c r="V64" s="296">
        <f>$P64*'RAIL EMIS FACTOR'!H$8/2000</f>
        <v>2.868210447815412E-2</v>
      </c>
      <c r="W64" s="296">
        <f>$P64*'RAIL EMIS FACTOR'!I$8/2000</f>
        <v>4.9325291448672984E-4</v>
      </c>
      <c r="X64" s="301">
        <f>$P64*'RAIL EMIS FACTOR'!J$8/2000</f>
        <v>60.499001084541206</v>
      </c>
    </row>
    <row r="65" spans="1:24" x14ac:dyDescent="0.25">
      <c r="A65" s="294">
        <v>8</v>
      </c>
      <c r="B65" s="479" t="s">
        <v>866</v>
      </c>
      <c r="C65" s="360" t="s">
        <v>371</v>
      </c>
      <c r="D65" s="360" t="s">
        <v>376</v>
      </c>
      <c r="E65" s="360">
        <v>26</v>
      </c>
      <c r="F65" s="360" t="s">
        <v>377</v>
      </c>
      <c r="G65" s="360">
        <v>30</v>
      </c>
      <c r="H65" s="101">
        <v>34033</v>
      </c>
      <c r="I65" s="360" t="s">
        <v>264</v>
      </c>
      <c r="J65" s="360">
        <v>4</v>
      </c>
      <c r="K65" s="296">
        <v>1600000</v>
      </c>
      <c r="L65" s="296">
        <f t="shared" si="7"/>
        <v>6400000</v>
      </c>
      <c r="M65" s="107">
        <f t="shared" si="1"/>
        <v>3.49125774060255E-3</v>
      </c>
      <c r="N65" s="360" t="s">
        <v>264</v>
      </c>
      <c r="O65" s="101">
        <v>34033</v>
      </c>
      <c r="P65" s="297">
        <f t="shared" si="2"/>
        <v>9312.724038850607</v>
      </c>
      <c r="Q65" s="296">
        <f>$P65*'RAIL EMIS FACTOR'!C$8/2000</f>
        <v>1.2273458894067277</v>
      </c>
      <c r="R65" s="296">
        <f>$P65*'RAIL EMIS FACTOR'!D$8/2000</f>
        <v>0.28663909613653271</v>
      </c>
      <c r="S65" s="296">
        <f>$P65*'RAIL EMIS FACTOR'!E$8/2000</f>
        <v>3.1221956835785186E-2</v>
      </c>
      <c r="T65" s="296">
        <f>$P65*'RAIL EMIS FACTOR'!F$8/2000</f>
        <v>3.0285298130711628E-2</v>
      </c>
      <c r="U65" s="296">
        <f>$P65*'RAIL EMIS FACTOR'!G$8/2000</f>
        <v>1.5536752672719006E-2</v>
      </c>
      <c r="V65" s="296">
        <f>$P65*'RAIL EMIS FACTOR'!H$8/2000</f>
        <v>5.2149280869371123E-2</v>
      </c>
      <c r="W65" s="296">
        <f>$P65*'RAIL EMIS FACTOR'!I$8/2000</f>
        <v>8.9682348088496329E-4</v>
      </c>
      <c r="X65" s="301">
        <f>$P65*'RAIL EMIS FACTOR'!J$8/2000</f>
        <v>109.9981837900749</v>
      </c>
    </row>
    <row r="66" spans="1:24" x14ac:dyDescent="0.25">
      <c r="A66" s="294">
        <v>9</v>
      </c>
      <c r="B66" s="479" t="s">
        <v>866</v>
      </c>
      <c r="C66" s="360" t="s">
        <v>378</v>
      </c>
      <c r="D66" s="360" t="s">
        <v>377</v>
      </c>
      <c r="E66" s="360">
        <v>30</v>
      </c>
      <c r="F66" s="360" t="s">
        <v>379</v>
      </c>
      <c r="G66" s="360">
        <v>32</v>
      </c>
      <c r="H66" s="101">
        <v>34033</v>
      </c>
      <c r="I66" s="360" t="s">
        <v>264</v>
      </c>
      <c r="J66" s="360">
        <v>2</v>
      </c>
      <c r="K66" s="296">
        <v>1600000</v>
      </c>
      <c r="L66" s="296">
        <f t="shared" si="7"/>
        <v>3200000</v>
      </c>
      <c r="M66" s="107">
        <f t="shared" si="1"/>
        <v>1.745628870301275E-3</v>
      </c>
      <c r="N66" s="360" t="s">
        <v>264</v>
      </c>
      <c r="O66" s="101">
        <v>34033</v>
      </c>
      <c r="P66" s="297">
        <f t="shared" si="2"/>
        <v>4656.3620194253035</v>
      </c>
      <c r="Q66" s="296">
        <f>$P66*'RAIL EMIS FACTOR'!C$8/2000</f>
        <v>0.61367294470336387</v>
      </c>
      <c r="R66" s="296">
        <f>$P66*'RAIL EMIS FACTOR'!D$8/2000</f>
        <v>0.14331954806826636</v>
      </c>
      <c r="S66" s="296">
        <f>$P66*'RAIL EMIS FACTOR'!E$8/2000</f>
        <v>1.5610978417892593E-2</v>
      </c>
      <c r="T66" s="296">
        <f>$P66*'RAIL EMIS FACTOR'!F$8/2000</f>
        <v>1.5142649065355814E-2</v>
      </c>
      <c r="U66" s="296">
        <f>$P66*'RAIL EMIS FACTOR'!G$8/2000</f>
        <v>7.7683763363595032E-3</v>
      </c>
      <c r="V66" s="296">
        <f>$P66*'RAIL EMIS FACTOR'!H$8/2000</f>
        <v>2.6074640434685561E-2</v>
      </c>
      <c r="W66" s="296">
        <f>$P66*'RAIL EMIS FACTOR'!I$8/2000</f>
        <v>4.4841174044248165E-4</v>
      </c>
      <c r="X66" s="301">
        <f>$P66*'RAIL EMIS FACTOR'!J$8/2000</f>
        <v>54.999091895037452</v>
      </c>
    </row>
    <row r="67" spans="1:24" x14ac:dyDescent="0.25">
      <c r="A67" s="294">
        <v>10</v>
      </c>
      <c r="B67" s="479" t="s">
        <v>866</v>
      </c>
      <c r="C67" s="360" t="s">
        <v>380</v>
      </c>
      <c r="D67" s="360" t="s">
        <v>363</v>
      </c>
      <c r="E67" s="360">
        <v>2.2999999999999998</v>
      </c>
      <c r="F67" s="360" t="s">
        <v>381</v>
      </c>
      <c r="G67" s="360">
        <v>7.6</v>
      </c>
      <c r="H67" s="101">
        <v>34007</v>
      </c>
      <c r="I67" s="360" t="s">
        <v>258</v>
      </c>
      <c r="J67" s="360">
        <v>5.3</v>
      </c>
      <c r="K67" s="296">
        <v>700000</v>
      </c>
      <c r="L67" s="296">
        <f t="shared" si="7"/>
        <v>3710000</v>
      </c>
      <c r="M67" s="107">
        <f t="shared" si="1"/>
        <v>2.0238384715055408E-3</v>
      </c>
      <c r="N67" s="360" t="s">
        <v>258</v>
      </c>
      <c r="O67" s="101">
        <v>34007</v>
      </c>
      <c r="P67" s="297">
        <f t="shared" si="2"/>
        <v>5398.4697162712109</v>
      </c>
      <c r="Q67" s="296">
        <f>$P67*'RAIL EMIS FACTOR'!C$8/2000</f>
        <v>0.71147707026546247</v>
      </c>
      <c r="R67" s="296">
        <f>$P67*'RAIL EMIS FACTOR'!D$8/2000</f>
        <v>0.1661611010416463</v>
      </c>
      <c r="S67" s="296">
        <f>$P67*'RAIL EMIS FACTOR'!E$8/2000</f>
        <v>1.809897810324422E-2</v>
      </c>
      <c r="T67" s="296">
        <f>$P67*'RAIL EMIS FACTOR'!F$8/2000</f>
        <v>1.7556008760146895E-2</v>
      </c>
      <c r="U67" s="296">
        <f>$P67*'RAIL EMIS FACTOR'!G$8/2000</f>
        <v>9.0064613149667978E-3</v>
      </c>
      <c r="V67" s="296">
        <f>$P67*'RAIL EMIS FACTOR'!H$8/2000</f>
        <v>3.0230286253963574E-2</v>
      </c>
      <c r="W67" s="296">
        <f>$P67*'RAIL EMIS FACTOR'!I$8/2000</f>
        <v>5.1987736157550215E-4</v>
      </c>
      <c r="X67" s="301">
        <f>$P67*'RAIL EMIS FACTOR'!J$8/2000</f>
        <v>63.764572165809049</v>
      </c>
    </row>
    <row r="68" spans="1:24" x14ac:dyDescent="0.25">
      <c r="A68" s="294">
        <v>11</v>
      </c>
      <c r="B68" s="479" t="s">
        <v>866</v>
      </c>
      <c r="C68" s="360" t="s">
        <v>380</v>
      </c>
      <c r="D68" s="360" t="s">
        <v>381</v>
      </c>
      <c r="E68" s="360">
        <v>7.6</v>
      </c>
      <c r="F68" s="360" t="s">
        <v>382</v>
      </c>
      <c r="G68" s="360">
        <v>25.9</v>
      </c>
      <c r="H68" s="101">
        <v>34007</v>
      </c>
      <c r="I68" s="360" t="s">
        <v>258</v>
      </c>
      <c r="J68" s="360">
        <v>18.3</v>
      </c>
      <c r="K68" s="296">
        <v>700000</v>
      </c>
      <c r="L68" s="296">
        <f t="shared" si="7"/>
        <v>12810000</v>
      </c>
      <c r="M68" s="107">
        <f>L68/SUM($L$3:$L$72)</f>
        <v>6.9879705714247916E-3</v>
      </c>
      <c r="N68" s="360" t="s">
        <v>258</v>
      </c>
      <c r="O68" s="101">
        <v>34007</v>
      </c>
      <c r="P68" s="297">
        <f>2667441*M68</f>
        <v>18639.999209011916</v>
      </c>
      <c r="Q68" s="296">
        <f>$P68*'RAIL EMIS FACTOR'!C$8/2000</f>
        <v>2.4566095067656533</v>
      </c>
      <c r="R68" s="296">
        <f>$P68*'RAIL EMIS FACTOR'!D$8/2000</f>
        <v>0.57372606586077868</v>
      </c>
      <c r="S68" s="296">
        <f>$P68*'RAIL EMIS FACTOR'!E$8/2000</f>
        <v>6.249269797912628E-2</v>
      </c>
      <c r="T68" s="296">
        <f>$P68*'RAIL EMIS FACTOR'!F$8/2000</f>
        <v>6.0617917039752486E-2</v>
      </c>
      <c r="U68" s="296">
        <f>$P68*'RAIL EMIS FACTOR'!G$8/2000</f>
        <v>3.1097781521489131E-2</v>
      </c>
      <c r="V68" s="296">
        <f>$P68*'RAIL EMIS FACTOR'!H$8/2000</f>
        <v>0.10438004499010063</v>
      </c>
      <c r="W68" s="296">
        <f>$P68*'RAIL EMIS FACTOR'!I$8/2000</f>
        <v>1.7950482484588091E-3</v>
      </c>
      <c r="X68" s="301">
        <f>$P68*'RAIL EMIS FACTOR'!J$8/2000</f>
        <v>220.16823974232182</v>
      </c>
    </row>
    <row r="69" spans="1:24" x14ac:dyDescent="0.25">
      <c r="A69" s="294" t="s">
        <v>867</v>
      </c>
      <c r="B69" s="479" t="s">
        <v>866</v>
      </c>
      <c r="C69" s="360" t="s">
        <v>380</v>
      </c>
      <c r="D69" s="360" t="s">
        <v>382</v>
      </c>
      <c r="E69" s="360">
        <v>25.9</v>
      </c>
      <c r="F69" s="360" t="s">
        <v>365</v>
      </c>
      <c r="G69" s="360">
        <v>28.4</v>
      </c>
      <c r="H69" s="101">
        <v>34007</v>
      </c>
      <c r="I69" s="360" t="s">
        <v>258</v>
      </c>
      <c r="J69" s="360">
        <v>2.5</v>
      </c>
      <c r="K69" s="296">
        <v>700000</v>
      </c>
      <c r="L69" s="296">
        <f t="shared" si="7"/>
        <v>1750000</v>
      </c>
      <c r="M69" s="107">
        <f>L69/SUM($L$3:$L$72)</f>
        <v>9.5464078844600985E-4</v>
      </c>
      <c r="N69" s="360" t="s">
        <v>258</v>
      </c>
      <c r="O69" s="101">
        <v>34007</v>
      </c>
      <c r="P69" s="297">
        <f>2667441*M69</f>
        <v>2546.447979373213</v>
      </c>
      <c r="Q69" s="296">
        <f>$P69*'RAIL EMIS FACTOR'!C$8/2000</f>
        <v>0.33560239163465211</v>
      </c>
      <c r="R69" s="296">
        <f>$P69*'RAIL EMIS FACTOR'!D$8/2000</f>
        <v>7.8377877849833175E-2</v>
      </c>
      <c r="S69" s="296">
        <f>$P69*'RAIL EMIS FACTOR'!E$8/2000</f>
        <v>8.5372538222850108E-3</v>
      </c>
      <c r="T69" s="296">
        <f>$P69*'RAIL EMIS FACTOR'!F$8/2000</f>
        <v>8.2811362076164602E-3</v>
      </c>
      <c r="U69" s="296">
        <f>$P69*'RAIL EMIS FACTOR'!G$8/2000</f>
        <v>4.2483308089466031E-3</v>
      </c>
      <c r="V69" s="296">
        <f>$P69*'RAIL EMIS FACTOR'!H$8/2000</f>
        <v>1.4259568987718669E-2</v>
      </c>
      <c r="W69" s="296">
        <f>$P69*'RAIL EMIS FACTOR'!I$8/2000</f>
        <v>2.4522517055448217E-4</v>
      </c>
      <c r="X69" s="301">
        <f>$P69*'RAIL EMIS FACTOR'!J$8/2000</f>
        <v>30.077628380098609</v>
      </c>
    </row>
    <row r="70" spans="1:24" x14ac:dyDescent="0.25">
      <c r="A70" s="294" t="s">
        <v>868</v>
      </c>
      <c r="B70" s="479" t="s">
        <v>866</v>
      </c>
      <c r="C70" s="360" t="s">
        <v>380</v>
      </c>
      <c r="D70" s="360" t="s">
        <v>365</v>
      </c>
      <c r="E70" s="360">
        <v>28.4</v>
      </c>
      <c r="F70" s="360" t="s">
        <v>365</v>
      </c>
      <c r="G70" s="360">
        <v>52.8</v>
      </c>
      <c r="H70" s="101">
        <v>34001</v>
      </c>
      <c r="I70" s="360" t="s">
        <v>256</v>
      </c>
      <c r="J70" s="360">
        <v>24.4</v>
      </c>
      <c r="K70" s="296">
        <v>700000</v>
      </c>
      <c r="L70" s="296">
        <f t="shared" si="7"/>
        <v>17080000</v>
      </c>
      <c r="M70" s="107">
        <f>L70/SUM($L$3:$L$72)</f>
        <v>9.3172940952330561E-3</v>
      </c>
      <c r="N70" s="360" t="s">
        <v>256</v>
      </c>
      <c r="O70" s="101">
        <v>34001</v>
      </c>
      <c r="P70" s="297">
        <f>2667441*M70</f>
        <v>24853.332278682559</v>
      </c>
      <c r="Q70" s="296">
        <f>$P70*'RAIL EMIS FACTOR'!C$8/2000</f>
        <v>3.2754793423542052</v>
      </c>
      <c r="R70" s="296">
        <f>$P70*'RAIL EMIS FACTOR'!D$8/2000</f>
        <v>0.76496808781437176</v>
      </c>
      <c r="S70" s="296">
        <f>$P70*'RAIL EMIS FACTOR'!E$8/2000</f>
        <v>8.332359730550172E-2</v>
      </c>
      <c r="T70" s="296">
        <f>$P70*'RAIL EMIS FACTOR'!F$8/2000</f>
        <v>8.0823889386336653E-2</v>
      </c>
      <c r="U70" s="296">
        <f>$P70*'RAIL EMIS FACTOR'!G$8/2000</f>
        <v>4.1463708695318853E-2</v>
      </c>
      <c r="V70" s="296">
        <f>$P70*'RAIL EMIS FACTOR'!H$8/2000</f>
        <v>0.1391733933201342</v>
      </c>
      <c r="W70" s="296">
        <f>$P70*'RAIL EMIS FACTOR'!I$8/2000</f>
        <v>2.3933976646117456E-3</v>
      </c>
      <c r="X70" s="301">
        <f>$P70*'RAIL EMIS FACTOR'!J$8/2000</f>
        <v>293.5576529897624</v>
      </c>
    </row>
    <row r="71" spans="1:24" x14ac:dyDescent="0.25">
      <c r="A71" s="294" t="s">
        <v>869</v>
      </c>
      <c r="B71" s="479" t="s">
        <v>866</v>
      </c>
      <c r="C71" s="360" t="s">
        <v>380</v>
      </c>
      <c r="D71" s="360" t="s">
        <v>365</v>
      </c>
      <c r="E71" s="360">
        <v>52.8</v>
      </c>
      <c r="F71" s="360" t="s">
        <v>870</v>
      </c>
      <c r="G71" s="360">
        <v>59.5</v>
      </c>
      <c r="H71" s="101">
        <v>34009</v>
      </c>
      <c r="I71" s="360" t="s">
        <v>259</v>
      </c>
      <c r="J71" s="360">
        <v>6.7</v>
      </c>
      <c r="K71" s="296">
        <v>700000</v>
      </c>
      <c r="L71" s="296">
        <f t="shared" si="7"/>
        <v>4690000</v>
      </c>
      <c r="M71" s="107">
        <f>L71/SUM($L$3:$L$72)</f>
        <v>2.5584373130353062E-3</v>
      </c>
      <c r="N71" s="360" t="s">
        <v>259</v>
      </c>
      <c r="O71" s="101">
        <v>34009</v>
      </c>
      <c r="P71" s="297">
        <f>2667441*M71</f>
        <v>6824.4805847202106</v>
      </c>
      <c r="Q71" s="296">
        <f>$P71*'RAIL EMIS FACTOR'!C$8/2000</f>
        <v>0.89941440958086771</v>
      </c>
      <c r="R71" s="296">
        <f>$P71*'RAIL EMIS FACTOR'!D$8/2000</f>
        <v>0.21005271263755287</v>
      </c>
      <c r="S71" s="296">
        <f>$P71*'RAIL EMIS FACTOR'!E$8/2000</f>
        <v>2.2879840243723831E-2</v>
      </c>
      <c r="T71" s="296">
        <f>$P71*'RAIL EMIS FACTOR'!F$8/2000</f>
        <v>2.2193445036412116E-2</v>
      </c>
      <c r="U71" s="296">
        <f>$P71*'RAIL EMIS FACTOR'!G$8/2000</f>
        <v>1.1385526567976896E-2</v>
      </c>
      <c r="V71" s="296">
        <f>$P71*'RAIL EMIS FACTOR'!H$8/2000</f>
        <v>3.821564488708603E-2</v>
      </c>
      <c r="W71" s="296">
        <f>$P71*'RAIL EMIS FACTOR'!I$8/2000</f>
        <v>6.5720345708601214E-4</v>
      </c>
      <c r="X71" s="301">
        <f>$P71*'RAIL EMIS FACTOR'!J$8/2000</f>
        <v>80.608044058664277</v>
      </c>
    </row>
    <row r="72" spans="1:24" x14ac:dyDescent="0.25">
      <c r="A72" s="294">
        <v>13</v>
      </c>
      <c r="B72" s="479" t="s">
        <v>866</v>
      </c>
      <c r="C72" s="360" t="s">
        <v>871</v>
      </c>
      <c r="D72" s="360" t="s">
        <v>870</v>
      </c>
      <c r="E72" s="360">
        <v>0</v>
      </c>
      <c r="F72" s="360" t="s">
        <v>872</v>
      </c>
      <c r="G72" s="360">
        <v>2.5</v>
      </c>
      <c r="H72" s="101">
        <v>34009</v>
      </c>
      <c r="I72" s="360" t="s">
        <v>259</v>
      </c>
      <c r="J72" s="360">
        <v>2.5</v>
      </c>
      <c r="K72" s="296">
        <v>700000</v>
      </c>
      <c r="L72" s="296">
        <f t="shared" si="7"/>
        <v>1750000</v>
      </c>
      <c r="M72" s="107">
        <f>L72/SUM($L$3:$L$72)</f>
        <v>9.5464078844600985E-4</v>
      </c>
      <c r="N72" s="360" t="s">
        <v>259</v>
      </c>
      <c r="O72" s="101">
        <v>34009</v>
      </c>
      <c r="P72" s="297">
        <f>2667441*M72</f>
        <v>2546.447979373213</v>
      </c>
      <c r="Q72" s="296">
        <f>$P72*'RAIL EMIS FACTOR'!C$8/2000</f>
        <v>0.33560239163465211</v>
      </c>
      <c r="R72" s="296">
        <f>$P72*'RAIL EMIS FACTOR'!D$8/2000</f>
        <v>7.8377877849833175E-2</v>
      </c>
      <c r="S72" s="296">
        <f>$P72*'RAIL EMIS FACTOR'!E$8/2000</f>
        <v>8.5372538222850108E-3</v>
      </c>
      <c r="T72" s="296">
        <f>$P72*'RAIL EMIS FACTOR'!F$8/2000</f>
        <v>8.2811362076164602E-3</v>
      </c>
      <c r="U72" s="296">
        <f>$P72*'RAIL EMIS FACTOR'!G$8/2000</f>
        <v>4.2483308089466031E-3</v>
      </c>
      <c r="V72" s="296">
        <f>$P72*'RAIL EMIS FACTOR'!H$8/2000</f>
        <v>1.4259568987718669E-2</v>
      </c>
      <c r="W72" s="296">
        <f>$P72*'RAIL EMIS FACTOR'!I$8/2000</f>
        <v>2.4522517055448217E-4</v>
      </c>
      <c r="X72" s="301">
        <f>$P72*'RAIL EMIS FACTOR'!J$8/2000</f>
        <v>30.077628380098609</v>
      </c>
    </row>
    <row r="73" spans="1:24" x14ac:dyDescent="0.25">
      <c r="A73" s="303"/>
      <c r="B73" s="360"/>
      <c r="C73" s="107" t="s">
        <v>873</v>
      </c>
      <c r="D73" s="360"/>
      <c r="E73" s="360"/>
      <c r="F73" s="360"/>
      <c r="G73" s="360"/>
      <c r="H73" s="360">
        <v>34015</v>
      </c>
      <c r="I73" s="360" t="s">
        <v>261</v>
      </c>
      <c r="J73" s="360"/>
      <c r="K73" s="360"/>
      <c r="L73" s="360"/>
      <c r="M73" s="360"/>
      <c r="N73" s="360" t="s">
        <v>261</v>
      </c>
      <c r="O73" s="360">
        <v>34015</v>
      </c>
      <c r="P73" s="360">
        <v>75964</v>
      </c>
      <c r="Q73" s="296">
        <f>$P73*'RAIL EMIS FACTOR'!C$8/2000</f>
        <v>10.011474919039886</v>
      </c>
      <c r="R73" s="296">
        <f>$P73*'RAIL EMIS FACTOR'!D$8/2000</f>
        <v>2.3381184933729644</v>
      </c>
      <c r="S73" s="296">
        <f>$P73*'RAIL EMIS FACTOR'!E$8/2000</f>
        <v>0.25467787074750586</v>
      </c>
      <c r="T73" s="296">
        <f>$P73*'RAIL EMIS FACTOR'!F$8/2000</f>
        <v>0.24703753462508068</v>
      </c>
      <c r="U73" s="296">
        <f>$P73*'RAIL EMIS FACTOR'!G$8/2000</f>
        <v>0.12673347509351229</v>
      </c>
      <c r="V73" s="296">
        <f>$P73*'RAIL EMIS FACTOR'!H$8/2000</f>
        <v>0.42538230011267891</v>
      </c>
      <c r="W73" s="296">
        <f>$P73*'RAIL EMIS FACTOR'!I$8/2000</f>
        <v>7.3153997281287016E-3</v>
      </c>
      <c r="X73" s="301">
        <f>$P73*'RAIL EMIS FACTOR'!J$8/2000</f>
        <v>897.25648463009225</v>
      </c>
    </row>
    <row r="74" spans="1:24" x14ac:dyDescent="0.25">
      <c r="A74" s="303"/>
      <c r="B74" s="360"/>
      <c r="C74" s="479" t="s">
        <v>874</v>
      </c>
      <c r="D74" s="360"/>
      <c r="E74" s="360"/>
      <c r="F74" s="360"/>
      <c r="G74" s="360"/>
      <c r="H74" s="360">
        <v>34005</v>
      </c>
      <c r="I74" s="480" t="s">
        <v>874</v>
      </c>
      <c r="J74" s="360"/>
      <c r="K74" s="360"/>
      <c r="L74" s="360"/>
      <c r="M74" s="360"/>
      <c r="N74" s="480" t="s">
        <v>874</v>
      </c>
      <c r="O74" s="360">
        <v>34005</v>
      </c>
      <c r="P74" s="360">
        <v>48801</v>
      </c>
      <c r="Q74" s="296">
        <f>$P74*'RAIL EMIS FACTOR'!C$8/2000</f>
        <v>6.4315990143234352</v>
      </c>
      <c r="R74" s="296">
        <f>$P74*'RAIL EMIS FACTOR'!D$8/2000</f>
        <v>1.5020604575205894</v>
      </c>
      <c r="S74" s="296">
        <f>$P74*'RAIL EMIS FACTOR'!E$8/2000</f>
        <v>0.16361085211875406</v>
      </c>
      <c r="T74" s="296">
        <f>$P74*'RAIL EMIS FACTOR'!F$8/2000</f>
        <v>0.15870252655519143</v>
      </c>
      <c r="U74" s="296">
        <f>$P74*'RAIL EMIS FACTOR'!G$8/2000</f>
        <v>8.1416464615324272E-2</v>
      </c>
      <c r="V74" s="296">
        <f>$P74*'RAIL EMIS FACTOR'!H$8/2000</f>
        <v>0.27327525706648997</v>
      </c>
      <c r="W74" s="296">
        <f>$P74*'RAIL EMIS FACTOR'!I$8/2000</f>
        <v>4.6995790391818329E-3</v>
      </c>
      <c r="X74" s="301">
        <f>$P74*'RAIL EMIS FACTOR'!J$8/2000</f>
        <v>576.41795727493468</v>
      </c>
    </row>
    <row r="75" spans="1:24" x14ac:dyDescent="0.25">
      <c r="A75" s="294"/>
      <c r="B75" s="360"/>
      <c r="C75" s="479" t="s">
        <v>735</v>
      </c>
      <c r="D75" s="360"/>
      <c r="E75" s="360"/>
      <c r="F75" s="360"/>
      <c r="G75" s="360"/>
      <c r="H75" s="481">
        <v>34017</v>
      </c>
      <c r="I75" s="480" t="s">
        <v>450</v>
      </c>
      <c r="J75" s="360"/>
      <c r="K75" s="360"/>
      <c r="L75" s="296"/>
      <c r="M75" s="360"/>
      <c r="N75" s="480" t="s">
        <v>450</v>
      </c>
      <c r="O75" s="481">
        <v>34017</v>
      </c>
      <c r="P75" s="360">
        <v>113581</v>
      </c>
      <c r="Q75" s="296">
        <f>$P75*'RAIL EMIS FACTOR'!C$8/2000</f>
        <v>14.969108166756216</v>
      </c>
      <c r="R75" s="296">
        <f>$P75*'RAIL EMIS FACTOR'!D$8/2000</f>
        <v>3.4959432967694526</v>
      </c>
      <c r="S75" s="296">
        <f>$P75*'RAIL EMIS FACTOR'!E$8/2000</f>
        <v>0.38079310248765813</v>
      </c>
      <c r="T75" s="296">
        <f>$P75*'RAIL EMIS FACTOR'!F$8/2000</f>
        <v>0.36936930941302842</v>
      </c>
      <c r="U75" s="296">
        <f>$P75*'RAIL EMIS FACTOR'!G$8/2000</f>
        <v>0.18949127000416274</v>
      </c>
      <c r="V75" s="296">
        <f>$P75*'RAIL EMIS FACTOR'!H$8/2000</f>
        <v>0.63602952752748909</v>
      </c>
      <c r="W75" s="296">
        <f>$P75*'RAIL EMIS FACTOR'!I$8/2000</f>
        <v>1.0937949772531541E-2</v>
      </c>
      <c r="X75" s="301">
        <f>$P75*'RAIL EMIS FACTOR'!J$8/2000</f>
        <v>1341.5734924539322</v>
      </c>
    </row>
    <row r="76" spans="1:24" x14ac:dyDescent="0.25">
      <c r="A76" s="294" t="s">
        <v>759</v>
      </c>
      <c r="B76" s="107" t="s">
        <v>738</v>
      </c>
      <c r="C76" s="360" t="s">
        <v>781</v>
      </c>
      <c r="D76" s="360" t="s">
        <v>875</v>
      </c>
      <c r="E76" s="360">
        <v>53</v>
      </c>
      <c r="F76" s="360" t="s">
        <v>365</v>
      </c>
      <c r="G76" s="360">
        <v>46.3</v>
      </c>
      <c r="H76" s="101">
        <v>34021</v>
      </c>
      <c r="I76" s="360" t="s">
        <v>738</v>
      </c>
      <c r="J76" s="360">
        <v>6.7</v>
      </c>
      <c r="K76" s="360">
        <v>0.5</v>
      </c>
      <c r="L76" s="261">
        <v>3350000</v>
      </c>
      <c r="M76" s="360">
        <f>L76/SUM($L$76:$L$80)</f>
        <v>0.25093632958801498</v>
      </c>
      <c r="N76" s="360" t="s">
        <v>262</v>
      </c>
      <c r="O76" s="101">
        <v>34021</v>
      </c>
      <c r="P76" s="296">
        <f>63373*M76</f>
        <v>15902.588014981273</v>
      </c>
      <c r="Q76" s="296">
        <f>$P76*'RAIL EMIS FACTOR'!C$8/2000</f>
        <v>2.0958396221869475</v>
      </c>
      <c r="R76" s="296">
        <f>$P76*'RAIL EMIS FACTOR'!D$8/2000</f>
        <v>0.48947047457109916</v>
      </c>
      <c r="S76" s="296">
        <f>$P76*'RAIL EMIS FACTOR'!E$8/2000</f>
        <v>5.3315218459141653E-2</v>
      </c>
      <c r="T76" s="296">
        <f>$P76*'RAIL EMIS FACTOR'!F$8/2000</f>
        <v>5.1715761905367398E-2</v>
      </c>
      <c r="U76" s="296">
        <f>$P76*'RAIL EMIS FACTOR'!G$8/2000</f>
        <v>2.6530859908891265E-2</v>
      </c>
      <c r="V76" s="296">
        <f>$P76*'RAIL EMIS FACTOR'!H$8/2000</f>
        <v>8.9051122473238056E-2</v>
      </c>
      <c r="W76" s="296">
        <f>$P76*'RAIL EMIS FACTOR'!I$8/2000</f>
        <v>1.5314331530901051E-3</v>
      </c>
      <c r="X76" s="301">
        <f>$P76*'RAIL EMIS FACTOR'!J$8/2000</f>
        <v>187.83502999898289</v>
      </c>
    </row>
    <row r="77" spans="1:24" x14ac:dyDescent="0.25">
      <c r="A77" s="294" t="s">
        <v>762</v>
      </c>
      <c r="B77" s="107" t="s">
        <v>738</v>
      </c>
      <c r="C77" s="360" t="s">
        <v>781</v>
      </c>
      <c r="D77" s="360" t="s">
        <v>365</v>
      </c>
      <c r="E77" s="360">
        <v>46.3</v>
      </c>
      <c r="F77" s="360" t="s">
        <v>876</v>
      </c>
      <c r="G77" s="360">
        <v>41.3</v>
      </c>
      <c r="H77" s="101">
        <v>34023</v>
      </c>
      <c r="I77" s="360" t="s">
        <v>738</v>
      </c>
      <c r="J77" s="360">
        <v>5</v>
      </c>
      <c r="K77" s="360">
        <v>0.5</v>
      </c>
      <c r="L77" s="261">
        <v>2500000</v>
      </c>
      <c r="M77" s="360">
        <f>L77/SUM($L$76:$L$80)</f>
        <v>0.18726591760299627</v>
      </c>
      <c r="N77" s="360" t="s">
        <v>424</v>
      </c>
      <c r="O77" s="101">
        <v>34023</v>
      </c>
      <c r="P77" s="296">
        <f>63373*M77</f>
        <v>11867.602996254682</v>
      </c>
      <c r="Q77" s="296">
        <f>$P77*'RAIL EMIS FACTOR'!C$8/2000</f>
        <v>1.5640594195424984</v>
      </c>
      <c r="R77" s="296">
        <f>$P77*'RAIL EMIS FACTOR'!D$8/2000</f>
        <v>0.36527647356052179</v>
      </c>
      <c r="S77" s="296">
        <f>$P77*'RAIL EMIS FACTOR'!E$8/2000</f>
        <v>3.9787476462046008E-2</v>
      </c>
      <c r="T77" s="296">
        <f>$P77*'RAIL EMIS FACTOR'!F$8/2000</f>
        <v>3.8593852168184631E-2</v>
      </c>
      <c r="U77" s="296">
        <f>$P77*'RAIL EMIS FACTOR'!G$8/2000</f>
        <v>1.9799149185739752E-2</v>
      </c>
      <c r="V77" s="296">
        <f>$P77*'RAIL EMIS FACTOR'!H$8/2000</f>
        <v>6.645606154719258E-2</v>
      </c>
      <c r="W77" s="296">
        <f>$P77*'RAIL EMIS FACTOR'!I$8/2000</f>
        <v>1.1428605620075411E-3</v>
      </c>
      <c r="X77" s="301">
        <f>$P77*'RAIL EMIS FACTOR'!J$8/2000</f>
        <v>140.17539552162901</v>
      </c>
    </row>
    <row r="78" spans="1:24" x14ac:dyDescent="0.25">
      <c r="A78" s="294">
        <v>2</v>
      </c>
      <c r="B78" s="107" t="s">
        <v>738</v>
      </c>
      <c r="C78" s="360" t="s">
        <v>781</v>
      </c>
      <c r="D78" s="360" t="s">
        <v>876</v>
      </c>
      <c r="E78" s="360">
        <v>41.3</v>
      </c>
      <c r="F78" s="360" t="s">
        <v>68</v>
      </c>
      <c r="G78" s="360">
        <v>32.799999999999997</v>
      </c>
      <c r="H78" s="101">
        <v>34023</v>
      </c>
      <c r="I78" s="360" t="s">
        <v>738</v>
      </c>
      <c r="J78" s="360">
        <v>8.5</v>
      </c>
      <c r="K78" s="360">
        <v>0.5</v>
      </c>
      <c r="L78" s="261">
        <f>(J78*K78*1000000)</f>
        <v>4250000</v>
      </c>
      <c r="M78" s="360">
        <f>L78/SUM($L$76:$L$80)</f>
        <v>0.31835205992509363</v>
      </c>
      <c r="N78" s="360" t="s">
        <v>424</v>
      </c>
      <c r="O78" s="101">
        <v>34023</v>
      </c>
      <c r="P78" s="296">
        <f>63373*M78</f>
        <v>20174.925093632959</v>
      </c>
      <c r="Q78" s="296">
        <f>$P78*'RAIL EMIS FACTOR'!C$8/2000</f>
        <v>2.658901013222247</v>
      </c>
      <c r="R78" s="296">
        <f>$P78*'RAIL EMIS FACTOR'!D$8/2000</f>
        <v>0.62097000505288702</v>
      </c>
      <c r="S78" s="296">
        <f>$P78*'RAIL EMIS FACTOR'!E$8/2000</f>
        <v>6.7638709985478218E-2</v>
      </c>
      <c r="T78" s="296">
        <f>$P78*'RAIL EMIS FACTOR'!F$8/2000</f>
        <v>6.5609548685913871E-2</v>
      </c>
      <c r="U78" s="296">
        <f>$P78*'RAIL EMIS FACTOR'!G$8/2000</f>
        <v>3.3658553615757578E-2</v>
      </c>
      <c r="V78" s="296">
        <f>$P78*'RAIL EMIS FACTOR'!H$8/2000</f>
        <v>0.11297530463022737</v>
      </c>
      <c r="W78" s="296">
        <f>$P78*'RAIL EMIS FACTOR'!I$8/2000</f>
        <v>1.9428629554128201E-3</v>
      </c>
      <c r="X78" s="301">
        <f>$P78*'RAIL EMIS FACTOR'!J$8/2000</f>
        <v>238.29817238676932</v>
      </c>
    </row>
    <row r="79" spans="1:24" x14ac:dyDescent="0.25">
      <c r="A79" s="294">
        <v>3</v>
      </c>
      <c r="B79" s="107" t="s">
        <v>738</v>
      </c>
      <c r="C79" s="360" t="s">
        <v>781</v>
      </c>
      <c r="D79" s="360" t="s">
        <v>68</v>
      </c>
      <c r="E79" s="360">
        <v>32.799999999999997</v>
      </c>
      <c r="F79" s="360" t="s">
        <v>877</v>
      </c>
      <c r="G79" s="360">
        <v>28</v>
      </c>
      <c r="H79" s="101">
        <v>34023</v>
      </c>
      <c r="I79" s="360" t="s">
        <v>738</v>
      </c>
      <c r="J79" s="360">
        <v>4.8</v>
      </c>
      <c r="K79" s="360">
        <v>0.5</v>
      </c>
      <c r="L79" s="261">
        <f>(J79*K79*1000000)</f>
        <v>2400000</v>
      </c>
      <c r="M79" s="360">
        <f>L79/SUM($L$76:$L$80)</f>
        <v>0.1797752808988764</v>
      </c>
      <c r="N79" s="360" t="s">
        <v>424</v>
      </c>
      <c r="O79" s="101">
        <v>34023</v>
      </c>
      <c r="P79" s="296">
        <f>63373*M79</f>
        <v>11392.898876404493</v>
      </c>
      <c r="Q79" s="296">
        <f>$P79*'RAIL EMIS FACTOR'!C$8/2000</f>
        <v>1.5014970427607981</v>
      </c>
      <c r="R79" s="296">
        <f>$P79*'RAIL EMIS FACTOR'!D$8/2000</f>
        <v>0.35066541461810091</v>
      </c>
      <c r="S79" s="296">
        <f>$P79*'RAIL EMIS FACTOR'!E$8/2000</f>
        <v>3.8195977403564167E-2</v>
      </c>
      <c r="T79" s="296">
        <f>$P79*'RAIL EMIS FACTOR'!F$8/2000</f>
        <v>3.705009808145724E-2</v>
      </c>
      <c r="U79" s="296">
        <f>$P79*'RAIL EMIS FACTOR'!G$8/2000</f>
        <v>1.9007183218310162E-2</v>
      </c>
      <c r="V79" s="296">
        <f>$P79*'RAIL EMIS FACTOR'!H$8/2000</f>
        <v>6.3797819085304866E-2</v>
      </c>
      <c r="W79" s="296">
        <f>$P79*'RAIL EMIS FACTOR'!I$8/2000</f>
        <v>1.0971461395272394E-3</v>
      </c>
      <c r="X79" s="301">
        <f>$P79*'RAIL EMIS FACTOR'!J$8/2000</f>
        <v>134.56837970076384</v>
      </c>
    </row>
    <row r="80" spans="1:24" x14ac:dyDescent="0.25">
      <c r="A80" s="294">
        <v>4</v>
      </c>
      <c r="B80" s="107" t="s">
        <v>738</v>
      </c>
      <c r="C80" s="360" t="s">
        <v>781</v>
      </c>
      <c r="D80" s="360" t="s">
        <v>877</v>
      </c>
      <c r="E80" s="360">
        <v>28</v>
      </c>
      <c r="F80" s="360" t="s">
        <v>738</v>
      </c>
      <c r="G80" s="360">
        <v>26.3</v>
      </c>
      <c r="H80" s="101">
        <v>34023</v>
      </c>
      <c r="I80" s="360" t="s">
        <v>738</v>
      </c>
      <c r="J80" s="360">
        <v>1.7</v>
      </c>
      <c r="K80" s="360">
        <v>0.5</v>
      </c>
      <c r="L80" s="261">
        <f>(J80*K80*1000000)</f>
        <v>850000</v>
      </c>
      <c r="M80" s="360">
        <f>L80/SUM($L$76:$L$80)</f>
        <v>6.3670411985018729E-2</v>
      </c>
      <c r="N80" s="360" t="s">
        <v>424</v>
      </c>
      <c r="O80" s="101">
        <v>34023</v>
      </c>
      <c r="P80" s="296">
        <f>63373*M80</f>
        <v>4034.985018726592</v>
      </c>
      <c r="Q80" s="296">
        <f>$P80*'RAIL EMIS FACTOR'!C$8/2000</f>
        <v>0.53178020264444947</v>
      </c>
      <c r="R80" s="296">
        <f>$P80*'RAIL EMIS FACTOR'!D$8/2000</f>
        <v>0.12419400101057741</v>
      </c>
      <c r="S80" s="296">
        <f>$P80*'RAIL EMIS FACTOR'!E$8/2000</f>
        <v>1.3527741997095643E-2</v>
      </c>
      <c r="T80" s="296">
        <f>$P80*'RAIL EMIS FACTOR'!F$8/2000</f>
        <v>1.3121909737182774E-2</v>
      </c>
      <c r="U80" s="296">
        <f>$P80*'RAIL EMIS FACTOR'!G$8/2000</f>
        <v>6.7317107231515162E-3</v>
      </c>
      <c r="V80" s="296">
        <f>$P80*'RAIL EMIS FACTOR'!H$8/2000</f>
        <v>2.2595060926045477E-2</v>
      </c>
      <c r="W80" s="296">
        <f>$P80*'RAIL EMIS FACTOR'!I$8/2000</f>
        <v>3.8857259108256403E-4</v>
      </c>
      <c r="X80" s="301">
        <f>$P80*'RAIL EMIS FACTOR'!J$8/2000</f>
        <v>47.659634477353869</v>
      </c>
    </row>
    <row r="81" spans="1:24" x14ac:dyDescent="0.25">
      <c r="A81" s="294" t="s">
        <v>772</v>
      </c>
      <c r="B81" s="360" t="s">
        <v>776</v>
      </c>
      <c r="C81" s="360" t="s">
        <v>878</v>
      </c>
      <c r="D81" s="360">
        <v>0.8</v>
      </c>
      <c r="E81" s="360" t="s">
        <v>365</v>
      </c>
      <c r="F81" s="360">
        <v>5</v>
      </c>
      <c r="G81" s="360">
        <v>34023</v>
      </c>
      <c r="H81" s="107" t="s">
        <v>879</v>
      </c>
      <c r="I81" s="360">
        <v>4.2</v>
      </c>
      <c r="J81" s="360">
        <v>0.2</v>
      </c>
      <c r="K81" s="261">
        <f t="shared" ref="K81:K87" si="8">(I81*J81*1000000)</f>
        <v>840000.00000000012</v>
      </c>
      <c r="L81" s="296">
        <f t="shared" ref="L81:L87" si="9">K81</f>
        <v>840000.00000000012</v>
      </c>
      <c r="M81" s="360">
        <f>L81/SUM($L$81:$L$87)</f>
        <v>0.13131976362442549</v>
      </c>
      <c r="N81" s="360" t="s">
        <v>424</v>
      </c>
      <c r="O81" s="360">
        <v>34023</v>
      </c>
      <c r="P81" s="360">
        <f>150899*M81</f>
        <v>19816.021011162182</v>
      </c>
      <c r="Q81" s="296">
        <f>$P81*'RAIL EMIS FACTOR'!C$8/2000</f>
        <v>2.6116001967829177</v>
      </c>
      <c r="R81" s="296">
        <f>$P81*'RAIL EMIS FACTOR'!D$8/2000</f>
        <v>0.60992318981709137</v>
      </c>
      <c r="S81" s="296">
        <f>$P81*'RAIL EMIS FACTOR'!E$8/2000</f>
        <v>6.6435443602372468E-2</v>
      </c>
      <c r="T81" s="296">
        <f>$P81*'RAIL EMIS FACTOR'!F$8/2000</f>
        <v>6.4442380294301299E-2</v>
      </c>
      <c r="U81" s="296">
        <f>$P81*'RAIL EMIS FACTOR'!G$8/2000</f>
        <v>3.3059781018253895E-2</v>
      </c>
      <c r="V81" s="296">
        <f>$P81*'RAIL EMIS FACTOR'!H$8/2000</f>
        <v>0.11096551783488683</v>
      </c>
      <c r="W81" s="296">
        <f>$P81*'RAIL EMIS FACTOR'!I$8/2000</f>
        <v>1.9083001779480865E-3</v>
      </c>
      <c r="X81" s="301">
        <f>$P81*'RAIL EMIS FACTOR'!J$8/2000</f>
        <v>234.05894044325504</v>
      </c>
    </row>
    <row r="82" spans="1:24" x14ac:dyDescent="0.25">
      <c r="A82" s="294" t="s">
        <v>773</v>
      </c>
      <c r="B82" s="360" t="s">
        <v>776</v>
      </c>
      <c r="C82" s="360" t="s">
        <v>365</v>
      </c>
      <c r="D82" s="360">
        <v>5</v>
      </c>
      <c r="E82" s="360" t="s">
        <v>880</v>
      </c>
      <c r="F82" s="360">
        <v>16.600000000000001</v>
      </c>
      <c r="G82" s="360">
        <v>34025</v>
      </c>
      <c r="H82" s="107" t="s">
        <v>879</v>
      </c>
      <c r="I82" s="360">
        <v>11.6</v>
      </c>
      <c r="J82" s="360">
        <v>0.2</v>
      </c>
      <c r="K82" s="261">
        <f t="shared" si="8"/>
        <v>2320000</v>
      </c>
      <c r="L82" s="296">
        <f t="shared" si="9"/>
        <v>2320000</v>
      </c>
      <c r="M82" s="360">
        <f t="shared" ref="M82:M87" si="10">L82/SUM($L$81:$L$87)</f>
        <v>0.36269268048650843</v>
      </c>
      <c r="N82" s="360" t="s">
        <v>430</v>
      </c>
      <c r="O82" s="360">
        <v>34025</v>
      </c>
      <c r="P82" s="360">
        <f t="shared" ref="P82:P87" si="11">150899*M82</f>
        <v>54729.962792733633</v>
      </c>
      <c r="Q82" s="296">
        <f>$P82*'RAIL EMIS FACTOR'!C$8/2000</f>
        <v>7.212991019686152</v>
      </c>
      <c r="R82" s="296">
        <f>$P82*'RAIL EMIS FACTOR'!D$8/2000</f>
        <v>1.6845497623519663</v>
      </c>
      <c r="S82" s="296">
        <f>$P82*'RAIL EMIS FACTOR'!E$8/2000</f>
        <v>0.18348836804464777</v>
      </c>
      <c r="T82" s="296">
        <f>$P82*'RAIL EMIS FACTOR'!F$8/2000</f>
        <v>0.17798371700330831</v>
      </c>
      <c r="U82" s="296">
        <f>$P82*'RAIL EMIS FACTOR'!G$8/2000</f>
        <v>9.1307966621844053E-2</v>
      </c>
      <c r="V82" s="296">
        <f>$P82*'RAIL EMIS FACTOR'!H$8/2000</f>
        <v>0.30647619211540167</v>
      </c>
      <c r="W82" s="296">
        <f>$P82*'RAIL EMIS FACTOR'!I$8/2000</f>
        <v>5.2705433486185246E-3</v>
      </c>
      <c r="X82" s="301">
        <f>$P82*'RAIL EMIS FACTOR'!J$8/2000</f>
        <v>646.44850217660905</v>
      </c>
    </row>
    <row r="83" spans="1:24" x14ac:dyDescent="0.25">
      <c r="A83" s="294">
        <v>6</v>
      </c>
      <c r="B83" s="360" t="s">
        <v>881</v>
      </c>
      <c r="C83" s="360" t="s">
        <v>880</v>
      </c>
      <c r="D83" s="360">
        <v>38.299999999999997</v>
      </c>
      <c r="E83" s="360" t="s">
        <v>882</v>
      </c>
      <c r="F83" s="360">
        <v>50.7</v>
      </c>
      <c r="G83" s="360">
        <v>34025</v>
      </c>
      <c r="H83" s="107" t="s">
        <v>879</v>
      </c>
      <c r="I83" s="360">
        <v>12.4</v>
      </c>
      <c r="J83" s="360">
        <v>0.2</v>
      </c>
      <c r="K83" s="261">
        <f t="shared" si="8"/>
        <v>2480000.0000000005</v>
      </c>
      <c r="L83" s="296">
        <f t="shared" si="9"/>
        <v>2480000.0000000005</v>
      </c>
      <c r="M83" s="360">
        <f t="shared" si="10"/>
        <v>0.3877059687959229</v>
      </c>
      <c r="N83" s="360" t="s">
        <v>430</v>
      </c>
      <c r="O83" s="360">
        <v>34025</v>
      </c>
      <c r="P83" s="360">
        <f t="shared" si="11"/>
        <v>58504.442985335969</v>
      </c>
      <c r="Q83" s="296">
        <f>$P83*'RAIL EMIS FACTOR'!C$8/2000</f>
        <v>7.710438676216234</v>
      </c>
      <c r="R83" s="296">
        <f>$P83*'RAIL EMIS FACTOR'!D$8/2000</f>
        <v>1.8007256080314127</v>
      </c>
      <c r="S83" s="296">
        <f>$P83*'RAIL EMIS FACTOR'!E$8/2000</f>
        <v>0.1961427382546235</v>
      </c>
      <c r="T83" s="296">
        <f>$P83*'RAIL EMIS FACTOR'!F$8/2000</f>
        <v>0.1902584561069848</v>
      </c>
      <c r="U83" s="296">
        <f>$P83*'RAIL EMIS FACTOR'!G$8/2000</f>
        <v>9.7605067768178164E-2</v>
      </c>
      <c r="V83" s="296">
        <f>$P83*'RAIL EMIS FACTOR'!H$8/2000</f>
        <v>0.32761248122680869</v>
      </c>
      <c r="W83" s="296">
        <f>$P83*'RAIL EMIS FACTOR'!I$8/2000</f>
        <v>5.6340290967991135E-3</v>
      </c>
      <c r="X83" s="301">
        <f>$P83*'RAIL EMIS FACTOR'!J$8/2000</f>
        <v>691.031157499134</v>
      </c>
    </row>
    <row r="84" spans="1:24" x14ac:dyDescent="0.25">
      <c r="A84" s="294" t="s">
        <v>374</v>
      </c>
      <c r="B84" s="360" t="s">
        <v>881</v>
      </c>
      <c r="C84" s="360" t="s">
        <v>882</v>
      </c>
      <c r="D84" s="360">
        <v>50.7</v>
      </c>
      <c r="E84" s="360" t="s">
        <v>883</v>
      </c>
      <c r="F84" s="360">
        <v>56.6</v>
      </c>
      <c r="G84" s="360">
        <v>34025</v>
      </c>
      <c r="H84" s="107" t="s">
        <v>879</v>
      </c>
      <c r="I84" s="360">
        <v>5.9</v>
      </c>
      <c r="J84" s="360">
        <v>0.1</v>
      </c>
      <c r="K84" s="261">
        <f t="shared" si="8"/>
        <v>590000.00000000012</v>
      </c>
      <c r="L84" s="296">
        <f t="shared" si="9"/>
        <v>590000.00000000012</v>
      </c>
      <c r="M84" s="360">
        <f t="shared" si="10"/>
        <v>9.223650064096553E-2</v>
      </c>
      <c r="N84" s="360" t="s">
        <v>430</v>
      </c>
      <c r="O84" s="360">
        <v>34025</v>
      </c>
      <c r="P84" s="360">
        <f t="shared" si="11"/>
        <v>13918.395710221057</v>
      </c>
      <c r="Q84" s="296">
        <f>$P84*'RAIL EMIS FACTOR'!C$8/2000</f>
        <v>1.8343382334546683</v>
      </c>
      <c r="R84" s="296">
        <f>$P84*'RAIL EMIS FACTOR'!D$8/2000</f>
        <v>0.4283984309429571</v>
      </c>
      <c r="S84" s="296">
        <f>$P84*'RAIL EMIS FACTOR'!E$8/2000</f>
        <v>4.6662990149285433E-2</v>
      </c>
      <c r="T84" s="296">
        <f>$P84*'RAIL EMIS FACTOR'!F$8/2000</f>
        <v>4.5263100444806866E-2</v>
      </c>
      <c r="U84" s="296">
        <f>$P84*'RAIL EMIS FACTOR'!G$8/2000</f>
        <v>2.32205604771069E-2</v>
      </c>
      <c r="V84" s="296">
        <f>$P84*'RAIL EMIS FACTOR'!H$8/2000</f>
        <v>7.794006609831336E-2</v>
      </c>
      <c r="W84" s="296">
        <f>$P84*'RAIL EMIS FACTOR'!I$8/2000</f>
        <v>1.3403536964159183E-3</v>
      </c>
      <c r="X84" s="301">
        <f>$P84*'RAIL EMIS FACTOR'!J$8/2000</f>
        <v>164.39854150181012</v>
      </c>
    </row>
    <row r="85" spans="1:24" x14ac:dyDescent="0.25">
      <c r="A85" s="294" t="s">
        <v>375</v>
      </c>
      <c r="B85" s="360" t="s">
        <v>881</v>
      </c>
      <c r="C85" s="360" t="s">
        <v>883</v>
      </c>
      <c r="D85" s="360">
        <v>56.6</v>
      </c>
      <c r="E85" s="360" t="s">
        <v>884</v>
      </c>
      <c r="F85" s="360">
        <v>57.9</v>
      </c>
      <c r="G85" s="360">
        <v>34029</v>
      </c>
      <c r="H85" s="107" t="s">
        <v>879</v>
      </c>
      <c r="I85" s="360">
        <v>1.3</v>
      </c>
      <c r="J85" s="360">
        <v>0.1</v>
      </c>
      <c r="K85" s="261">
        <f t="shared" si="8"/>
        <v>130000</v>
      </c>
      <c r="L85" s="296">
        <f t="shared" si="9"/>
        <v>130000</v>
      </c>
      <c r="M85" s="360">
        <f t="shared" si="10"/>
        <v>2.032329675139918E-2</v>
      </c>
      <c r="N85" s="360" t="s">
        <v>263</v>
      </c>
      <c r="O85" s="360">
        <v>34029</v>
      </c>
      <c r="P85" s="360">
        <f t="shared" si="11"/>
        <v>3066.7651564893849</v>
      </c>
      <c r="Q85" s="296">
        <f>$P85*'RAIL EMIS FACTOR'!C$8/2000</f>
        <v>0.40417622093068956</v>
      </c>
      <c r="R85" s="296">
        <f>$P85*'RAIL EMIS FACTOR'!D$8/2000</f>
        <v>9.4392874614549857E-2</v>
      </c>
      <c r="S85" s="296">
        <f>$P85*'RAIL EMIS FACTOR'!E$8/2000</f>
        <v>1.0281675795605263E-2</v>
      </c>
      <c r="T85" s="296">
        <f>$P85*'RAIL EMIS FACTOR'!F$8/2000</f>
        <v>9.9732255217371037E-3</v>
      </c>
      <c r="U85" s="296">
        <f>$P85*'RAIL EMIS FACTOR'!G$8/2000</f>
        <v>5.1163946813964347E-3</v>
      </c>
      <c r="V85" s="296">
        <f>$P85*'RAIL EMIS FACTOR'!H$8/2000</f>
        <v>1.7173234903018197E-2</v>
      </c>
      <c r="W85" s="296">
        <f>$P85*'RAIL EMIS FACTOR'!I$8/2000</f>
        <v>2.9533217039672764E-4</v>
      </c>
      <c r="X85" s="301">
        <f>$P85*'RAIL EMIS FACTOR'!J$8/2000</f>
        <v>36.223407449551374</v>
      </c>
    </row>
    <row r="86" spans="1:24" x14ac:dyDescent="0.25">
      <c r="A86" s="294">
        <v>8</v>
      </c>
      <c r="B86" s="360" t="s">
        <v>881</v>
      </c>
      <c r="C86" s="360" t="s">
        <v>884</v>
      </c>
      <c r="D86" s="360">
        <v>57.9</v>
      </c>
      <c r="E86" s="360" t="s">
        <v>885</v>
      </c>
      <c r="F86" s="360">
        <v>65.900000000000006</v>
      </c>
      <c r="G86" s="360">
        <v>34029</v>
      </c>
      <c r="H86" s="107" t="s">
        <v>879</v>
      </c>
      <c r="I86" s="360">
        <v>8.0000000000000071</v>
      </c>
      <c r="J86" s="360">
        <v>3.0000000000000001E-3</v>
      </c>
      <c r="K86" s="261">
        <f t="shared" si="8"/>
        <v>24000.000000000022</v>
      </c>
      <c r="L86" s="296">
        <f t="shared" si="9"/>
        <v>24000.000000000022</v>
      </c>
      <c r="M86" s="360">
        <f t="shared" si="10"/>
        <v>3.7519932464121597E-3</v>
      </c>
      <c r="N86" s="360" t="s">
        <v>263</v>
      </c>
      <c r="O86" s="360">
        <v>34029</v>
      </c>
      <c r="P86" s="360">
        <f t="shared" si="11"/>
        <v>566.17202889034843</v>
      </c>
      <c r="Q86" s="296">
        <f>$P86*'RAIL EMIS FACTOR'!C$8/2000</f>
        <v>7.461714847951198E-2</v>
      </c>
      <c r="R86" s="296">
        <f>$P86*'RAIL EMIS FACTOR'!D$8/2000</f>
        <v>1.7426376851916909E-2</v>
      </c>
      <c r="S86" s="296">
        <f>$P86*'RAIL EMIS FACTOR'!E$8/2000</f>
        <v>1.8981555314963577E-3</v>
      </c>
      <c r="T86" s="296">
        <f>$P86*'RAIL EMIS FACTOR'!F$8/2000</f>
        <v>1.8412108655514669E-3</v>
      </c>
      <c r="U86" s="296">
        <f>$P86*'RAIL EMIS FACTOR'!G$8/2000</f>
        <v>9.4456517195011178E-4</v>
      </c>
      <c r="V86" s="296">
        <f>$P86*'RAIL EMIS FACTOR'!H$8/2000</f>
        <v>3.1704433667110541E-3</v>
      </c>
      <c r="W86" s="296">
        <f>$P86*'RAIL EMIS FACTOR'!I$8/2000</f>
        <v>5.4522862227088227E-5</v>
      </c>
      <c r="X86" s="301">
        <f>$P86*'RAIL EMIS FACTOR'!J$8/2000</f>
        <v>6.6873982983787199</v>
      </c>
    </row>
    <row r="87" spans="1:24" x14ac:dyDescent="0.25">
      <c r="A87" s="294">
        <v>9</v>
      </c>
      <c r="B87" s="360" t="s">
        <v>886</v>
      </c>
      <c r="C87" s="360" t="s">
        <v>885</v>
      </c>
      <c r="D87" s="360">
        <v>0</v>
      </c>
      <c r="E87" s="360" t="s">
        <v>887</v>
      </c>
      <c r="F87" s="360">
        <v>4.2</v>
      </c>
      <c r="G87" s="360">
        <v>34029</v>
      </c>
      <c r="H87" s="107" t="s">
        <v>879</v>
      </c>
      <c r="I87" s="360">
        <v>4.2</v>
      </c>
      <c r="J87" s="360">
        <v>3.0000000000000001E-3</v>
      </c>
      <c r="K87" s="261">
        <f t="shared" si="8"/>
        <v>12600</v>
      </c>
      <c r="L87" s="296">
        <f t="shared" si="9"/>
        <v>12600</v>
      </c>
      <c r="M87" s="360">
        <f t="shared" si="10"/>
        <v>1.969796454366382E-3</v>
      </c>
      <c r="N87" s="107" t="s">
        <v>263</v>
      </c>
      <c r="O87" s="360">
        <v>34029</v>
      </c>
      <c r="P87" s="360">
        <f t="shared" si="11"/>
        <v>297.2403151674327</v>
      </c>
      <c r="Q87" s="296">
        <f>$P87*'RAIL EMIS FACTOR'!C$8/2000</f>
        <v>3.917400295174376E-2</v>
      </c>
      <c r="R87" s="296">
        <f>$P87*'RAIL EMIS FACTOR'!D$8/2000</f>
        <v>9.1488478472563691E-3</v>
      </c>
      <c r="S87" s="296">
        <f>$P87*'RAIL EMIS FACTOR'!E$8/2000</f>
        <v>9.9653165403558691E-4</v>
      </c>
      <c r="T87" s="296">
        <f>$P87*'RAIL EMIS FACTOR'!F$8/2000</f>
        <v>9.6663570441451942E-4</v>
      </c>
      <c r="U87" s="296">
        <f>$P87*'RAIL EMIS FACTOR'!G$8/2000</f>
        <v>4.9589671527380829E-4</v>
      </c>
      <c r="V87" s="296">
        <f>$P87*'RAIL EMIS FACTOR'!H$8/2000</f>
        <v>1.6644827675233022E-3</v>
      </c>
      <c r="W87" s="296">
        <f>$P87*'RAIL EMIS FACTOR'!I$8/2000</f>
        <v>2.8624502669221296E-5</v>
      </c>
      <c r="X87" s="301">
        <f>$P87*'RAIL EMIS FACTOR'!J$8/2000</f>
        <v>3.5108841066488252</v>
      </c>
    </row>
    <row r="88" spans="1:24" ht="15.75" thickBot="1" x14ac:dyDescent="0.3">
      <c r="A88" s="482"/>
      <c r="B88" s="299"/>
      <c r="C88" s="299"/>
      <c r="D88" s="299"/>
      <c r="E88" s="299"/>
      <c r="F88" s="299"/>
      <c r="G88" s="299"/>
      <c r="H88" s="299"/>
      <c r="I88" s="299"/>
      <c r="J88" s="299"/>
      <c r="K88" s="299"/>
      <c r="L88" s="170"/>
      <c r="M88" s="299"/>
      <c r="N88" s="299"/>
      <c r="O88" s="299" t="s">
        <v>119</v>
      </c>
      <c r="P88" s="483">
        <f>SUM(P3:P87)</f>
        <v>3120059.0000000005</v>
      </c>
      <c r="Q88" s="170">
        <f>SUM(Q3:Q87)</f>
        <v>411.19994239935585</v>
      </c>
      <c r="R88" s="170">
        <f t="shared" ref="R88:X88" si="12">SUM(R3:R87)</f>
        <v>96.033221635442558</v>
      </c>
      <c r="S88" s="170">
        <f t="shared" si="12"/>
        <v>10.460349411913437</v>
      </c>
      <c r="T88" s="170">
        <f t="shared" si="12"/>
        <v>10.146538929556041</v>
      </c>
      <c r="U88" s="170">
        <f t="shared" si="12"/>
        <v>5.2053067185349482</v>
      </c>
      <c r="V88" s="170">
        <f t="shared" si="12"/>
        <v>17.471669131526308</v>
      </c>
      <c r="W88" s="170">
        <f t="shared" si="12"/>
        <v>0.30046441420074649</v>
      </c>
      <c r="X88" s="308">
        <f t="shared" si="12"/>
        <v>36852.893083282637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2"/>
  <sheetViews>
    <sheetView workbookViewId="0">
      <selection activeCell="A3" sqref="A3"/>
    </sheetView>
  </sheetViews>
  <sheetFormatPr defaultRowHeight="15" x14ac:dyDescent="0.25"/>
  <cols>
    <col min="1" max="1" width="24.42578125" customWidth="1"/>
    <col min="2" max="2" width="15.5703125" customWidth="1"/>
    <col min="3" max="3" width="15.42578125" customWidth="1"/>
    <col min="4" max="4" width="10.42578125" customWidth="1"/>
    <col min="5" max="5" width="11.85546875" customWidth="1"/>
    <col min="6" max="6" width="11" customWidth="1"/>
    <col min="7" max="7" width="9.85546875" customWidth="1"/>
    <col min="8" max="8" width="16.5703125" customWidth="1"/>
    <col min="9" max="9" width="12.85546875" customWidth="1"/>
    <col min="10" max="10" width="10.42578125" customWidth="1"/>
    <col min="11" max="11" width="11.42578125" customWidth="1"/>
    <col min="12" max="12" width="10.5703125" customWidth="1"/>
    <col min="13" max="13" width="12.5703125" customWidth="1"/>
    <col min="14" max="14" width="11.42578125" customWidth="1"/>
    <col min="15" max="15" width="10.5703125" customWidth="1"/>
    <col min="16" max="16" width="10.42578125" customWidth="1"/>
    <col min="17" max="17" width="9.5703125" bestFit="1" customWidth="1"/>
  </cols>
  <sheetData>
    <row r="2" spans="1:2" ht="18" thickBot="1" x14ac:dyDescent="0.3">
      <c r="A2" s="31" t="s">
        <v>990</v>
      </c>
      <c r="B2" s="31"/>
    </row>
    <row r="3" spans="1:2" x14ac:dyDescent="0.25">
      <c r="A3" s="250" t="s">
        <v>85</v>
      </c>
      <c r="B3" s="251">
        <v>113581</v>
      </c>
    </row>
    <row r="4" spans="1:2" x14ac:dyDescent="0.25">
      <c r="A4" s="306" t="s">
        <v>83</v>
      </c>
      <c r="B4" s="301">
        <v>85012</v>
      </c>
    </row>
    <row r="5" spans="1:2" x14ac:dyDescent="0.25">
      <c r="A5" s="306" t="s">
        <v>713</v>
      </c>
      <c r="B5" s="301">
        <v>4098289</v>
      </c>
    </row>
    <row r="6" spans="1:2" x14ac:dyDescent="0.25">
      <c r="A6" s="306" t="s">
        <v>714</v>
      </c>
      <c r="B6" s="301">
        <v>141166</v>
      </c>
    </row>
    <row r="7" spans="1:2" x14ac:dyDescent="0.25">
      <c r="A7" s="306" t="s">
        <v>715</v>
      </c>
      <c r="B7" s="301">
        <v>145860</v>
      </c>
    </row>
    <row r="8" spans="1:2" x14ac:dyDescent="0.25">
      <c r="A8" s="306" t="s">
        <v>337</v>
      </c>
      <c r="B8" s="301">
        <v>89796</v>
      </c>
    </row>
    <row r="9" spans="1:2" x14ac:dyDescent="0.25">
      <c r="A9" s="306" t="s">
        <v>84</v>
      </c>
      <c r="B9" s="301">
        <v>63373</v>
      </c>
    </row>
    <row r="10" spans="1:2" x14ac:dyDescent="0.25">
      <c r="A10" s="306" t="s">
        <v>631</v>
      </c>
      <c r="B10" s="301">
        <v>17394</v>
      </c>
    </row>
    <row r="11" spans="1:2" x14ac:dyDescent="0.25">
      <c r="A11" s="306" t="s">
        <v>330</v>
      </c>
      <c r="B11" s="301">
        <v>392953</v>
      </c>
    </row>
    <row r="12" spans="1:2" x14ac:dyDescent="0.25">
      <c r="A12" s="306" t="s">
        <v>247</v>
      </c>
      <c r="B12" s="301">
        <v>291745</v>
      </c>
    </row>
    <row r="13" spans="1:2" x14ac:dyDescent="0.25">
      <c r="A13" s="306" t="s">
        <v>716</v>
      </c>
      <c r="B13" s="301">
        <v>76487</v>
      </c>
    </row>
    <row r="14" spans="1:2" x14ac:dyDescent="0.25">
      <c r="A14" s="306" t="s">
        <v>717</v>
      </c>
      <c r="B14" s="301">
        <v>199197</v>
      </c>
    </row>
    <row r="15" spans="1:2" ht="15.75" thickBot="1" x14ac:dyDescent="0.3">
      <c r="A15" s="307" t="s">
        <v>249</v>
      </c>
      <c r="B15" s="308">
        <v>122884</v>
      </c>
    </row>
    <row r="16" spans="1:2" x14ac:dyDescent="0.25">
      <c r="A16" s="250" t="s">
        <v>718</v>
      </c>
      <c r="B16" s="251">
        <v>150899</v>
      </c>
    </row>
    <row r="17" spans="1:21" x14ac:dyDescent="0.25">
      <c r="A17" s="306" t="s">
        <v>88</v>
      </c>
      <c r="B17" s="301">
        <v>48801</v>
      </c>
    </row>
    <row r="18" spans="1:21" x14ac:dyDescent="0.25">
      <c r="A18" s="306" t="s">
        <v>87</v>
      </c>
      <c r="B18" s="301">
        <v>838730</v>
      </c>
    </row>
    <row r="19" spans="1:21" ht="15.75" thickBot="1" x14ac:dyDescent="0.3">
      <c r="A19" s="307" t="s">
        <v>86</v>
      </c>
      <c r="B19" s="308">
        <v>75964</v>
      </c>
    </row>
    <row r="20" spans="1:21" x14ac:dyDescent="0.25">
      <c r="A20" s="413" t="s">
        <v>119</v>
      </c>
      <c r="B20" s="7">
        <f>SUM(B3:B19)</f>
        <v>6952131</v>
      </c>
    </row>
    <row r="21" spans="1:21" ht="17.25" x14ac:dyDescent="0.25">
      <c r="A21" s="413" t="s">
        <v>989</v>
      </c>
      <c r="B21" s="7"/>
    </row>
    <row r="22" spans="1:21" ht="15" customHeight="1" x14ac:dyDescent="0.25">
      <c r="A22" s="139" t="s">
        <v>991</v>
      </c>
      <c r="B22" s="139"/>
      <c r="I22" s="6"/>
      <c r="J22" s="6"/>
      <c r="K22" s="6"/>
      <c r="L22" s="6"/>
      <c r="M22" s="6"/>
      <c r="N22" s="6"/>
      <c r="O22" s="6"/>
      <c r="P22" s="6"/>
      <c r="Q22" s="6"/>
      <c r="R22" s="6"/>
      <c r="S22" s="6"/>
      <c r="T22" s="6"/>
      <c r="U22" s="6"/>
    </row>
    <row r="23" spans="1:21" ht="17.25" customHeight="1" x14ac:dyDescent="0.25">
      <c r="A23" s="295"/>
      <c r="B23" s="295" t="s">
        <v>888</v>
      </c>
      <c r="C23" s="101" t="s">
        <v>18</v>
      </c>
      <c r="D23" s="6"/>
      <c r="E23" s="6"/>
      <c r="F23" s="6"/>
      <c r="I23" s="6"/>
      <c r="J23" s="6"/>
      <c r="K23" s="290"/>
      <c r="L23" s="6"/>
      <c r="M23" s="6"/>
      <c r="N23" s="6"/>
      <c r="O23" s="6"/>
      <c r="P23" s="6"/>
      <c r="Q23" s="6"/>
      <c r="R23" s="6"/>
      <c r="S23" s="6"/>
      <c r="T23" s="6"/>
      <c r="U23" s="6"/>
    </row>
    <row r="24" spans="1:21" ht="37.5" customHeight="1" x14ac:dyDescent="0.25">
      <c r="A24" s="309" t="s">
        <v>801</v>
      </c>
      <c r="B24" s="296">
        <v>6728</v>
      </c>
      <c r="C24" s="296"/>
      <c r="D24" s="108"/>
      <c r="E24" s="6"/>
      <c r="F24" s="6"/>
      <c r="I24" s="6"/>
      <c r="J24" s="6"/>
      <c r="K24" s="6"/>
      <c r="L24" s="6"/>
      <c r="M24" s="316"/>
      <c r="N24" s="6"/>
      <c r="O24" s="310"/>
      <c r="P24" s="310"/>
      <c r="Q24" s="277"/>
      <c r="R24" s="6"/>
      <c r="S24" s="6"/>
      <c r="T24" s="6"/>
      <c r="U24" s="6"/>
    </row>
    <row r="25" spans="1:21" ht="34.5" customHeight="1" x14ac:dyDescent="0.25">
      <c r="A25" s="309" t="s">
        <v>889</v>
      </c>
      <c r="B25" s="296">
        <v>19759</v>
      </c>
      <c r="C25" s="296">
        <v>931</v>
      </c>
      <c r="D25" s="108"/>
      <c r="E25" s="6"/>
      <c r="F25" s="6"/>
      <c r="I25" s="6"/>
      <c r="J25" s="6"/>
      <c r="K25" s="6"/>
      <c r="L25" s="6"/>
      <c r="M25" s="316"/>
      <c r="N25" s="6"/>
      <c r="O25" s="310"/>
      <c r="P25" s="277"/>
      <c r="Q25" s="6"/>
      <c r="R25" s="6"/>
      <c r="S25" s="6"/>
      <c r="T25" s="6"/>
      <c r="U25" s="6"/>
    </row>
    <row r="26" spans="1:21" ht="33.75" customHeight="1" x14ac:dyDescent="0.25">
      <c r="A26" s="309" t="s">
        <v>890</v>
      </c>
      <c r="B26" s="302">
        <f>421023522*1000</f>
        <v>421023522000</v>
      </c>
      <c r="C26" s="296">
        <f>(278323+2556085)*1000</f>
        <v>2834408000</v>
      </c>
      <c r="D26" s="108"/>
      <c r="E26" s="6"/>
      <c r="F26" s="6"/>
      <c r="I26" s="6"/>
      <c r="J26" s="6"/>
      <c r="K26" s="6"/>
      <c r="L26" s="264"/>
      <c r="M26" s="317"/>
      <c r="N26" s="6"/>
      <c r="O26" s="310"/>
      <c r="P26" s="6"/>
      <c r="Q26" s="6"/>
      <c r="R26" s="6"/>
      <c r="S26" s="6"/>
      <c r="T26" s="6"/>
      <c r="U26" s="6"/>
    </row>
    <row r="27" spans="1:21" x14ac:dyDescent="0.25">
      <c r="A27" s="295" t="s">
        <v>802</v>
      </c>
      <c r="B27" s="302">
        <f>933/21558</f>
        <v>4.3278597272474253E-2</v>
      </c>
      <c r="C27" s="296"/>
      <c r="D27" s="108"/>
      <c r="E27" s="109"/>
      <c r="F27" s="6"/>
      <c r="I27" s="6"/>
      <c r="J27" s="6"/>
      <c r="K27" s="6"/>
      <c r="L27" s="6"/>
      <c r="M27" s="316"/>
      <c r="N27" s="6"/>
      <c r="O27" s="310"/>
      <c r="P27" s="6"/>
      <c r="Q27" s="6"/>
      <c r="R27" s="6"/>
      <c r="S27" s="6"/>
      <c r="T27" s="6"/>
      <c r="U27" s="6"/>
    </row>
    <row r="28" spans="1:21" x14ac:dyDescent="0.25">
      <c r="A28" s="295" t="s">
        <v>803</v>
      </c>
      <c r="B28" s="302"/>
      <c r="C28" s="295"/>
      <c r="D28" s="108"/>
      <c r="E28" s="6"/>
      <c r="F28" s="6"/>
      <c r="I28" s="6"/>
      <c r="J28" s="6"/>
      <c r="K28" s="6"/>
      <c r="L28" s="6"/>
      <c r="M28" s="316"/>
      <c r="N28" s="6"/>
      <c r="O28" s="310"/>
      <c r="P28" s="277"/>
      <c r="Q28" s="6"/>
      <c r="R28" s="6"/>
      <c r="S28" s="6"/>
      <c r="T28" s="6"/>
      <c r="U28" s="6"/>
    </row>
    <row r="29" spans="1:21" x14ac:dyDescent="0.25">
      <c r="A29" s="295" t="s">
        <v>804</v>
      </c>
      <c r="B29" s="302"/>
      <c r="C29" s="296"/>
      <c r="D29" s="314"/>
      <c r="E29" s="6"/>
      <c r="F29" s="6"/>
      <c r="I29" s="6"/>
      <c r="J29" s="6"/>
      <c r="K29" s="6"/>
      <c r="L29" s="290"/>
      <c r="M29" s="317"/>
      <c r="N29" s="6"/>
      <c r="O29" s="310"/>
      <c r="P29" s="6"/>
      <c r="Q29" s="6"/>
      <c r="R29" s="6"/>
      <c r="S29" s="6"/>
      <c r="T29" s="6"/>
      <c r="U29" s="6"/>
    </row>
    <row r="30" spans="1:21" x14ac:dyDescent="0.25">
      <c r="A30" s="295" t="s">
        <v>805</v>
      </c>
      <c r="B30" s="296"/>
      <c r="C30" s="296"/>
      <c r="D30" s="108"/>
      <c r="E30" s="6"/>
      <c r="F30" s="6"/>
      <c r="I30" s="6"/>
      <c r="J30" s="6"/>
      <c r="K30" s="6"/>
      <c r="L30" s="6"/>
      <c r="M30" s="317"/>
      <c r="N30" s="6"/>
      <c r="O30" s="310"/>
      <c r="P30" s="6"/>
      <c r="Q30" s="277"/>
      <c r="R30" s="6"/>
      <c r="S30" s="6"/>
      <c r="T30" s="6"/>
      <c r="U30" s="6"/>
    </row>
    <row r="31" spans="1:21" x14ac:dyDescent="0.25">
      <c r="A31" s="295" t="s">
        <v>806</v>
      </c>
      <c r="B31" s="302">
        <f>B30+B29</f>
        <v>0</v>
      </c>
      <c r="C31" s="296"/>
      <c r="D31" s="108"/>
      <c r="E31" s="6"/>
      <c r="F31" s="6"/>
      <c r="I31" s="6"/>
      <c r="J31" s="6"/>
      <c r="K31" s="6"/>
      <c r="L31" s="6"/>
      <c r="M31" s="317"/>
      <c r="N31" s="6"/>
      <c r="O31" s="310"/>
      <c r="P31" s="6"/>
      <c r="Q31" s="6"/>
      <c r="R31" s="6"/>
      <c r="S31" s="6"/>
      <c r="T31" s="6"/>
      <c r="U31" s="6"/>
    </row>
    <row r="32" spans="1:21" x14ac:dyDescent="0.25">
      <c r="A32" s="295" t="s">
        <v>807</v>
      </c>
      <c r="B32" s="296">
        <f>463454201</f>
        <v>463454201</v>
      </c>
      <c r="C32" s="110">
        <f>C26/B35</f>
        <v>3120059.1565713231</v>
      </c>
      <c r="D32" s="108"/>
      <c r="E32" s="6"/>
      <c r="F32" s="6"/>
      <c r="I32" s="6"/>
      <c r="J32" s="6"/>
      <c r="K32" s="6"/>
      <c r="L32" s="6"/>
      <c r="M32" s="317"/>
      <c r="N32" s="6"/>
      <c r="O32" s="310"/>
      <c r="P32" s="6"/>
      <c r="Q32" s="6"/>
      <c r="R32" s="6"/>
      <c r="S32" s="6"/>
      <c r="T32" s="6"/>
      <c r="U32" s="6"/>
    </row>
    <row r="33" spans="1:21" x14ac:dyDescent="0.25">
      <c r="A33" s="295" t="s">
        <v>808</v>
      </c>
      <c r="B33" s="296">
        <v>30547002</v>
      </c>
      <c r="C33" s="296"/>
      <c r="D33" s="315"/>
      <c r="E33" s="6"/>
      <c r="F33" s="6"/>
      <c r="I33" s="6"/>
      <c r="J33" s="6"/>
      <c r="K33" s="6"/>
      <c r="L33" s="6"/>
      <c r="M33" s="317"/>
      <c r="N33" s="6"/>
      <c r="O33" s="310"/>
      <c r="P33" s="6"/>
      <c r="Q33" s="6"/>
      <c r="R33" s="6"/>
      <c r="S33" s="6"/>
      <c r="T33" s="6"/>
      <c r="U33" s="6"/>
    </row>
    <row r="34" spans="1:21" x14ac:dyDescent="0.25">
      <c r="A34" s="295" t="s">
        <v>119</v>
      </c>
      <c r="B34" s="302">
        <f>SUM(B32:B33)</f>
        <v>494001203</v>
      </c>
      <c r="C34" s="296"/>
      <c r="D34" s="108"/>
      <c r="E34" s="6"/>
      <c r="F34" s="6"/>
      <c r="I34" s="6"/>
      <c r="J34" s="6"/>
      <c r="K34" s="6"/>
      <c r="L34" s="6"/>
      <c r="M34" s="317"/>
      <c r="N34" s="6"/>
      <c r="O34" s="310"/>
      <c r="P34" s="6"/>
      <c r="Q34" s="6"/>
      <c r="R34" s="6"/>
      <c r="S34" s="6"/>
      <c r="T34" s="6"/>
      <c r="U34" s="6"/>
    </row>
    <row r="35" spans="1:21" x14ac:dyDescent="0.25">
      <c r="A35" s="295" t="s">
        <v>948</v>
      </c>
      <c r="B35" s="296">
        <f>B26/B32</f>
        <v>908.44687801200882</v>
      </c>
      <c r="C35" s="296"/>
      <c r="D35" s="108"/>
      <c r="E35" s="6"/>
      <c r="F35" s="6"/>
      <c r="I35" s="6"/>
      <c r="J35" s="6"/>
      <c r="K35" s="6"/>
      <c r="L35" s="6"/>
      <c r="M35" s="317"/>
      <c r="N35" s="6"/>
      <c r="O35" s="310"/>
      <c r="P35" s="6"/>
      <c r="Q35" s="6"/>
      <c r="R35" s="6"/>
      <c r="S35" s="6"/>
      <c r="T35" s="6"/>
      <c r="U35" s="6"/>
    </row>
    <row r="36" spans="1:21" x14ac:dyDescent="0.25">
      <c r="A36" s="312"/>
      <c r="B36" s="313"/>
      <c r="C36" s="313"/>
      <c r="D36" s="108"/>
      <c r="E36" s="6"/>
      <c r="F36" s="6"/>
      <c r="I36" s="6"/>
      <c r="J36" s="6"/>
      <c r="K36" s="6"/>
      <c r="L36" s="6"/>
      <c r="M36" s="317"/>
      <c r="N36" s="6"/>
      <c r="O36" s="310"/>
      <c r="P36" s="6"/>
      <c r="Q36" s="6"/>
      <c r="R36" s="6"/>
      <c r="S36" s="6"/>
      <c r="T36" s="6"/>
      <c r="U36" s="6"/>
    </row>
    <row r="37" spans="1:21" x14ac:dyDescent="0.25">
      <c r="A37" s="6"/>
      <c r="B37" s="108"/>
      <c r="C37" s="108"/>
      <c r="D37" s="108"/>
      <c r="E37" s="6"/>
      <c r="F37" s="6"/>
      <c r="I37" s="6"/>
      <c r="J37" s="6"/>
      <c r="K37" s="6"/>
      <c r="L37" s="6"/>
      <c r="M37" s="317"/>
      <c r="N37" s="6"/>
      <c r="O37" s="310"/>
      <c r="P37" s="6"/>
      <c r="Q37" s="277"/>
      <c r="R37" s="6"/>
      <c r="S37" s="6"/>
      <c r="T37" s="6"/>
      <c r="U37" s="6"/>
    </row>
    <row r="38" spans="1:21" x14ac:dyDescent="0.25">
      <c r="A38" s="177" t="s">
        <v>992</v>
      </c>
      <c r="B38" s="108"/>
      <c r="C38" s="108"/>
      <c r="D38" s="108"/>
      <c r="E38" s="6"/>
      <c r="F38" s="6"/>
      <c r="I38" s="6"/>
      <c r="J38" s="6"/>
      <c r="K38" s="6"/>
      <c r="L38" s="277"/>
      <c r="M38" s="317"/>
      <c r="N38" s="6"/>
      <c r="O38" s="310"/>
      <c r="P38" s="6"/>
      <c r="Q38" s="277"/>
      <c r="R38" s="6"/>
      <c r="S38" s="6"/>
      <c r="T38" s="6"/>
      <c r="U38" s="6"/>
    </row>
    <row r="39" spans="1:21" x14ac:dyDescent="0.25">
      <c r="A39" s="474">
        <v>1</v>
      </c>
      <c r="B39" s="360" t="s">
        <v>85</v>
      </c>
      <c r="C39" s="261">
        <v>113581</v>
      </c>
      <c r="D39" s="296">
        <f>C39</f>
        <v>113581</v>
      </c>
      <c r="E39" s="296">
        <f>D39</f>
        <v>113581</v>
      </c>
      <c r="F39" s="10" t="s">
        <v>891</v>
      </c>
      <c r="I39" s="6"/>
      <c r="J39" s="6"/>
      <c r="K39" s="6"/>
      <c r="L39" s="6"/>
      <c r="M39" s="317"/>
      <c r="N39" s="6"/>
      <c r="O39" s="310"/>
      <c r="P39" s="6"/>
      <c r="Q39" s="6"/>
      <c r="R39" s="6"/>
      <c r="S39" s="6"/>
      <c r="T39" s="6"/>
      <c r="U39" s="6"/>
    </row>
    <row r="40" spans="1:21" x14ac:dyDescent="0.25">
      <c r="A40" s="474">
        <v>0.9</v>
      </c>
      <c r="B40" s="360" t="s">
        <v>83</v>
      </c>
      <c r="C40" s="296">
        <v>85012</v>
      </c>
      <c r="D40" s="360"/>
      <c r="E40" s="296">
        <f>C40*$D$59</f>
        <v>34889.461349248988</v>
      </c>
      <c r="F40" s="6" t="s">
        <v>953</v>
      </c>
      <c r="I40" s="6"/>
      <c r="J40" s="6"/>
      <c r="K40" s="6"/>
      <c r="L40" s="6"/>
      <c r="M40" s="317"/>
      <c r="N40" s="6"/>
      <c r="O40" s="310"/>
      <c r="P40" s="6"/>
      <c r="Q40" s="277"/>
      <c r="R40" s="6"/>
      <c r="S40" s="6"/>
      <c r="T40" s="6"/>
      <c r="U40" s="6"/>
    </row>
    <row r="41" spans="1:21" ht="15.75" customHeight="1" x14ac:dyDescent="0.25">
      <c r="A41" s="475" t="s">
        <v>136</v>
      </c>
      <c r="B41" s="360" t="s">
        <v>713</v>
      </c>
      <c r="C41" s="296">
        <v>4098289</v>
      </c>
      <c r="D41" s="360"/>
      <c r="E41" s="296">
        <f>C41*$D$59</f>
        <v>1681963.6717587197</v>
      </c>
      <c r="F41" s="6" t="s">
        <v>953</v>
      </c>
      <c r="I41" s="6"/>
      <c r="J41" s="6"/>
      <c r="K41" s="6"/>
      <c r="L41" s="264"/>
      <c r="M41" s="6"/>
      <c r="N41" s="6"/>
      <c r="O41" s="310"/>
      <c r="P41" s="310"/>
      <c r="Q41" s="310"/>
      <c r="R41" s="6"/>
      <c r="S41" s="6"/>
      <c r="T41" s="6"/>
      <c r="U41" s="6"/>
    </row>
    <row r="42" spans="1:21" ht="15.75" customHeight="1" x14ac:dyDescent="0.25">
      <c r="A42" s="474">
        <v>1</v>
      </c>
      <c r="B42" s="360" t="s">
        <v>714</v>
      </c>
      <c r="C42" s="296">
        <v>141166</v>
      </c>
      <c r="D42" s="360"/>
      <c r="E42" s="296">
        <f>C42*$D$59</f>
        <v>57935.417362585074</v>
      </c>
      <c r="F42" s="6" t="s">
        <v>953</v>
      </c>
      <c r="I42" s="6"/>
      <c r="J42" s="6"/>
      <c r="K42" s="6"/>
      <c r="L42" s="6"/>
      <c r="M42" s="6"/>
      <c r="N42" s="6"/>
      <c r="O42" s="6"/>
      <c r="P42" s="6"/>
      <c r="Q42" s="6"/>
      <c r="R42" s="6"/>
      <c r="S42" s="6"/>
      <c r="T42" s="6"/>
      <c r="U42" s="6"/>
    </row>
    <row r="43" spans="1:21" ht="16.5" customHeight="1" x14ac:dyDescent="0.25">
      <c r="A43" s="474">
        <v>0.9</v>
      </c>
      <c r="B43" s="360" t="s">
        <v>715</v>
      </c>
      <c r="C43" s="296">
        <v>145860</v>
      </c>
      <c r="D43" s="360"/>
      <c r="E43" s="296">
        <f>C43*$D$59</f>
        <v>59861.864588545817</v>
      </c>
      <c r="F43" s="6" t="s">
        <v>953</v>
      </c>
      <c r="I43" s="6"/>
      <c r="J43" s="264"/>
      <c r="K43" s="6"/>
      <c r="L43" s="6"/>
      <c r="M43" s="6"/>
      <c r="N43" s="6"/>
      <c r="O43" s="310"/>
      <c r="P43" s="6"/>
      <c r="Q43" s="6"/>
      <c r="R43" s="6"/>
      <c r="S43" s="6"/>
      <c r="T43" s="6"/>
      <c r="U43" s="6"/>
    </row>
    <row r="44" spans="1:21" ht="17.25" customHeight="1" x14ac:dyDescent="0.25">
      <c r="A44" s="475">
        <v>1</v>
      </c>
      <c r="B44" s="360" t="s">
        <v>337</v>
      </c>
      <c r="C44" s="296">
        <v>89796</v>
      </c>
      <c r="D44" s="360"/>
      <c r="E44" s="296">
        <f>C44*$D$59</f>
        <v>36852.845143240505</v>
      </c>
      <c r="F44" s="6" t="s">
        <v>953</v>
      </c>
      <c r="I44" s="6"/>
      <c r="J44" s="6"/>
      <c r="K44" s="6"/>
      <c r="L44" s="6"/>
      <c r="M44" s="6"/>
      <c r="N44" s="6"/>
      <c r="O44" s="310"/>
      <c r="P44" s="6"/>
      <c r="Q44" s="6"/>
      <c r="R44" s="6"/>
      <c r="S44" s="6"/>
      <c r="T44" s="6"/>
      <c r="U44" s="6"/>
    </row>
    <row r="45" spans="1:21" x14ac:dyDescent="0.25">
      <c r="A45" s="475">
        <v>1</v>
      </c>
      <c r="B45" s="360" t="s">
        <v>84</v>
      </c>
      <c r="C45" s="261">
        <v>63373</v>
      </c>
      <c r="D45" s="296">
        <f>C45</f>
        <v>63373</v>
      </c>
      <c r="E45" s="296">
        <f>D45</f>
        <v>63373</v>
      </c>
      <c r="F45" s="10" t="s">
        <v>892</v>
      </c>
      <c r="G45" s="109"/>
      <c r="I45" s="6"/>
      <c r="J45" s="6"/>
      <c r="K45" s="6"/>
      <c r="L45" s="6"/>
      <c r="M45" s="6"/>
      <c r="N45" s="6"/>
      <c r="O45" s="6"/>
      <c r="P45" s="6"/>
      <c r="Q45" s="6"/>
      <c r="R45" s="6"/>
      <c r="S45" s="6"/>
      <c r="T45" s="6"/>
      <c r="U45" s="6"/>
    </row>
    <row r="46" spans="1:21" x14ac:dyDescent="0.25">
      <c r="A46" s="475">
        <v>1</v>
      </c>
      <c r="B46" s="360" t="s">
        <v>631</v>
      </c>
      <c r="C46" s="296">
        <v>17394</v>
      </c>
      <c r="D46" s="360"/>
      <c r="E46" s="296">
        <f t="shared" ref="E46:E51" si="0">C46*$D$59</f>
        <v>7138.6073814148222</v>
      </c>
      <c r="F46" s="6" t="s">
        <v>953</v>
      </c>
      <c r="G46" s="109"/>
      <c r="I46" s="6"/>
      <c r="J46" s="6"/>
      <c r="K46" s="6"/>
      <c r="L46" s="6"/>
      <c r="M46" s="6"/>
      <c r="N46" s="6"/>
      <c r="O46" s="6"/>
      <c r="P46" s="6"/>
      <c r="Q46" s="6"/>
      <c r="R46" s="6"/>
      <c r="S46" s="6"/>
      <c r="T46" s="6"/>
      <c r="U46" s="6"/>
    </row>
    <row r="47" spans="1:21" x14ac:dyDescent="0.25">
      <c r="A47" s="475">
        <v>0.9</v>
      </c>
      <c r="B47" s="360" t="s">
        <v>330</v>
      </c>
      <c r="C47" s="296">
        <v>392953</v>
      </c>
      <c r="D47" s="360"/>
      <c r="E47" s="296">
        <f t="shared" si="0"/>
        <v>161270.39130442098</v>
      </c>
      <c r="F47" s="6" t="s">
        <v>953</v>
      </c>
      <c r="G47" s="109"/>
    </row>
    <row r="48" spans="1:21" x14ac:dyDescent="0.25">
      <c r="A48" s="475">
        <v>0.9</v>
      </c>
      <c r="B48" s="360" t="s">
        <v>247</v>
      </c>
      <c r="C48" s="296">
        <v>291745</v>
      </c>
      <c r="D48" s="360"/>
      <c r="E48" s="296">
        <f t="shared" si="0"/>
        <v>119733.98933487796</v>
      </c>
      <c r="F48" s="6" t="s">
        <v>953</v>
      </c>
      <c r="G48" s="109"/>
    </row>
    <row r="49" spans="1:12" x14ac:dyDescent="0.25">
      <c r="A49" s="475">
        <v>1</v>
      </c>
      <c r="B49" s="360" t="s">
        <v>716</v>
      </c>
      <c r="C49" s="296">
        <v>76487</v>
      </c>
      <c r="D49" s="360"/>
      <c r="E49" s="296">
        <f t="shared" si="0"/>
        <v>31390.747544111502</v>
      </c>
      <c r="F49" s="6" t="s">
        <v>953</v>
      </c>
      <c r="G49" s="109"/>
    </row>
    <row r="50" spans="1:12" x14ac:dyDescent="0.25">
      <c r="A50" s="475">
        <v>0.9</v>
      </c>
      <c r="B50" s="360" t="s">
        <v>717</v>
      </c>
      <c r="C50" s="296">
        <v>199197</v>
      </c>
      <c r="D50" s="360"/>
      <c r="E50" s="296">
        <f t="shared" si="0"/>
        <v>81751.706022518585</v>
      </c>
      <c r="F50" s="6" t="s">
        <v>953</v>
      </c>
      <c r="G50" s="109"/>
    </row>
    <row r="51" spans="1:12" x14ac:dyDescent="0.25">
      <c r="A51" s="475">
        <v>1</v>
      </c>
      <c r="B51" s="360" t="s">
        <v>249</v>
      </c>
      <c r="C51" s="296">
        <v>122884</v>
      </c>
      <c r="D51" s="360"/>
      <c r="E51" s="296">
        <f t="shared" si="0"/>
        <v>50432.369176599917</v>
      </c>
      <c r="F51" s="6" t="s">
        <v>953</v>
      </c>
      <c r="G51" s="109"/>
    </row>
    <row r="52" spans="1:12" x14ac:dyDescent="0.25">
      <c r="A52" s="475">
        <v>1</v>
      </c>
      <c r="B52" s="360" t="s">
        <v>718</v>
      </c>
      <c r="C52" s="261">
        <v>150899</v>
      </c>
      <c r="D52" s="296">
        <f>C52</f>
        <v>150899</v>
      </c>
      <c r="E52" s="296">
        <f>D52</f>
        <v>150899</v>
      </c>
      <c r="F52" s="10" t="s">
        <v>949</v>
      </c>
      <c r="G52" s="109"/>
    </row>
    <row r="53" spans="1:12" x14ac:dyDescent="0.25">
      <c r="A53" s="475">
        <v>1</v>
      </c>
      <c r="B53" s="360" t="s">
        <v>88</v>
      </c>
      <c r="C53" s="261">
        <v>48801</v>
      </c>
      <c r="D53" s="296">
        <f>C53</f>
        <v>48801</v>
      </c>
      <c r="E53" s="296">
        <f>D53</f>
        <v>48801</v>
      </c>
      <c r="F53" s="311" t="s">
        <v>893</v>
      </c>
      <c r="G53" s="109"/>
    </row>
    <row r="54" spans="1:12" x14ac:dyDescent="0.25">
      <c r="A54" s="475">
        <v>0.4</v>
      </c>
      <c r="B54" s="360" t="s">
        <v>87</v>
      </c>
      <c r="C54" s="296">
        <v>838730</v>
      </c>
      <c r="D54" s="360"/>
      <c r="E54" s="296">
        <f>C54*$D$59</f>
        <v>344220.08560503932</v>
      </c>
      <c r="F54" s="6" t="s">
        <v>953</v>
      </c>
      <c r="G54" s="109"/>
    </row>
    <row r="55" spans="1:12" x14ac:dyDescent="0.25">
      <c r="A55" s="475">
        <v>1</v>
      </c>
      <c r="B55" s="360" t="s">
        <v>86</v>
      </c>
      <c r="C55" s="261">
        <v>75964</v>
      </c>
      <c r="D55" s="296">
        <f>C55</f>
        <v>75964</v>
      </c>
      <c r="E55" s="302">
        <f>D55</f>
        <v>75964</v>
      </c>
      <c r="F55" s="109" t="s">
        <v>952</v>
      </c>
      <c r="G55" s="109"/>
    </row>
    <row r="56" spans="1:12" x14ac:dyDescent="0.25">
      <c r="A56" s="360"/>
      <c r="B56" s="360"/>
      <c r="C56" s="296">
        <v>6952131</v>
      </c>
      <c r="D56" s="296">
        <f>SUM(D39:D55)</f>
        <v>452618</v>
      </c>
      <c r="E56" s="296"/>
      <c r="F56" s="109"/>
      <c r="G56" s="109"/>
    </row>
    <row r="57" spans="1:12" x14ac:dyDescent="0.25">
      <c r="A57" s="360" t="s">
        <v>950</v>
      </c>
      <c r="B57" s="360"/>
      <c r="C57" s="296"/>
      <c r="D57" s="296">
        <f>C32</f>
        <v>3120059.1565713231</v>
      </c>
      <c r="E57" s="296">
        <f>SUM(E39:E56)</f>
        <v>3120059.1565713235</v>
      </c>
      <c r="F57" s="109" t="s">
        <v>134</v>
      </c>
      <c r="G57" s="109"/>
    </row>
    <row r="58" spans="1:12" x14ac:dyDescent="0.25">
      <c r="A58" t="s">
        <v>894</v>
      </c>
      <c r="C58" s="7"/>
      <c r="D58" s="7">
        <f>D57-D56</f>
        <v>2667441.1565713231</v>
      </c>
    </row>
    <row r="59" spans="1:12" x14ac:dyDescent="0.25">
      <c r="A59" t="s">
        <v>951</v>
      </c>
      <c r="D59">
        <f>D58/(C56-D56)</f>
        <v>0.41040631145307704</v>
      </c>
    </row>
    <row r="61" spans="1:12" ht="15.75" thickBot="1" x14ac:dyDescent="0.3">
      <c r="A61" s="177" t="s">
        <v>993</v>
      </c>
      <c r="B61" s="6"/>
    </row>
    <row r="62" spans="1:12" x14ac:dyDescent="0.25">
      <c r="A62" s="540"/>
      <c r="B62" s="477"/>
      <c r="C62" s="477" t="s">
        <v>909</v>
      </c>
      <c r="D62" s="477" t="s">
        <v>911</v>
      </c>
      <c r="E62" s="477"/>
      <c r="F62" s="477" t="s">
        <v>910</v>
      </c>
      <c r="G62" s="477"/>
      <c r="H62" s="485" t="s">
        <v>119</v>
      </c>
    </row>
    <row r="63" spans="1:12" x14ac:dyDescent="0.25">
      <c r="A63" s="68" t="s">
        <v>120</v>
      </c>
      <c r="B63" s="360">
        <v>34001</v>
      </c>
      <c r="C63" s="296">
        <v>24853.332278682559</v>
      </c>
      <c r="D63" s="360"/>
      <c r="E63" s="360"/>
      <c r="F63" s="360"/>
      <c r="G63" s="360"/>
      <c r="H63" s="301">
        <f t="shared" ref="H63:H68" si="1">SUM(C63:F63)</f>
        <v>24853.332278682559</v>
      </c>
    </row>
    <row r="64" spans="1:12" x14ac:dyDescent="0.25">
      <c r="A64" s="68" t="s">
        <v>113</v>
      </c>
      <c r="B64" s="360">
        <v>34003</v>
      </c>
      <c r="C64" s="296">
        <v>245201.11371667433</v>
      </c>
      <c r="D64" s="296">
        <f>1170781-F79-F80</f>
        <v>1004235</v>
      </c>
      <c r="E64" s="296"/>
      <c r="F64" s="360"/>
      <c r="G64" s="66" t="s">
        <v>113</v>
      </c>
      <c r="H64" s="301">
        <f t="shared" si="1"/>
        <v>1249436.1137166743</v>
      </c>
      <c r="I64" s="108"/>
      <c r="J64" s="6"/>
      <c r="K64" s="108"/>
      <c r="L64" s="108"/>
    </row>
    <row r="65" spans="1:13" x14ac:dyDescent="0.25">
      <c r="A65" s="68" t="s">
        <v>88</v>
      </c>
      <c r="B65" s="360">
        <v>34005</v>
      </c>
      <c r="C65" s="296">
        <v>48801</v>
      </c>
      <c r="D65" s="360"/>
      <c r="E65" s="360"/>
      <c r="F65" s="360"/>
      <c r="G65" s="360"/>
      <c r="H65" s="301">
        <f t="shared" si="1"/>
        <v>48801</v>
      </c>
      <c r="I65" s="108"/>
      <c r="J65" s="6"/>
      <c r="K65" s="108"/>
      <c r="L65" s="108"/>
      <c r="M65" s="7"/>
    </row>
    <row r="66" spans="1:13" x14ac:dyDescent="0.25">
      <c r="A66" s="68" t="s">
        <v>87</v>
      </c>
      <c r="B66" s="360">
        <v>34007</v>
      </c>
      <c r="C66" s="296">
        <v>122986.16183807084</v>
      </c>
      <c r="D66" s="360"/>
      <c r="E66" s="360"/>
      <c r="F66" s="360"/>
      <c r="G66" s="360"/>
      <c r="H66" s="301">
        <f t="shared" si="1"/>
        <v>122986.16183807084</v>
      </c>
      <c r="I66" s="108"/>
      <c r="J66" s="6"/>
      <c r="K66" s="108"/>
      <c r="L66" s="108"/>
      <c r="M66" s="7"/>
    </row>
    <row r="67" spans="1:13" x14ac:dyDescent="0.25">
      <c r="A67" s="68" t="s">
        <v>121</v>
      </c>
      <c r="B67" s="360">
        <v>34009</v>
      </c>
      <c r="C67" s="296">
        <v>9370.9285640934231</v>
      </c>
      <c r="D67" s="360"/>
      <c r="E67" s="360"/>
      <c r="F67" s="360"/>
      <c r="G67" s="360"/>
      <c r="H67" s="301">
        <f t="shared" si="1"/>
        <v>9370.9285640934231</v>
      </c>
      <c r="I67" s="108"/>
      <c r="J67" s="6"/>
      <c r="K67" s="108"/>
      <c r="L67" s="108"/>
    </row>
    <row r="68" spans="1:13" x14ac:dyDescent="0.25">
      <c r="A68" s="68" t="s">
        <v>114</v>
      </c>
      <c r="B68" s="360">
        <v>34013</v>
      </c>
      <c r="C68" s="296">
        <v>140849.13063509113</v>
      </c>
      <c r="D68" s="360"/>
      <c r="E68" s="296"/>
      <c r="F68" s="304">
        <v>86412</v>
      </c>
      <c r="G68" s="66" t="s">
        <v>114</v>
      </c>
      <c r="H68" s="301">
        <f t="shared" si="1"/>
        <v>227261.13063509113</v>
      </c>
      <c r="I68" s="108"/>
      <c r="K68" s="7"/>
      <c r="L68" s="108"/>
    </row>
    <row r="69" spans="1:13" x14ac:dyDescent="0.25">
      <c r="A69" s="68" t="s">
        <v>123</v>
      </c>
      <c r="B69" s="360">
        <v>34015</v>
      </c>
      <c r="C69" s="296">
        <v>158847.24394577043</v>
      </c>
      <c r="D69" s="360"/>
      <c r="E69" s="360"/>
      <c r="F69" s="360"/>
      <c r="G69" s="360"/>
      <c r="H69" s="301">
        <f t="shared" ref="H69:H81" si="2">SUM(C69:F69)</f>
        <v>158847.24394577043</v>
      </c>
      <c r="I69" s="108"/>
      <c r="L69" s="108"/>
    </row>
    <row r="70" spans="1:13" x14ac:dyDescent="0.25">
      <c r="A70" s="68" t="s">
        <v>115</v>
      </c>
      <c r="B70" s="360">
        <v>34017</v>
      </c>
      <c r="C70" s="296">
        <v>179951.62013438341</v>
      </c>
      <c r="D70" s="296">
        <f>188494-F82</f>
        <v>-249888</v>
      </c>
      <c r="E70" s="296"/>
      <c r="F70" s="360">
        <v>48897</v>
      </c>
      <c r="G70" s="66" t="s">
        <v>115</v>
      </c>
      <c r="H70" s="301">
        <f t="shared" si="2"/>
        <v>-21039.379865616589</v>
      </c>
      <c r="I70" s="108"/>
      <c r="L70" s="108"/>
    </row>
    <row r="71" spans="1:13" x14ac:dyDescent="0.25">
      <c r="A71" s="68" t="s">
        <v>124</v>
      </c>
      <c r="B71" s="360">
        <v>34019</v>
      </c>
      <c r="C71" s="296">
        <v>654944.96518165921</v>
      </c>
      <c r="D71" s="360"/>
      <c r="E71" s="360"/>
      <c r="F71" s="360"/>
      <c r="G71" s="360"/>
      <c r="H71" s="301">
        <f t="shared" si="2"/>
        <v>654944.96518165921</v>
      </c>
      <c r="I71" s="108"/>
      <c r="L71" s="6"/>
    </row>
    <row r="72" spans="1:13" x14ac:dyDescent="0.25">
      <c r="A72" s="68" t="s">
        <v>125</v>
      </c>
      <c r="B72" s="360">
        <v>34021</v>
      </c>
      <c r="C72" s="296">
        <v>15902.588014981273</v>
      </c>
      <c r="D72" s="296"/>
      <c r="E72" s="360"/>
      <c r="F72" s="360"/>
      <c r="G72" s="360"/>
      <c r="H72" s="301">
        <f t="shared" si="2"/>
        <v>15902.588014981273</v>
      </c>
      <c r="I72" s="108"/>
      <c r="L72" s="6"/>
    </row>
    <row r="73" spans="1:13" x14ac:dyDescent="0.25">
      <c r="A73" s="68" t="s">
        <v>116</v>
      </c>
      <c r="B73" s="360">
        <v>34023</v>
      </c>
      <c r="C73" s="296">
        <v>358163.54789715545</v>
      </c>
      <c r="D73" s="360"/>
      <c r="E73" s="296"/>
      <c r="F73" s="360">
        <v>136527</v>
      </c>
      <c r="G73" s="66" t="s">
        <v>116</v>
      </c>
      <c r="H73" s="301">
        <f t="shared" si="2"/>
        <v>494690.54789715545</v>
      </c>
      <c r="I73" s="108"/>
      <c r="L73" s="6"/>
    </row>
    <row r="74" spans="1:13" x14ac:dyDescent="0.25">
      <c r="A74" s="68" t="s">
        <v>126</v>
      </c>
      <c r="B74" s="360">
        <v>34025</v>
      </c>
      <c r="C74" s="296">
        <v>127152.80148829066</v>
      </c>
      <c r="D74" s="360"/>
      <c r="E74" s="360"/>
      <c r="F74" s="360"/>
      <c r="G74" s="360"/>
      <c r="H74" s="301">
        <f t="shared" si="2"/>
        <v>127152.80148829066</v>
      </c>
      <c r="I74" s="7"/>
    </row>
    <row r="75" spans="1:13" x14ac:dyDescent="0.25">
      <c r="A75" s="68" t="s">
        <v>127</v>
      </c>
      <c r="B75" s="360">
        <v>34027</v>
      </c>
      <c r="C75" s="296">
        <v>17758.200651583247</v>
      </c>
      <c r="D75" s="360"/>
      <c r="E75" s="360"/>
      <c r="F75" s="360"/>
      <c r="G75" s="360"/>
      <c r="H75" s="301">
        <f t="shared" si="2"/>
        <v>17758.200651583247</v>
      </c>
      <c r="I75" s="7"/>
    </row>
    <row r="76" spans="1:13" x14ac:dyDescent="0.25">
      <c r="A76" s="68" t="s">
        <v>128</v>
      </c>
      <c r="B76" s="360">
        <v>34029</v>
      </c>
      <c r="C76" s="296">
        <v>3930.1775005471659</v>
      </c>
      <c r="D76" s="360"/>
      <c r="E76" s="360"/>
      <c r="F76" s="360"/>
      <c r="G76" s="360"/>
      <c r="H76" s="301">
        <f t="shared" si="2"/>
        <v>3930.1775005471659</v>
      </c>
      <c r="I76" s="7"/>
    </row>
    <row r="77" spans="1:13" x14ac:dyDescent="0.25">
      <c r="A77" s="68" t="s">
        <v>129</v>
      </c>
      <c r="B77" s="360">
        <v>34031</v>
      </c>
      <c r="C77" s="296">
        <v>64432.409443797631</v>
      </c>
      <c r="D77" s="360"/>
      <c r="E77" s="360"/>
      <c r="F77" s="360"/>
      <c r="G77" s="360"/>
      <c r="H77" s="301">
        <f t="shared" si="2"/>
        <v>64432.409443797631</v>
      </c>
      <c r="I77" s="7"/>
    </row>
    <row r="78" spans="1:13" x14ac:dyDescent="0.25">
      <c r="A78" s="68" t="s">
        <v>130</v>
      </c>
      <c r="B78" s="360">
        <v>34033</v>
      </c>
      <c r="C78" s="296">
        <v>19091.084279643743</v>
      </c>
      <c r="D78" s="360"/>
      <c r="E78" s="360"/>
      <c r="F78" s="360"/>
      <c r="G78" s="360"/>
      <c r="H78" s="301">
        <f t="shared" si="2"/>
        <v>19091.084279643743</v>
      </c>
      <c r="I78" s="7"/>
    </row>
    <row r="79" spans="1:13" x14ac:dyDescent="0.25">
      <c r="A79" s="68" t="s">
        <v>131</v>
      </c>
      <c r="B79" s="360">
        <v>34035</v>
      </c>
      <c r="C79" s="296">
        <v>459433.41844305996</v>
      </c>
      <c r="D79" s="296"/>
      <c r="E79" s="296"/>
      <c r="F79" s="360"/>
      <c r="G79" s="360"/>
      <c r="H79" s="301">
        <f t="shared" si="2"/>
        <v>459433.41844305996</v>
      </c>
      <c r="I79" s="7"/>
    </row>
    <row r="80" spans="1:13" x14ac:dyDescent="0.25">
      <c r="A80" s="68" t="s">
        <v>117</v>
      </c>
      <c r="B80" s="360">
        <v>34039</v>
      </c>
      <c r="C80" s="296">
        <v>286302.23921688902</v>
      </c>
      <c r="D80" s="296">
        <v>3103</v>
      </c>
      <c r="E80" s="296"/>
      <c r="F80" s="293">
        <v>166546</v>
      </c>
      <c r="G80" s="66" t="s">
        <v>117</v>
      </c>
      <c r="H80" s="301">
        <f t="shared" si="2"/>
        <v>455951.23921688902</v>
      </c>
      <c r="I80" s="7"/>
    </row>
    <row r="81" spans="1:9" x14ac:dyDescent="0.25">
      <c r="A81" s="68" t="s">
        <v>133</v>
      </c>
      <c r="B81" s="360">
        <v>34041</v>
      </c>
      <c r="C81" s="296">
        <v>182087.03676962649</v>
      </c>
      <c r="D81" s="360"/>
      <c r="E81" s="360"/>
      <c r="F81" s="360"/>
      <c r="G81" s="360"/>
      <c r="H81" s="301">
        <f t="shared" si="2"/>
        <v>182087.03676962649</v>
      </c>
      <c r="I81" s="7"/>
    </row>
    <row r="82" spans="1:9" ht="15.75" thickBot="1" x14ac:dyDescent="0.3">
      <c r="A82" s="228"/>
      <c r="B82" s="299" t="s">
        <v>248</v>
      </c>
      <c r="C82" s="170">
        <v>3120059</v>
      </c>
      <c r="D82" s="299">
        <f>SUM(D63:D81)</f>
        <v>757450</v>
      </c>
      <c r="E82" s="299"/>
      <c r="F82" s="299">
        <f>SUM(F63:F81)</f>
        <v>438382</v>
      </c>
      <c r="G82" s="299"/>
      <c r="H82" s="308">
        <f>SUM(H63:H81)</f>
        <v>4315891</v>
      </c>
      <c r="I82" s="7">
        <f>SUM(C82:G82)</f>
        <v>4315891</v>
      </c>
    </row>
  </sheetData>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workbookViewId="0">
      <selection activeCell="C35" sqref="C35"/>
    </sheetView>
  </sheetViews>
  <sheetFormatPr defaultColWidth="8.85546875" defaultRowHeight="12.75" x14ac:dyDescent="0.2"/>
  <cols>
    <col min="1" max="1" width="10" style="362" customWidth="1"/>
    <col min="2" max="2" width="20.140625" style="362" customWidth="1"/>
    <col min="3" max="5" width="10.5703125" style="362" bestFit="1" customWidth="1"/>
    <col min="6" max="6" width="11.5703125" style="362" bestFit="1" customWidth="1"/>
    <col min="7" max="7" width="10.5703125" style="362" bestFit="1" customWidth="1"/>
    <col min="8" max="8" width="15.42578125" style="362" customWidth="1"/>
    <col min="9" max="16384" width="8.85546875" style="362"/>
  </cols>
  <sheetData>
    <row r="1" spans="1:8" ht="15" x14ac:dyDescent="0.2">
      <c r="A1" s="361"/>
      <c r="B1" s="361"/>
      <c r="C1" s="361"/>
      <c r="D1" s="361"/>
      <c r="E1" s="361"/>
      <c r="F1" s="361"/>
      <c r="G1" s="361"/>
      <c r="H1" s="361"/>
    </row>
    <row r="2" spans="1:8" ht="18.75" x14ac:dyDescent="0.25">
      <c r="A2" s="363" t="s">
        <v>994</v>
      </c>
      <c r="B2" s="361"/>
      <c r="C2" s="361"/>
      <c r="D2" s="361"/>
      <c r="E2" s="361"/>
      <c r="F2" s="361"/>
      <c r="G2" s="361"/>
      <c r="H2" s="361"/>
    </row>
    <row r="3" spans="1:8" ht="15.75" x14ac:dyDescent="0.25">
      <c r="A3" s="364" t="s">
        <v>932</v>
      </c>
      <c r="B3" s="365" t="s">
        <v>96</v>
      </c>
      <c r="C3" s="366" t="s">
        <v>7</v>
      </c>
      <c r="D3" s="366" t="s">
        <v>924</v>
      </c>
      <c r="E3" s="366" t="s">
        <v>8</v>
      </c>
      <c r="F3" s="366" t="s">
        <v>10</v>
      </c>
      <c r="G3" s="366" t="s">
        <v>69</v>
      </c>
      <c r="H3" s="367" t="s">
        <v>17</v>
      </c>
    </row>
    <row r="4" spans="1:8" ht="15" x14ac:dyDescent="0.2">
      <c r="A4" s="368">
        <v>2006</v>
      </c>
      <c r="B4" s="369">
        <v>802957.52599350468</v>
      </c>
      <c r="C4" s="370">
        <v>28476.649729734039</v>
      </c>
      <c r="D4" s="370">
        <v>27622.350237842016</v>
      </c>
      <c r="E4" s="370">
        <v>42503.306296644616</v>
      </c>
      <c r="F4" s="370">
        <v>118701.48402116403</v>
      </c>
      <c r="G4" s="370">
        <v>44755.981530366778</v>
      </c>
      <c r="H4" s="371">
        <v>84429</v>
      </c>
    </row>
    <row r="5" spans="1:8" ht="15" x14ac:dyDescent="0.2">
      <c r="A5" s="368">
        <v>2007</v>
      </c>
      <c r="B5" s="369">
        <v>791683.4165891927</v>
      </c>
      <c r="C5" s="370">
        <v>28400.976627951892</v>
      </c>
      <c r="D5" s="370">
        <v>27548.947329113333</v>
      </c>
      <c r="E5" s="370">
        <v>42350.476712695192</v>
      </c>
      <c r="F5" s="370">
        <v>120600.70776550265</v>
      </c>
      <c r="G5" s="370">
        <v>44595.051978468036</v>
      </c>
      <c r="H5" s="371">
        <v>85780</v>
      </c>
    </row>
    <row r="6" spans="1:8" ht="15" x14ac:dyDescent="0.2">
      <c r="A6" s="368">
        <v>2008</v>
      </c>
      <c r="B6" s="369">
        <v>777325.53366048273</v>
      </c>
      <c r="C6" s="370">
        <v>23286.819474769898</v>
      </c>
      <c r="D6" s="370">
        <v>22588.2148905268</v>
      </c>
      <c r="E6" s="370">
        <v>41580.646243878531</v>
      </c>
      <c r="F6" s="370">
        <v>122530.31908975073</v>
      </c>
      <c r="G6" s="370">
        <v>43784.420494804093</v>
      </c>
      <c r="H6" s="371">
        <v>10168</v>
      </c>
    </row>
    <row r="7" spans="1:8" ht="15" x14ac:dyDescent="0.2">
      <c r="A7" s="372">
        <v>2009</v>
      </c>
      <c r="B7" s="369">
        <v>769264.7856936407</v>
      </c>
      <c r="C7" s="370">
        <v>22803.925672068726</v>
      </c>
      <c r="D7" s="370">
        <v>22119.807901906664</v>
      </c>
      <c r="E7" s="370">
        <v>40599.585492685379</v>
      </c>
      <c r="F7" s="370">
        <v>124490.80419518673</v>
      </c>
      <c r="G7" s="370">
        <v>42751.3635237977</v>
      </c>
      <c r="H7" s="371">
        <v>10330</v>
      </c>
    </row>
    <row r="8" spans="1:8" ht="15" x14ac:dyDescent="0.2">
      <c r="A8" s="372">
        <v>2010</v>
      </c>
      <c r="B8" s="369">
        <v>748175.59178716538</v>
      </c>
      <c r="C8" s="370">
        <v>22247.906192373408</v>
      </c>
      <c r="D8" s="370">
        <v>21580.469006602205</v>
      </c>
      <c r="E8" s="370">
        <v>39436.893344917728</v>
      </c>
      <c r="F8" s="370">
        <v>126482.65706230971</v>
      </c>
      <c r="G8" s="370">
        <v>41527.048692198361</v>
      </c>
      <c r="H8" s="371">
        <v>10496</v>
      </c>
    </row>
    <row r="9" spans="1:8" ht="15" x14ac:dyDescent="0.2">
      <c r="A9" s="372">
        <v>2011</v>
      </c>
      <c r="B9" s="369">
        <v>719947.15180758736</v>
      </c>
      <c r="C9" s="370">
        <v>21234.096761459568</v>
      </c>
      <c r="D9" s="370">
        <v>20597.073858615782</v>
      </c>
      <c r="E9" s="370">
        <v>37067.413669004047</v>
      </c>
      <c r="F9" s="370">
        <v>128506.37957530667</v>
      </c>
      <c r="G9" s="370">
        <v>39031.986593461261</v>
      </c>
      <c r="H9" s="371">
        <v>10664</v>
      </c>
    </row>
    <row r="10" spans="1:8" ht="15" x14ac:dyDescent="0.2">
      <c r="A10" s="372">
        <v>2012</v>
      </c>
      <c r="B10" s="369">
        <v>706002.29916866496</v>
      </c>
      <c r="C10" s="370">
        <v>20202.580577014618</v>
      </c>
      <c r="D10" s="370">
        <v>19596.503159704178</v>
      </c>
      <c r="E10" s="370">
        <v>34648.416218319493</v>
      </c>
      <c r="F10" s="370">
        <v>130562.48164851157</v>
      </c>
      <c r="G10" s="370">
        <v>36484.782277890423</v>
      </c>
      <c r="H10" s="371">
        <v>10834</v>
      </c>
    </row>
    <row r="11" spans="1:8" ht="15" x14ac:dyDescent="0.2">
      <c r="A11" s="372">
        <v>2013</v>
      </c>
      <c r="B11" s="369">
        <v>691886.13112602045</v>
      </c>
      <c r="C11" s="370">
        <v>18945.20981781893</v>
      </c>
      <c r="D11" s="370">
        <v>18376.853523284361</v>
      </c>
      <c r="E11" s="370">
        <v>32431.649148500754</v>
      </c>
      <c r="F11" s="370">
        <v>132651.48135488777</v>
      </c>
      <c r="G11" s="370">
        <v>34150.526553371288</v>
      </c>
      <c r="H11" s="371">
        <v>315</v>
      </c>
    </row>
    <row r="12" spans="1:8" ht="15" x14ac:dyDescent="0.2">
      <c r="A12" s="372">
        <v>2014</v>
      </c>
      <c r="B12" s="369">
        <v>685691.70464899787</v>
      </c>
      <c r="C12" s="370">
        <v>18312.921943437243</v>
      </c>
      <c r="D12" s="370">
        <v>17763.534285134127</v>
      </c>
      <c r="E12" s="370">
        <v>30895.948310221738</v>
      </c>
      <c r="F12" s="370">
        <v>134773.90505656597</v>
      </c>
      <c r="G12" s="370">
        <v>32533.433570663488</v>
      </c>
      <c r="H12" s="371">
        <v>320</v>
      </c>
    </row>
    <row r="13" spans="1:8" ht="15" x14ac:dyDescent="0.2">
      <c r="A13" s="372">
        <v>2015</v>
      </c>
      <c r="B13" s="369">
        <v>664160.71205396031</v>
      </c>
      <c r="C13" s="370">
        <v>17451.032871681524</v>
      </c>
      <c r="D13" s="370">
        <v>16927.501885531077</v>
      </c>
      <c r="E13" s="370">
        <v>29184.009833572785</v>
      </c>
      <c r="F13" s="370">
        <v>136930.2875374711</v>
      </c>
      <c r="G13" s="370">
        <v>30730.76235475214</v>
      </c>
      <c r="H13" s="371">
        <v>325</v>
      </c>
    </row>
    <row r="14" spans="1:8" ht="15" x14ac:dyDescent="0.2">
      <c r="A14" s="372">
        <v>2016</v>
      </c>
      <c r="B14" s="369">
        <v>634125.76873724314</v>
      </c>
      <c r="C14" s="370">
        <v>16328.611160402244</v>
      </c>
      <c r="D14" s="370">
        <v>15838.752825590176</v>
      </c>
      <c r="E14" s="370">
        <v>26728.905112305245</v>
      </c>
      <c r="F14" s="370">
        <v>139121.17213807057</v>
      </c>
      <c r="G14" s="370">
        <v>28145.537083257423</v>
      </c>
      <c r="H14" s="371">
        <v>330</v>
      </c>
    </row>
    <row r="15" spans="1:8" ht="15" x14ac:dyDescent="0.2">
      <c r="A15" s="372">
        <v>2017</v>
      </c>
      <c r="B15" s="369">
        <v>604818.01034213474</v>
      </c>
      <c r="C15" s="370">
        <v>15213.673841271584</v>
      </c>
      <c r="D15" s="370">
        <v>14757.263626033437</v>
      </c>
      <c r="E15" s="370">
        <v>24306.895970333419</v>
      </c>
      <c r="F15" s="370">
        <v>141347.11089227968</v>
      </c>
      <c r="G15" s="370">
        <v>25595.161456761089</v>
      </c>
      <c r="H15" s="371">
        <v>335</v>
      </c>
    </row>
    <row r="16" spans="1:8" ht="15" x14ac:dyDescent="0.2">
      <c r="A16" s="372">
        <v>2018</v>
      </c>
      <c r="B16" s="369">
        <v>584818.57337674627</v>
      </c>
      <c r="C16" s="370">
        <v>14363.407969027974</v>
      </c>
      <c r="D16" s="370">
        <v>13932.505729957134</v>
      </c>
      <c r="E16" s="370">
        <v>22672.079820723378</v>
      </c>
      <c r="F16" s="370">
        <v>143608.66466655617</v>
      </c>
      <c r="G16" s="370">
        <v>23873.700051221716</v>
      </c>
      <c r="H16" s="371">
        <v>340</v>
      </c>
    </row>
    <row r="17" spans="1:8" ht="15" x14ac:dyDescent="0.2">
      <c r="A17" s="372">
        <v>2019</v>
      </c>
      <c r="B17" s="369">
        <v>566468.5427207466</v>
      </c>
      <c r="C17" s="370">
        <v>13539.92567116172</v>
      </c>
      <c r="D17" s="370">
        <v>13133.727901026868</v>
      </c>
      <c r="E17" s="370">
        <v>21121.158976321916</v>
      </c>
      <c r="F17" s="370">
        <v>145906.40330122106</v>
      </c>
      <c r="G17" s="370">
        <v>22240.580402066975</v>
      </c>
      <c r="H17" s="371">
        <v>346</v>
      </c>
    </row>
    <row r="18" spans="1:8" ht="15" x14ac:dyDescent="0.2">
      <c r="A18" s="372">
        <v>2020</v>
      </c>
      <c r="B18" s="369">
        <v>548957.77595831128</v>
      </c>
      <c r="C18" s="370">
        <v>12937.848944188601</v>
      </c>
      <c r="D18" s="370">
        <v>12549.713475862944</v>
      </c>
      <c r="E18" s="370">
        <v>20296.700108440993</v>
      </c>
      <c r="F18" s="370">
        <v>148240.90575404058</v>
      </c>
      <c r="G18" s="370">
        <v>21372.425214188363</v>
      </c>
      <c r="H18" s="371">
        <v>351</v>
      </c>
    </row>
    <row r="19" spans="1:8" ht="15" x14ac:dyDescent="0.2">
      <c r="A19" s="372">
        <v>2021</v>
      </c>
      <c r="B19" s="369">
        <v>531295.44439857558</v>
      </c>
      <c r="C19" s="370">
        <v>12324.085165836066</v>
      </c>
      <c r="D19" s="370">
        <v>11954.362610860984</v>
      </c>
      <c r="E19" s="370">
        <v>19463.707536636266</v>
      </c>
      <c r="F19" s="370">
        <v>150612.76024610523</v>
      </c>
      <c r="G19" s="370">
        <v>20495.284036077988</v>
      </c>
      <c r="H19" s="371">
        <v>357</v>
      </c>
    </row>
    <row r="20" spans="1:8" ht="15" x14ac:dyDescent="0.2">
      <c r="A20" s="372">
        <v>2022</v>
      </c>
      <c r="B20" s="369">
        <v>512820.91254255176</v>
      </c>
      <c r="C20" s="370">
        <v>11675.227646542116</v>
      </c>
      <c r="D20" s="370">
        <v>11324.970817145853</v>
      </c>
      <c r="E20" s="370">
        <v>18583.339368588102</v>
      </c>
      <c r="F20" s="370">
        <v>153022.56441004295</v>
      </c>
      <c r="G20" s="370">
        <v>19568.256355123271</v>
      </c>
      <c r="H20" s="371">
        <v>363</v>
      </c>
    </row>
    <row r="21" spans="1:8" ht="15" x14ac:dyDescent="0.2">
      <c r="A21" s="373">
        <v>2023</v>
      </c>
      <c r="B21" s="369">
        <v>490713.67522112012</v>
      </c>
      <c r="C21" s="370">
        <v>11015.849850056031</v>
      </c>
      <c r="D21" s="370">
        <v>10685.374354554349</v>
      </c>
      <c r="E21" s="370">
        <v>17691.006432238933</v>
      </c>
      <c r="F21" s="370">
        <v>155470.92544060366</v>
      </c>
      <c r="G21" s="370">
        <v>18628.629773147597</v>
      </c>
      <c r="H21" s="371">
        <v>369</v>
      </c>
    </row>
    <row r="22" spans="1:8" ht="15" x14ac:dyDescent="0.2">
      <c r="A22" s="373">
        <v>2024</v>
      </c>
      <c r="B22" s="369">
        <v>468890.44537794997</v>
      </c>
      <c r="C22" s="370">
        <v>10367.290510685318</v>
      </c>
      <c r="D22" s="370">
        <v>10056.271795364757</v>
      </c>
      <c r="E22" s="370">
        <v>16816.789889453772</v>
      </c>
      <c r="F22" s="370">
        <v>157958.46024765327</v>
      </c>
      <c r="G22" s="370">
        <v>17708.079753594822</v>
      </c>
      <c r="H22" s="371">
        <v>375</v>
      </c>
    </row>
    <row r="23" spans="1:8" ht="15" x14ac:dyDescent="0.2">
      <c r="A23" s="373">
        <v>2025</v>
      </c>
      <c r="B23" s="369">
        <v>446847.31575093674</v>
      </c>
      <c r="C23" s="370">
        <v>9712.2204523028577</v>
      </c>
      <c r="D23" s="370">
        <v>9420.8538387337721</v>
      </c>
      <c r="E23" s="370">
        <v>15935.349799111051</v>
      </c>
      <c r="F23" s="370">
        <v>160485.79561161573</v>
      </c>
      <c r="G23" s="370">
        <v>16779.923338463934</v>
      </c>
      <c r="H23" s="371">
        <v>380</v>
      </c>
    </row>
    <row r="24" spans="1:8" ht="15" x14ac:dyDescent="0.2">
      <c r="A24" s="373">
        <v>2026</v>
      </c>
      <c r="B24" s="369">
        <v>425401.50663399254</v>
      </c>
      <c r="C24" s="370">
        <v>9091.1943592648968</v>
      </c>
      <c r="D24" s="370">
        <v>8818.4585284869499</v>
      </c>
      <c r="E24" s="370">
        <v>15103.522327654931</v>
      </c>
      <c r="F24" s="370">
        <v>163053.56834140161</v>
      </c>
      <c r="G24" s="370">
        <v>15904.009011020642</v>
      </c>
      <c r="H24" s="371">
        <v>387</v>
      </c>
    </row>
    <row r="25" spans="1:8" ht="15" x14ac:dyDescent="0.2">
      <c r="A25" s="373">
        <v>2027</v>
      </c>
      <c r="B25" s="369">
        <v>404319.03104027663</v>
      </c>
      <c r="C25" s="370">
        <v>8492.1526047133593</v>
      </c>
      <c r="D25" s="370">
        <v>8237.3880265719581</v>
      </c>
      <c r="E25" s="370">
        <v>14303.381075199002</v>
      </c>
      <c r="F25" s="370">
        <v>165662.42543486395</v>
      </c>
      <c r="G25" s="370">
        <v>15061.460272184548</v>
      </c>
      <c r="H25" s="371">
        <v>393</v>
      </c>
    </row>
    <row r="26" spans="1:8" ht="15" x14ac:dyDescent="0.2">
      <c r="A26" s="373">
        <v>2028</v>
      </c>
      <c r="B26" s="369">
        <v>383635.84450900805</v>
      </c>
      <c r="C26" s="370">
        <v>7915.0200872354653</v>
      </c>
      <c r="D26" s="370">
        <v>7677.5694846184015</v>
      </c>
      <c r="E26" s="370">
        <v>13534.790560033325</v>
      </c>
      <c r="F26" s="370">
        <v>168313.02424182184</v>
      </c>
      <c r="G26" s="370">
        <v>14252.134459715091</v>
      </c>
      <c r="H26" s="371">
        <v>399</v>
      </c>
    </row>
    <row r="27" spans="1:8" ht="15" x14ac:dyDescent="0.2">
      <c r="A27" s="373">
        <v>2029</v>
      </c>
      <c r="B27" s="369">
        <v>363473.4015152753</v>
      </c>
      <c r="C27" s="370">
        <v>7363.4245535735763</v>
      </c>
      <c r="D27" s="370">
        <v>7142.5218169663685</v>
      </c>
      <c r="E27" s="370">
        <v>12802.854476100694</v>
      </c>
      <c r="F27" s="370">
        <v>171006.03262969101</v>
      </c>
      <c r="G27" s="370">
        <v>13481.405763334031</v>
      </c>
      <c r="H27" s="371">
        <v>405</v>
      </c>
    </row>
    <row r="28" spans="1:8" ht="15" x14ac:dyDescent="0.2">
      <c r="A28" s="373">
        <v>2030</v>
      </c>
      <c r="B28" s="369">
        <v>344048.63694761932</v>
      </c>
      <c r="C28" s="370">
        <v>6843.5870256936605</v>
      </c>
      <c r="D28" s="370">
        <v>6638.2794149228503</v>
      </c>
      <c r="E28" s="370">
        <v>12116.322869625759</v>
      </c>
      <c r="F28" s="370">
        <v>173742.1291517661</v>
      </c>
      <c r="G28" s="370">
        <v>12758.487981715924</v>
      </c>
      <c r="H28" s="371">
        <v>412</v>
      </c>
    </row>
    <row r="29" spans="1:8" ht="15" x14ac:dyDescent="0.2">
      <c r="A29" s="373">
        <v>2031</v>
      </c>
      <c r="B29" s="369">
        <v>326929.45705045765</v>
      </c>
      <c r="C29" s="370">
        <v>6349.2386537707807</v>
      </c>
      <c r="D29" s="370">
        <v>6158.7614941576576</v>
      </c>
      <c r="E29" s="370">
        <v>11466.394763703256</v>
      </c>
      <c r="F29" s="370">
        <v>176522.0032181943</v>
      </c>
      <c r="G29" s="370">
        <v>12074.113686179528</v>
      </c>
      <c r="H29" s="371">
        <v>419</v>
      </c>
    </row>
    <row r="30" spans="1:8" ht="15" x14ac:dyDescent="0.2">
      <c r="A30" s="373">
        <v>2032</v>
      </c>
      <c r="B30" s="369">
        <v>310357.30690291588</v>
      </c>
      <c r="C30" s="370">
        <v>5879.2403444174752</v>
      </c>
      <c r="D30" s="370">
        <v>5702.8631340849506</v>
      </c>
      <c r="E30" s="370">
        <v>10851.474554525539</v>
      </c>
      <c r="F30" s="370">
        <v>179346.35526968545</v>
      </c>
      <c r="G30" s="370">
        <v>11426.602705915391</v>
      </c>
      <c r="H30" s="371">
        <v>425</v>
      </c>
    </row>
    <row r="31" spans="1:8" ht="15" x14ac:dyDescent="0.2">
      <c r="A31" s="373">
        <v>2033</v>
      </c>
      <c r="B31" s="369">
        <v>294261.11349898513</v>
      </c>
      <c r="C31" s="370">
        <v>5431.1666088929451</v>
      </c>
      <c r="D31" s="370">
        <v>5268.2316106261569</v>
      </c>
      <c r="E31" s="370">
        <v>10268.156396034536</v>
      </c>
      <c r="F31" s="370">
        <v>182215.8969540004</v>
      </c>
      <c r="G31" s="370">
        <v>10812.368685024365</v>
      </c>
      <c r="H31" s="371">
        <v>432</v>
      </c>
    </row>
    <row r="32" spans="1:8" ht="15" x14ac:dyDescent="0.2">
      <c r="A32" s="373">
        <v>2034</v>
      </c>
      <c r="B32" s="369">
        <v>279045.6859147693</v>
      </c>
      <c r="C32" s="370">
        <v>5025.8806601027709</v>
      </c>
      <c r="D32" s="370">
        <v>4875.1042402996873</v>
      </c>
      <c r="E32" s="370">
        <v>9747.3290591375153</v>
      </c>
      <c r="F32" s="370">
        <v>185131.35130526446</v>
      </c>
      <c r="G32" s="370">
        <v>10263.937499271802</v>
      </c>
      <c r="H32" s="371">
        <v>439</v>
      </c>
    </row>
    <row r="33" spans="1:15" ht="15" x14ac:dyDescent="0.2">
      <c r="A33" s="373">
        <v>2035</v>
      </c>
      <c r="B33" s="369">
        <v>264661.58825246594</v>
      </c>
      <c r="C33" s="370">
        <v>4652.8687062074514</v>
      </c>
      <c r="D33" s="370">
        <v>4513.2826450212278</v>
      </c>
      <c r="E33" s="370">
        <v>9272.5371797282514</v>
      </c>
      <c r="F33" s="370">
        <v>188093.45292614863</v>
      </c>
      <c r="G33" s="370">
        <v>9763.9816502538488</v>
      </c>
      <c r="H33" s="371">
        <v>446</v>
      </c>
    </row>
    <row r="34" spans="1:15" ht="15" x14ac:dyDescent="0.2">
      <c r="A34" s="373">
        <v>2036</v>
      </c>
      <c r="B34" s="369">
        <v>251877.13877572498</v>
      </c>
      <c r="C34" s="370">
        <v>4325.5780185051708</v>
      </c>
      <c r="D34" s="370">
        <v>4195.8106779500158</v>
      </c>
      <c r="E34" s="370">
        <v>8862.4455694693097</v>
      </c>
      <c r="F34" s="370">
        <v>191102.94817296701</v>
      </c>
      <c r="G34" s="370">
        <v>9332.1551846511829</v>
      </c>
      <c r="H34" s="371">
        <v>453</v>
      </c>
    </row>
    <row r="35" spans="1:15" ht="15" x14ac:dyDescent="0.2">
      <c r="A35" s="373">
        <v>2037</v>
      </c>
      <c r="B35" s="369">
        <v>240338.86907963414</v>
      </c>
      <c r="C35" s="370">
        <v>4032.6654234486214</v>
      </c>
      <c r="D35" s="370">
        <v>3911.6854607451628</v>
      </c>
      <c r="E35" s="370">
        <v>8501.12367889493</v>
      </c>
      <c r="F35" s="370">
        <v>194160.59534373449</v>
      </c>
      <c r="G35" s="370">
        <v>8951.6832338763616</v>
      </c>
      <c r="H35" s="371">
        <v>460</v>
      </c>
    </row>
    <row r="36" spans="1:15" ht="15" x14ac:dyDescent="0.2">
      <c r="A36" s="373">
        <v>2038</v>
      </c>
      <c r="B36" s="369">
        <v>230075.49947875188</v>
      </c>
      <c r="C36" s="370">
        <v>3775.0413998674048</v>
      </c>
      <c r="D36" s="370">
        <v>3661.7901578713827</v>
      </c>
      <c r="E36" s="370">
        <v>8189.8624871530546</v>
      </c>
      <c r="F36" s="370">
        <v>197267.16486923423</v>
      </c>
      <c r="G36" s="370">
        <v>8623.9251989721652</v>
      </c>
      <c r="H36" s="371">
        <v>468</v>
      </c>
    </row>
    <row r="37" spans="1:15" ht="15" x14ac:dyDescent="0.2">
      <c r="A37" s="373">
        <v>2039</v>
      </c>
      <c r="B37" s="369">
        <v>221180.10976002473</v>
      </c>
      <c r="C37" s="370">
        <v>3555.6797450339095</v>
      </c>
      <c r="D37" s="370">
        <v>3449.0093526828923</v>
      </c>
      <c r="E37" s="370">
        <v>7932.8529544806588</v>
      </c>
      <c r="F37" s="370">
        <v>200423.43950714203</v>
      </c>
      <c r="G37" s="370">
        <v>8353.2941610681337</v>
      </c>
      <c r="H37" s="371">
        <v>475</v>
      </c>
    </row>
    <row r="38" spans="1:15" ht="15" x14ac:dyDescent="0.2">
      <c r="A38" s="374">
        <v>2040</v>
      </c>
      <c r="B38" s="375">
        <v>213677.79026079591</v>
      </c>
      <c r="C38" s="376">
        <v>3375.3742043559341</v>
      </c>
      <c r="D38" s="376">
        <v>3274.112978225256</v>
      </c>
      <c r="E38" s="376">
        <v>7731.2223695517732</v>
      </c>
      <c r="F38" s="376">
        <v>203630.21453925624</v>
      </c>
      <c r="G38" s="376">
        <v>8140.9771551380163</v>
      </c>
      <c r="H38" s="377">
        <v>483</v>
      </c>
    </row>
    <row r="39" spans="1:15" ht="15" x14ac:dyDescent="0.2">
      <c r="A39" s="361"/>
      <c r="B39" s="361"/>
      <c r="C39" s="361"/>
      <c r="D39" s="361"/>
      <c r="E39" s="361"/>
      <c r="F39" s="361"/>
      <c r="G39" s="361"/>
      <c r="H39" s="361"/>
    </row>
    <row r="40" spans="1:15" ht="15" x14ac:dyDescent="0.2">
      <c r="A40" s="361" t="s">
        <v>933</v>
      </c>
      <c r="B40" s="361"/>
      <c r="C40" s="361"/>
      <c r="D40" s="361"/>
      <c r="E40" s="361"/>
      <c r="F40" s="361"/>
      <c r="G40" s="361"/>
      <c r="H40" s="361"/>
    </row>
    <row r="41" spans="1:15" ht="15" x14ac:dyDescent="0.2">
      <c r="A41" s="361"/>
      <c r="B41" s="361"/>
      <c r="C41" s="361"/>
      <c r="D41" s="361"/>
      <c r="E41" s="361"/>
      <c r="F41" s="361"/>
      <c r="G41" s="361"/>
      <c r="H41" s="361"/>
    </row>
    <row r="42" spans="1:15" ht="16.5" customHeight="1" x14ac:dyDescent="0.25">
      <c r="A42" s="602" t="s">
        <v>995</v>
      </c>
      <c r="B42" s="602"/>
      <c r="C42" s="602"/>
      <c r="D42" s="602"/>
      <c r="E42" s="602"/>
      <c r="F42" s="602"/>
      <c r="G42" s="602"/>
      <c r="H42" s="602"/>
    </row>
    <row r="43" spans="1:15"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5" ht="15" x14ac:dyDescent="0.2">
      <c r="A44" s="368">
        <v>2006</v>
      </c>
      <c r="B44" s="378">
        <v>802957.52599350468</v>
      </c>
      <c r="C44" s="379">
        <v>28476.649729734039</v>
      </c>
      <c r="D44" s="379">
        <v>27622.350237842016</v>
      </c>
      <c r="E44" s="379">
        <v>42503.306296644616</v>
      </c>
      <c r="F44" s="379">
        <v>118701.48402116403</v>
      </c>
      <c r="G44" s="379">
        <v>44755.981530366778</v>
      </c>
      <c r="H44" s="380">
        <v>84429</v>
      </c>
    </row>
    <row r="45" spans="1:15" ht="15" x14ac:dyDescent="0.2">
      <c r="A45" s="368">
        <v>2007</v>
      </c>
      <c r="B45" s="378">
        <f t="shared" ref="B45:H60" si="0">B44*1.016</f>
        <v>815804.84640940081</v>
      </c>
      <c r="C45" s="378">
        <f t="shared" si="0"/>
        <v>28932.276125409786</v>
      </c>
      <c r="D45" s="378">
        <f t="shared" si="0"/>
        <v>28064.307841647489</v>
      </c>
      <c r="E45" s="378">
        <f t="shared" si="0"/>
        <v>43183.359197390928</v>
      </c>
      <c r="F45" s="378">
        <f t="shared" si="0"/>
        <v>120600.70776550265</v>
      </c>
      <c r="G45" s="378">
        <f t="shared" si="0"/>
        <v>45472.077234852644</v>
      </c>
      <c r="H45" s="378">
        <f t="shared" si="0"/>
        <v>85779.864000000001</v>
      </c>
    </row>
    <row r="46" spans="1:15" ht="15" x14ac:dyDescent="0.2">
      <c r="A46" s="368">
        <v>2008</v>
      </c>
      <c r="B46" s="378">
        <f t="shared" si="0"/>
        <v>828857.72395195125</v>
      </c>
      <c r="C46" s="378">
        <f t="shared" si="0"/>
        <v>29395.192543416342</v>
      </c>
      <c r="D46" s="378">
        <f t="shared" si="0"/>
        <v>28513.336767113848</v>
      </c>
      <c r="E46" s="378">
        <f t="shared" si="0"/>
        <v>43874.292944549183</v>
      </c>
      <c r="F46" s="378">
        <f t="shared" si="0"/>
        <v>122530.3190897507</v>
      </c>
      <c r="G46" s="378">
        <f t="shared" si="0"/>
        <v>46199.630470610289</v>
      </c>
      <c r="H46" s="378">
        <f t="shared" si="0"/>
        <v>87152.341824000003</v>
      </c>
    </row>
    <row r="47" spans="1:15" ht="15" x14ac:dyDescent="0.2">
      <c r="A47" s="372">
        <v>2009</v>
      </c>
      <c r="B47" s="378">
        <f t="shared" si="0"/>
        <v>842119.44753518247</v>
      </c>
      <c r="C47" s="378">
        <f t="shared" si="0"/>
        <v>29865.515624111005</v>
      </c>
      <c r="D47" s="378">
        <f t="shared" si="0"/>
        <v>28969.550155387671</v>
      </c>
      <c r="E47" s="378">
        <f t="shared" si="0"/>
        <v>44576.281631661972</v>
      </c>
      <c r="F47" s="378">
        <f t="shared" si="0"/>
        <v>124490.80419518672</v>
      </c>
      <c r="G47" s="378">
        <f t="shared" si="0"/>
        <v>46938.824558140055</v>
      </c>
      <c r="H47" s="378">
        <f t="shared" si="0"/>
        <v>88546.779293184009</v>
      </c>
    </row>
    <row r="48" spans="1:15" ht="15" x14ac:dyDescent="0.2">
      <c r="A48" s="372">
        <v>2010</v>
      </c>
      <c r="B48" s="378">
        <f t="shared" si="0"/>
        <v>855593.35869574535</v>
      </c>
      <c r="C48" s="378">
        <f t="shared" si="0"/>
        <v>30343.363874096784</v>
      </c>
      <c r="D48" s="378">
        <f t="shared" si="0"/>
        <v>29433.062957873874</v>
      </c>
      <c r="E48" s="378">
        <f t="shared" si="0"/>
        <v>45289.502137768563</v>
      </c>
      <c r="F48" s="378">
        <f t="shared" si="0"/>
        <v>126482.65706230971</v>
      </c>
      <c r="G48" s="378">
        <f t="shared" si="0"/>
        <v>47689.845751070294</v>
      </c>
      <c r="H48" s="378">
        <f t="shared" si="0"/>
        <v>89963.527761874953</v>
      </c>
    </row>
    <row r="49" spans="1:15" ht="18" x14ac:dyDescent="0.25">
      <c r="A49" s="372">
        <v>2011</v>
      </c>
      <c r="B49" s="378">
        <f t="shared" si="0"/>
        <v>869282.85243487731</v>
      </c>
      <c r="C49" s="378">
        <f t="shared" si="0"/>
        <v>30828.857696082334</v>
      </c>
      <c r="D49" s="378">
        <f t="shared" si="0"/>
        <v>29903.991965199857</v>
      </c>
      <c r="E49" s="378">
        <f t="shared" si="0"/>
        <v>46014.134171972859</v>
      </c>
      <c r="F49" s="378">
        <f t="shared" si="0"/>
        <v>128506.37957530667</v>
      </c>
      <c r="G49" s="378">
        <f t="shared" si="0"/>
        <v>48452.883283087416</v>
      </c>
      <c r="H49" s="378">
        <f t="shared" si="0"/>
        <v>91402.94420606496</v>
      </c>
      <c r="I49" s="381">
        <f t="shared" ref="I49:O49" si="1">B49/B$45</f>
        <v>1.065552449536</v>
      </c>
      <c r="J49" s="381">
        <f t="shared" si="1"/>
        <v>1.0655524495360003</v>
      </c>
      <c r="K49" s="381">
        <f t="shared" si="1"/>
        <v>1.065552449536</v>
      </c>
      <c r="L49" s="381">
        <f t="shared" si="1"/>
        <v>1.065552449536</v>
      </c>
      <c r="M49" s="381">
        <f t="shared" si="1"/>
        <v>1.0655524495360003</v>
      </c>
      <c r="N49" s="381">
        <f t="shared" si="1"/>
        <v>1.065552449536</v>
      </c>
      <c r="O49" s="381">
        <f t="shared" si="1"/>
        <v>1.0655524495360003</v>
      </c>
    </row>
    <row r="50" spans="1:15" ht="15" x14ac:dyDescent="0.2">
      <c r="A50" s="372">
        <v>2012</v>
      </c>
      <c r="B50" s="378">
        <f t="shared" si="0"/>
        <v>883191.3780738354</v>
      </c>
      <c r="C50" s="378">
        <f t="shared" si="0"/>
        <v>31322.119419219653</v>
      </c>
      <c r="D50" s="378">
        <f t="shared" si="0"/>
        <v>30382.455836643054</v>
      </c>
      <c r="E50" s="378">
        <f t="shared" si="0"/>
        <v>46750.360318724423</v>
      </c>
      <c r="F50" s="378">
        <f t="shared" si="0"/>
        <v>130562.48164851157</v>
      </c>
      <c r="G50" s="378">
        <f t="shared" si="0"/>
        <v>49228.129415616815</v>
      </c>
      <c r="H50" s="378">
        <f t="shared" si="0"/>
        <v>92865.391313361994</v>
      </c>
    </row>
    <row r="51" spans="1:15" ht="18" x14ac:dyDescent="0.25">
      <c r="A51" s="382">
        <v>2013</v>
      </c>
      <c r="B51" s="383">
        <f t="shared" si="0"/>
        <v>897322.44012301683</v>
      </c>
      <c r="C51" s="383">
        <f t="shared" si="0"/>
        <v>31823.273329927168</v>
      </c>
      <c r="D51" s="383">
        <f t="shared" si="0"/>
        <v>30868.575130029341</v>
      </c>
      <c r="E51" s="383">
        <f t="shared" si="0"/>
        <v>47498.366083824018</v>
      </c>
      <c r="F51" s="383">
        <f t="shared" si="0"/>
        <v>132651.48135488777</v>
      </c>
      <c r="G51" s="383">
        <f t="shared" si="0"/>
        <v>50015.779486266685</v>
      </c>
      <c r="H51" s="383">
        <f t="shared" si="0"/>
        <v>94351.237574375788</v>
      </c>
      <c r="I51" s="381">
        <f t="shared" ref="I51:O51" si="2">B51/B$45</f>
        <v>1.0999229093482334</v>
      </c>
      <c r="J51" s="381">
        <f t="shared" si="2"/>
        <v>1.0999229093482334</v>
      </c>
      <c r="K51" s="381">
        <f t="shared" si="2"/>
        <v>1.0999229093482332</v>
      </c>
      <c r="L51" s="381">
        <f t="shared" si="2"/>
        <v>1.0999229093482332</v>
      </c>
      <c r="M51" s="381">
        <f t="shared" si="2"/>
        <v>1.0999229093482334</v>
      </c>
      <c r="N51" s="381">
        <f t="shared" si="2"/>
        <v>1.0999229093482332</v>
      </c>
      <c r="O51" s="381">
        <f t="shared" si="2"/>
        <v>1.0999229093482334</v>
      </c>
    </row>
    <row r="52" spans="1:15" ht="15" x14ac:dyDescent="0.2">
      <c r="A52" s="372">
        <v>2014</v>
      </c>
      <c r="B52" s="378">
        <f t="shared" si="0"/>
        <v>911679.59916498512</v>
      </c>
      <c r="C52" s="378">
        <f t="shared" si="0"/>
        <v>32332.445703206002</v>
      </c>
      <c r="D52" s="378">
        <f t="shared" si="0"/>
        <v>31362.47233210981</v>
      </c>
      <c r="E52" s="378">
        <f t="shared" si="0"/>
        <v>48258.339941165199</v>
      </c>
      <c r="F52" s="378">
        <f t="shared" si="0"/>
        <v>134773.90505656597</v>
      </c>
      <c r="G52" s="378">
        <f t="shared" si="0"/>
        <v>50816.031958046951</v>
      </c>
      <c r="H52" s="378">
        <f t="shared" si="0"/>
        <v>95860.8573755658</v>
      </c>
    </row>
    <row r="53" spans="1:15" ht="15" x14ac:dyDescent="0.2">
      <c r="A53" s="372">
        <v>2015</v>
      </c>
      <c r="B53" s="378">
        <f t="shared" si="0"/>
        <v>926266.47275162488</v>
      </c>
      <c r="C53" s="378">
        <f t="shared" si="0"/>
        <v>32849.764834457295</v>
      </c>
      <c r="D53" s="378">
        <f t="shared" si="0"/>
        <v>31864.271889423566</v>
      </c>
      <c r="E53" s="378">
        <f t="shared" si="0"/>
        <v>49030.473380223841</v>
      </c>
      <c r="F53" s="378">
        <f t="shared" si="0"/>
        <v>136930.28753747104</v>
      </c>
      <c r="G53" s="378">
        <f t="shared" si="0"/>
        <v>51629.088469375703</v>
      </c>
      <c r="H53" s="378">
        <f t="shared" si="0"/>
        <v>97394.631093574848</v>
      </c>
    </row>
    <row r="54" spans="1:15" ht="15" x14ac:dyDescent="0.2">
      <c r="A54" s="372">
        <v>2016</v>
      </c>
      <c r="B54" s="378">
        <f t="shared" si="0"/>
        <v>941086.73631565087</v>
      </c>
      <c r="C54" s="378">
        <f t="shared" si="0"/>
        <v>33375.361071808613</v>
      </c>
      <c r="D54" s="378">
        <f t="shared" si="0"/>
        <v>32374.100239654344</v>
      </c>
      <c r="E54" s="378">
        <f t="shared" si="0"/>
        <v>49814.960954307426</v>
      </c>
      <c r="F54" s="378">
        <f t="shared" si="0"/>
        <v>139121.17213807057</v>
      </c>
      <c r="G54" s="378">
        <f t="shared" si="0"/>
        <v>52455.153884885716</v>
      </c>
      <c r="H54" s="378">
        <f t="shared" si="0"/>
        <v>98952.945191072053</v>
      </c>
    </row>
    <row r="55" spans="1:15" ht="18" x14ac:dyDescent="0.25">
      <c r="A55" s="382">
        <v>2017</v>
      </c>
      <c r="B55" s="383">
        <f t="shared" si="0"/>
        <v>956144.12409670127</v>
      </c>
      <c r="C55" s="383">
        <f t="shared" si="0"/>
        <v>33909.36684895755</v>
      </c>
      <c r="D55" s="383">
        <f t="shared" si="0"/>
        <v>32892.085843488814</v>
      </c>
      <c r="E55" s="383">
        <f t="shared" si="0"/>
        <v>50612.000329576345</v>
      </c>
      <c r="F55" s="383">
        <f t="shared" si="0"/>
        <v>141347.11089227971</v>
      </c>
      <c r="G55" s="383">
        <f t="shared" si="0"/>
        <v>53294.436347043891</v>
      </c>
      <c r="H55" s="383">
        <f t="shared" si="0"/>
        <v>100536.19231412921</v>
      </c>
      <c r="I55" s="384">
        <f t="shared" ref="I55:O55" si="3">B55/B$45</f>
        <v>1.1720255503567738</v>
      </c>
      <c r="J55" s="384">
        <f t="shared" si="3"/>
        <v>1.1720255503567738</v>
      </c>
      <c r="K55" s="384">
        <f t="shared" si="3"/>
        <v>1.1720255503567736</v>
      </c>
      <c r="L55" s="384">
        <f t="shared" si="3"/>
        <v>1.1720255503567736</v>
      </c>
      <c r="M55" s="384">
        <f t="shared" si="3"/>
        <v>1.172025550356774</v>
      </c>
      <c r="N55" s="384">
        <f t="shared" si="3"/>
        <v>1.1720255503567738</v>
      </c>
      <c r="O55" s="384">
        <f t="shared" si="3"/>
        <v>1.1720255503567738</v>
      </c>
    </row>
    <row r="56" spans="1:15" ht="15" x14ac:dyDescent="0.2">
      <c r="A56" s="372">
        <v>2018</v>
      </c>
      <c r="B56" s="378">
        <f t="shared" si="0"/>
        <v>971442.43008224852</v>
      </c>
      <c r="C56" s="378">
        <f t="shared" si="0"/>
        <v>34451.916718540873</v>
      </c>
      <c r="D56" s="378">
        <f t="shared" si="0"/>
        <v>33418.359216984638</v>
      </c>
      <c r="E56" s="378">
        <f t="shared" si="0"/>
        <v>51421.792334849568</v>
      </c>
      <c r="F56" s="378">
        <f t="shared" si="0"/>
        <v>143608.6646665562</v>
      </c>
      <c r="G56" s="378">
        <f t="shared" si="0"/>
        <v>54147.147328596591</v>
      </c>
      <c r="H56" s="378">
        <f t="shared" si="0"/>
        <v>102144.77139115527</v>
      </c>
      <c r="I56" s="362">
        <f>B55/B52</f>
        <v>1.048772096</v>
      </c>
      <c r="J56" s="362">
        <f t="shared" ref="J56:O56" si="4">C55/C52</f>
        <v>1.048772096</v>
      </c>
      <c r="K56" s="362">
        <f t="shared" si="4"/>
        <v>1.048772096</v>
      </c>
      <c r="L56" s="362">
        <f t="shared" si="4"/>
        <v>1.048772096</v>
      </c>
      <c r="M56" s="362">
        <f t="shared" si="4"/>
        <v>1.0487720960000002</v>
      </c>
      <c r="N56" s="362">
        <f t="shared" si="4"/>
        <v>1.0487720960000002</v>
      </c>
      <c r="O56" s="362">
        <f t="shared" si="4"/>
        <v>1.048772096</v>
      </c>
    </row>
    <row r="57" spans="1:15" ht="15" x14ac:dyDescent="0.2">
      <c r="A57" s="372">
        <v>2019</v>
      </c>
      <c r="B57" s="378">
        <f t="shared" si="0"/>
        <v>986985.50896356453</v>
      </c>
      <c r="C57" s="378">
        <f t="shared" si="0"/>
        <v>35003.147386037526</v>
      </c>
      <c r="D57" s="378">
        <f t="shared" si="0"/>
        <v>33953.052964456394</v>
      </c>
      <c r="E57" s="378">
        <f t="shared" si="0"/>
        <v>52244.541012207163</v>
      </c>
      <c r="F57" s="378">
        <f t="shared" si="0"/>
        <v>145906.40330122111</v>
      </c>
      <c r="G57" s="378">
        <f t="shared" si="0"/>
        <v>55013.501685854135</v>
      </c>
      <c r="H57" s="378">
        <f t="shared" si="0"/>
        <v>103779.08773341376</v>
      </c>
    </row>
    <row r="58" spans="1:15" ht="18" x14ac:dyDescent="0.25">
      <c r="A58" s="382">
        <v>2020</v>
      </c>
      <c r="B58" s="383">
        <f t="shared" si="0"/>
        <v>1002777.2771069816</v>
      </c>
      <c r="C58" s="383">
        <f t="shared" si="0"/>
        <v>35563.197744214129</v>
      </c>
      <c r="D58" s="383">
        <f t="shared" si="0"/>
        <v>34496.301811887693</v>
      </c>
      <c r="E58" s="383">
        <f t="shared" si="0"/>
        <v>53080.453668402479</v>
      </c>
      <c r="F58" s="383">
        <f t="shared" si="0"/>
        <v>148240.90575404066</v>
      </c>
      <c r="G58" s="383">
        <f t="shared" si="0"/>
        <v>55893.717712827805</v>
      </c>
      <c r="H58" s="383">
        <f t="shared" si="0"/>
        <v>105439.55313714838</v>
      </c>
      <c r="I58" s="384">
        <f t="shared" ref="I58:O58" si="5">B58/B$45</f>
        <v>1.2291876930132273</v>
      </c>
      <c r="J58" s="384">
        <f t="shared" si="5"/>
        <v>1.2291876930132273</v>
      </c>
      <c r="K58" s="384">
        <f t="shared" si="5"/>
        <v>1.2291876930132271</v>
      </c>
      <c r="L58" s="384">
        <f t="shared" si="5"/>
        <v>1.2291876930132271</v>
      </c>
      <c r="M58" s="384">
        <f t="shared" si="5"/>
        <v>1.2291876930132277</v>
      </c>
      <c r="N58" s="384">
        <f t="shared" si="5"/>
        <v>1.2291876930132271</v>
      </c>
      <c r="O58" s="384">
        <f t="shared" si="5"/>
        <v>1.2291876930132273</v>
      </c>
    </row>
    <row r="59" spans="1:15" ht="15" x14ac:dyDescent="0.2">
      <c r="A59" s="372">
        <v>2021</v>
      </c>
      <c r="B59" s="378">
        <f t="shared" si="0"/>
        <v>1018821.7135406933</v>
      </c>
      <c r="C59" s="378">
        <f t="shared" si="0"/>
        <v>36132.208908121553</v>
      </c>
      <c r="D59" s="378">
        <f t="shared" si="0"/>
        <v>35048.242640877899</v>
      </c>
      <c r="E59" s="378">
        <f t="shared" si="0"/>
        <v>53929.740927096922</v>
      </c>
      <c r="F59" s="378">
        <f t="shared" si="0"/>
        <v>150612.76024610532</v>
      </c>
      <c r="G59" s="378">
        <f t="shared" si="0"/>
        <v>56788.01719623305</v>
      </c>
      <c r="H59" s="378">
        <f t="shared" si="0"/>
        <v>107126.58598734275</v>
      </c>
      <c r="L59" s="385"/>
    </row>
    <row r="60" spans="1:15" ht="15" x14ac:dyDescent="0.2">
      <c r="A60" s="372">
        <v>2022</v>
      </c>
      <c r="B60" s="378">
        <f t="shared" si="0"/>
        <v>1035122.8609573444</v>
      </c>
      <c r="C60" s="378">
        <f t="shared" si="0"/>
        <v>36710.324250651502</v>
      </c>
      <c r="D60" s="378">
        <f t="shared" si="0"/>
        <v>35609.014523131947</v>
      </c>
      <c r="E60" s="378">
        <f t="shared" si="0"/>
        <v>54792.616781930476</v>
      </c>
      <c r="F60" s="378">
        <f t="shared" si="0"/>
        <v>153022.56441004301</v>
      </c>
      <c r="G60" s="378">
        <f t="shared" si="0"/>
        <v>57696.625471372776</v>
      </c>
      <c r="H60" s="378">
        <f t="shared" si="0"/>
        <v>108840.61136314024</v>
      </c>
    </row>
    <row r="61" spans="1:15" ht="15" x14ac:dyDescent="0.2">
      <c r="A61" s="373">
        <v>2023</v>
      </c>
      <c r="B61" s="378">
        <f t="shared" ref="B61:H76" si="6">B60*1.016</f>
        <v>1051684.826732662</v>
      </c>
      <c r="C61" s="378">
        <f t="shared" si="6"/>
        <v>37297.689438661924</v>
      </c>
      <c r="D61" s="378">
        <f t="shared" si="6"/>
        <v>36178.758755502058</v>
      </c>
      <c r="E61" s="378">
        <f t="shared" si="6"/>
        <v>55669.298650441364</v>
      </c>
      <c r="F61" s="378">
        <f t="shared" si="6"/>
        <v>155470.92544060369</v>
      </c>
      <c r="G61" s="378">
        <f t="shared" si="6"/>
        <v>58619.771478914743</v>
      </c>
      <c r="H61" s="378">
        <f t="shared" si="6"/>
        <v>110582.06114495048</v>
      </c>
    </row>
    <row r="62" spans="1:15" ht="15" x14ac:dyDescent="0.2">
      <c r="A62" s="373">
        <v>2024</v>
      </c>
      <c r="B62" s="378">
        <f t="shared" si="6"/>
        <v>1068511.7839603845</v>
      </c>
      <c r="C62" s="378">
        <f t="shared" si="6"/>
        <v>37894.452469680517</v>
      </c>
      <c r="D62" s="378">
        <f t="shared" si="6"/>
        <v>36757.618895590094</v>
      </c>
      <c r="E62" s="378">
        <f t="shared" si="6"/>
        <v>56560.007428848425</v>
      </c>
      <c r="F62" s="378">
        <f t="shared" si="6"/>
        <v>157958.46024765336</v>
      </c>
      <c r="G62" s="378">
        <f t="shared" si="6"/>
        <v>59557.687822577376</v>
      </c>
      <c r="H62" s="378">
        <f t="shared" si="6"/>
        <v>112351.37412326969</v>
      </c>
    </row>
    <row r="63" spans="1:15" ht="18" x14ac:dyDescent="0.25">
      <c r="A63" s="386">
        <v>2025</v>
      </c>
      <c r="B63" s="383">
        <f t="shared" si="6"/>
        <v>1085607.9725037508</v>
      </c>
      <c r="C63" s="383">
        <f t="shared" si="6"/>
        <v>38500.763709195402</v>
      </c>
      <c r="D63" s="383">
        <f t="shared" si="6"/>
        <v>37345.740797919534</v>
      </c>
      <c r="E63" s="383">
        <f t="shared" si="6"/>
        <v>57464.967547710003</v>
      </c>
      <c r="F63" s="383">
        <f t="shared" si="6"/>
        <v>160485.79561161582</v>
      </c>
      <c r="G63" s="383">
        <f t="shared" si="6"/>
        <v>60510.610827738616</v>
      </c>
      <c r="H63" s="383">
        <f t="shared" si="6"/>
        <v>114148.99610924201</v>
      </c>
      <c r="I63" s="384">
        <f>B63/B45</f>
        <v>1.3307201805454254</v>
      </c>
      <c r="J63" s="384">
        <f>C63/C45</f>
        <v>1.3307201805454252</v>
      </c>
      <c r="K63" s="384">
        <f>D63/D45</f>
        <v>1.330720180545425</v>
      </c>
      <c r="L63" s="384">
        <f>E63/E45</f>
        <v>1.3307201805454252</v>
      </c>
      <c r="M63" s="384">
        <f>F63/F45</f>
        <v>1.3307201805454258</v>
      </c>
      <c r="N63" s="384">
        <f>G63/G$45</f>
        <v>1.330720180545425</v>
      </c>
      <c r="O63" s="384">
        <f>H63/H$45</f>
        <v>1.3307201805454252</v>
      </c>
    </row>
    <row r="64" spans="1:15" ht="15" x14ac:dyDescent="0.2">
      <c r="A64" s="373">
        <v>2026</v>
      </c>
      <c r="B64" s="378">
        <f t="shared" si="6"/>
        <v>1102977.7000638109</v>
      </c>
      <c r="C64" s="378">
        <f t="shared" si="6"/>
        <v>39116.775928542527</v>
      </c>
      <c r="D64" s="378">
        <f t="shared" si="6"/>
        <v>37943.272650686245</v>
      </c>
      <c r="E64" s="378">
        <f t="shared" si="6"/>
        <v>58384.407028473361</v>
      </c>
      <c r="F64" s="378">
        <f t="shared" si="6"/>
        <v>163053.56834140167</v>
      </c>
      <c r="G64" s="378">
        <f t="shared" si="6"/>
        <v>61478.780600982434</v>
      </c>
      <c r="H64" s="378">
        <f t="shared" si="6"/>
        <v>115975.38004698989</v>
      </c>
    </row>
    <row r="65" spans="1:8" ht="15" x14ac:dyDescent="0.2">
      <c r="A65" s="373">
        <v>2027</v>
      </c>
      <c r="B65" s="378">
        <f t="shared" si="6"/>
        <v>1120625.3432648319</v>
      </c>
      <c r="C65" s="378">
        <f t="shared" si="6"/>
        <v>39742.64434339921</v>
      </c>
      <c r="D65" s="378">
        <f t="shared" si="6"/>
        <v>38550.365013097224</v>
      </c>
      <c r="E65" s="378">
        <f t="shared" si="6"/>
        <v>59318.557540928938</v>
      </c>
      <c r="F65" s="378">
        <f t="shared" si="6"/>
        <v>165662.4254348641</v>
      </c>
      <c r="G65" s="378">
        <f t="shared" si="6"/>
        <v>62462.441090598157</v>
      </c>
      <c r="H65" s="378">
        <f t="shared" si="6"/>
        <v>117830.98612774172</v>
      </c>
    </row>
    <row r="66" spans="1:8" ht="15" x14ac:dyDescent="0.2">
      <c r="A66" s="373">
        <v>2028</v>
      </c>
      <c r="B66" s="378">
        <f t="shared" si="6"/>
        <v>1138555.3487570693</v>
      </c>
      <c r="C66" s="378">
        <f t="shared" si="6"/>
        <v>40378.526652893597</v>
      </c>
      <c r="D66" s="378">
        <f t="shared" si="6"/>
        <v>39167.170853306779</v>
      </c>
      <c r="E66" s="378">
        <f t="shared" si="6"/>
        <v>60267.654461583799</v>
      </c>
      <c r="F66" s="378">
        <f t="shared" si="6"/>
        <v>168313.02424182193</v>
      </c>
      <c r="G66" s="378">
        <f t="shared" si="6"/>
        <v>63461.840148047726</v>
      </c>
      <c r="H66" s="378">
        <f t="shared" si="6"/>
        <v>119716.2819057856</v>
      </c>
    </row>
    <row r="67" spans="1:8" ht="15" x14ac:dyDescent="0.2">
      <c r="A67" s="373">
        <v>2029</v>
      </c>
      <c r="B67" s="378">
        <f t="shared" si="6"/>
        <v>1156772.2343371825</v>
      </c>
      <c r="C67" s="378">
        <f t="shared" si="6"/>
        <v>41024.583079339893</v>
      </c>
      <c r="D67" s="378">
        <f t="shared" si="6"/>
        <v>39793.845586959687</v>
      </c>
      <c r="E67" s="378">
        <f t="shared" si="6"/>
        <v>61231.93693296914</v>
      </c>
      <c r="F67" s="378">
        <f t="shared" si="6"/>
        <v>171006.03262969109</v>
      </c>
      <c r="G67" s="378">
        <f t="shared" si="6"/>
        <v>64477.229590416493</v>
      </c>
      <c r="H67" s="378">
        <f t="shared" si="6"/>
        <v>121631.74241627817</v>
      </c>
    </row>
    <row r="68" spans="1:8" ht="15" x14ac:dyDescent="0.2">
      <c r="A68" s="373">
        <v>2030</v>
      </c>
      <c r="B68" s="378">
        <f t="shared" si="6"/>
        <v>1175280.5900865775</v>
      </c>
      <c r="C68" s="378">
        <f t="shared" si="6"/>
        <v>41680.976408609335</v>
      </c>
      <c r="D68" s="378">
        <f t="shared" si="6"/>
        <v>40430.547116351045</v>
      </c>
      <c r="E68" s="378">
        <f t="shared" si="6"/>
        <v>62211.647923896649</v>
      </c>
      <c r="F68" s="378">
        <f t="shared" si="6"/>
        <v>173742.12915176616</v>
      </c>
      <c r="G68" s="378">
        <f t="shared" si="6"/>
        <v>65508.865263863161</v>
      </c>
      <c r="H68" s="378">
        <f t="shared" si="6"/>
        <v>123577.85029493862</v>
      </c>
    </row>
    <row r="69" spans="1:8" ht="15" x14ac:dyDescent="0.2">
      <c r="A69" s="373">
        <v>2031</v>
      </c>
      <c r="B69" s="378">
        <f t="shared" si="6"/>
        <v>1194085.0795279627</v>
      </c>
      <c r="C69" s="378">
        <f t="shared" si="6"/>
        <v>42347.872031147082</v>
      </c>
      <c r="D69" s="378">
        <f t="shared" si="6"/>
        <v>41077.435870212663</v>
      </c>
      <c r="E69" s="378">
        <f t="shared" si="6"/>
        <v>63207.034290678996</v>
      </c>
      <c r="F69" s="378">
        <f t="shared" si="6"/>
        <v>176522.00321819441</v>
      </c>
      <c r="G69" s="378">
        <f t="shared" si="6"/>
        <v>66557.007108084974</v>
      </c>
      <c r="H69" s="378">
        <f t="shared" si="6"/>
        <v>125555.09589965764</v>
      </c>
    </row>
    <row r="70" spans="1:8" ht="15" x14ac:dyDescent="0.2">
      <c r="A70" s="373">
        <v>2032</v>
      </c>
      <c r="B70" s="378">
        <f t="shared" si="6"/>
        <v>1213190.4408004102</v>
      </c>
      <c r="C70" s="378">
        <f t="shared" si="6"/>
        <v>43025.437983645439</v>
      </c>
      <c r="D70" s="378">
        <f t="shared" si="6"/>
        <v>41734.674844136069</v>
      </c>
      <c r="E70" s="378">
        <f t="shared" si="6"/>
        <v>64218.346839329861</v>
      </c>
      <c r="F70" s="378">
        <f t="shared" si="6"/>
        <v>179346.35526968553</v>
      </c>
      <c r="G70" s="378">
        <f t="shared" si="6"/>
        <v>67621.919221814329</v>
      </c>
      <c r="H70" s="378">
        <f t="shared" si="6"/>
        <v>127563.97743405215</v>
      </c>
    </row>
    <row r="71" spans="1:8" ht="15" x14ac:dyDescent="0.2">
      <c r="A71" s="373">
        <v>2033</v>
      </c>
      <c r="B71" s="378">
        <f t="shared" si="6"/>
        <v>1232601.4878532167</v>
      </c>
      <c r="C71" s="378">
        <f t="shared" si="6"/>
        <v>43713.844991383769</v>
      </c>
      <c r="D71" s="378">
        <f t="shared" si="6"/>
        <v>42402.429641642244</v>
      </c>
      <c r="E71" s="378">
        <f t="shared" si="6"/>
        <v>65245.840388759141</v>
      </c>
      <c r="F71" s="378">
        <f t="shared" si="6"/>
        <v>182215.89695400049</v>
      </c>
      <c r="G71" s="378">
        <f t="shared" si="6"/>
        <v>68703.869929363354</v>
      </c>
      <c r="H71" s="378">
        <f t="shared" si="6"/>
        <v>129605.00107299699</v>
      </c>
    </row>
    <row r="72" spans="1:8" ht="15" x14ac:dyDescent="0.2">
      <c r="A72" s="373">
        <v>2034</v>
      </c>
      <c r="B72" s="378">
        <f t="shared" si="6"/>
        <v>1252323.1116588681</v>
      </c>
      <c r="C72" s="378">
        <f t="shared" si="6"/>
        <v>44413.266511245907</v>
      </c>
      <c r="D72" s="378">
        <f t="shared" si="6"/>
        <v>43080.868515908522</v>
      </c>
      <c r="E72" s="378">
        <f t="shared" si="6"/>
        <v>66289.773834979293</v>
      </c>
      <c r="F72" s="378">
        <f t="shared" si="6"/>
        <v>185131.35130526451</v>
      </c>
      <c r="G72" s="378">
        <f t="shared" si="6"/>
        <v>69803.13184823317</v>
      </c>
      <c r="H72" s="378">
        <f t="shared" si="6"/>
        <v>131678.68109016496</v>
      </c>
    </row>
    <row r="73" spans="1:8" ht="15" x14ac:dyDescent="0.2">
      <c r="A73" s="373">
        <v>2035</v>
      </c>
      <c r="B73" s="378">
        <f t="shared" si="6"/>
        <v>1272360.2814454101</v>
      </c>
      <c r="C73" s="378">
        <f t="shared" si="6"/>
        <v>45123.878775425845</v>
      </c>
      <c r="D73" s="378">
        <f t="shared" si="6"/>
        <v>43770.162412163059</v>
      </c>
      <c r="E73" s="378">
        <f t="shared" si="6"/>
        <v>67350.410216338962</v>
      </c>
      <c r="F73" s="378">
        <f t="shared" si="6"/>
        <v>188093.45292614875</v>
      </c>
      <c r="G73" s="378">
        <f t="shared" si="6"/>
        <v>70919.981957804906</v>
      </c>
      <c r="H73" s="378">
        <f t="shared" si="6"/>
        <v>133785.5399876076</v>
      </c>
    </row>
    <row r="74" spans="1:8" ht="15" x14ac:dyDescent="0.2">
      <c r="A74" s="373">
        <v>2036</v>
      </c>
      <c r="B74" s="378">
        <f t="shared" si="6"/>
        <v>1292718.0459485366</v>
      </c>
      <c r="C74" s="378">
        <f t="shared" si="6"/>
        <v>45845.86083583266</v>
      </c>
      <c r="D74" s="378">
        <f t="shared" si="6"/>
        <v>44470.485010757671</v>
      </c>
      <c r="E74" s="378">
        <f t="shared" si="6"/>
        <v>68428.016779800382</v>
      </c>
      <c r="F74" s="378">
        <f t="shared" si="6"/>
        <v>191102.94817296712</v>
      </c>
      <c r="G74" s="378">
        <f t="shared" si="6"/>
        <v>72054.70166912979</v>
      </c>
      <c r="H74" s="378">
        <f t="shared" si="6"/>
        <v>135926.10862740932</v>
      </c>
    </row>
    <row r="75" spans="1:8" ht="15" x14ac:dyDescent="0.2">
      <c r="A75" s="373">
        <v>2037</v>
      </c>
      <c r="B75" s="378">
        <f t="shared" si="6"/>
        <v>1313401.5346837132</v>
      </c>
      <c r="C75" s="378">
        <f t="shared" si="6"/>
        <v>46579.394609205985</v>
      </c>
      <c r="D75" s="378">
        <f t="shared" si="6"/>
        <v>45182.012770929796</v>
      </c>
      <c r="E75" s="378">
        <f t="shared" si="6"/>
        <v>69522.865048277192</v>
      </c>
      <c r="F75" s="378">
        <f t="shared" si="6"/>
        <v>194160.5953437346</v>
      </c>
      <c r="G75" s="378">
        <f t="shared" si="6"/>
        <v>73207.576895835868</v>
      </c>
      <c r="H75" s="378">
        <f t="shared" si="6"/>
        <v>138100.92636544787</v>
      </c>
    </row>
    <row r="76" spans="1:8" ht="15" x14ac:dyDescent="0.2">
      <c r="A76" s="373">
        <v>2038</v>
      </c>
      <c r="B76" s="378">
        <f t="shared" si="6"/>
        <v>1334415.9592386526</v>
      </c>
      <c r="C76" s="378">
        <f t="shared" si="6"/>
        <v>47324.664922953285</v>
      </c>
      <c r="D76" s="378">
        <f t="shared" si="6"/>
        <v>45904.924975264672</v>
      </c>
      <c r="E76" s="378">
        <f t="shared" si="6"/>
        <v>70635.230889049621</v>
      </c>
      <c r="F76" s="378">
        <f t="shared" si="6"/>
        <v>197267.16486923437</v>
      </c>
      <c r="G76" s="378">
        <f t="shared" si="6"/>
        <v>74378.898126169239</v>
      </c>
      <c r="H76" s="378">
        <f t="shared" si="6"/>
        <v>140310.54118729505</v>
      </c>
    </row>
    <row r="77" spans="1:8" ht="15" x14ac:dyDescent="0.2">
      <c r="A77" s="373">
        <v>2039</v>
      </c>
      <c r="B77" s="378">
        <f t="shared" ref="B77:H78" si="7">B76*1.016</f>
        <v>1355766.6145864711</v>
      </c>
      <c r="C77" s="378">
        <f t="shared" si="7"/>
        <v>48081.859561720536</v>
      </c>
      <c r="D77" s="378">
        <f t="shared" si="7"/>
        <v>46639.403774868908</v>
      </c>
      <c r="E77" s="378">
        <f t="shared" si="7"/>
        <v>71765.394583274421</v>
      </c>
      <c r="F77" s="378">
        <f t="shared" si="7"/>
        <v>200423.43950714212</v>
      </c>
      <c r="G77" s="378">
        <f t="shared" si="7"/>
        <v>75568.960496187952</v>
      </c>
      <c r="H77" s="378">
        <f t="shared" si="7"/>
        <v>142555.50984629177</v>
      </c>
    </row>
    <row r="78" spans="1:8" ht="15" x14ac:dyDescent="0.2">
      <c r="A78" s="374">
        <v>2040</v>
      </c>
      <c r="B78" s="378">
        <f t="shared" si="7"/>
        <v>1377458.8804198548</v>
      </c>
      <c r="C78" s="378">
        <f t="shared" si="7"/>
        <v>48851.169314708066</v>
      </c>
      <c r="D78" s="378">
        <f t="shared" si="7"/>
        <v>47385.634235266814</v>
      </c>
      <c r="E78" s="378">
        <f t="shared" si="7"/>
        <v>72913.640896606812</v>
      </c>
      <c r="F78" s="378">
        <f t="shared" si="7"/>
        <v>203630.21453925638</v>
      </c>
      <c r="G78" s="378">
        <f t="shared" si="7"/>
        <v>76778.063864126962</v>
      </c>
      <c r="H78" s="378">
        <f t="shared" si="7"/>
        <v>144836.39800383244</v>
      </c>
    </row>
    <row r="79" spans="1:8" ht="15" x14ac:dyDescent="0.2">
      <c r="A79" s="361"/>
      <c r="B79" s="361"/>
      <c r="C79" s="361"/>
      <c r="D79" s="361"/>
      <c r="E79" s="361"/>
      <c r="F79" s="361"/>
      <c r="G79" s="361"/>
      <c r="H79" s="361"/>
    </row>
    <row r="80" spans="1:8" ht="15.75" x14ac:dyDescent="0.25">
      <c r="A80" s="602" t="s">
        <v>996</v>
      </c>
      <c r="B80" s="602"/>
      <c r="C80" s="602"/>
      <c r="D80" s="602"/>
      <c r="E80" s="602"/>
      <c r="F80" s="602"/>
      <c r="G80" s="602"/>
      <c r="H80" s="602"/>
    </row>
    <row r="81" spans="1:8" ht="15.75" x14ac:dyDescent="0.25">
      <c r="A81" s="364" t="s">
        <v>932</v>
      </c>
      <c r="B81" s="365" t="s">
        <v>96</v>
      </c>
      <c r="C81" s="366" t="s">
        <v>7</v>
      </c>
      <c r="D81" s="366" t="s">
        <v>924</v>
      </c>
      <c r="E81" s="366" t="s">
        <v>8</v>
      </c>
      <c r="F81" s="366" t="s">
        <v>10</v>
      </c>
      <c r="G81" s="366" t="s">
        <v>69</v>
      </c>
      <c r="H81" s="367" t="s">
        <v>17</v>
      </c>
    </row>
    <row r="82" spans="1:8" ht="15" x14ac:dyDescent="0.2">
      <c r="A82" s="368">
        <v>2006</v>
      </c>
      <c r="B82" s="387">
        <f>1-(B44-B4)/B44</f>
        <v>1</v>
      </c>
      <c r="C82" s="387">
        <f t="shared" ref="C82:H82" si="8">1-(C44-C4)/C44</f>
        <v>1</v>
      </c>
      <c r="D82" s="387">
        <f t="shared" si="8"/>
        <v>1</v>
      </c>
      <c r="E82" s="387">
        <f t="shared" si="8"/>
        <v>1</v>
      </c>
      <c r="F82" s="387">
        <f t="shared" si="8"/>
        <v>1</v>
      </c>
      <c r="G82" s="387">
        <f t="shared" si="8"/>
        <v>1</v>
      </c>
      <c r="H82" s="387">
        <f t="shared" si="8"/>
        <v>1</v>
      </c>
    </row>
    <row r="83" spans="1:8" ht="15" x14ac:dyDescent="0.2">
      <c r="A83" s="368">
        <v>2007</v>
      </c>
      <c r="B83" s="387">
        <f t="shared" ref="B83:H98" si="9">1-(B45-B5)/B45</f>
        <v>0.97043235287658114</v>
      </c>
      <c r="C83" s="387">
        <f t="shared" si="9"/>
        <v>0.98163644314899645</v>
      </c>
      <c r="D83" s="387">
        <f t="shared" si="9"/>
        <v>0.98163644314899656</v>
      </c>
      <c r="E83" s="387">
        <f t="shared" si="9"/>
        <v>0.98071288338434637</v>
      </c>
      <c r="F83" s="387">
        <f t="shared" si="9"/>
        <v>1</v>
      </c>
      <c r="G83" s="387">
        <f t="shared" si="9"/>
        <v>0.98071288338434648</v>
      </c>
      <c r="H83" s="387">
        <f t="shared" si="9"/>
        <v>1.0000015854536677</v>
      </c>
    </row>
    <row r="84" spans="1:8" ht="15" x14ac:dyDescent="0.2">
      <c r="A84" s="368">
        <v>2008</v>
      </c>
      <c r="B84" s="387">
        <f t="shared" si="9"/>
        <v>0.93782745964438186</v>
      </c>
      <c r="C84" s="387">
        <f t="shared" si="9"/>
        <v>0.79219822902590442</v>
      </c>
      <c r="D84" s="387">
        <f t="shared" si="9"/>
        <v>0.79219822902590453</v>
      </c>
      <c r="E84" s="387">
        <f t="shared" si="9"/>
        <v>0.9477223096547791</v>
      </c>
      <c r="F84" s="387">
        <f t="shared" si="9"/>
        <v>1.0000000000000002</v>
      </c>
      <c r="G84" s="387">
        <f t="shared" si="9"/>
        <v>0.9477223096547791</v>
      </c>
      <c r="H84" s="387">
        <f t="shared" si="9"/>
        <v>0.11666926885950801</v>
      </c>
    </row>
    <row r="85" spans="1:8" ht="15" x14ac:dyDescent="0.2">
      <c r="A85" s="372">
        <v>2009</v>
      </c>
      <c r="B85" s="387">
        <f t="shared" si="9"/>
        <v>0.91348654629128723</v>
      </c>
      <c r="C85" s="387">
        <f t="shared" si="9"/>
        <v>0.76355372393633403</v>
      </c>
      <c r="D85" s="387">
        <f t="shared" si="9"/>
        <v>0.76355372393633414</v>
      </c>
      <c r="E85" s="387">
        <f t="shared" si="9"/>
        <v>0.91078896683585209</v>
      </c>
      <c r="F85" s="387">
        <f t="shared" si="9"/>
        <v>1.0000000000000002</v>
      </c>
      <c r="G85" s="387">
        <f t="shared" si="9"/>
        <v>0.91078896683585198</v>
      </c>
      <c r="H85" s="387">
        <f t="shared" si="9"/>
        <v>0.11666149895522138</v>
      </c>
    </row>
    <row r="86" spans="1:8" ht="15" x14ac:dyDescent="0.2">
      <c r="A86" s="372">
        <v>2010</v>
      </c>
      <c r="B86" s="387">
        <f t="shared" si="9"/>
        <v>0.87445231333687989</v>
      </c>
      <c r="C86" s="387">
        <f t="shared" si="9"/>
        <v>0.73320500273754341</v>
      </c>
      <c r="D86" s="387">
        <f t="shared" si="9"/>
        <v>0.73320500273754352</v>
      </c>
      <c r="E86" s="387">
        <f t="shared" si="9"/>
        <v>0.87077339081698291</v>
      </c>
      <c r="F86" s="387">
        <f t="shared" si="9"/>
        <v>1</v>
      </c>
      <c r="G86" s="387">
        <f t="shared" si="9"/>
        <v>0.8707733908169828</v>
      </c>
      <c r="H86" s="387">
        <f t="shared" si="9"/>
        <v>0.11666950219851235</v>
      </c>
    </row>
    <row r="87" spans="1:8" ht="13.5" customHeight="1" x14ac:dyDescent="0.2">
      <c r="A87" s="388">
        <v>2011</v>
      </c>
      <c r="B87" s="389">
        <f t="shared" si="9"/>
        <v>0.82820816008391529</v>
      </c>
      <c r="C87" s="389">
        <f t="shared" si="9"/>
        <v>0.68877338793379783</v>
      </c>
      <c r="D87" s="389">
        <f t="shared" si="9"/>
        <v>0.68877338793379805</v>
      </c>
      <c r="E87" s="389">
        <f t="shared" si="9"/>
        <v>0.80556581876491662</v>
      </c>
      <c r="F87" s="389">
        <f t="shared" si="9"/>
        <v>1</v>
      </c>
      <c r="G87" s="389">
        <f t="shared" si="9"/>
        <v>0.80556581876491673</v>
      </c>
      <c r="H87" s="389">
        <f t="shared" si="9"/>
        <v>0.11667020239477577</v>
      </c>
    </row>
    <row r="88" spans="1:8" ht="15" x14ac:dyDescent="0.2">
      <c r="A88" s="372">
        <v>2012</v>
      </c>
      <c r="B88" s="387">
        <f t="shared" si="9"/>
        <v>0.79937634888193243</v>
      </c>
      <c r="C88" s="387">
        <f t="shared" si="9"/>
        <v>0.64499404738933652</v>
      </c>
      <c r="D88" s="387">
        <f t="shared" si="9"/>
        <v>0.64499404738933663</v>
      </c>
      <c r="E88" s="387">
        <f t="shared" si="9"/>
        <v>0.74113688070211792</v>
      </c>
      <c r="F88" s="387">
        <f t="shared" si="9"/>
        <v>1</v>
      </c>
      <c r="G88" s="387">
        <f t="shared" si="9"/>
        <v>0.74113688070211792</v>
      </c>
      <c r="H88" s="387">
        <f t="shared" si="9"/>
        <v>0.11666348299165719</v>
      </c>
    </row>
    <row r="89" spans="1:8" ht="15" x14ac:dyDescent="0.2">
      <c r="A89" s="388">
        <v>2013</v>
      </c>
      <c r="B89" s="389">
        <f t="shared" si="9"/>
        <v>0.77105631174359968</v>
      </c>
      <c r="C89" s="389">
        <f t="shared" si="9"/>
        <v>0.5953256166141313</v>
      </c>
      <c r="D89" s="389">
        <f t="shared" si="9"/>
        <v>0.59532561661413141</v>
      </c>
      <c r="E89" s="389">
        <f t="shared" si="9"/>
        <v>0.68279504796577906</v>
      </c>
      <c r="F89" s="389">
        <f t="shared" si="9"/>
        <v>1</v>
      </c>
      <c r="G89" s="389">
        <f t="shared" si="9"/>
        <v>0.68279504796577906</v>
      </c>
      <c r="H89" s="389">
        <f t="shared" si="9"/>
        <v>3.3385889586418083E-3</v>
      </c>
    </row>
    <row r="90" spans="1:8" ht="15" x14ac:dyDescent="0.2">
      <c r="A90" s="372">
        <v>2014</v>
      </c>
      <c r="B90" s="387">
        <f t="shared" si="9"/>
        <v>0.75211917133719841</v>
      </c>
      <c r="C90" s="387">
        <f t="shared" si="9"/>
        <v>0.56639457811325977</v>
      </c>
      <c r="D90" s="387">
        <f t="shared" si="9"/>
        <v>0.56639457811325999</v>
      </c>
      <c r="E90" s="387">
        <f t="shared" si="9"/>
        <v>0.64021987386820489</v>
      </c>
      <c r="F90" s="387">
        <f t="shared" si="9"/>
        <v>1</v>
      </c>
      <c r="G90" s="387">
        <f t="shared" si="9"/>
        <v>0.64021987386820489</v>
      </c>
      <c r="H90" s="387">
        <f t="shared" si="9"/>
        <v>3.3381716871808687E-3</v>
      </c>
    </row>
    <row r="91" spans="1:8" ht="15" x14ac:dyDescent="0.2">
      <c r="A91" s="372">
        <v>2015</v>
      </c>
      <c r="B91" s="387">
        <f t="shared" si="9"/>
        <v>0.71702985219897153</v>
      </c>
      <c r="C91" s="387">
        <f t="shared" si="9"/>
        <v>0.53123768037987629</v>
      </c>
      <c r="D91" s="387">
        <f t="shared" si="9"/>
        <v>0.5312376803798764</v>
      </c>
      <c r="E91" s="387">
        <f t="shared" si="9"/>
        <v>0.59522186553768797</v>
      </c>
      <c r="F91" s="387">
        <f t="shared" si="9"/>
        <v>1.0000000000000004</v>
      </c>
      <c r="G91" s="387">
        <f t="shared" si="9"/>
        <v>0.59522186553768797</v>
      </c>
      <c r="H91" s="387">
        <f t="shared" si="9"/>
        <v>3.33693958641057E-3</v>
      </c>
    </row>
    <row r="92" spans="1:8" ht="15" x14ac:dyDescent="0.2">
      <c r="A92" s="372">
        <v>2016</v>
      </c>
      <c r="B92" s="387">
        <f t="shared" si="9"/>
        <v>0.67382287335154878</v>
      </c>
      <c r="C92" s="387">
        <f t="shared" si="9"/>
        <v>0.4892414834185761</v>
      </c>
      <c r="D92" s="387">
        <f t="shared" si="9"/>
        <v>0.48924148341857621</v>
      </c>
      <c r="E92" s="387">
        <f t="shared" si="9"/>
        <v>0.53656380734338471</v>
      </c>
      <c r="F92" s="387">
        <f t="shared" si="9"/>
        <v>1</v>
      </c>
      <c r="G92" s="387">
        <f t="shared" si="9"/>
        <v>0.53656380734338482</v>
      </c>
      <c r="H92" s="387">
        <f t="shared" si="9"/>
        <v>3.3349184237294605E-3</v>
      </c>
    </row>
    <row r="93" spans="1:8" ht="15" x14ac:dyDescent="0.2">
      <c r="A93" s="388">
        <v>2017</v>
      </c>
      <c r="B93" s="389">
        <f t="shared" si="9"/>
        <v>0.63255945949939807</v>
      </c>
      <c r="C93" s="389">
        <f t="shared" si="9"/>
        <v>0.44865697165735452</v>
      </c>
      <c r="D93" s="389">
        <f t="shared" si="9"/>
        <v>0.44865697165735463</v>
      </c>
      <c r="E93" s="389">
        <f t="shared" si="9"/>
        <v>0.48025953947781619</v>
      </c>
      <c r="F93" s="389">
        <f t="shared" si="9"/>
        <v>0.99999999999999978</v>
      </c>
      <c r="G93" s="389">
        <f t="shared" si="9"/>
        <v>0.48025953947781619</v>
      </c>
      <c r="H93" s="389">
        <f t="shared" si="9"/>
        <v>3.3321333570429656E-3</v>
      </c>
    </row>
    <row r="94" spans="1:8" ht="15" x14ac:dyDescent="0.2">
      <c r="A94" s="372">
        <v>2018</v>
      </c>
      <c r="B94" s="387">
        <f t="shared" si="9"/>
        <v>0.60201053121308667</v>
      </c>
      <c r="C94" s="387">
        <f t="shared" si="9"/>
        <v>0.41691172326844939</v>
      </c>
      <c r="D94" s="387">
        <f t="shared" si="9"/>
        <v>0.41691172326844939</v>
      </c>
      <c r="E94" s="387">
        <f t="shared" si="9"/>
        <v>0.44090411460352896</v>
      </c>
      <c r="F94" s="387">
        <f t="shared" si="9"/>
        <v>0.99999999999999978</v>
      </c>
      <c r="G94" s="387">
        <f t="shared" si="9"/>
        <v>0.44090411460352896</v>
      </c>
      <c r="H94" s="387">
        <f t="shared" si="9"/>
        <v>3.3286089475691449E-3</v>
      </c>
    </row>
    <row r="95" spans="1:8" ht="15" x14ac:dyDescent="0.2">
      <c r="A95" s="372">
        <v>2019</v>
      </c>
      <c r="B95" s="387">
        <f t="shared" si="9"/>
        <v>0.57393805438500944</v>
      </c>
      <c r="C95" s="387">
        <f t="shared" si="9"/>
        <v>0.38682023424449785</v>
      </c>
      <c r="D95" s="387">
        <f t="shared" si="9"/>
        <v>0.38682023424449796</v>
      </c>
      <c r="E95" s="387">
        <f t="shared" si="9"/>
        <v>0.40427494561368371</v>
      </c>
      <c r="F95" s="387">
        <f t="shared" si="9"/>
        <v>0.99999999999999956</v>
      </c>
      <c r="G95" s="387">
        <f t="shared" si="9"/>
        <v>0.40427494561368371</v>
      </c>
      <c r="H95" s="387">
        <f t="shared" si="9"/>
        <v>3.3340050250663111E-3</v>
      </c>
    </row>
    <row r="96" spans="1:8" ht="15" x14ac:dyDescent="0.2">
      <c r="A96" s="388">
        <v>2020</v>
      </c>
      <c r="B96" s="389">
        <f t="shared" si="9"/>
        <v>0.54743739062582042</v>
      </c>
      <c r="C96" s="389">
        <f t="shared" si="9"/>
        <v>0.363798807892451</v>
      </c>
      <c r="D96" s="389">
        <f t="shared" si="9"/>
        <v>0.36379880789245111</v>
      </c>
      <c r="E96" s="389">
        <f t="shared" si="9"/>
        <v>0.38237616119929907</v>
      </c>
      <c r="F96" s="389">
        <f t="shared" si="9"/>
        <v>0.99999999999999944</v>
      </c>
      <c r="G96" s="389">
        <f t="shared" si="9"/>
        <v>0.38237616119929907</v>
      </c>
      <c r="H96" s="389">
        <f t="shared" si="9"/>
        <v>3.3289215437345421E-3</v>
      </c>
    </row>
    <row r="97" spans="1:8" ht="15" x14ac:dyDescent="0.2">
      <c r="A97" s="372">
        <v>2021</v>
      </c>
      <c r="B97" s="387">
        <f t="shared" si="9"/>
        <v>0.52148029173050681</v>
      </c>
      <c r="C97" s="387">
        <f t="shared" si="9"/>
        <v>0.34108308177820656</v>
      </c>
      <c r="D97" s="387">
        <f t="shared" si="9"/>
        <v>0.34108308177820656</v>
      </c>
      <c r="E97" s="387">
        <f t="shared" si="9"/>
        <v>0.36090860445533413</v>
      </c>
      <c r="F97" s="387">
        <f t="shared" si="9"/>
        <v>0.99999999999999944</v>
      </c>
      <c r="G97" s="387">
        <f t="shared" si="9"/>
        <v>0.36090860445533413</v>
      </c>
      <c r="H97" s="387">
        <f t="shared" si="9"/>
        <v>3.3325060880982083E-3</v>
      </c>
    </row>
    <row r="98" spans="1:8" ht="15" x14ac:dyDescent="0.2">
      <c r="A98" s="372">
        <v>2022</v>
      </c>
      <c r="B98" s="387">
        <f t="shared" si="9"/>
        <v>0.49542033306873723</v>
      </c>
      <c r="C98" s="387">
        <f t="shared" si="9"/>
        <v>0.31803662552326584</v>
      </c>
      <c r="D98" s="387">
        <f t="shared" si="9"/>
        <v>0.31803662552326595</v>
      </c>
      <c r="E98" s="387">
        <f t="shared" si="9"/>
        <v>0.33915772708115155</v>
      </c>
      <c r="F98" s="387">
        <f t="shared" si="9"/>
        <v>0.99999999999999967</v>
      </c>
      <c r="G98" s="387">
        <f t="shared" si="9"/>
        <v>0.33915772708115155</v>
      </c>
      <c r="H98" s="387">
        <f t="shared" si="9"/>
        <v>3.335152159232857E-3</v>
      </c>
    </row>
    <row r="99" spans="1:8" ht="15" x14ac:dyDescent="0.2">
      <c r="A99" s="373">
        <v>2023</v>
      </c>
      <c r="B99" s="387">
        <f t="shared" ref="B99:H114" si="10">1-(B61-B21)/B61</f>
        <v>0.46659765620623472</v>
      </c>
      <c r="C99" s="387">
        <f t="shared" si="10"/>
        <v>0.29534939069542621</v>
      </c>
      <c r="D99" s="387">
        <f t="shared" si="10"/>
        <v>0.29534939069542621</v>
      </c>
      <c r="E99" s="387">
        <f t="shared" si="10"/>
        <v>0.31778748540239909</v>
      </c>
      <c r="F99" s="387">
        <f t="shared" si="10"/>
        <v>0.99999999999999978</v>
      </c>
      <c r="G99" s="387">
        <f t="shared" si="10"/>
        <v>0.31778748540239921</v>
      </c>
      <c r="H99" s="387">
        <f t="shared" si="10"/>
        <v>3.336888426381579E-3</v>
      </c>
    </row>
    <row r="100" spans="1:8" ht="15" x14ac:dyDescent="0.2">
      <c r="A100" s="373">
        <v>2024</v>
      </c>
      <c r="B100" s="387">
        <f t="shared" si="10"/>
        <v>0.43882571293695183</v>
      </c>
      <c r="C100" s="387">
        <f t="shared" si="10"/>
        <v>0.27358333040912053</v>
      </c>
      <c r="D100" s="387">
        <f t="shared" si="10"/>
        <v>0.27358333040912064</v>
      </c>
      <c r="E100" s="387">
        <f t="shared" si="10"/>
        <v>0.29732651486315698</v>
      </c>
      <c r="F100" s="387">
        <f t="shared" si="10"/>
        <v>0.99999999999999944</v>
      </c>
      <c r="G100" s="387">
        <f t="shared" si="10"/>
        <v>0.29732651486315709</v>
      </c>
      <c r="H100" s="387">
        <f t="shared" si="10"/>
        <v>3.337742888561035E-3</v>
      </c>
    </row>
    <row r="101" spans="1:8" ht="15" x14ac:dyDescent="0.2">
      <c r="A101" s="390">
        <v>2025</v>
      </c>
      <c r="B101" s="389">
        <f t="shared" si="10"/>
        <v>0.411610200982927</v>
      </c>
      <c r="C101" s="389">
        <f t="shared" si="10"/>
        <v>0.25226046230306909</v>
      </c>
      <c r="D101" s="389">
        <f t="shared" si="10"/>
        <v>0.2522604623030692</v>
      </c>
      <c r="E101" s="389">
        <f t="shared" si="10"/>
        <v>0.27730546938673206</v>
      </c>
      <c r="F101" s="389">
        <f t="shared" si="10"/>
        <v>0.99999999999999944</v>
      </c>
      <c r="G101" s="389">
        <f t="shared" si="10"/>
        <v>0.27730546938673206</v>
      </c>
      <c r="H101" s="389">
        <f t="shared" si="10"/>
        <v>3.3289824085385167E-3</v>
      </c>
    </row>
    <row r="102" spans="1:8" ht="15" x14ac:dyDescent="0.2">
      <c r="A102" s="373">
        <v>2026</v>
      </c>
      <c r="B102" s="387">
        <f t="shared" si="10"/>
        <v>0.38568459417573142</v>
      </c>
      <c r="C102" s="387">
        <f t="shared" si="10"/>
        <v>0.23241164803235437</v>
      </c>
      <c r="D102" s="387">
        <f t="shared" si="10"/>
        <v>0.23241164803235437</v>
      </c>
      <c r="E102" s="387">
        <f t="shared" si="10"/>
        <v>0.25869102892984985</v>
      </c>
      <c r="F102" s="387">
        <f t="shared" si="10"/>
        <v>0.99999999999999967</v>
      </c>
      <c r="G102" s="387">
        <f t="shared" si="10"/>
        <v>0.25869102892984996</v>
      </c>
      <c r="H102" s="387">
        <f t="shared" si="10"/>
        <v>3.3369151266691155E-3</v>
      </c>
    </row>
    <row r="103" spans="1:8" ht="15" x14ac:dyDescent="0.2">
      <c r="A103" s="373">
        <v>2027</v>
      </c>
      <c r="B103" s="387">
        <f t="shared" si="10"/>
        <v>0.36079768628320763</v>
      </c>
      <c r="C103" s="387">
        <f t="shared" si="10"/>
        <v>0.21367860002812844</v>
      </c>
      <c r="D103" s="387">
        <f t="shared" si="10"/>
        <v>0.21367860002812844</v>
      </c>
      <c r="E103" s="387">
        <f t="shared" si="10"/>
        <v>0.24112826859166081</v>
      </c>
      <c r="F103" s="387">
        <f t="shared" si="10"/>
        <v>0.99999999999999911</v>
      </c>
      <c r="G103" s="387">
        <f t="shared" si="10"/>
        <v>0.24112826859166092</v>
      </c>
      <c r="H103" s="387">
        <f t="shared" si="10"/>
        <v>3.3352856741259984E-3</v>
      </c>
    </row>
    <row r="104" spans="1:8" ht="15" x14ac:dyDescent="0.2">
      <c r="A104" s="373">
        <v>2028</v>
      </c>
      <c r="B104" s="387">
        <f t="shared" si="10"/>
        <v>0.33694966602002541</v>
      </c>
      <c r="C104" s="387">
        <f t="shared" si="10"/>
        <v>0.1960205273281872</v>
      </c>
      <c r="D104" s="387">
        <f t="shared" si="10"/>
        <v>0.19602052732818731</v>
      </c>
      <c r="E104" s="387">
        <f t="shared" si="10"/>
        <v>0.22457802084633571</v>
      </c>
      <c r="F104" s="387">
        <f t="shared" si="10"/>
        <v>0.99999999999999944</v>
      </c>
      <c r="G104" s="387">
        <f t="shared" si="10"/>
        <v>0.22457802084633571</v>
      </c>
      <c r="H104" s="387">
        <f t="shared" si="10"/>
        <v>3.3328799863163727E-3</v>
      </c>
    </row>
    <row r="105" spans="1:8" ht="15" x14ac:dyDescent="0.2">
      <c r="A105" s="373">
        <v>2029</v>
      </c>
      <c r="B105" s="387">
        <f t="shared" si="10"/>
        <v>0.31421345596485672</v>
      </c>
      <c r="C105" s="387">
        <f t="shared" si="10"/>
        <v>0.17948810203221344</v>
      </c>
      <c r="D105" s="387">
        <f t="shared" si="10"/>
        <v>0.17948810203221344</v>
      </c>
      <c r="E105" s="387">
        <f t="shared" si="10"/>
        <v>0.20908785704616906</v>
      </c>
      <c r="F105" s="387">
        <f t="shared" si="10"/>
        <v>0.99999999999999944</v>
      </c>
      <c r="G105" s="387">
        <f t="shared" si="10"/>
        <v>0.20908785704616906</v>
      </c>
      <c r="H105" s="387">
        <f t="shared" si="10"/>
        <v>3.3297229156999952E-3</v>
      </c>
    </row>
    <row r="106" spans="1:8" ht="15" x14ac:dyDescent="0.2">
      <c r="A106" s="373">
        <v>2030</v>
      </c>
      <c r="B106" s="387">
        <f t="shared" si="10"/>
        <v>0.29273744487031372</v>
      </c>
      <c r="C106" s="387">
        <f t="shared" si="10"/>
        <v>0.16418970032285751</v>
      </c>
      <c r="D106" s="387">
        <f t="shared" si="10"/>
        <v>0.16418970032285751</v>
      </c>
      <c r="E106" s="387">
        <f t="shared" si="10"/>
        <v>0.19475971580832618</v>
      </c>
      <c r="F106" s="387">
        <f t="shared" si="10"/>
        <v>0.99999999999999967</v>
      </c>
      <c r="G106" s="387">
        <f t="shared" si="10"/>
        <v>0.19475971580832618</v>
      </c>
      <c r="H106" s="387">
        <f t="shared" si="10"/>
        <v>3.3339307895120518E-3</v>
      </c>
    </row>
    <row r="107" spans="1:8" ht="15" x14ac:dyDescent="0.2">
      <c r="A107" s="373">
        <v>2031</v>
      </c>
      <c r="B107" s="387">
        <f t="shared" si="10"/>
        <v>0.2737907563334574</v>
      </c>
      <c r="C107" s="387">
        <f t="shared" si="10"/>
        <v>0.14993052423273789</v>
      </c>
      <c r="D107" s="387">
        <f t="shared" si="10"/>
        <v>0.149930524232738</v>
      </c>
      <c r="E107" s="387">
        <f t="shared" si="10"/>
        <v>0.18141010557418569</v>
      </c>
      <c r="F107" s="387">
        <f t="shared" si="10"/>
        <v>0.99999999999999933</v>
      </c>
      <c r="G107" s="387">
        <f t="shared" si="10"/>
        <v>0.18141010557418569</v>
      </c>
      <c r="H107" s="387">
        <f t="shared" si="10"/>
        <v>3.3371803589307136E-3</v>
      </c>
    </row>
    <row r="108" spans="1:8" ht="15" x14ac:dyDescent="0.2">
      <c r="A108" s="373">
        <v>2032</v>
      </c>
      <c r="B108" s="387">
        <f t="shared" si="10"/>
        <v>0.25581911665752632</v>
      </c>
      <c r="C108" s="387">
        <f t="shared" si="10"/>
        <v>0.13664568264597932</v>
      </c>
      <c r="D108" s="387">
        <f t="shared" si="10"/>
        <v>0.13664568264597932</v>
      </c>
      <c r="E108" s="387">
        <f t="shared" si="10"/>
        <v>0.16897779355291132</v>
      </c>
      <c r="F108" s="387">
        <f t="shared" si="10"/>
        <v>0.99999999999999956</v>
      </c>
      <c r="G108" s="387">
        <f t="shared" si="10"/>
        <v>0.16897779355291143</v>
      </c>
      <c r="H108" s="387">
        <f t="shared" si="10"/>
        <v>3.3316615595473387E-3</v>
      </c>
    </row>
    <row r="109" spans="1:8" ht="15" x14ac:dyDescent="0.2">
      <c r="A109" s="373">
        <v>2033</v>
      </c>
      <c r="B109" s="387">
        <f t="shared" si="10"/>
        <v>0.23873175263765944</v>
      </c>
      <c r="C109" s="387">
        <f t="shared" si="10"/>
        <v>0.12424362601741989</v>
      </c>
      <c r="D109" s="387">
        <f t="shared" si="10"/>
        <v>0.12424362601741989</v>
      </c>
      <c r="E109" s="387">
        <f t="shared" si="10"/>
        <v>0.1573764141108922</v>
      </c>
      <c r="F109" s="387">
        <f t="shared" si="10"/>
        <v>0.99999999999999956</v>
      </c>
      <c r="G109" s="387">
        <f t="shared" si="10"/>
        <v>0.15737641411089232</v>
      </c>
      <c r="H109" s="387">
        <f t="shared" si="10"/>
        <v>3.3332047098759698E-3</v>
      </c>
    </row>
    <row r="110" spans="1:8" ht="15" x14ac:dyDescent="0.2">
      <c r="A110" s="373">
        <v>2034</v>
      </c>
      <c r="B110" s="387">
        <f t="shared" si="10"/>
        <v>0.22282243561339077</v>
      </c>
      <c r="C110" s="387">
        <f t="shared" si="10"/>
        <v>0.11316169817930777</v>
      </c>
      <c r="D110" s="387">
        <f t="shared" si="10"/>
        <v>0.11316169817930799</v>
      </c>
      <c r="E110" s="387">
        <f t="shared" si="10"/>
        <v>0.14704121760020417</v>
      </c>
      <c r="F110" s="387">
        <f t="shared" si="10"/>
        <v>0.99999999999999967</v>
      </c>
      <c r="G110" s="387">
        <f t="shared" si="10"/>
        <v>0.14704121760020428</v>
      </c>
      <c r="H110" s="387">
        <f t="shared" si="10"/>
        <v>3.3338730033254382E-3</v>
      </c>
    </row>
    <row r="111" spans="1:8" ht="15" x14ac:dyDescent="0.2">
      <c r="A111" s="373">
        <v>2035</v>
      </c>
      <c r="B111" s="387">
        <f t="shared" si="10"/>
        <v>0.2080083700442209</v>
      </c>
      <c r="C111" s="387">
        <f t="shared" si="10"/>
        <v>0.1031132259122497</v>
      </c>
      <c r="D111" s="387">
        <f t="shared" si="10"/>
        <v>0.1031132259122497</v>
      </c>
      <c r="E111" s="387">
        <f t="shared" si="10"/>
        <v>0.1376760312215406</v>
      </c>
      <c r="F111" s="387">
        <f t="shared" si="10"/>
        <v>0.99999999999999933</v>
      </c>
      <c r="G111" s="387">
        <f t="shared" si="10"/>
        <v>0.1376760312215406</v>
      </c>
      <c r="H111" s="387">
        <f t="shared" si="10"/>
        <v>3.3336936117409621E-3</v>
      </c>
    </row>
    <row r="112" spans="1:8" ht="15" x14ac:dyDescent="0.2">
      <c r="A112" s="373">
        <v>2036</v>
      </c>
      <c r="B112" s="387">
        <f t="shared" si="10"/>
        <v>0.19484305921552225</v>
      </c>
      <c r="C112" s="387">
        <f t="shared" si="10"/>
        <v>9.4350459117660268E-2</v>
      </c>
      <c r="D112" s="387">
        <f t="shared" si="10"/>
        <v>9.4350459117660268E-2</v>
      </c>
      <c r="E112" s="387">
        <f t="shared" si="10"/>
        <v>0.12951486812760382</v>
      </c>
      <c r="F112" s="387">
        <f t="shared" si="10"/>
        <v>0.99999999999999944</v>
      </c>
      <c r="G112" s="387">
        <f t="shared" si="10"/>
        <v>0.12951486812760393</v>
      </c>
      <c r="H112" s="387">
        <f t="shared" si="10"/>
        <v>3.3326930681266687E-3</v>
      </c>
    </row>
    <row r="113" spans="1:10" ht="15" x14ac:dyDescent="0.2">
      <c r="A113" s="373">
        <v>2037</v>
      </c>
      <c r="B113" s="387">
        <f t="shared" si="10"/>
        <v>0.18298963624822573</v>
      </c>
      <c r="C113" s="387">
        <f t="shared" si="10"/>
        <v>8.6576166506286079E-2</v>
      </c>
      <c r="D113" s="387">
        <f t="shared" si="10"/>
        <v>8.6576166506286079E-2</v>
      </c>
      <c r="E113" s="387">
        <f t="shared" si="10"/>
        <v>0.1222780976156792</v>
      </c>
      <c r="F113" s="387">
        <f t="shared" si="10"/>
        <v>0.99999999999999944</v>
      </c>
      <c r="G113" s="387">
        <f t="shared" si="10"/>
        <v>0.1222780976156792</v>
      </c>
      <c r="H113" s="387">
        <f t="shared" si="10"/>
        <v>3.3308972800278891E-3</v>
      </c>
    </row>
    <row r="114" spans="1:10" ht="15" x14ac:dyDescent="0.2">
      <c r="A114" s="373">
        <v>2038</v>
      </c>
      <c r="B114" s="387">
        <f t="shared" si="10"/>
        <v>0.17241662757842069</v>
      </c>
      <c r="C114" s="387">
        <f t="shared" si="10"/>
        <v>7.9769004302795321E-2</v>
      </c>
      <c r="D114" s="387">
        <f t="shared" si="10"/>
        <v>7.976900430279521E-2</v>
      </c>
      <c r="E114" s="387">
        <f t="shared" si="10"/>
        <v>0.11594585851948713</v>
      </c>
      <c r="F114" s="387">
        <f t="shared" si="10"/>
        <v>0.99999999999999922</v>
      </c>
      <c r="G114" s="387">
        <f t="shared" si="10"/>
        <v>0.11594585851948713</v>
      </c>
      <c r="H114" s="387">
        <f t="shared" si="10"/>
        <v>3.3354585909214363E-3</v>
      </c>
    </row>
    <row r="115" spans="1:10" ht="15" x14ac:dyDescent="0.2">
      <c r="A115" s="373">
        <v>2039</v>
      </c>
      <c r="B115" s="387">
        <f t="shared" ref="B115:H116" si="11">1-(B77-B37)/B77</f>
        <v>0.16314025392009524</v>
      </c>
      <c r="C115" s="387">
        <f t="shared" si="11"/>
        <v>7.3950545537234014E-2</v>
      </c>
      <c r="D115" s="387">
        <f t="shared" si="11"/>
        <v>7.3950545537234125E-2</v>
      </c>
      <c r="E115" s="387">
        <f t="shared" si="11"/>
        <v>0.11053869348235257</v>
      </c>
      <c r="F115" s="387">
        <f t="shared" si="11"/>
        <v>0.99999999999999956</v>
      </c>
      <c r="G115" s="387">
        <f t="shared" si="11"/>
        <v>0.11053869348235257</v>
      </c>
      <c r="H115" s="387">
        <f t="shared" si="11"/>
        <v>3.3320353630116317E-3</v>
      </c>
    </row>
    <row r="116" spans="1:10" ht="15" x14ac:dyDescent="0.2">
      <c r="A116" s="374">
        <v>2040</v>
      </c>
      <c r="B116" s="387">
        <f t="shared" si="11"/>
        <v>0.15512462353552514</v>
      </c>
      <c r="C116" s="387">
        <f t="shared" si="11"/>
        <v>6.9095054462487093E-2</v>
      </c>
      <c r="D116" s="387">
        <f t="shared" si="11"/>
        <v>6.9095054462487093E-2</v>
      </c>
      <c r="E116" s="387">
        <f t="shared" si="11"/>
        <v>0.10603259245433683</v>
      </c>
      <c r="F116" s="387">
        <f t="shared" si="11"/>
        <v>0.99999999999999933</v>
      </c>
      <c r="G116" s="387">
        <f t="shared" si="11"/>
        <v>0.10603259245433672</v>
      </c>
      <c r="H116" s="387">
        <f t="shared" si="11"/>
        <v>3.334797099740161E-3</v>
      </c>
    </row>
    <row r="117" spans="1:10" ht="15" x14ac:dyDescent="0.2">
      <c r="A117" s="361"/>
      <c r="B117" s="361"/>
      <c r="C117" s="361"/>
      <c r="D117" s="361"/>
      <c r="E117" s="361"/>
      <c r="F117" s="361"/>
      <c r="G117" s="361"/>
      <c r="H117" s="361"/>
    </row>
    <row r="118" spans="1:10" ht="74.25" customHeight="1" x14ac:dyDescent="0.25">
      <c r="A118" s="603" t="s">
        <v>934</v>
      </c>
      <c r="B118" s="590"/>
      <c r="C118" s="590"/>
      <c r="D118" s="590"/>
      <c r="E118" s="590"/>
      <c r="F118" s="590"/>
      <c r="G118" s="590"/>
      <c r="H118" s="590"/>
      <c r="I118" s="590"/>
      <c r="J118" s="590"/>
    </row>
    <row r="119" spans="1:10" ht="15" x14ac:dyDescent="0.2">
      <c r="A119" s="361"/>
      <c r="B119" s="361"/>
      <c r="C119" s="361"/>
      <c r="D119" s="361"/>
      <c r="E119" s="361"/>
      <c r="F119" s="361"/>
      <c r="G119" s="361"/>
      <c r="H119" s="361"/>
    </row>
    <row r="120" spans="1:10" ht="15" x14ac:dyDescent="0.2">
      <c r="A120" s="361"/>
      <c r="B120" s="361"/>
      <c r="C120" s="361"/>
      <c r="D120" s="361"/>
      <c r="E120" s="361"/>
      <c r="F120" s="361"/>
      <c r="G120" s="361"/>
      <c r="H120" s="361"/>
    </row>
    <row r="121" spans="1:10" ht="15" x14ac:dyDescent="0.2">
      <c r="A121" s="361"/>
      <c r="B121" s="361"/>
      <c r="C121" s="361"/>
      <c r="D121" s="361"/>
      <c r="E121" s="361"/>
      <c r="F121" s="361"/>
      <c r="G121" s="361"/>
      <c r="H121" s="361"/>
    </row>
    <row r="122" spans="1:10" ht="15" x14ac:dyDescent="0.2">
      <c r="A122" s="361"/>
      <c r="B122" s="361"/>
      <c r="C122" s="361"/>
      <c r="D122" s="361"/>
      <c r="E122" s="361"/>
      <c r="F122" s="361"/>
      <c r="G122" s="361"/>
      <c r="H122" s="361"/>
    </row>
    <row r="123" spans="1:10" ht="15" x14ac:dyDescent="0.2">
      <c r="A123" s="361"/>
      <c r="B123" s="361"/>
      <c r="C123" s="361"/>
      <c r="D123" s="361"/>
      <c r="E123" s="361"/>
      <c r="F123" s="361"/>
      <c r="G123" s="361"/>
      <c r="H123" s="361"/>
    </row>
    <row r="124" spans="1:10" ht="15" x14ac:dyDescent="0.2">
      <c r="A124" s="361"/>
      <c r="B124" s="361"/>
      <c r="C124" s="361"/>
      <c r="D124" s="361"/>
      <c r="E124" s="361"/>
      <c r="F124" s="361"/>
      <c r="G124" s="361"/>
      <c r="H124" s="361"/>
    </row>
    <row r="125" spans="1:10" ht="15" x14ac:dyDescent="0.2">
      <c r="A125" s="361"/>
      <c r="B125" s="361"/>
      <c r="C125" s="361"/>
      <c r="D125" s="361"/>
      <c r="E125" s="361"/>
      <c r="F125" s="361"/>
      <c r="G125" s="361"/>
      <c r="H125" s="361"/>
    </row>
    <row r="126" spans="1:10" ht="15" x14ac:dyDescent="0.2">
      <c r="A126" s="361"/>
      <c r="B126" s="361"/>
      <c r="C126" s="361"/>
      <c r="D126" s="361"/>
      <c r="E126" s="361"/>
      <c r="F126" s="361"/>
      <c r="G126" s="361"/>
      <c r="H126" s="361"/>
    </row>
    <row r="127" spans="1:10" ht="15" x14ac:dyDescent="0.2">
      <c r="A127" s="361"/>
      <c r="B127" s="361"/>
      <c r="C127" s="361"/>
      <c r="D127" s="361"/>
      <c r="E127" s="361"/>
      <c r="F127" s="361"/>
      <c r="G127" s="361"/>
      <c r="H127" s="361"/>
    </row>
    <row r="128" spans="1:10" ht="15" x14ac:dyDescent="0.2">
      <c r="A128" s="361"/>
      <c r="B128" s="361"/>
      <c r="C128" s="361"/>
      <c r="D128" s="361"/>
      <c r="E128" s="361"/>
      <c r="F128" s="361"/>
      <c r="G128" s="361"/>
      <c r="H128" s="361"/>
    </row>
    <row r="129" spans="1:8" ht="15" x14ac:dyDescent="0.2">
      <c r="A129" s="361"/>
      <c r="B129" s="361"/>
      <c r="C129" s="361"/>
      <c r="D129" s="361"/>
      <c r="E129" s="361"/>
      <c r="F129" s="361"/>
      <c r="G129" s="361"/>
      <c r="H129" s="361"/>
    </row>
    <row r="130" spans="1:8" ht="15" x14ac:dyDescent="0.2">
      <c r="A130" s="361"/>
      <c r="B130" s="361"/>
      <c r="C130" s="361"/>
      <c r="D130" s="361"/>
      <c r="E130" s="361"/>
      <c r="F130" s="361"/>
      <c r="G130" s="361"/>
      <c r="H130" s="361"/>
    </row>
    <row r="131" spans="1:8" ht="15" x14ac:dyDescent="0.2">
      <c r="A131" s="361"/>
      <c r="B131" s="361"/>
      <c r="C131" s="361"/>
      <c r="D131" s="361"/>
      <c r="E131" s="361"/>
      <c r="F131" s="361"/>
      <c r="G131" s="361"/>
      <c r="H131" s="361"/>
    </row>
    <row r="132" spans="1:8" ht="15" x14ac:dyDescent="0.2">
      <c r="A132" s="361"/>
      <c r="B132" s="361"/>
      <c r="C132" s="361"/>
      <c r="D132" s="361"/>
      <c r="E132" s="361"/>
      <c r="F132" s="361"/>
      <c r="G132" s="361"/>
      <c r="H132" s="361"/>
    </row>
    <row r="133" spans="1:8" ht="15" x14ac:dyDescent="0.2">
      <c r="A133" s="361"/>
      <c r="B133" s="361"/>
      <c r="C133" s="361"/>
      <c r="D133" s="361"/>
      <c r="E133" s="361"/>
      <c r="F133" s="361"/>
      <c r="G133" s="361"/>
      <c r="H133" s="361"/>
    </row>
    <row r="134" spans="1:8" ht="15" x14ac:dyDescent="0.2">
      <c r="A134" s="361"/>
      <c r="B134" s="361"/>
      <c r="C134" s="361"/>
      <c r="D134" s="361"/>
      <c r="E134" s="361"/>
      <c r="F134" s="361"/>
      <c r="G134" s="361"/>
      <c r="H134" s="361"/>
    </row>
    <row r="135" spans="1:8" ht="15" x14ac:dyDescent="0.2">
      <c r="A135" s="361"/>
      <c r="B135" s="361"/>
      <c r="C135" s="361"/>
      <c r="D135" s="361"/>
      <c r="E135" s="361"/>
      <c r="F135" s="361"/>
      <c r="G135" s="361"/>
      <c r="H135" s="361"/>
    </row>
    <row r="136" spans="1:8" ht="15" x14ac:dyDescent="0.2">
      <c r="A136" s="361"/>
      <c r="B136" s="361"/>
      <c r="C136" s="361"/>
      <c r="D136" s="361"/>
      <c r="E136" s="361"/>
      <c r="F136" s="361"/>
      <c r="G136" s="361"/>
      <c r="H136" s="361"/>
    </row>
    <row r="137" spans="1:8" ht="15" x14ac:dyDescent="0.2">
      <c r="A137" s="361"/>
      <c r="B137" s="361"/>
      <c r="C137" s="361"/>
      <c r="D137" s="361"/>
      <c r="E137" s="361"/>
      <c r="F137" s="361"/>
      <c r="G137" s="361"/>
      <c r="H137" s="361"/>
    </row>
    <row r="138" spans="1:8" ht="15" x14ac:dyDescent="0.2">
      <c r="A138" s="361"/>
      <c r="B138" s="361"/>
      <c r="C138" s="361"/>
      <c r="D138" s="361"/>
      <c r="E138" s="361"/>
      <c r="F138" s="361"/>
      <c r="G138" s="361"/>
      <c r="H138" s="361"/>
    </row>
    <row r="139" spans="1:8" ht="15" x14ac:dyDescent="0.2">
      <c r="A139" s="361"/>
      <c r="B139" s="361"/>
      <c r="C139" s="361"/>
      <c r="D139" s="361"/>
      <c r="E139" s="361"/>
      <c r="F139" s="361"/>
      <c r="G139" s="361"/>
      <c r="H139" s="361"/>
    </row>
    <row r="140" spans="1:8" ht="15" x14ac:dyDescent="0.2">
      <c r="A140" s="361"/>
      <c r="B140" s="361"/>
      <c r="C140" s="361"/>
      <c r="D140" s="361"/>
      <c r="E140" s="361"/>
      <c r="F140" s="361"/>
      <c r="G140" s="361"/>
      <c r="H140" s="361"/>
    </row>
    <row r="141" spans="1:8" ht="15" x14ac:dyDescent="0.2">
      <c r="A141" s="361"/>
      <c r="B141" s="361"/>
      <c r="C141" s="361"/>
      <c r="D141" s="361"/>
      <c r="E141" s="361"/>
      <c r="F141" s="361"/>
      <c r="G141" s="361"/>
      <c r="H141" s="361"/>
    </row>
    <row r="142" spans="1:8" ht="15" x14ac:dyDescent="0.2">
      <c r="A142" s="361"/>
      <c r="B142" s="361"/>
      <c r="C142" s="361"/>
      <c r="D142" s="361"/>
      <c r="E142" s="361"/>
      <c r="F142" s="361"/>
      <c r="G142" s="361"/>
      <c r="H142" s="361"/>
    </row>
    <row r="143" spans="1:8" ht="15" x14ac:dyDescent="0.2">
      <c r="A143" s="361"/>
      <c r="B143" s="361"/>
      <c r="C143" s="361"/>
      <c r="D143" s="361"/>
      <c r="E143" s="361"/>
      <c r="F143" s="361"/>
      <c r="G143" s="361"/>
      <c r="H143" s="361"/>
    </row>
    <row r="144" spans="1:8" ht="15" x14ac:dyDescent="0.2">
      <c r="A144" s="361"/>
      <c r="B144" s="361"/>
      <c r="C144" s="361"/>
      <c r="D144" s="361"/>
      <c r="E144" s="361"/>
      <c r="F144" s="361"/>
      <c r="G144" s="361"/>
      <c r="H144" s="361"/>
    </row>
    <row r="145" spans="1:8" ht="15" x14ac:dyDescent="0.2">
      <c r="A145" s="361"/>
      <c r="B145" s="361"/>
      <c r="C145" s="361"/>
      <c r="D145" s="361"/>
      <c r="E145" s="361"/>
      <c r="F145" s="361"/>
      <c r="G145" s="361"/>
      <c r="H145" s="361"/>
    </row>
    <row r="146" spans="1:8" ht="15" x14ac:dyDescent="0.2">
      <c r="A146" s="361"/>
      <c r="B146" s="361"/>
      <c r="C146" s="361"/>
      <c r="D146" s="361"/>
      <c r="E146" s="361"/>
      <c r="F146" s="361"/>
      <c r="G146" s="361"/>
      <c r="H146" s="361"/>
    </row>
    <row r="147" spans="1:8" ht="15" x14ac:dyDescent="0.2">
      <c r="A147" s="361"/>
      <c r="B147" s="361"/>
      <c r="C147" s="361"/>
      <c r="D147" s="361"/>
      <c r="E147" s="361"/>
      <c r="F147" s="361"/>
      <c r="G147" s="361"/>
      <c r="H147" s="361"/>
    </row>
    <row r="148" spans="1:8" ht="15" x14ac:dyDescent="0.2">
      <c r="A148" s="361"/>
      <c r="B148" s="361"/>
      <c r="C148" s="361"/>
      <c r="D148" s="361"/>
      <c r="E148" s="361"/>
      <c r="F148" s="361"/>
      <c r="G148" s="361"/>
      <c r="H148" s="361"/>
    </row>
    <row r="149" spans="1:8" ht="15" x14ac:dyDescent="0.2">
      <c r="A149" s="361"/>
      <c r="B149" s="361"/>
      <c r="C149" s="361"/>
      <c r="D149" s="361"/>
      <c r="E149" s="361"/>
      <c r="F149" s="361"/>
      <c r="G149" s="361"/>
      <c r="H149" s="361"/>
    </row>
    <row r="150" spans="1:8" ht="15" x14ac:dyDescent="0.2">
      <c r="A150" s="361"/>
      <c r="B150" s="361"/>
      <c r="C150" s="361"/>
      <c r="D150" s="361"/>
      <c r="E150" s="361"/>
      <c r="F150" s="361"/>
      <c r="G150" s="361"/>
      <c r="H150" s="361"/>
    </row>
    <row r="151" spans="1:8" ht="15" x14ac:dyDescent="0.2">
      <c r="A151" s="361"/>
      <c r="B151" s="361"/>
      <c r="C151" s="361"/>
      <c r="D151" s="361"/>
      <c r="E151" s="361"/>
      <c r="F151" s="361"/>
      <c r="G151" s="361"/>
      <c r="H151" s="361"/>
    </row>
    <row r="152" spans="1:8" ht="15" x14ac:dyDescent="0.2">
      <c r="A152" s="361"/>
      <c r="B152" s="361"/>
      <c r="C152" s="361"/>
      <c r="D152" s="361"/>
      <c r="E152" s="361"/>
      <c r="F152" s="361"/>
      <c r="G152" s="361"/>
      <c r="H152" s="361"/>
    </row>
    <row r="153" spans="1:8" ht="15" x14ac:dyDescent="0.2">
      <c r="A153" s="361"/>
      <c r="B153" s="361"/>
      <c r="C153" s="361"/>
      <c r="D153" s="361"/>
      <c r="E153" s="361"/>
      <c r="F153" s="361"/>
      <c r="G153" s="361"/>
      <c r="H153" s="361"/>
    </row>
    <row r="154" spans="1:8" ht="15" x14ac:dyDescent="0.2">
      <c r="A154" s="361"/>
      <c r="B154" s="361"/>
      <c r="C154" s="361"/>
      <c r="D154" s="361"/>
      <c r="E154" s="361"/>
      <c r="F154" s="361"/>
      <c r="G154" s="361"/>
      <c r="H154" s="361"/>
    </row>
    <row r="155" spans="1:8" ht="15" x14ac:dyDescent="0.2">
      <c r="A155" s="361"/>
      <c r="B155" s="361"/>
      <c r="C155" s="361"/>
      <c r="D155" s="361"/>
      <c r="E155" s="361"/>
      <c r="F155" s="361"/>
      <c r="G155" s="361"/>
      <c r="H155" s="361"/>
    </row>
    <row r="156" spans="1:8" ht="15" x14ac:dyDescent="0.2">
      <c r="A156" s="361"/>
      <c r="B156" s="361"/>
      <c r="C156" s="361"/>
      <c r="D156" s="361"/>
      <c r="E156" s="361"/>
      <c r="F156" s="361"/>
      <c r="G156" s="361"/>
      <c r="H156" s="361"/>
    </row>
    <row r="157" spans="1:8" ht="15" x14ac:dyDescent="0.2">
      <c r="A157" s="361"/>
      <c r="B157" s="361"/>
      <c r="C157" s="361"/>
      <c r="D157" s="361"/>
      <c r="E157" s="361"/>
      <c r="F157" s="361"/>
      <c r="G157" s="361"/>
      <c r="H157" s="361"/>
    </row>
    <row r="158" spans="1:8" ht="15" x14ac:dyDescent="0.2">
      <c r="A158" s="361"/>
      <c r="B158" s="361"/>
      <c r="C158" s="361"/>
      <c r="D158" s="361"/>
      <c r="E158" s="361"/>
      <c r="F158" s="361"/>
      <c r="G158" s="361"/>
      <c r="H158" s="361"/>
    </row>
    <row r="159" spans="1:8" ht="15" x14ac:dyDescent="0.2">
      <c r="A159" s="361"/>
      <c r="B159" s="361"/>
      <c r="C159" s="361"/>
      <c r="D159" s="361"/>
      <c r="E159" s="361"/>
      <c r="F159" s="361"/>
      <c r="G159" s="361"/>
      <c r="H159" s="361"/>
    </row>
    <row r="160" spans="1:8" ht="15" x14ac:dyDescent="0.2">
      <c r="A160" s="361"/>
      <c r="B160" s="361"/>
      <c r="C160" s="361"/>
      <c r="D160" s="361"/>
      <c r="E160" s="361"/>
      <c r="F160" s="361"/>
      <c r="G160" s="361"/>
      <c r="H160" s="361"/>
    </row>
    <row r="161" spans="1:8" ht="15" x14ac:dyDescent="0.2">
      <c r="A161" s="361"/>
      <c r="B161" s="361"/>
      <c r="C161" s="361"/>
      <c r="D161" s="361"/>
      <c r="E161" s="361"/>
      <c r="F161" s="361"/>
      <c r="G161" s="361"/>
      <c r="H161" s="361"/>
    </row>
    <row r="162" spans="1:8" ht="15" x14ac:dyDescent="0.2">
      <c r="A162" s="361"/>
      <c r="B162" s="361"/>
      <c r="C162" s="361"/>
      <c r="D162" s="361"/>
      <c r="E162" s="361"/>
      <c r="F162" s="361"/>
      <c r="G162" s="361"/>
      <c r="H162" s="361"/>
    </row>
    <row r="163" spans="1:8" ht="15" x14ac:dyDescent="0.2">
      <c r="A163" s="361"/>
      <c r="B163" s="361"/>
      <c r="C163" s="361"/>
      <c r="D163" s="361"/>
      <c r="E163" s="361"/>
      <c r="F163" s="361"/>
      <c r="G163" s="361"/>
      <c r="H163" s="361"/>
    </row>
    <row r="164" spans="1:8" ht="15" x14ac:dyDescent="0.2">
      <c r="A164" s="361"/>
      <c r="B164" s="361"/>
      <c r="C164" s="361"/>
      <c r="D164" s="361"/>
      <c r="E164" s="361"/>
      <c r="F164" s="361"/>
      <c r="G164" s="361"/>
      <c r="H164" s="361"/>
    </row>
    <row r="165" spans="1:8" ht="15" x14ac:dyDescent="0.2">
      <c r="A165" s="361"/>
      <c r="B165" s="361"/>
      <c r="C165" s="361"/>
      <c r="D165" s="361"/>
      <c r="E165" s="361"/>
      <c r="F165" s="361"/>
      <c r="G165" s="361"/>
      <c r="H165" s="361"/>
    </row>
    <row r="166" spans="1:8" ht="15" x14ac:dyDescent="0.2">
      <c r="A166" s="361"/>
      <c r="B166" s="361"/>
      <c r="C166" s="361"/>
      <c r="D166" s="361"/>
      <c r="E166" s="361"/>
      <c r="F166" s="361"/>
      <c r="G166" s="361"/>
      <c r="H166" s="361"/>
    </row>
    <row r="167" spans="1:8" ht="15" x14ac:dyDescent="0.2">
      <c r="A167" s="361"/>
      <c r="B167" s="361"/>
      <c r="C167" s="361"/>
      <c r="D167" s="361"/>
      <c r="E167" s="361"/>
      <c r="F167" s="361"/>
      <c r="G167" s="361"/>
      <c r="H167" s="361"/>
    </row>
    <row r="168" spans="1:8" ht="15" x14ac:dyDescent="0.2">
      <c r="A168" s="361"/>
      <c r="B168" s="361"/>
      <c r="C168" s="361"/>
      <c r="D168" s="361"/>
      <c r="E168" s="361"/>
      <c r="F168" s="361"/>
      <c r="G168" s="361"/>
      <c r="H168" s="361"/>
    </row>
    <row r="169" spans="1:8" ht="15" x14ac:dyDescent="0.2">
      <c r="A169" s="361"/>
      <c r="B169" s="361"/>
      <c r="C169" s="361"/>
      <c r="D169" s="361"/>
      <c r="E169" s="361"/>
      <c r="F169" s="361"/>
      <c r="G169" s="361"/>
      <c r="H169" s="361"/>
    </row>
    <row r="170" spans="1:8" ht="15" x14ac:dyDescent="0.2">
      <c r="A170" s="361"/>
      <c r="B170" s="361"/>
      <c r="C170" s="361"/>
      <c r="D170" s="361"/>
      <c r="E170" s="361"/>
      <c r="F170" s="361"/>
      <c r="G170" s="361"/>
      <c r="H170" s="361"/>
    </row>
    <row r="171" spans="1:8" ht="15" x14ac:dyDescent="0.2">
      <c r="A171" s="361"/>
      <c r="B171" s="361"/>
      <c r="C171" s="361"/>
      <c r="D171" s="361"/>
      <c r="E171" s="361"/>
      <c r="F171" s="361"/>
      <c r="G171" s="361"/>
      <c r="H171" s="361"/>
    </row>
    <row r="172" spans="1:8" ht="15" x14ac:dyDescent="0.2">
      <c r="A172" s="361"/>
      <c r="B172" s="361"/>
      <c r="C172" s="361"/>
      <c r="D172" s="361"/>
      <c r="E172" s="361"/>
      <c r="F172" s="361"/>
      <c r="G172" s="361"/>
      <c r="H172" s="361"/>
    </row>
    <row r="173" spans="1:8" ht="15" x14ac:dyDescent="0.2">
      <c r="A173" s="361"/>
      <c r="B173" s="361"/>
      <c r="C173" s="361"/>
      <c r="D173" s="361"/>
      <c r="E173" s="361"/>
      <c r="F173" s="361"/>
      <c r="G173" s="361"/>
      <c r="H173" s="361"/>
    </row>
    <row r="174" spans="1:8" ht="15" x14ac:dyDescent="0.2">
      <c r="A174" s="361"/>
      <c r="B174" s="361"/>
      <c r="C174" s="361"/>
      <c r="D174" s="361"/>
      <c r="E174" s="361"/>
      <c r="F174" s="361"/>
      <c r="G174" s="361"/>
      <c r="H174" s="361"/>
    </row>
    <row r="175" spans="1:8" ht="15" x14ac:dyDescent="0.2">
      <c r="A175" s="361"/>
      <c r="B175" s="361"/>
      <c r="C175" s="361"/>
      <c r="D175" s="361"/>
      <c r="E175" s="361"/>
      <c r="F175" s="361"/>
      <c r="G175" s="361"/>
      <c r="H175" s="361"/>
    </row>
    <row r="176" spans="1:8" ht="15" x14ac:dyDescent="0.2">
      <c r="A176" s="361"/>
      <c r="B176" s="361"/>
      <c r="C176" s="361"/>
      <c r="D176" s="361"/>
      <c r="E176" s="361"/>
      <c r="F176" s="361"/>
      <c r="G176" s="361"/>
      <c r="H176" s="361"/>
    </row>
    <row r="177" spans="1:8" ht="15" x14ac:dyDescent="0.2">
      <c r="A177" s="361"/>
      <c r="B177" s="361"/>
      <c r="C177" s="361"/>
      <c r="D177" s="361"/>
      <c r="E177" s="361"/>
      <c r="F177" s="361"/>
      <c r="G177" s="361"/>
      <c r="H177" s="361"/>
    </row>
    <row r="178" spans="1:8" ht="15" x14ac:dyDescent="0.2">
      <c r="A178" s="361"/>
      <c r="B178" s="361"/>
      <c r="C178" s="361"/>
      <c r="D178" s="361"/>
      <c r="E178" s="361"/>
      <c r="F178" s="361"/>
      <c r="G178" s="361"/>
      <c r="H178" s="361"/>
    </row>
    <row r="179" spans="1:8" ht="15" x14ac:dyDescent="0.2">
      <c r="A179" s="361"/>
      <c r="B179" s="361"/>
      <c r="C179" s="361"/>
      <c r="D179" s="361"/>
      <c r="E179" s="361"/>
      <c r="F179" s="361"/>
      <c r="G179" s="361"/>
      <c r="H179" s="361"/>
    </row>
    <row r="180" spans="1:8" ht="15" x14ac:dyDescent="0.2">
      <c r="A180" s="361"/>
      <c r="B180" s="361"/>
      <c r="C180" s="361"/>
      <c r="D180" s="361"/>
      <c r="E180" s="361"/>
      <c r="F180" s="361"/>
      <c r="G180" s="361"/>
      <c r="H180" s="361"/>
    </row>
    <row r="181" spans="1:8" ht="15" x14ac:dyDescent="0.2">
      <c r="A181" s="361"/>
      <c r="B181" s="361"/>
      <c r="C181" s="361"/>
      <c r="D181" s="361"/>
      <c r="E181" s="361"/>
      <c r="F181" s="361"/>
      <c r="G181" s="361"/>
      <c r="H181" s="361"/>
    </row>
    <row r="182" spans="1:8" ht="15" x14ac:dyDescent="0.2">
      <c r="A182" s="361"/>
      <c r="B182" s="361"/>
      <c r="C182" s="361"/>
      <c r="D182" s="361"/>
      <c r="E182" s="361"/>
      <c r="F182" s="361"/>
      <c r="G182" s="361"/>
      <c r="H182" s="361"/>
    </row>
    <row r="183" spans="1:8" ht="15" x14ac:dyDescent="0.2">
      <c r="A183" s="361"/>
      <c r="B183" s="361"/>
      <c r="C183" s="361"/>
      <c r="D183" s="361"/>
      <c r="E183" s="361"/>
      <c r="F183" s="361"/>
      <c r="G183" s="361"/>
      <c r="H183" s="361"/>
    </row>
    <row r="184" spans="1:8" ht="15" x14ac:dyDescent="0.2">
      <c r="A184" s="361"/>
      <c r="B184" s="361"/>
      <c r="C184" s="361"/>
      <c r="D184" s="361"/>
      <c r="E184" s="361"/>
      <c r="F184" s="361"/>
      <c r="G184" s="361"/>
      <c r="H184" s="361"/>
    </row>
    <row r="185" spans="1:8" ht="15" x14ac:dyDescent="0.2">
      <c r="A185" s="361"/>
      <c r="B185" s="361"/>
      <c r="C185" s="361"/>
      <c r="D185" s="361"/>
      <c r="E185" s="361"/>
      <c r="F185" s="361"/>
      <c r="G185" s="361"/>
      <c r="H185" s="361"/>
    </row>
    <row r="186" spans="1:8" ht="15" x14ac:dyDescent="0.2">
      <c r="A186" s="361"/>
      <c r="B186" s="361"/>
      <c r="C186" s="361"/>
      <c r="D186" s="361"/>
      <c r="E186" s="361"/>
      <c r="F186" s="361"/>
      <c r="G186" s="361"/>
      <c r="H186" s="361"/>
    </row>
    <row r="187" spans="1:8" ht="15" x14ac:dyDescent="0.2">
      <c r="A187" s="361"/>
      <c r="B187" s="361"/>
      <c r="C187" s="361"/>
      <c r="D187" s="361"/>
      <c r="E187" s="361"/>
      <c r="F187" s="361"/>
      <c r="G187" s="361"/>
      <c r="H187" s="361"/>
    </row>
    <row r="188" spans="1:8" ht="15" x14ac:dyDescent="0.2">
      <c r="A188" s="361"/>
      <c r="B188" s="361"/>
      <c r="C188" s="361"/>
      <c r="D188" s="361"/>
      <c r="E188" s="361"/>
      <c r="F188" s="361"/>
      <c r="G188" s="361"/>
      <c r="H188" s="361"/>
    </row>
    <row r="189" spans="1:8" ht="15" x14ac:dyDescent="0.2">
      <c r="A189" s="361"/>
      <c r="B189" s="361"/>
      <c r="C189" s="361"/>
      <c r="D189" s="361"/>
      <c r="E189" s="361"/>
      <c r="F189" s="361"/>
      <c r="G189" s="361"/>
      <c r="H189" s="361"/>
    </row>
    <row r="190" spans="1:8" ht="15" x14ac:dyDescent="0.2">
      <c r="A190" s="361"/>
      <c r="B190" s="361"/>
      <c r="C190" s="361"/>
      <c r="D190" s="361"/>
      <c r="E190" s="361"/>
      <c r="F190" s="361"/>
      <c r="G190" s="361"/>
      <c r="H190" s="361"/>
    </row>
    <row r="191" spans="1:8" ht="15" x14ac:dyDescent="0.2">
      <c r="A191" s="361"/>
      <c r="B191" s="361"/>
      <c r="C191" s="361"/>
      <c r="D191" s="361"/>
      <c r="E191" s="361"/>
      <c r="F191" s="361"/>
      <c r="G191" s="361"/>
      <c r="H191" s="361"/>
    </row>
    <row r="192" spans="1:8" ht="15" x14ac:dyDescent="0.2">
      <c r="A192" s="361"/>
      <c r="B192" s="361"/>
      <c r="C192" s="361"/>
      <c r="D192" s="361"/>
      <c r="E192" s="361"/>
      <c r="F192" s="361"/>
      <c r="G192" s="361"/>
      <c r="H192" s="361"/>
    </row>
    <row r="193" spans="1:8" ht="15" x14ac:dyDescent="0.2">
      <c r="A193" s="361"/>
      <c r="B193" s="361"/>
      <c r="C193" s="361"/>
      <c r="D193" s="361"/>
      <c r="E193" s="361"/>
      <c r="F193" s="361"/>
      <c r="G193" s="361"/>
      <c r="H193" s="361"/>
    </row>
    <row r="194" spans="1:8" ht="15" x14ac:dyDescent="0.2">
      <c r="A194" s="361"/>
      <c r="B194" s="361"/>
      <c r="C194" s="361"/>
      <c r="D194" s="361"/>
      <c r="E194" s="361"/>
      <c r="F194" s="361"/>
      <c r="G194" s="361"/>
      <c r="H194" s="361"/>
    </row>
    <row r="195" spans="1:8" ht="15" x14ac:dyDescent="0.2">
      <c r="A195" s="361"/>
      <c r="B195" s="361"/>
      <c r="C195" s="361"/>
      <c r="D195" s="361"/>
      <c r="E195" s="361"/>
      <c r="F195" s="361"/>
      <c r="G195" s="361"/>
      <c r="H195" s="361"/>
    </row>
    <row r="196" spans="1:8" ht="15" x14ac:dyDescent="0.2">
      <c r="A196" s="361"/>
      <c r="B196" s="361"/>
      <c r="C196" s="361"/>
      <c r="D196" s="361"/>
      <c r="E196" s="361"/>
      <c r="F196" s="361"/>
      <c r="G196" s="361"/>
      <c r="H196" s="361"/>
    </row>
    <row r="197" spans="1:8" ht="15" x14ac:dyDescent="0.2">
      <c r="A197" s="361"/>
      <c r="B197" s="361"/>
      <c r="C197" s="361"/>
      <c r="D197" s="361"/>
      <c r="E197" s="361"/>
      <c r="F197" s="361"/>
      <c r="G197" s="361"/>
      <c r="H197" s="361"/>
    </row>
    <row r="198" spans="1:8" ht="15" x14ac:dyDescent="0.2">
      <c r="A198" s="361"/>
      <c r="B198" s="361"/>
      <c r="C198" s="361"/>
      <c r="D198" s="361"/>
      <c r="E198" s="361"/>
      <c r="F198" s="361"/>
      <c r="G198" s="361"/>
      <c r="H198" s="361"/>
    </row>
    <row r="199" spans="1:8" ht="15" x14ac:dyDescent="0.2">
      <c r="A199" s="361"/>
      <c r="B199" s="361"/>
      <c r="C199" s="361"/>
      <c r="D199" s="361"/>
      <c r="E199" s="361"/>
      <c r="F199" s="361"/>
      <c r="G199" s="361"/>
      <c r="H199" s="361"/>
    </row>
    <row r="200" spans="1:8" ht="15" x14ac:dyDescent="0.2">
      <c r="A200" s="361"/>
      <c r="B200" s="361"/>
      <c r="C200" s="361"/>
      <c r="D200" s="361"/>
      <c r="E200" s="361"/>
      <c r="F200" s="361"/>
      <c r="G200" s="361"/>
      <c r="H200" s="361"/>
    </row>
    <row r="201" spans="1:8" ht="15" x14ac:dyDescent="0.2">
      <c r="A201" s="361"/>
      <c r="B201" s="361"/>
      <c r="C201" s="361"/>
      <c r="D201" s="361"/>
      <c r="E201" s="361"/>
      <c r="F201" s="361"/>
      <c r="G201" s="361"/>
      <c r="H201" s="361"/>
    </row>
    <row r="202" spans="1:8" ht="15" x14ac:dyDescent="0.2">
      <c r="A202" s="361"/>
      <c r="B202" s="361"/>
      <c r="C202" s="361"/>
      <c r="D202" s="361"/>
      <c r="E202" s="361"/>
      <c r="F202" s="361"/>
      <c r="G202" s="361"/>
      <c r="H202" s="361"/>
    </row>
    <row r="203" spans="1:8" ht="15" x14ac:dyDescent="0.2">
      <c r="A203" s="361"/>
      <c r="B203" s="361"/>
      <c r="C203" s="361"/>
      <c r="D203" s="361"/>
      <c r="E203" s="361"/>
      <c r="F203" s="361"/>
      <c r="G203" s="361"/>
      <c r="H203" s="361"/>
    </row>
    <row r="204" spans="1:8" ht="15" x14ac:dyDescent="0.2">
      <c r="A204" s="361"/>
      <c r="B204" s="361"/>
      <c r="C204" s="361"/>
      <c r="D204" s="361"/>
      <c r="E204" s="361"/>
      <c r="F204" s="361"/>
      <c r="G204" s="361"/>
      <c r="H204" s="361"/>
    </row>
    <row r="205" spans="1:8" ht="15" x14ac:dyDescent="0.2">
      <c r="A205" s="361"/>
      <c r="B205" s="361"/>
      <c r="C205" s="361"/>
      <c r="D205" s="361"/>
      <c r="E205" s="361"/>
      <c r="F205" s="361"/>
      <c r="G205" s="361"/>
      <c r="H205" s="361"/>
    </row>
    <row r="206" spans="1:8" ht="15" x14ac:dyDescent="0.2">
      <c r="A206" s="361"/>
      <c r="B206" s="361"/>
      <c r="C206" s="361"/>
      <c r="D206" s="361"/>
      <c r="E206" s="361"/>
      <c r="F206" s="361"/>
      <c r="G206" s="361"/>
      <c r="H206" s="361"/>
    </row>
    <row r="207" spans="1:8" ht="15" x14ac:dyDescent="0.2">
      <c r="A207" s="361"/>
      <c r="B207" s="361"/>
      <c r="C207" s="361"/>
      <c r="D207" s="361"/>
      <c r="E207" s="361"/>
      <c r="F207" s="361"/>
      <c r="G207" s="361"/>
      <c r="H207" s="361"/>
    </row>
    <row r="208" spans="1:8" ht="15" x14ac:dyDescent="0.2">
      <c r="A208" s="361"/>
      <c r="B208" s="361"/>
      <c r="C208" s="361"/>
      <c r="D208" s="361"/>
      <c r="E208" s="361"/>
      <c r="F208" s="361"/>
      <c r="G208" s="361"/>
      <c r="H208" s="361"/>
    </row>
    <row r="209" spans="1:8" ht="15" x14ac:dyDescent="0.2">
      <c r="A209" s="361"/>
      <c r="B209" s="361"/>
      <c r="C209" s="361"/>
      <c r="D209" s="361"/>
      <c r="E209" s="361"/>
      <c r="F209" s="361"/>
      <c r="G209" s="361"/>
      <c r="H209" s="361"/>
    </row>
    <row r="210" spans="1:8" ht="15" x14ac:dyDescent="0.2">
      <c r="A210" s="361"/>
      <c r="B210" s="361"/>
      <c r="C210" s="361"/>
      <c r="D210" s="361"/>
      <c r="E210" s="361"/>
      <c r="F210" s="361"/>
      <c r="G210" s="361"/>
      <c r="H210" s="361"/>
    </row>
    <row r="211" spans="1:8" ht="15" x14ac:dyDescent="0.2">
      <c r="A211" s="361"/>
      <c r="B211" s="361"/>
      <c r="C211" s="361"/>
      <c r="D211" s="361"/>
      <c r="E211" s="361"/>
      <c r="F211" s="361"/>
      <c r="G211" s="361"/>
      <c r="H211" s="361"/>
    </row>
    <row r="212" spans="1:8" ht="15" x14ac:dyDescent="0.2">
      <c r="A212" s="361"/>
      <c r="B212" s="361"/>
      <c r="C212" s="361"/>
      <c r="D212" s="361"/>
      <c r="E212" s="361"/>
      <c r="F212" s="361"/>
      <c r="G212" s="361"/>
      <c r="H212" s="361"/>
    </row>
    <row r="213" spans="1:8" ht="15" x14ac:dyDescent="0.2">
      <c r="A213" s="361"/>
      <c r="B213" s="361"/>
      <c r="C213" s="361"/>
      <c r="D213" s="361"/>
      <c r="E213" s="361"/>
      <c r="F213" s="361"/>
      <c r="G213" s="361"/>
      <c r="H213" s="361"/>
    </row>
    <row r="214" spans="1:8" ht="15" x14ac:dyDescent="0.2">
      <c r="A214" s="361"/>
      <c r="B214" s="361"/>
      <c r="C214" s="361"/>
      <c r="D214" s="361"/>
      <c r="E214" s="361"/>
      <c r="F214" s="361"/>
      <c r="G214" s="361"/>
      <c r="H214" s="361"/>
    </row>
    <row r="215" spans="1:8" ht="15" x14ac:dyDescent="0.2">
      <c r="A215" s="361"/>
      <c r="B215" s="361"/>
      <c r="C215" s="361"/>
      <c r="D215" s="361"/>
      <c r="E215" s="361"/>
      <c r="F215" s="361"/>
      <c r="G215" s="361"/>
      <c r="H215" s="361"/>
    </row>
    <row r="216" spans="1:8" ht="15" x14ac:dyDescent="0.2">
      <c r="A216" s="361"/>
      <c r="B216" s="361"/>
      <c r="C216" s="361"/>
      <c r="D216" s="361"/>
      <c r="E216" s="361"/>
      <c r="F216" s="361"/>
      <c r="G216" s="361"/>
      <c r="H216" s="361"/>
    </row>
    <row r="217" spans="1:8" ht="15" x14ac:dyDescent="0.2">
      <c r="A217" s="361"/>
      <c r="B217" s="361"/>
      <c r="C217" s="361"/>
      <c r="D217" s="361"/>
      <c r="E217" s="361"/>
      <c r="F217" s="361"/>
      <c r="G217" s="361"/>
      <c r="H217" s="361"/>
    </row>
    <row r="218" spans="1:8" ht="15" x14ac:dyDescent="0.2">
      <c r="A218" s="361"/>
      <c r="B218" s="361"/>
      <c r="C218" s="361"/>
      <c r="D218" s="361"/>
      <c r="E218" s="361"/>
      <c r="F218" s="361"/>
      <c r="G218" s="361"/>
      <c r="H218" s="361"/>
    </row>
    <row r="219" spans="1:8" ht="15" x14ac:dyDescent="0.2">
      <c r="A219" s="361"/>
      <c r="B219" s="361"/>
      <c r="C219" s="361"/>
      <c r="D219" s="361"/>
      <c r="E219" s="361"/>
      <c r="F219" s="361"/>
      <c r="G219" s="361"/>
      <c r="H219" s="361"/>
    </row>
    <row r="220" spans="1:8" ht="15" x14ac:dyDescent="0.2">
      <c r="A220" s="361"/>
      <c r="B220" s="361"/>
      <c r="C220" s="361"/>
      <c r="D220" s="361"/>
      <c r="E220" s="361"/>
      <c r="F220" s="361"/>
      <c r="G220" s="361"/>
      <c r="H220" s="361"/>
    </row>
    <row r="221" spans="1:8" ht="15" x14ac:dyDescent="0.2">
      <c r="A221" s="361"/>
      <c r="B221" s="361"/>
      <c r="C221" s="361"/>
      <c r="D221" s="361"/>
      <c r="E221" s="361"/>
      <c r="F221" s="361"/>
      <c r="G221" s="361"/>
      <c r="H221" s="361"/>
    </row>
    <row r="222" spans="1:8" ht="15" x14ac:dyDescent="0.2">
      <c r="A222" s="361"/>
      <c r="B222" s="361"/>
      <c r="C222" s="361"/>
      <c r="D222" s="361"/>
      <c r="E222" s="361"/>
      <c r="F222" s="361"/>
      <c r="G222" s="361"/>
      <c r="H222" s="361"/>
    </row>
    <row r="223" spans="1:8" ht="15" x14ac:dyDescent="0.2">
      <c r="A223" s="361"/>
      <c r="B223" s="361"/>
      <c r="C223" s="361"/>
      <c r="D223" s="361"/>
      <c r="E223" s="361"/>
      <c r="F223" s="361"/>
      <c r="G223" s="361"/>
      <c r="H223" s="361"/>
    </row>
    <row r="224" spans="1:8" ht="15" x14ac:dyDescent="0.2">
      <c r="A224" s="361"/>
      <c r="B224" s="361"/>
      <c r="C224" s="361"/>
      <c r="D224" s="361"/>
      <c r="E224" s="361"/>
      <c r="F224" s="361"/>
      <c r="G224" s="361"/>
      <c r="H224" s="361"/>
    </row>
    <row r="225" spans="1:8" ht="15" x14ac:dyDescent="0.2">
      <c r="A225" s="361"/>
      <c r="B225" s="361"/>
      <c r="C225" s="361"/>
      <c r="D225" s="361"/>
      <c r="E225" s="361"/>
      <c r="F225" s="361"/>
      <c r="G225" s="361"/>
      <c r="H225" s="361"/>
    </row>
    <row r="226" spans="1:8" ht="15" x14ac:dyDescent="0.2">
      <c r="A226" s="361"/>
      <c r="B226" s="361"/>
      <c r="C226" s="361"/>
      <c r="D226" s="361"/>
      <c r="E226" s="361"/>
      <c r="F226" s="361"/>
      <c r="G226" s="361"/>
      <c r="H226" s="361"/>
    </row>
    <row r="227" spans="1:8" ht="15" x14ac:dyDescent="0.2">
      <c r="A227" s="361"/>
      <c r="B227" s="361"/>
      <c r="C227" s="361"/>
      <c r="D227" s="361"/>
      <c r="E227" s="361"/>
      <c r="F227" s="361"/>
      <c r="G227" s="361"/>
      <c r="H227" s="361"/>
    </row>
    <row r="228" spans="1:8" ht="15" x14ac:dyDescent="0.2">
      <c r="A228" s="361"/>
      <c r="B228" s="361"/>
      <c r="C228" s="361"/>
      <c r="D228" s="361"/>
      <c r="E228" s="361"/>
      <c r="F228" s="361"/>
      <c r="G228" s="361"/>
      <c r="H228" s="361"/>
    </row>
    <row r="229" spans="1:8" ht="15" x14ac:dyDescent="0.2">
      <c r="A229" s="361"/>
      <c r="B229" s="361"/>
      <c r="C229" s="361"/>
      <c r="D229" s="361"/>
      <c r="E229" s="361"/>
      <c r="F229" s="361"/>
      <c r="G229" s="361"/>
      <c r="H229" s="361"/>
    </row>
    <row r="230" spans="1:8" ht="15" x14ac:dyDescent="0.2">
      <c r="A230" s="361"/>
      <c r="B230" s="361"/>
      <c r="C230" s="361"/>
      <c r="D230" s="361"/>
      <c r="E230" s="361"/>
      <c r="F230" s="361"/>
      <c r="G230" s="361"/>
      <c r="H230" s="361"/>
    </row>
    <row r="231" spans="1:8" ht="15" x14ac:dyDescent="0.2">
      <c r="A231" s="361"/>
      <c r="B231" s="361"/>
      <c r="C231" s="361"/>
      <c r="D231" s="361"/>
      <c r="E231" s="361"/>
      <c r="F231" s="361"/>
      <c r="G231" s="361"/>
      <c r="H231" s="361"/>
    </row>
    <row r="232" spans="1:8" ht="15" x14ac:dyDescent="0.2">
      <c r="A232" s="361"/>
      <c r="B232" s="361"/>
      <c r="C232" s="361"/>
      <c r="D232" s="361"/>
      <c r="E232" s="361"/>
      <c r="F232" s="361"/>
      <c r="G232" s="361"/>
      <c r="H232" s="361"/>
    </row>
    <row r="233" spans="1:8" ht="15" x14ac:dyDescent="0.2">
      <c r="A233" s="361"/>
      <c r="B233" s="361"/>
      <c r="C233" s="361"/>
      <c r="D233" s="361"/>
      <c r="E233" s="361"/>
      <c r="F233" s="361"/>
      <c r="G233" s="361"/>
      <c r="H233" s="361"/>
    </row>
    <row r="234" spans="1:8" ht="15" x14ac:dyDescent="0.2">
      <c r="A234" s="361"/>
      <c r="B234" s="361"/>
      <c r="C234" s="361"/>
      <c r="D234" s="361"/>
      <c r="E234" s="361"/>
      <c r="F234" s="361"/>
      <c r="G234" s="361"/>
      <c r="H234" s="361"/>
    </row>
    <row r="235" spans="1:8" ht="15" x14ac:dyDescent="0.2">
      <c r="A235" s="361"/>
      <c r="B235" s="361"/>
      <c r="C235" s="361"/>
      <c r="D235" s="361"/>
      <c r="E235" s="361"/>
      <c r="F235" s="361"/>
      <c r="G235" s="361"/>
      <c r="H235" s="361"/>
    </row>
    <row r="236" spans="1:8" ht="15" x14ac:dyDescent="0.2">
      <c r="A236" s="361"/>
      <c r="B236" s="361"/>
      <c r="C236" s="361"/>
      <c r="D236" s="361"/>
      <c r="E236" s="361"/>
      <c r="F236" s="361"/>
      <c r="G236" s="361"/>
      <c r="H236" s="361"/>
    </row>
    <row r="237" spans="1:8" ht="15" x14ac:dyDescent="0.2">
      <c r="A237" s="361"/>
      <c r="B237" s="361"/>
      <c r="C237" s="361"/>
      <c r="D237" s="361"/>
      <c r="E237" s="361"/>
      <c r="F237" s="361"/>
      <c r="G237" s="361"/>
      <c r="H237" s="361"/>
    </row>
    <row r="238" spans="1:8" ht="15" x14ac:dyDescent="0.2">
      <c r="A238" s="361"/>
      <c r="B238" s="361"/>
      <c r="C238" s="361"/>
      <c r="D238" s="361"/>
      <c r="E238" s="361"/>
      <c r="F238" s="361"/>
      <c r="G238" s="361"/>
      <c r="H238" s="361"/>
    </row>
    <row r="239" spans="1:8" ht="15" x14ac:dyDescent="0.2">
      <c r="A239" s="361"/>
      <c r="B239" s="361"/>
      <c r="C239" s="361"/>
      <c r="D239" s="361"/>
      <c r="E239" s="361"/>
      <c r="F239" s="361"/>
      <c r="G239" s="361"/>
      <c r="H239" s="361"/>
    </row>
    <row r="240" spans="1:8" ht="15" x14ac:dyDescent="0.2">
      <c r="A240" s="361"/>
      <c r="B240" s="361"/>
      <c r="C240" s="361"/>
      <c r="D240" s="361"/>
      <c r="E240" s="361"/>
      <c r="F240" s="361"/>
      <c r="G240" s="361"/>
      <c r="H240" s="361"/>
    </row>
    <row r="241" spans="1:8" ht="15" x14ac:dyDescent="0.2">
      <c r="A241" s="361"/>
      <c r="B241" s="361"/>
      <c r="C241" s="361"/>
      <c r="D241" s="361"/>
      <c r="E241" s="361"/>
      <c r="F241" s="361"/>
      <c r="G241" s="361"/>
      <c r="H241" s="361"/>
    </row>
    <row r="242" spans="1:8" ht="15" x14ac:dyDescent="0.2">
      <c r="A242" s="361"/>
      <c r="B242" s="361"/>
      <c r="C242" s="361"/>
      <c r="D242" s="361"/>
      <c r="E242" s="361"/>
      <c r="F242" s="361"/>
      <c r="G242" s="361"/>
      <c r="H242" s="361"/>
    </row>
    <row r="243" spans="1:8" ht="15" x14ac:dyDescent="0.2">
      <c r="A243" s="361"/>
      <c r="B243" s="361"/>
      <c r="C243" s="361"/>
      <c r="D243" s="361"/>
      <c r="E243" s="361"/>
      <c r="F243" s="361"/>
      <c r="G243" s="361"/>
      <c r="H243" s="361"/>
    </row>
    <row r="244" spans="1:8" ht="15" x14ac:dyDescent="0.2">
      <c r="A244" s="361"/>
      <c r="B244" s="361"/>
      <c r="C244" s="361"/>
      <c r="D244" s="361"/>
      <c r="E244" s="361"/>
      <c r="F244" s="361"/>
      <c r="G244" s="361"/>
      <c r="H244" s="361"/>
    </row>
    <row r="245" spans="1:8" ht="15" x14ac:dyDescent="0.2">
      <c r="A245" s="361"/>
      <c r="B245" s="361"/>
      <c r="C245" s="361"/>
      <c r="D245" s="361"/>
      <c r="E245" s="361"/>
      <c r="F245" s="361"/>
      <c r="G245" s="361"/>
      <c r="H245" s="361"/>
    </row>
    <row r="246" spans="1:8" ht="15" x14ac:dyDescent="0.2">
      <c r="A246" s="361"/>
      <c r="B246" s="361"/>
      <c r="C246" s="361"/>
      <c r="D246" s="361"/>
      <c r="E246" s="361"/>
      <c r="F246" s="361"/>
      <c r="G246" s="361"/>
      <c r="H246" s="361"/>
    </row>
    <row r="247" spans="1:8" ht="15" x14ac:dyDescent="0.2">
      <c r="A247" s="361"/>
      <c r="B247" s="361"/>
      <c r="C247" s="361"/>
      <c r="D247" s="361"/>
      <c r="E247" s="361"/>
      <c r="F247" s="361"/>
      <c r="G247" s="361"/>
      <c r="H247" s="361"/>
    </row>
    <row r="248" spans="1:8" ht="15" x14ac:dyDescent="0.2">
      <c r="A248" s="361"/>
      <c r="B248" s="361"/>
      <c r="C248" s="361"/>
      <c r="D248" s="361"/>
      <c r="E248" s="361"/>
      <c r="F248" s="361"/>
      <c r="G248" s="361"/>
      <c r="H248" s="361"/>
    </row>
    <row r="249" spans="1:8" ht="15" x14ac:dyDescent="0.2">
      <c r="A249" s="361"/>
      <c r="B249" s="361"/>
      <c r="C249" s="361"/>
      <c r="D249" s="361"/>
      <c r="E249" s="361"/>
      <c r="F249" s="361"/>
      <c r="G249" s="361"/>
      <c r="H249" s="361"/>
    </row>
    <row r="250" spans="1:8" ht="15" x14ac:dyDescent="0.2">
      <c r="A250" s="361"/>
      <c r="B250" s="361"/>
      <c r="C250" s="361"/>
      <c r="D250" s="361"/>
      <c r="E250" s="361"/>
      <c r="F250" s="361"/>
      <c r="G250" s="361"/>
      <c r="H250" s="361"/>
    </row>
    <row r="251" spans="1:8" ht="15" x14ac:dyDescent="0.2">
      <c r="A251" s="361"/>
      <c r="B251" s="361"/>
      <c r="C251" s="361"/>
      <c r="D251" s="361"/>
      <c r="E251" s="361"/>
      <c r="F251" s="361"/>
      <c r="G251" s="361"/>
      <c r="H251" s="361"/>
    </row>
    <row r="252" spans="1:8" ht="15" x14ac:dyDescent="0.2">
      <c r="A252" s="361"/>
      <c r="B252" s="361"/>
      <c r="C252" s="361"/>
      <c r="D252" s="361"/>
      <c r="E252" s="361"/>
      <c r="F252" s="361"/>
      <c r="G252" s="361"/>
      <c r="H252" s="361"/>
    </row>
    <row r="253" spans="1:8" ht="15" x14ac:dyDescent="0.2">
      <c r="A253" s="361"/>
      <c r="B253" s="361"/>
      <c r="C253" s="361"/>
      <c r="D253" s="361"/>
      <c r="E253" s="361"/>
      <c r="F253" s="361"/>
      <c r="G253" s="361"/>
      <c r="H253" s="361"/>
    </row>
    <row r="254" spans="1:8" ht="15" x14ac:dyDescent="0.2">
      <c r="A254" s="361"/>
      <c r="B254" s="361"/>
      <c r="C254" s="361"/>
      <c r="D254" s="361"/>
      <c r="E254" s="361"/>
      <c r="F254" s="361"/>
      <c r="G254" s="361"/>
      <c r="H254" s="361"/>
    </row>
    <row r="255" spans="1:8" ht="15" x14ac:dyDescent="0.2">
      <c r="A255" s="361"/>
      <c r="B255" s="361"/>
      <c r="C255" s="361"/>
      <c r="D255" s="361"/>
      <c r="E255" s="361"/>
      <c r="F255" s="361"/>
      <c r="G255" s="361"/>
      <c r="H255" s="361"/>
    </row>
    <row r="256" spans="1:8" ht="15" x14ac:dyDescent="0.2">
      <c r="A256" s="361"/>
      <c r="B256" s="361"/>
      <c r="C256" s="361"/>
      <c r="D256" s="361"/>
      <c r="E256" s="361"/>
      <c r="F256" s="361"/>
      <c r="G256" s="361"/>
      <c r="H256" s="361"/>
    </row>
    <row r="257" spans="1:8" ht="15" x14ac:dyDescent="0.2">
      <c r="A257" s="361"/>
      <c r="B257" s="361"/>
      <c r="C257" s="361"/>
      <c r="D257" s="361"/>
      <c r="E257" s="361"/>
      <c r="F257" s="361"/>
      <c r="G257" s="361"/>
      <c r="H257" s="361"/>
    </row>
    <row r="258" spans="1:8" ht="15" x14ac:dyDescent="0.2">
      <c r="A258" s="361"/>
      <c r="B258" s="361"/>
      <c r="C258" s="361"/>
      <c r="D258" s="361"/>
      <c r="E258" s="361"/>
      <c r="F258" s="361"/>
      <c r="G258" s="361"/>
      <c r="H258" s="361"/>
    </row>
    <row r="259" spans="1:8" ht="15" x14ac:dyDescent="0.2">
      <c r="A259" s="361"/>
      <c r="B259" s="361"/>
      <c r="C259" s="361"/>
      <c r="D259" s="361"/>
      <c r="E259" s="361"/>
      <c r="F259" s="361"/>
      <c r="G259" s="361"/>
      <c r="H259" s="361"/>
    </row>
    <row r="260" spans="1:8" ht="15" x14ac:dyDescent="0.2">
      <c r="A260" s="361"/>
      <c r="B260" s="361"/>
      <c r="C260" s="361"/>
      <c r="D260" s="361"/>
      <c r="E260" s="361"/>
      <c r="F260" s="361"/>
      <c r="G260" s="361"/>
      <c r="H260" s="361"/>
    </row>
    <row r="261" spans="1:8" ht="15" x14ac:dyDescent="0.2">
      <c r="A261" s="361"/>
      <c r="B261" s="361"/>
      <c r="C261" s="361"/>
      <c r="D261" s="361"/>
      <c r="E261" s="361"/>
      <c r="F261" s="361"/>
      <c r="G261" s="361"/>
      <c r="H261" s="361"/>
    </row>
    <row r="262" spans="1:8" ht="15" x14ac:dyDescent="0.2">
      <c r="A262" s="361"/>
      <c r="B262" s="361"/>
      <c r="C262" s="361"/>
      <c r="D262" s="361"/>
      <c r="E262" s="361"/>
      <c r="F262" s="361"/>
      <c r="G262" s="361"/>
      <c r="H262" s="361"/>
    </row>
    <row r="263" spans="1:8" ht="15" x14ac:dyDescent="0.2">
      <c r="A263" s="361"/>
      <c r="B263" s="361"/>
      <c r="C263" s="361"/>
      <c r="D263" s="361"/>
      <c r="E263" s="361"/>
      <c r="F263" s="361"/>
      <c r="G263" s="361"/>
      <c r="H263" s="361"/>
    </row>
    <row r="264" spans="1:8" ht="15" x14ac:dyDescent="0.2">
      <c r="A264" s="361"/>
      <c r="B264" s="361"/>
      <c r="C264" s="361"/>
      <c r="D264" s="361"/>
      <c r="E264" s="361"/>
      <c r="F264" s="361"/>
      <c r="G264" s="361"/>
      <c r="H264" s="361"/>
    </row>
    <row r="265" spans="1:8" ht="15" x14ac:dyDescent="0.2">
      <c r="A265" s="361"/>
      <c r="B265" s="361"/>
      <c r="C265" s="361"/>
      <c r="D265" s="361"/>
      <c r="E265" s="361"/>
      <c r="F265" s="361"/>
      <c r="G265" s="361"/>
      <c r="H265" s="361"/>
    </row>
  </sheetData>
  <mergeCells count="3">
    <mergeCell ref="A42:H42"/>
    <mergeCell ref="A80:H80"/>
    <mergeCell ref="A118:J1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8"/>
  <sheetViews>
    <sheetView topLeftCell="A58" workbookViewId="0">
      <selection activeCell="N91" sqref="N91"/>
    </sheetView>
  </sheetViews>
  <sheetFormatPr defaultColWidth="8.85546875" defaultRowHeight="15" x14ac:dyDescent="0.2"/>
  <cols>
    <col min="1" max="1" width="10" style="361" customWidth="1"/>
    <col min="2" max="2" width="19" style="361" customWidth="1"/>
    <col min="3" max="5" width="10.5703125" style="361" bestFit="1" customWidth="1"/>
    <col min="6" max="6" width="11.5703125" style="361" bestFit="1" customWidth="1"/>
    <col min="7" max="8" width="10.5703125" style="361" bestFit="1" customWidth="1"/>
    <col min="9" max="16384" width="8.85546875" style="361"/>
  </cols>
  <sheetData>
    <row r="2" spans="1:8" ht="36.75" customHeight="1" x14ac:dyDescent="0.25">
      <c r="A2" s="604" t="s">
        <v>997</v>
      </c>
      <c r="B2" s="605"/>
      <c r="C2" s="605"/>
      <c r="D2" s="605"/>
      <c r="E2" s="605"/>
      <c r="F2" s="605"/>
      <c r="G2" s="605"/>
      <c r="H2" s="605"/>
    </row>
    <row r="3" spans="1:8" ht="15.75" x14ac:dyDescent="0.25">
      <c r="A3" s="364" t="s">
        <v>932</v>
      </c>
      <c r="B3" s="365" t="s">
        <v>96</v>
      </c>
      <c r="C3" s="366" t="s">
        <v>7</v>
      </c>
      <c r="D3" s="366" t="s">
        <v>924</v>
      </c>
      <c r="E3" s="366" t="s">
        <v>8</v>
      </c>
      <c r="F3" s="366" t="s">
        <v>10</v>
      </c>
      <c r="G3" s="366" t="s">
        <v>69</v>
      </c>
      <c r="H3" s="367" t="s">
        <v>17</v>
      </c>
    </row>
    <row r="4" spans="1:8" x14ac:dyDescent="0.2">
      <c r="A4" s="368">
        <v>2006</v>
      </c>
      <c r="B4" s="378">
        <v>8457.0823999999993</v>
      </c>
      <c r="C4" s="379">
        <v>227.69067999999999</v>
      </c>
      <c r="D4" s="379">
        <v>220.85995959999997</v>
      </c>
      <c r="E4" s="379">
        <v>312.261504</v>
      </c>
      <c r="F4" s="379">
        <v>832.69734399999993</v>
      </c>
      <c r="G4" s="391">
        <v>328.811363712</v>
      </c>
      <c r="H4" s="380">
        <v>712.90770224879998</v>
      </c>
    </row>
    <row r="5" spans="1:8" x14ac:dyDescent="0.2">
      <c r="A5" s="368">
        <v>2007</v>
      </c>
      <c r="B5" s="378">
        <v>8592.395718400001</v>
      </c>
      <c r="C5" s="379">
        <v>231.33373088000002</v>
      </c>
      <c r="D5" s="379">
        <v>224.3937189536</v>
      </c>
      <c r="E5" s="379">
        <v>317.25768806400004</v>
      </c>
      <c r="F5" s="379">
        <v>846.02050150399998</v>
      </c>
      <c r="G5" s="379">
        <v>334.07234553139205</v>
      </c>
      <c r="H5" s="380">
        <v>724.31422548478088</v>
      </c>
    </row>
    <row r="6" spans="1:8" x14ac:dyDescent="0.2">
      <c r="A6" s="368">
        <v>2008</v>
      </c>
      <c r="B6" s="378">
        <v>8729.8740498944007</v>
      </c>
      <c r="C6" s="379">
        <v>199.50863911318069</v>
      </c>
      <c r="D6" s="379">
        <v>193.52337993978526</v>
      </c>
      <c r="E6" s="379">
        <v>322.33381107302404</v>
      </c>
      <c r="F6" s="379">
        <v>859.55682952806399</v>
      </c>
      <c r="G6" s="379">
        <v>339.41750305989427</v>
      </c>
      <c r="H6" s="380">
        <v>85.855379527462688</v>
      </c>
    </row>
    <row r="7" spans="1:8" x14ac:dyDescent="0.2">
      <c r="A7" s="372">
        <v>2009</v>
      </c>
      <c r="B7" s="378">
        <v>8869.5520346927115</v>
      </c>
      <c r="C7" s="379">
        <v>202.70077733899157</v>
      </c>
      <c r="D7" s="379">
        <v>196.61975401882182</v>
      </c>
      <c r="E7" s="379">
        <v>327.49115205019245</v>
      </c>
      <c r="F7" s="379">
        <v>873.30973880051306</v>
      </c>
      <c r="G7" s="379">
        <v>344.84818310885265</v>
      </c>
      <c r="H7" s="380">
        <v>87.229065599902086</v>
      </c>
    </row>
    <row r="8" spans="1:8" x14ac:dyDescent="0.2">
      <c r="A8" s="372">
        <v>2010</v>
      </c>
      <c r="B8" s="378">
        <v>9011.4648672477942</v>
      </c>
      <c r="C8" s="379">
        <v>205.94398977641544</v>
      </c>
      <c r="D8" s="379">
        <v>199.76567008312296</v>
      </c>
      <c r="E8" s="379">
        <v>332.73101048299549</v>
      </c>
      <c r="F8" s="379">
        <v>887.28269462132118</v>
      </c>
      <c r="G8" s="379">
        <v>350.36575403859422</v>
      </c>
      <c r="H8" s="380">
        <v>88.62473064950052</v>
      </c>
    </row>
    <row r="9" spans="1:8" x14ac:dyDescent="0.2">
      <c r="A9" s="372">
        <v>2011</v>
      </c>
      <c r="B9" s="378">
        <v>9155.6483051237574</v>
      </c>
      <c r="C9" s="379">
        <v>209.2390936128381</v>
      </c>
      <c r="D9" s="379">
        <v>202.96192080445294</v>
      </c>
      <c r="E9" s="379">
        <v>338.0547066507234</v>
      </c>
      <c r="F9" s="379">
        <v>901.4792177352623</v>
      </c>
      <c r="G9" s="379">
        <v>355.97160610321174</v>
      </c>
      <c r="H9" s="380">
        <v>90.042726339892525</v>
      </c>
    </row>
    <row r="10" spans="1:8" x14ac:dyDescent="0.2">
      <c r="A10" s="372">
        <v>2012</v>
      </c>
      <c r="B10" s="378">
        <v>9302.1386780057364</v>
      </c>
      <c r="C10" s="379">
        <v>212.58691911064346</v>
      </c>
      <c r="D10" s="379">
        <v>206.20931153732417</v>
      </c>
      <c r="E10" s="379">
        <v>343.46358195713498</v>
      </c>
      <c r="F10" s="379">
        <v>915.90288521902642</v>
      </c>
      <c r="G10" s="379">
        <v>361.66715180086311</v>
      </c>
      <c r="H10" s="380">
        <v>91.483409961330793</v>
      </c>
    </row>
    <row r="11" spans="1:8" x14ac:dyDescent="0.2">
      <c r="A11" s="372">
        <v>2013</v>
      </c>
      <c r="B11" s="378">
        <v>9450.9728968538293</v>
      </c>
      <c r="C11" s="379">
        <v>211.05369601853113</v>
      </c>
      <c r="D11" s="379">
        <v>204.7220851379752</v>
      </c>
      <c r="E11" s="379">
        <v>348.95899926844908</v>
      </c>
      <c r="F11" s="379">
        <v>930.55733138253072</v>
      </c>
      <c r="G11" s="379">
        <v>367.45382622967685</v>
      </c>
      <c r="H11" s="380">
        <v>2.6556327005917733</v>
      </c>
    </row>
    <row r="12" spans="1:8" x14ac:dyDescent="0.2">
      <c r="A12" s="372">
        <v>2014</v>
      </c>
      <c r="B12" s="378">
        <v>9602.1884632034889</v>
      </c>
      <c r="C12" s="379">
        <v>214.43055515482763</v>
      </c>
      <c r="D12" s="379">
        <v>207.9976385001828</v>
      </c>
      <c r="E12" s="379">
        <v>354.54234325674429</v>
      </c>
      <c r="F12" s="379">
        <v>945.44624868465121</v>
      </c>
      <c r="G12" s="379">
        <v>373.33308744935169</v>
      </c>
      <c r="H12" s="380">
        <v>2.6981228238012416</v>
      </c>
    </row>
    <row r="13" spans="1:8" x14ac:dyDescent="0.2">
      <c r="A13" s="372">
        <v>2015</v>
      </c>
      <c r="B13" s="378">
        <v>9624.9513470972124</v>
      </c>
      <c r="C13" s="379">
        <v>214.47625637067119</v>
      </c>
      <c r="D13" s="379">
        <v>208.04196867955105</v>
      </c>
      <c r="E13" s="379">
        <v>360.21502074885223</v>
      </c>
      <c r="F13" s="379">
        <v>960.57338866360578</v>
      </c>
      <c r="G13" s="379">
        <v>379.30641684854135</v>
      </c>
      <c r="H13" s="380">
        <v>2.741292788982062</v>
      </c>
    </row>
    <row r="14" spans="1:8" x14ac:dyDescent="0.2">
      <c r="A14" s="372">
        <v>2016</v>
      </c>
      <c r="B14" s="378">
        <v>9645.984483028953</v>
      </c>
      <c r="C14" s="379">
        <v>214.4685258033021</v>
      </c>
      <c r="D14" s="379">
        <v>208.03447002920302</v>
      </c>
      <c r="E14" s="379">
        <v>365.97846108083388</v>
      </c>
      <c r="F14" s="379">
        <v>975.94256288222346</v>
      </c>
      <c r="G14" s="379">
        <v>385.37531951811803</v>
      </c>
      <c r="H14" s="380">
        <v>2.7851534736057753</v>
      </c>
    </row>
    <row r="15" spans="1:8" x14ac:dyDescent="0.2">
      <c r="A15" s="372">
        <v>2017</v>
      </c>
      <c r="B15" s="378">
        <v>9665.2266917656561</v>
      </c>
      <c r="C15" s="379">
        <v>214.40564193614637</v>
      </c>
      <c r="D15" s="379">
        <v>207.97347267806197</v>
      </c>
      <c r="E15" s="379">
        <v>371.8341164581272</v>
      </c>
      <c r="F15" s="379">
        <v>991.55764388833904</v>
      </c>
      <c r="G15" s="379">
        <v>391.54132463040793</v>
      </c>
      <c r="H15" s="380">
        <v>2.8297159291834677</v>
      </c>
    </row>
    <row r="16" spans="1:8" x14ac:dyDescent="0.2">
      <c r="A16" s="372">
        <v>2018</v>
      </c>
      <c r="B16" s="378">
        <v>9682.6152791542754</v>
      </c>
      <c r="C16" s="379">
        <v>214.28584184263599</v>
      </c>
      <c r="D16" s="379">
        <v>207.85726658735689</v>
      </c>
      <c r="E16" s="379">
        <v>377.78346232145725</v>
      </c>
      <c r="F16" s="379">
        <v>1007.4225661905525</v>
      </c>
      <c r="G16" s="379">
        <v>397.80598582449448</v>
      </c>
      <c r="H16" s="380">
        <v>2.8749913840504036</v>
      </c>
    </row>
    <row r="17" spans="1:8" x14ac:dyDescent="0.2">
      <c r="A17" s="372">
        <v>2019</v>
      </c>
      <c r="B17" s="378">
        <v>9698.0860033062381</v>
      </c>
      <c r="C17" s="379">
        <v>214.10732030179759</v>
      </c>
      <c r="D17" s="379">
        <v>207.68410069274364</v>
      </c>
      <c r="E17" s="379">
        <v>383.82799771860056</v>
      </c>
      <c r="F17" s="379">
        <v>1023.5413272496014</v>
      </c>
      <c r="G17" s="379">
        <v>404.17088159768639</v>
      </c>
      <c r="H17" s="380">
        <v>2.9209912461952094</v>
      </c>
    </row>
    <row r="18" spans="1:8" x14ac:dyDescent="0.2">
      <c r="A18" s="372">
        <v>2020</v>
      </c>
      <c r="B18" s="378">
        <v>9711.5730411196018</v>
      </c>
      <c r="C18" s="379">
        <v>213.86822889614066</v>
      </c>
      <c r="D18" s="379">
        <v>207.45218202925645</v>
      </c>
      <c r="E18" s="379">
        <v>389.96924568209818</v>
      </c>
      <c r="F18" s="379">
        <v>1039.9179884855951</v>
      </c>
      <c r="G18" s="379">
        <v>410.63761570324937</v>
      </c>
      <c r="H18" s="380">
        <v>2.9677271061343329</v>
      </c>
    </row>
    <row r="19" spans="1:8" x14ac:dyDescent="0.2">
      <c r="A19" s="372">
        <v>2021</v>
      </c>
      <c r="B19" s="378">
        <v>9723.0089541261441</v>
      </c>
      <c r="C19" s="379">
        <v>213.56667509150543</v>
      </c>
      <c r="D19" s="379">
        <v>207.15967483876025</v>
      </c>
      <c r="E19" s="379">
        <v>396.20875361301171</v>
      </c>
      <c r="F19" s="379">
        <v>1056.5566763013644</v>
      </c>
      <c r="G19" s="379">
        <v>417.20781755450133</v>
      </c>
      <c r="H19" s="380">
        <v>3.0152107398324826</v>
      </c>
    </row>
    <row r="20" spans="1:8" x14ac:dyDescent="0.2">
      <c r="A20" s="372">
        <v>2022</v>
      </c>
      <c r="B20" s="378">
        <v>9732.3246536503702</v>
      </c>
      <c r="C20" s="379">
        <v>213.20072129852457</v>
      </c>
      <c r="D20" s="379">
        <v>206.80469965956883</v>
      </c>
      <c r="E20" s="379">
        <v>402.54809367081992</v>
      </c>
      <c r="F20" s="379">
        <v>1073.4615831221863</v>
      </c>
      <c r="G20" s="379">
        <v>423.88314263537336</v>
      </c>
      <c r="H20" s="380">
        <v>3.0634541116698024</v>
      </c>
    </row>
    <row r="21" spans="1:8" x14ac:dyDescent="0.2">
      <c r="A21" s="373">
        <v>2023</v>
      </c>
      <c r="B21" s="378">
        <v>9739.4493652671172</v>
      </c>
      <c r="C21" s="379">
        <v>212.76838391534477</v>
      </c>
      <c r="D21" s="379">
        <v>206.38533239788441</v>
      </c>
      <c r="E21" s="379">
        <v>408.98886316955304</v>
      </c>
      <c r="F21" s="379">
        <v>1090.6369684521412</v>
      </c>
      <c r="G21" s="379">
        <v>430.66527291753931</v>
      </c>
      <c r="H21" s="380">
        <v>3.1124693774565189</v>
      </c>
    </row>
    <row r="22" spans="1:8" x14ac:dyDescent="0.2">
      <c r="A22" s="373">
        <v>2024</v>
      </c>
      <c r="B22" s="378">
        <v>9744.3105925442633</v>
      </c>
      <c r="C22" s="379">
        <v>212.26763235125082</v>
      </c>
      <c r="D22" s="379">
        <v>205.8996033807133</v>
      </c>
      <c r="E22" s="379">
        <v>415.53268498026586</v>
      </c>
      <c r="F22" s="379">
        <v>1108.0871599473755</v>
      </c>
      <c r="G22" s="379">
        <v>437.5559172842199</v>
      </c>
      <c r="H22" s="380">
        <v>3.1622688874958236</v>
      </c>
    </row>
    <row r="23" spans="1:8" x14ac:dyDescent="0.2">
      <c r="A23" s="373">
        <v>2025</v>
      </c>
      <c r="B23" s="378">
        <v>9746.8340800567694</v>
      </c>
      <c r="C23" s="379">
        <v>211.69638803082353</v>
      </c>
      <c r="D23" s="379">
        <v>205.34549638989881</v>
      </c>
      <c r="E23" s="379">
        <v>422.18120793995013</v>
      </c>
      <c r="F23" s="379">
        <v>1125.8165545065335</v>
      </c>
      <c r="G23" s="379">
        <v>444.55681196076745</v>
      </c>
      <c r="H23" s="380">
        <v>3.2128651896957563</v>
      </c>
    </row>
    <row r="24" spans="1:8" x14ac:dyDescent="0.2">
      <c r="A24" s="373">
        <v>2026</v>
      </c>
      <c r="B24" s="378">
        <v>9746.9437756579864</v>
      </c>
      <c r="C24" s="379">
        <v>211.05252337826067</v>
      </c>
      <c r="D24" s="379">
        <v>204.72094767691286</v>
      </c>
      <c r="E24" s="379">
        <v>428.93610726698932</v>
      </c>
      <c r="F24" s="379">
        <v>1143.829619378638</v>
      </c>
      <c r="G24" s="379">
        <v>451.66972095213976</v>
      </c>
      <c r="H24" s="380">
        <v>3.2642710327308881</v>
      </c>
    </row>
    <row r="25" spans="1:8" x14ac:dyDescent="0.2">
      <c r="A25" s="373">
        <v>2027</v>
      </c>
      <c r="B25" s="378">
        <v>9730.9677869610059</v>
      </c>
      <c r="C25" s="379">
        <v>210.3338607814799</v>
      </c>
      <c r="D25" s="379">
        <v>204.02384495803548</v>
      </c>
      <c r="E25" s="379">
        <v>435.79908498326114</v>
      </c>
      <c r="F25" s="379">
        <v>1162.1308932886961</v>
      </c>
      <c r="G25" s="379">
        <v>458.89643648737393</v>
      </c>
      <c r="H25" s="380">
        <v>3.3164993692545823</v>
      </c>
    </row>
    <row r="26" spans="1:8" x14ac:dyDescent="0.2">
      <c r="A26" s="373">
        <v>2028</v>
      </c>
      <c r="B26" s="378">
        <v>9711.9853490191545</v>
      </c>
      <c r="C26" s="379">
        <v>209.53817153561727</v>
      </c>
      <c r="D26" s="379">
        <v>203.25202638954875</v>
      </c>
      <c r="E26" s="379">
        <v>442.77187034299334</v>
      </c>
      <c r="F26" s="379">
        <v>1180.7249875813152</v>
      </c>
      <c r="G26" s="379">
        <v>466.23877947117194</v>
      </c>
      <c r="H26" s="380">
        <v>3.369563359162655</v>
      </c>
    </row>
    <row r="27" spans="1:8" x14ac:dyDescent="0.2">
      <c r="A27" s="373">
        <v>2029</v>
      </c>
      <c r="B27" s="378">
        <v>9689.9043453097038</v>
      </c>
      <c r="C27" s="379">
        <v>208.66317476552703</v>
      </c>
      <c r="D27" s="379">
        <v>202.40327952256121</v>
      </c>
      <c r="E27" s="379">
        <v>449.8562202684812</v>
      </c>
      <c r="F27" s="379">
        <v>1199.6165873826164</v>
      </c>
      <c r="G27" s="379">
        <v>473.69859994271064</v>
      </c>
      <c r="H27" s="380">
        <v>3.423476372909259</v>
      </c>
    </row>
    <row r="28" spans="1:8" x14ac:dyDescent="0.2">
      <c r="A28" s="373">
        <v>2030</v>
      </c>
      <c r="B28" s="378">
        <v>9614.730935202193</v>
      </c>
      <c r="C28" s="379">
        <v>204.56999343356605</v>
      </c>
      <c r="D28" s="379">
        <v>198.43289363055908</v>
      </c>
      <c r="E28" s="379">
        <v>457.05391979277692</v>
      </c>
      <c r="F28" s="379">
        <v>1218.8104527807382</v>
      </c>
      <c r="G28" s="379">
        <v>481.27777754179408</v>
      </c>
      <c r="H28" s="380">
        <v>3.4782519948758068</v>
      </c>
    </row>
    <row r="29" spans="1:8" x14ac:dyDescent="0.2">
      <c r="A29" s="373">
        <v>2031</v>
      </c>
      <c r="B29" s="378">
        <v>9534.6713604588422</v>
      </c>
      <c r="C29" s="379">
        <v>200.29241252624226</v>
      </c>
      <c r="D29" s="379">
        <v>194.283640150455</v>
      </c>
      <c r="E29" s="379">
        <v>464.36678250946136</v>
      </c>
      <c r="F29" s="379">
        <v>1238.3114200252301</v>
      </c>
      <c r="G29" s="379">
        <v>488.9782219824628</v>
      </c>
      <c r="H29" s="380">
        <v>3.5339040267938189</v>
      </c>
    </row>
    <row r="30" spans="1:8" x14ac:dyDescent="0.2">
      <c r="A30" s="373">
        <v>2032</v>
      </c>
      <c r="B30" s="378">
        <v>9449.5885082042932</v>
      </c>
      <c r="C30" s="379">
        <v>195.82557911156519</v>
      </c>
      <c r="D30" s="379">
        <v>189.95081173821822</v>
      </c>
      <c r="E30" s="379">
        <v>471.79665102961275</v>
      </c>
      <c r="F30" s="379">
        <v>1258.1244027456337</v>
      </c>
      <c r="G30" s="379">
        <v>496.80187353418216</v>
      </c>
      <c r="H30" s="380">
        <v>3.5904464912225205</v>
      </c>
    </row>
    <row r="31" spans="1:8" x14ac:dyDescent="0.2">
      <c r="A31" s="373">
        <v>2033</v>
      </c>
      <c r="B31" s="378">
        <v>9359.3421288093177</v>
      </c>
      <c r="C31" s="379">
        <v>191.16453217001168</v>
      </c>
      <c r="D31" s="379">
        <v>185.42959620491132</v>
      </c>
      <c r="E31" s="379">
        <v>479.34539744608657</v>
      </c>
      <c r="F31" s="379">
        <v>1278.2543931895639</v>
      </c>
      <c r="G31" s="379">
        <v>504.75070351072912</v>
      </c>
      <c r="H31" s="380">
        <v>3.647893635082081</v>
      </c>
    </row>
    <row r="32" spans="1:8" x14ac:dyDescent="0.2">
      <c r="A32" s="373">
        <v>2034</v>
      </c>
      <c r="B32" s="378">
        <v>9263.7887706156071</v>
      </c>
      <c r="C32" s="379">
        <v>186.30420037807596</v>
      </c>
      <c r="D32" s="379">
        <v>180.71507436673369</v>
      </c>
      <c r="E32" s="379">
        <v>487.01492380522393</v>
      </c>
      <c r="F32" s="379">
        <v>1298.706463480597</v>
      </c>
      <c r="G32" s="379">
        <v>512.82671476690075</v>
      </c>
      <c r="H32" s="380">
        <v>3.7062599332433939</v>
      </c>
    </row>
    <row r="33" spans="1:15" x14ac:dyDescent="0.2">
      <c r="A33" s="373">
        <v>2035</v>
      </c>
      <c r="B33" s="378">
        <v>9162.7817133747212</v>
      </c>
      <c r="C33" s="379">
        <v>181.2393998485627</v>
      </c>
      <c r="D33" s="379">
        <v>175.80221785310582</v>
      </c>
      <c r="E33" s="379">
        <v>494.80716258610755</v>
      </c>
      <c r="F33" s="379">
        <v>1319.4857668962866</v>
      </c>
      <c r="G33" s="379">
        <v>521.03194220317118</v>
      </c>
      <c r="H33" s="380">
        <v>3.765560092175289</v>
      </c>
    </row>
    <row r="34" spans="1:15" x14ac:dyDescent="0.2">
      <c r="A34" s="373">
        <v>2036</v>
      </c>
      <c r="B34" s="378">
        <v>9056.1709003768483</v>
      </c>
      <c r="C34" s="379">
        <v>175.96483182680831</v>
      </c>
      <c r="D34" s="379">
        <v>170.68588687200406</v>
      </c>
      <c r="E34" s="379">
        <v>502.72407718748525</v>
      </c>
      <c r="F34" s="379">
        <v>1340.597539166627</v>
      </c>
      <c r="G34" s="379">
        <v>529.36845327842195</v>
      </c>
      <c r="H34" s="380">
        <v>3.8258090536500933</v>
      </c>
    </row>
    <row r="35" spans="1:15" x14ac:dyDescent="0.2">
      <c r="A35" s="373">
        <v>2037</v>
      </c>
      <c r="B35" s="378">
        <v>8943.8028692444186</v>
      </c>
      <c r="C35" s="379">
        <v>170.47508034199643</v>
      </c>
      <c r="D35" s="379">
        <v>165.36082793173654</v>
      </c>
      <c r="E35" s="379">
        <v>510.76766242248505</v>
      </c>
      <c r="F35" s="379">
        <v>1362.0470997932932</v>
      </c>
      <c r="G35" s="379">
        <v>537.83834853087671</v>
      </c>
      <c r="H35" s="380">
        <v>3.8870219985084953</v>
      </c>
    </row>
    <row r="36" spans="1:15" x14ac:dyDescent="0.2">
      <c r="A36" s="373">
        <v>2038</v>
      </c>
      <c r="B36" s="378">
        <v>8825.5206813652585</v>
      </c>
      <c r="C36" s="379">
        <v>164.76460981272299</v>
      </c>
      <c r="D36" s="379">
        <v>159.8216715183413</v>
      </c>
      <c r="E36" s="379">
        <v>518.93994502124474</v>
      </c>
      <c r="F36" s="379">
        <v>1383.8398533899858</v>
      </c>
      <c r="G36" s="379">
        <v>546.44376210737073</v>
      </c>
      <c r="H36" s="380">
        <v>3.9492143504846302</v>
      </c>
    </row>
    <row r="37" spans="1:15" x14ac:dyDescent="0.2">
      <c r="A37" s="373">
        <v>2039</v>
      </c>
      <c r="B37" s="378">
        <v>8701.1638499394339</v>
      </c>
      <c r="C37" s="379">
        <v>158.82776260594522</v>
      </c>
      <c r="D37" s="379">
        <v>154.06292972776686</v>
      </c>
      <c r="E37" s="379">
        <v>527.24298414158466</v>
      </c>
      <c r="F37" s="379">
        <v>1405.9812910442256</v>
      </c>
      <c r="G37" s="379">
        <v>555.18686230108858</v>
      </c>
      <c r="H37" s="380">
        <v>4.012401780092385</v>
      </c>
    </row>
    <row r="38" spans="1:15" x14ac:dyDescent="0.2">
      <c r="A38" s="374">
        <v>2040</v>
      </c>
      <c r="B38" s="392">
        <v>8570.5682666135544</v>
      </c>
      <c r="C38" s="393">
        <v>152.65875654843853</v>
      </c>
      <c r="D38" s="393">
        <v>148.07899385198536</v>
      </c>
      <c r="E38" s="393">
        <v>535.67887188785005</v>
      </c>
      <c r="F38" s="393">
        <v>1428.4769917009332</v>
      </c>
      <c r="G38" s="393">
        <v>564.06985209790605</v>
      </c>
      <c r="H38" s="394">
        <v>4.0766002085738622</v>
      </c>
    </row>
    <row r="40" spans="1:15" x14ac:dyDescent="0.2">
      <c r="A40" s="361" t="s">
        <v>933</v>
      </c>
    </row>
    <row r="42" spans="1:15" ht="39.75" customHeight="1" x14ac:dyDescent="0.25">
      <c r="A42" s="602" t="s">
        <v>998</v>
      </c>
      <c r="B42" s="602"/>
      <c r="C42" s="602"/>
      <c r="D42" s="602"/>
      <c r="E42" s="602"/>
      <c r="F42" s="602"/>
      <c r="G42" s="602"/>
      <c r="H42" s="602"/>
    </row>
    <row r="43" spans="1:15"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5" x14ac:dyDescent="0.2">
      <c r="A44" s="368">
        <v>2006</v>
      </c>
      <c r="B44" s="378">
        <v>8457.0823999999993</v>
      </c>
      <c r="C44" s="379">
        <v>227.69067999999999</v>
      </c>
      <c r="D44" s="379">
        <v>220.85995959999997</v>
      </c>
      <c r="E44" s="379">
        <v>312.261504</v>
      </c>
      <c r="F44" s="379">
        <v>832.69734399999993</v>
      </c>
      <c r="G44" s="391">
        <v>328.811363712</v>
      </c>
      <c r="H44" s="380">
        <v>712.90770224879998</v>
      </c>
    </row>
    <row r="45" spans="1:15" x14ac:dyDescent="0.2">
      <c r="A45" s="368">
        <v>2007</v>
      </c>
      <c r="B45" s="378">
        <f t="shared" ref="B45:H60" si="0">B44*1.016</f>
        <v>8592.3957183999992</v>
      </c>
      <c r="C45" s="378">
        <f t="shared" si="0"/>
        <v>231.33373087999999</v>
      </c>
      <c r="D45" s="378">
        <f t="shared" si="0"/>
        <v>224.39371895359997</v>
      </c>
      <c r="E45" s="378">
        <f t="shared" si="0"/>
        <v>317.25768806399998</v>
      </c>
      <c r="F45" s="378">
        <f t="shared" si="0"/>
        <v>846.02050150399998</v>
      </c>
      <c r="G45" s="378">
        <f t="shared" si="0"/>
        <v>334.07234553139199</v>
      </c>
      <c r="H45" s="378">
        <f t="shared" si="0"/>
        <v>724.31422548478076</v>
      </c>
    </row>
    <row r="46" spans="1:15" x14ac:dyDescent="0.2">
      <c r="A46" s="368">
        <v>2008</v>
      </c>
      <c r="B46" s="378">
        <f t="shared" si="0"/>
        <v>8729.8740498943989</v>
      </c>
      <c r="C46" s="378">
        <f t="shared" si="0"/>
        <v>235.03507057407998</v>
      </c>
      <c r="D46" s="378">
        <f t="shared" si="0"/>
        <v>227.98401845685757</v>
      </c>
      <c r="E46" s="378">
        <f t="shared" si="0"/>
        <v>322.33381107302398</v>
      </c>
      <c r="F46" s="378">
        <f t="shared" si="0"/>
        <v>859.55682952806399</v>
      </c>
      <c r="G46" s="378">
        <f t="shared" si="0"/>
        <v>339.41750305989427</v>
      </c>
      <c r="H46" s="378">
        <f t="shared" si="0"/>
        <v>735.90325309253728</v>
      </c>
    </row>
    <row r="47" spans="1:15" x14ac:dyDescent="0.2">
      <c r="A47" s="372">
        <v>2009</v>
      </c>
      <c r="B47" s="378">
        <f t="shared" si="0"/>
        <v>8869.5520346927096</v>
      </c>
      <c r="C47" s="378">
        <f t="shared" si="0"/>
        <v>238.79563170326526</v>
      </c>
      <c r="D47" s="378">
        <f t="shared" si="0"/>
        <v>231.6317627521673</v>
      </c>
      <c r="E47" s="378">
        <f t="shared" si="0"/>
        <v>327.49115205019234</v>
      </c>
      <c r="F47" s="378">
        <f t="shared" si="0"/>
        <v>873.30973880051306</v>
      </c>
      <c r="G47" s="378">
        <f t="shared" si="0"/>
        <v>344.8481831088526</v>
      </c>
      <c r="H47" s="378">
        <f t="shared" si="0"/>
        <v>747.67770514201789</v>
      </c>
    </row>
    <row r="48" spans="1:15" x14ac:dyDescent="0.2">
      <c r="A48" s="372">
        <v>2010</v>
      </c>
      <c r="B48" s="378">
        <f t="shared" si="0"/>
        <v>9011.4648672477924</v>
      </c>
      <c r="C48" s="378">
        <f t="shared" si="0"/>
        <v>242.6163618105175</v>
      </c>
      <c r="D48" s="378">
        <f t="shared" si="0"/>
        <v>235.33787095620198</v>
      </c>
      <c r="E48" s="378">
        <f t="shared" si="0"/>
        <v>332.73101048299543</v>
      </c>
      <c r="F48" s="378">
        <f t="shared" si="0"/>
        <v>887.2826946213213</v>
      </c>
      <c r="G48" s="378">
        <f t="shared" si="0"/>
        <v>350.36575403859422</v>
      </c>
      <c r="H48" s="378">
        <f t="shared" si="0"/>
        <v>759.64054842429016</v>
      </c>
    </row>
    <row r="49" spans="1:15" x14ac:dyDescent="0.2">
      <c r="A49" s="372">
        <v>2011</v>
      </c>
      <c r="B49" s="378">
        <f t="shared" si="0"/>
        <v>9155.6483051237574</v>
      </c>
      <c r="C49" s="378">
        <f t="shared" si="0"/>
        <v>246.49822359948578</v>
      </c>
      <c r="D49" s="378">
        <f t="shared" si="0"/>
        <v>239.10327689150122</v>
      </c>
      <c r="E49" s="378">
        <f t="shared" si="0"/>
        <v>338.05470665072335</v>
      </c>
      <c r="F49" s="378">
        <f t="shared" si="0"/>
        <v>901.47921773526241</v>
      </c>
      <c r="G49" s="378">
        <f t="shared" si="0"/>
        <v>355.97160610321174</v>
      </c>
      <c r="H49" s="378">
        <f t="shared" si="0"/>
        <v>771.79479719907886</v>
      </c>
      <c r="I49" s="361">
        <f t="shared" ref="I49:O49" si="1">B49/B$45</f>
        <v>1.065552449536</v>
      </c>
      <c r="J49" s="361">
        <f t="shared" si="1"/>
        <v>1.065552449536</v>
      </c>
      <c r="K49" s="361">
        <f t="shared" si="1"/>
        <v>1.065552449536</v>
      </c>
      <c r="L49" s="361">
        <f t="shared" si="1"/>
        <v>1.065552449536</v>
      </c>
      <c r="M49" s="361">
        <f t="shared" si="1"/>
        <v>1.065552449536</v>
      </c>
      <c r="N49" s="361">
        <f t="shared" si="1"/>
        <v>1.065552449536</v>
      </c>
      <c r="O49" s="361">
        <f t="shared" si="1"/>
        <v>1.065552449536</v>
      </c>
    </row>
    <row r="50" spans="1:15" x14ac:dyDescent="0.2">
      <c r="A50" s="372">
        <v>2012</v>
      </c>
      <c r="B50" s="378">
        <f t="shared" si="0"/>
        <v>9302.1386780057383</v>
      </c>
      <c r="C50" s="378">
        <f t="shared" si="0"/>
        <v>250.44219517707756</v>
      </c>
      <c r="D50" s="378">
        <f t="shared" si="0"/>
        <v>242.92892932176525</v>
      </c>
      <c r="E50" s="378">
        <f t="shared" si="0"/>
        <v>343.46358195713492</v>
      </c>
      <c r="F50" s="378">
        <f t="shared" si="0"/>
        <v>915.90288521902664</v>
      </c>
      <c r="G50" s="378">
        <f t="shared" si="0"/>
        <v>361.66715180086311</v>
      </c>
      <c r="H50" s="378">
        <f t="shared" si="0"/>
        <v>784.14351395426411</v>
      </c>
    </row>
    <row r="51" spans="1:15" x14ac:dyDescent="0.2">
      <c r="A51" s="372">
        <v>2013</v>
      </c>
      <c r="B51" s="378">
        <f t="shared" si="0"/>
        <v>9450.9728968538293</v>
      </c>
      <c r="C51" s="378">
        <f t="shared" si="0"/>
        <v>254.44927029991081</v>
      </c>
      <c r="D51" s="378">
        <f t="shared" si="0"/>
        <v>246.8157921909135</v>
      </c>
      <c r="E51" s="378">
        <f t="shared" si="0"/>
        <v>348.95899926844908</v>
      </c>
      <c r="F51" s="378">
        <f t="shared" si="0"/>
        <v>930.55733138253106</v>
      </c>
      <c r="G51" s="378">
        <f t="shared" si="0"/>
        <v>367.45382622967691</v>
      </c>
      <c r="H51" s="378">
        <f t="shared" si="0"/>
        <v>796.68981017753231</v>
      </c>
      <c r="I51" s="361">
        <f t="shared" ref="I51:O51" si="2">B51/B$45</f>
        <v>1.0999229093482332</v>
      </c>
      <c r="J51" s="361">
        <f t="shared" si="2"/>
        <v>1.0999229093482332</v>
      </c>
      <c r="K51" s="361">
        <f t="shared" si="2"/>
        <v>1.0999229093482334</v>
      </c>
      <c r="L51" s="361">
        <f t="shared" si="2"/>
        <v>1.0999229093482332</v>
      </c>
      <c r="M51" s="361">
        <f t="shared" si="2"/>
        <v>1.0999229093482332</v>
      </c>
      <c r="N51" s="361">
        <f t="shared" si="2"/>
        <v>1.0999229093482332</v>
      </c>
      <c r="O51" s="361">
        <f t="shared" si="2"/>
        <v>1.0999229093482332</v>
      </c>
    </row>
    <row r="52" spans="1:15" x14ac:dyDescent="0.2">
      <c r="A52" s="372">
        <v>2014</v>
      </c>
      <c r="B52" s="378">
        <f t="shared" si="0"/>
        <v>9602.1884632034908</v>
      </c>
      <c r="C52" s="378">
        <f t="shared" si="0"/>
        <v>258.52045862470936</v>
      </c>
      <c r="D52" s="378">
        <f t="shared" si="0"/>
        <v>250.76484486596812</v>
      </c>
      <c r="E52" s="378">
        <f t="shared" si="0"/>
        <v>354.54234325674429</v>
      </c>
      <c r="F52" s="378">
        <f t="shared" si="0"/>
        <v>945.44624868465155</v>
      </c>
      <c r="G52" s="378">
        <f t="shared" si="0"/>
        <v>373.33308744935175</v>
      </c>
      <c r="H52" s="378">
        <f t="shared" si="0"/>
        <v>809.43684714037283</v>
      </c>
    </row>
    <row r="53" spans="1:15" x14ac:dyDescent="0.2">
      <c r="A53" s="372">
        <v>2015</v>
      </c>
      <c r="B53" s="378">
        <f t="shared" si="0"/>
        <v>9755.8234786147459</v>
      </c>
      <c r="C53" s="378">
        <f t="shared" si="0"/>
        <v>262.6567859627047</v>
      </c>
      <c r="D53" s="378">
        <f t="shared" si="0"/>
        <v>254.7770823838236</v>
      </c>
      <c r="E53" s="378">
        <f t="shared" si="0"/>
        <v>360.21502074885223</v>
      </c>
      <c r="F53" s="378">
        <f t="shared" si="0"/>
        <v>960.57338866360601</v>
      </c>
      <c r="G53" s="378">
        <f t="shared" si="0"/>
        <v>379.3064168485414</v>
      </c>
      <c r="H53" s="378">
        <f t="shared" si="0"/>
        <v>822.38783669461884</v>
      </c>
    </row>
    <row r="54" spans="1:15" x14ac:dyDescent="0.2">
      <c r="A54" s="372">
        <v>2016</v>
      </c>
      <c r="B54" s="378">
        <f t="shared" si="0"/>
        <v>9911.9166542725816</v>
      </c>
      <c r="C54" s="378">
        <f t="shared" si="0"/>
        <v>266.85929453810797</v>
      </c>
      <c r="D54" s="378">
        <f t="shared" si="0"/>
        <v>258.8535157019648</v>
      </c>
      <c r="E54" s="378">
        <f t="shared" si="0"/>
        <v>365.97846108083388</v>
      </c>
      <c r="F54" s="378">
        <f t="shared" si="0"/>
        <v>975.94256288222368</v>
      </c>
      <c r="G54" s="378">
        <f t="shared" si="0"/>
        <v>385.37531951811809</v>
      </c>
      <c r="H54" s="378">
        <f t="shared" si="0"/>
        <v>835.54604208173271</v>
      </c>
    </row>
    <row r="55" spans="1:15" x14ac:dyDescent="0.2">
      <c r="A55" s="372">
        <v>2017</v>
      </c>
      <c r="B55" s="378">
        <f t="shared" si="0"/>
        <v>10070.507320740942</v>
      </c>
      <c r="C55" s="378">
        <f t="shared" si="0"/>
        <v>271.1290432507177</v>
      </c>
      <c r="D55" s="378">
        <f t="shared" si="0"/>
        <v>262.99517195319623</v>
      </c>
      <c r="E55" s="378">
        <f t="shared" si="0"/>
        <v>371.83411645812726</v>
      </c>
      <c r="F55" s="378">
        <f t="shared" si="0"/>
        <v>991.55764388833927</v>
      </c>
      <c r="G55" s="378">
        <f t="shared" si="0"/>
        <v>391.54132463040798</v>
      </c>
      <c r="H55" s="378">
        <f t="shared" si="0"/>
        <v>848.9147787550404</v>
      </c>
      <c r="I55" s="361">
        <f t="shared" ref="I55:O55" si="3">B55/B$45</f>
        <v>1.1720255503567734</v>
      </c>
      <c r="J55" s="361">
        <f t="shared" si="3"/>
        <v>1.1720255503567734</v>
      </c>
      <c r="K55" s="361">
        <f t="shared" si="3"/>
        <v>1.1720255503567738</v>
      </c>
      <c r="L55" s="361">
        <f t="shared" si="3"/>
        <v>1.1720255503567738</v>
      </c>
      <c r="M55" s="361">
        <f t="shared" si="3"/>
        <v>1.1720255503567738</v>
      </c>
      <c r="N55" s="361">
        <f t="shared" si="3"/>
        <v>1.1720255503567738</v>
      </c>
      <c r="O55" s="361">
        <f t="shared" si="3"/>
        <v>1.1720255503567736</v>
      </c>
    </row>
    <row r="56" spans="1:15" x14ac:dyDescent="0.2">
      <c r="A56" s="372">
        <v>2018</v>
      </c>
      <c r="B56" s="378">
        <f t="shared" si="0"/>
        <v>10231.635437872797</v>
      </c>
      <c r="C56" s="378">
        <f t="shared" si="0"/>
        <v>275.46710794272917</v>
      </c>
      <c r="D56" s="378">
        <f t="shared" si="0"/>
        <v>267.20309470444738</v>
      </c>
      <c r="E56" s="378">
        <f t="shared" si="0"/>
        <v>377.78346232145731</v>
      </c>
      <c r="F56" s="378">
        <f t="shared" si="0"/>
        <v>1007.4225661905527</v>
      </c>
      <c r="G56" s="378">
        <f t="shared" si="0"/>
        <v>397.80598582449454</v>
      </c>
      <c r="H56" s="378">
        <f t="shared" si="0"/>
        <v>862.49741521512101</v>
      </c>
      <c r="I56" s="361">
        <f>B55/B52</f>
        <v>1.0487720959999998</v>
      </c>
      <c r="J56" s="361">
        <f t="shared" ref="J56:O56" si="4">C55/C52</f>
        <v>1.048772096</v>
      </c>
      <c r="K56" s="361">
        <f t="shared" si="4"/>
        <v>1.048772096</v>
      </c>
      <c r="L56" s="361">
        <f t="shared" si="4"/>
        <v>1.0487720960000002</v>
      </c>
      <c r="M56" s="361">
        <f t="shared" si="4"/>
        <v>1.048772096</v>
      </c>
      <c r="N56" s="361">
        <f t="shared" si="4"/>
        <v>1.0487720960000002</v>
      </c>
      <c r="O56" s="361">
        <f t="shared" si="4"/>
        <v>1.048772096</v>
      </c>
    </row>
    <row r="57" spans="1:15" x14ac:dyDescent="0.2">
      <c r="A57" s="372">
        <v>2019</v>
      </c>
      <c r="B57" s="378">
        <f t="shared" si="0"/>
        <v>10395.341604878762</v>
      </c>
      <c r="C57" s="378">
        <f t="shared" si="0"/>
        <v>279.87458166981287</v>
      </c>
      <c r="D57" s="378">
        <f t="shared" si="0"/>
        <v>271.47834421971857</v>
      </c>
      <c r="E57" s="378">
        <f t="shared" si="0"/>
        <v>383.82799771860061</v>
      </c>
      <c r="F57" s="378">
        <f t="shared" si="0"/>
        <v>1023.5413272496016</v>
      </c>
      <c r="G57" s="378">
        <f t="shared" si="0"/>
        <v>404.17088159768645</v>
      </c>
      <c r="H57" s="378">
        <f t="shared" si="0"/>
        <v>876.29737385856299</v>
      </c>
    </row>
    <row r="58" spans="1:15" x14ac:dyDescent="0.2">
      <c r="A58" s="372">
        <v>2020</v>
      </c>
      <c r="B58" s="378">
        <f t="shared" si="0"/>
        <v>10561.667070556823</v>
      </c>
      <c r="C58" s="378">
        <f t="shared" si="0"/>
        <v>284.35257497652987</v>
      </c>
      <c r="D58" s="378">
        <f t="shared" si="0"/>
        <v>275.82199772723408</v>
      </c>
      <c r="E58" s="378">
        <f t="shared" si="0"/>
        <v>389.96924568209823</v>
      </c>
      <c r="F58" s="378">
        <f t="shared" si="0"/>
        <v>1039.9179884855953</v>
      </c>
      <c r="G58" s="378">
        <f t="shared" si="0"/>
        <v>410.63761570324942</v>
      </c>
      <c r="H58" s="378">
        <f t="shared" si="0"/>
        <v>890.3181318403</v>
      </c>
      <c r="I58" s="361">
        <f>B58/B45</f>
        <v>1.2291876930132268</v>
      </c>
      <c r="J58" s="361">
        <f t="shared" ref="J58:O58" si="5">C58/C45</f>
        <v>1.2291876930132268</v>
      </c>
      <c r="K58" s="361">
        <f t="shared" si="5"/>
        <v>1.2291876930132275</v>
      </c>
      <c r="L58" s="361">
        <f t="shared" si="5"/>
        <v>1.2291876930132273</v>
      </c>
      <c r="M58" s="361">
        <f t="shared" si="5"/>
        <v>1.2291876930132273</v>
      </c>
      <c r="N58" s="361">
        <f t="shared" si="5"/>
        <v>1.2291876930132273</v>
      </c>
      <c r="O58" s="361">
        <f t="shared" si="5"/>
        <v>1.2291876930132271</v>
      </c>
    </row>
    <row r="59" spans="1:15" x14ac:dyDescent="0.2">
      <c r="A59" s="372">
        <v>2021</v>
      </c>
      <c r="B59" s="378">
        <f t="shared" si="0"/>
        <v>10730.653743685732</v>
      </c>
      <c r="C59" s="378">
        <f t="shared" si="0"/>
        <v>288.90221617615435</v>
      </c>
      <c r="D59" s="378">
        <f t="shared" si="0"/>
        <v>280.23514969086983</v>
      </c>
      <c r="E59" s="378">
        <f t="shared" si="0"/>
        <v>396.20875361301182</v>
      </c>
      <c r="F59" s="378">
        <f t="shared" si="0"/>
        <v>1056.5566763013649</v>
      </c>
      <c r="G59" s="378">
        <f t="shared" si="0"/>
        <v>417.20781755450145</v>
      </c>
      <c r="H59" s="378">
        <f t="shared" si="0"/>
        <v>904.56322194974484</v>
      </c>
    </row>
    <row r="60" spans="1:15" x14ac:dyDescent="0.2">
      <c r="A60" s="372">
        <v>2022</v>
      </c>
      <c r="B60" s="378">
        <f t="shared" si="0"/>
        <v>10902.344203584704</v>
      </c>
      <c r="C60" s="378">
        <f t="shared" si="0"/>
        <v>293.52465163497283</v>
      </c>
      <c r="D60" s="378">
        <f t="shared" si="0"/>
        <v>284.71891208592376</v>
      </c>
      <c r="E60" s="378">
        <f t="shared" si="0"/>
        <v>402.54809367082004</v>
      </c>
      <c r="F60" s="378">
        <f t="shared" si="0"/>
        <v>1073.4615831221868</v>
      </c>
      <c r="G60" s="378">
        <f t="shared" si="0"/>
        <v>423.88314263537347</v>
      </c>
      <c r="H60" s="378">
        <f t="shared" si="0"/>
        <v>919.03623350094074</v>
      </c>
    </row>
    <row r="61" spans="1:15" x14ac:dyDescent="0.2">
      <c r="A61" s="373">
        <v>2023</v>
      </c>
      <c r="B61" s="378">
        <f t="shared" ref="B61:H76" si="6">B60*1.016</f>
        <v>11076.781710842059</v>
      </c>
      <c r="C61" s="378">
        <f t="shared" si="6"/>
        <v>298.22104606113237</v>
      </c>
      <c r="D61" s="378">
        <f t="shared" si="6"/>
        <v>289.27441467929856</v>
      </c>
      <c r="E61" s="378">
        <f t="shared" si="6"/>
        <v>408.98886316955316</v>
      </c>
      <c r="F61" s="378">
        <f t="shared" si="6"/>
        <v>1090.6369684521417</v>
      </c>
      <c r="G61" s="378">
        <f t="shared" si="6"/>
        <v>430.66527291753948</v>
      </c>
      <c r="H61" s="378">
        <f t="shared" si="6"/>
        <v>933.74081323695577</v>
      </c>
    </row>
    <row r="62" spans="1:15" x14ac:dyDescent="0.2">
      <c r="A62" s="373">
        <v>2024</v>
      </c>
      <c r="B62" s="378">
        <f t="shared" si="6"/>
        <v>11254.010218215531</v>
      </c>
      <c r="C62" s="378">
        <f t="shared" si="6"/>
        <v>302.9925827981105</v>
      </c>
      <c r="D62" s="378">
        <f t="shared" si="6"/>
        <v>293.90280531416732</v>
      </c>
      <c r="E62" s="378">
        <f t="shared" si="6"/>
        <v>415.53268498026603</v>
      </c>
      <c r="F62" s="378">
        <f t="shared" si="6"/>
        <v>1108.087159947376</v>
      </c>
      <c r="G62" s="378">
        <f t="shared" si="6"/>
        <v>437.55591728422013</v>
      </c>
      <c r="H62" s="378">
        <f t="shared" si="6"/>
        <v>948.68066624874712</v>
      </c>
    </row>
    <row r="63" spans="1:15" x14ac:dyDescent="0.2">
      <c r="A63" s="373">
        <v>2025</v>
      </c>
      <c r="B63" s="378">
        <f t="shared" si="6"/>
        <v>11434.07438170698</v>
      </c>
      <c r="C63" s="378">
        <f t="shared" si="6"/>
        <v>307.84046412288029</v>
      </c>
      <c r="D63" s="378">
        <f t="shared" si="6"/>
        <v>298.60525019919402</v>
      </c>
      <c r="E63" s="378">
        <f t="shared" si="6"/>
        <v>422.1812079399503</v>
      </c>
      <c r="F63" s="378">
        <f t="shared" si="6"/>
        <v>1125.816554506534</v>
      </c>
      <c r="G63" s="378">
        <f t="shared" si="6"/>
        <v>444.55681196076767</v>
      </c>
      <c r="H63" s="378">
        <f t="shared" si="6"/>
        <v>963.85955690872709</v>
      </c>
      <c r="I63" s="361">
        <f t="shared" ref="I63:O63" si="7">B63/B$45</f>
        <v>1.3307201805454245</v>
      </c>
      <c r="J63" s="361">
        <f t="shared" si="7"/>
        <v>1.3307201805454247</v>
      </c>
      <c r="K63" s="361">
        <f t="shared" si="7"/>
        <v>1.3307201805454254</v>
      </c>
      <c r="L63" s="361">
        <f t="shared" si="7"/>
        <v>1.3307201805454254</v>
      </c>
      <c r="M63" s="361">
        <f t="shared" si="7"/>
        <v>1.3307201805454252</v>
      </c>
      <c r="N63" s="361">
        <f t="shared" si="7"/>
        <v>1.3307201805454254</v>
      </c>
      <c r="O63" s="361">
        <f t="shared" si="7"/>
        <v>1.330720180545425</v>
      </c>
    </row>
    <row r="64" spans="1:15" x14ac:dyDescent="0.2">
      <c r="A64" s="373">
        <v>2026</v>
      </c>
      <c r="B64" s="378">
        <f t="shared" si="6"/>
        <v>11617.019571814291</v>
      </c>
      <c r="C64" s="378">
        <f t="shared" si="6"/>
        <v>312.76591154884636</v>
      </c>
      <c r="D64" s="378">
        <f t="shared" si="6"/>
        <v>303.38293420238114</v>
      </c>
      <c r="E64" s="378">
        <f t="shared" si="6"/>
        <v>428.9361072669895</v>
      </c>
      <c r="F64" s="378">
        <f t="shared" si="6"/>
        <v>1143.8296193786384</v>
      </c>
      <c r="G64" s="378">
        <f t="shared" si="6"/>
        <v>451.66972095213998</v>
      </c>
      <c r="H64" s="378">
        <f t="shared" si="6"/>
        <v>979.28130981926677</v>
      </c>
    </row>
    <row r="65" spans="1:8" x14ac:dyDescent="0.2">
      <c r="A65" s="373">
        <v>2027</v>
      </c>
      <c r="B65" s="378">
        <f t="shared" si="6"/>
        <v>11802.891884963321</v>
      </c>
      <c r="C65" s="378">
        <f t="shared" si="6"/>
        <v>317.77016613362792</v>
      </c>
      <c r="D65" s="378">
        <f t="shared" si="6"/>
        <v>308.23706114961925</v>
      </c>
      <c r="E65" s="378">
        <f t="shared" si="6"/>
        <v>435.79908498326131</v>
      </c>
      <c r="F65" s="378">
        <f t="shared" si="6"/>
        <v>1162.1308932886966</v>
      </c>
      <c r="G65" s="378">
        <f t="shared" si="6"/>
        <v>458.89643648737422</v>
      </c>
      <c r="H65" s="378">
        <f t="shared" si="6"/>
        <v>994.9498107763751</v>
      </c>
    </row>
    <row r="66" spans="1:8" x14ac:dyDescent="0.2">
      <c r="A66" s="373">
        <v>2028</v>
      </c>
      <c r="B66" s="378">
        <f t="shared" si="6"/>
        <v>11991.738155122734</v>
      </c>
      <c r="C66" s="378">
        <f t="shared" si="6"/>
        <v>322.85448879176596</v>
      </c>
      <c r="D66" s="378">
        <f t="shared" si="6"/>
        <v>313.16885412801315</v>
      </c>
      <c r="E66" s="378">
        <f t="shared" si="6"/>
        <v>442.77187034299351</v>
      </c>
      <c r="F66" s="378">
        <f t="shared" si="6"/>
        <v>1180.7249875813159</v>
      </c>
      <c r="G66" s="378">
        <f t="shared" si="6"/>
        <v>466.23877947117222</v>
      </c>
      <c r="H66" s="378">
        <f t="shared" si="6"/>
        <v>1010.8690077487971</v>
      </c>
    </row>
    <row r="67" spans="1:8" x14ac:dyDescent="0.2">
      <c r="A67" s="373">
        <v>2029</v>
      </c>
      <c r="B67" s="378">
        <f t="shared" si="6"/>
        <v>12183.605965604698</v>
      </c>
      <c r="C67" s="378">
        <f t="shared" si="6"/>
        <v>328.02016061243421</v>
      </c>
      <c r="D67" s="378">
        <f t="shared" si="6"/>
        <v>318.17955579406134</v>
      </c>
      <c r="E67" s="378">
        <f t="shared" si="6"/>
        <v>449.85622026848142</v>
      </c>
      <c r="F67" s="378">
        <f t="shared" si="6"/>
        <v>1199.6165873826169</v>
      </c>
      <c r="G67" s="378">
        <f t="shared" si="6"/>
        <v>473.69859994271098</v>
      </c>
      <c r="H67" s="378">
        <f t="shared" si="6"/>
        <v>1027.0429118727779</v>
      </c>
    </row>
    <row r="68" spans="1:8" x14ac:dyDescent="0.2">
      <c r="A68" s="373">
        <v>2030</v>
      </c>
      <c r="B68" s="378">
        <f t="shared" si="6"/>
        <v>12378.543661054373</v>
      </c>
      <c r="C68" s="378">
        <f t="shared" si="6"/>
        <v>333.26848318223318</v>
      </c>
      <c r="D68" s="378">
        <f t="shared" si="6"/>
        <v>323.27042868676631</v>
      </c>
      <c r="E68" s="378">
        <f t="shared" si="6"/>
        <v>457.05391979277715</v>
      </c>
      <c r="F68" s="378">
        <f t="shared" si="6"/>
        <v>1218.8104527807388</v>
      </c>
      <c r="G68" s="378">
        <f t="shared" si="6"/>
        <v>481.27777754179436</v>
      </c>
      <c r="H68" s="378">
        <f t="shared" si="6"/>
        <v>1043.4755984627425</v>
      </c>
    </row>
    <row r="69" spans="1:8" x14ac:dyDescent="0.2">
      <c r="A69" s="373">
        <v>2031</v>
      </c>
      <c r="B69" s="378">
        <f t="shared" si="6"/>
        <v>12576.600359631244</v>
      </c>
      <c r="C69" s="378">
        <f t="shared" si="6"/>
        <v>338.60077891314893</v>
      </c>
      <c r="D69" s="378">
        <f t="shared" si="6"/>
        <v>328.44275554575455</v>
      </c>
      <c r="E69" s="378">
        <f t="shared" si="6"/>
        <v>464.36678250946159</v>
      </c>
      <c r="F69" s="378">
        <f t="shared" si="6"/>
        <v>1238.3114200252307</v>
      </c>
      <c r="G69" s="378">
        <f t="shared" si="6"/>
        <v>488.97822198246308</v>
      </c>
      <c r="H69" s="378">
        <f t="shared" si="6"/>
        <v>1060.1712080381465</v>
      </c>
    </row>
    <row r="70" spans="1:8" x14ac:dyDescent="0.2">
      <c r="A70" s="373">
        <v>2032</v>
      </c>
      <c r="B70" s="378">
        <f t="shared" si="6"/>
        <v>12777.825965385344</v>
      </c>
      <c r="C70" s="378">
        <f t="shared" si="6"/>
        <v>344.01839137575934</v>
      </c>
      <c r="D70" s="378">
        <f t="shared" si="6"/>
        <v>333.69783963448663</v>
      </c>
      <c r="E70" s="378">
        <f t="shared" si="6"/>
        <v>471.79665102961297</v>
      </c>
      <c r="F70" s="378">
        <f t="shared" si="6"/>
        <v>1258.1244027456344</v>
      </c>
      <c r="G70" s="378">
        <f t="shared" si="6"/>
        <v>496.8018735341825</v>
      </c>
      <c r="H70" s="378">
        <f t="shared" si="6"/>
        <v>1077.1339473667567</v>
      </c>
    </row>
    <row r="71" spans="1:8" x14ac:dyDescent="0.2">
      <c r="A71" s="373">
        <v>2033</v>
      </c>
      <c r="B71" s="378">
        <f t="shared" si="6"/>
        <v>12982.271180831509</v>
      </c>
      <c r="C71" s="378">
        <f t="shared" si="6"/>
        <v>349.52268563777147</v>
      </c>
      <c r="D71" s="378">
        <f t="shared" si="6"/>
        <v>339.03700506863839</v>
      </c>
      <c r="E71" s="378">
        <f t="shared" si="6"/>
        <v>479.34539744608679</v>
      </c>
      <c r="F71" s="378">
        <f t="shared" si="6"/>
        <v>1278.2543931895646</v>
      </c>
      <c r="G71" s="378">
        <f t="shared" si="6"/>
        <v>504.75070351072941</v>
      </c>
      <c r="H71" s="378">
        <f t="shared" si="6"/>
        <v>1094.3680905246249</v>
      </c>
    </row>
    <row r="72" spans="1:8" x14ac:dyDescent="0.2">
      <c r="A72" s="373">
        <v>2034</v>
      </c>
      <c r="B72" s="378">
        <f t="shared" si="6"/>
        <v>13189.987519724813</v>
      </c>
      <c r="C72" s="378">
        <f t="shared" si="6"/>
        <v>355.11504860797584</v>
      </c>
      <c r="D72" s="378">
        <f t="shared" si="6"/>
        <v>344.46159714973663</v>
      </c>
      <c r="E72" s="378">
        <f t="shared" si="6"/>
        <v>487.01492380522421</v>
      </c>
      <c r="F72" s="378">
        <f t="shared" si="6"/>
        <v>1298.7064634805977</v>
      </c>
      <c r="G72" s="378">
        <f t="shared" si="6"/>
        <v>512.82671476690109</v>
      </c>
      <c r="H72" s="378">
        <f t="shared" si="6"/>
        <v>1111.8779799730189</v>
      </c>
    </row>
    <row r="73" spans="1:8" x14ac:dyDescent="0.2">
      <c r="A73" s="373">
        <v>2035</v>
      </c>
      <c r="B73" s="378">
        <f t="shared" si="6"/>
        <v>13401.02732004041</v>
      </c>
      <c r="C73" s="378">
        <f t="shared" si="6"/>
        <v>360.79688938570348</v>
      </c>
      <c r="D73" s="378">
        <f t="shared" si="6"/>
        <v>349.97298270413245</v>
      </c>
      <c r="E73" s="378">
        <f t="shared" si="6"/>
        <v>494.80716258610784</v>
      </c>
      <c r="F73" s="378">
        <f t="shared" si="6"/>
        <v>1319.4857668962873</v>
      </c>
      <c r="G73" s="378">
        <f t="shared" si="6"/>
        <v>521.03194220317152</v>
      </c>
      <c r="H73" s="378">
        <f t="shared" si="6"/>
        <v>1129.6680276525872</v>
      </c>
    </row>
    <row r="74" spans="1:8" x14ac:dyDescent="0.2">
      <c r="A74" s="373">
        <v>2036</v>
      </c>
      <c r="B74" s="378">
        <f t="shared" si="6"/>
        <v>13615.443757161056</v>
      </c>
      <c r="C74" s="378">
        <f t="shared" si="6"/>
        <v>366.56963961587473</v>
      </c>
      <c r="D74" s="378">
        <f t="shared" si="6"/>
        <v>355.5725504273986</v>
      </c>
      <c r="E74" s="378">
        <f t="shared" si="6"/>
        <v>502.72407718748559</v>
      </c>
      <c r="F74" s="378">
        <f t="shared" si="6"/>
        <v>1340.5975391666279</v>
      </c>
      <c r="G74" s="378">
        <f t="shared" si="6"/>
        <v>529.36845327842229</v>
      </c>
      <c r="H74" s="378">
        <f t="shared" si="6"/>
        <v>1147.7427160950285</v>
      </c>
    </row>
    <row r="75" spans="1:8" x14ac:dyDescent="0.2">
      <c r="A75" s="373">
        <v>2037</v>
      </c>
      <c r="B75" s="378">
        <f t="shared" si="6"/>
        <v>13833.290857275633</v>
      </c>
      <c r="C75" s="378">
        <f t="shared" si="6"/>
        <v>372.43475384972874</v>
      </c>
      <c r="D75" s="378">
        <f t="shared" si="6"/>
        <v>361.261711234237</v>
      </c>
      <c r="E75" s="378">
        <f t="shared" si="6"/>
        <v>510.76766242248539</v>
      </c>
      <c r="F75" s="378">
        <f t="shared" si="6"/>
        <v>1362.0470997932939</v>
      </c>
      <c r="G75" s="378">
        <f t="shared" si="6"/>
        <v>537.83834853087706</v>
      </c>
      <c r="H75" s="378">
        <f t="shared" si="6"/>
        <v>1166.1065995525489</v>
      </c>
    </row>
    <row r="76" spans="1:8" x14ac:dyDescent="0.2">
      <c r="A76" s="373">
        <v>2038</v>
      </c>
      <c r="B76" s="378">
        <f t="shared" si="6"/>
        <v>14054.623510992044</v>
      </c>
      <c r="C76" s="378">
        <f t="shared" si="6"/>
        <v>378.39370991132438</v>
      </c>
      <c r="D76" s="378">
        <f t="shared" si="6"/>
        <v>367.04189861398481</v>
      </c>
      <c r="E76" s="378">
        <f t="shared" si="6"/>
        <v>518.93994502124519</v>
      </c>
      <c r="F76" s="378">
        <f t="shared" si="6"/>
        <v>1383.8398533899867</v>
      </c>
      <c r="G76" s="378">
        <f t="shared" si="6"/>
        <v>546.44376210737107</v>
      </c>
      <c r="H76" s="378">
        <f t="shared" si="6"/>
        <v>1184.7643051453897</v>
      </c>
    </row>
    <row r="77" spans="1:8" x14ac:dyDescent="0.2">
      <c r="A77" s="373">
        <v>2039</v>
      </c>
      <c r="B77" s="378">
        <f t="shared" ref="B77:H78" si="8">B76*1.016</f>
        <v>14279.497487167917</v>
      </c>
      <c r="C77" s="378">
        <f t="shared" si="8"/>
        <v>384.44800926990558</v>
      </c>
      <c r="D77" s="378">
        <f t="shared" si="8"/>
        <v>372.91456899180855</v>
      </c>
      <c r="E77" s="378">
        <f t="shared" si="8"/>
        <v>527.24298414158511</v>
      </c>
      <c r="F77" s="378">
        <f t="shared" si="8"/>
        <v>1405.9812910442265</v>
      </c>
      <c r="G77" s="378">
        <f t="shared" si="8"/>
        <v>555.18686230108904</v>
      </c>
      <c r="H77" s="378">
        <f t="shared" si="8"/>
        <v>1203.720534027716</v>
      </c>
    </row>
    <row r="78" spans="1:8" x14ac:dyDescent="0.2">
      <c r="A78" s="374">
        <v>2040</v>
      </c>
      <c r="B78" s="378">
        <f t="shared" si="8"/>
        <v>14507.969446962603</v>
      </c>
      <c r="C78" s="378">
        <f t="shared" si="8"/>
        <v>390.59917741822409</v>
      </c>
      <c r="D78" s="378">
        <f t="shared" si="8"/>
        <v>378.88120209567751</v>
      </c>
      <c r="E78" s="378">
        <f t="shared" si="8"/>
        <v>535.67887188785051</v>
      </c>
      <c r="F78" s="378">
        <f t="shared" si="8"/>
        <v>1428.4769917009341</v>
      </c>
      <c r="G78" s="378">
        <f t="shared" si="8"/>
        <v>564.06985209790651</v>
      </c>
      <c r="H78" s="378">
        <f t="shared" si="8"/>
        <v>1222.9800625721596</v>
      </c>
    </row>
    <row r="80" spans="1:8" ht="34.5" customHeight="1" x14ac:dyDescent="0.25">
      <c r="A80" s="602" t="s">
        <v>999</v>
      </c>
      <c r="B80" s="602"/>
      <c r="C80" s="602"/>
      <c r="D80" s="602"/>
      <c r="E80" s="602"/>
      <c r="F80" s="602"/>
      <c r="G80" s="602"/>
      <c r="H80" s="602"/>
    </row>
    <row r="81" spans="1:8" ht="15.75" x14ac:dyDescent="0.25">
      <c r="A81" s="364" t="s">
        <v>932</v>
      </c>
      <c r="B81" s="365" t="s">
        <v>96</v>
      </c>
      <c r="C81" s="366" t="s">
        <v>7</v>
      </c>
      <c r="D81" s="366" t="s">
        <v>924</v>
      </c>
      <c r="E81" s="366" t="s">
        <v>8</v>
      </c>
      <c r="F81" s="366" t="s">
        <v>10</v>
      </c>
      <c r="G81" s="366" t="s">
        <v>69</v>
      </c>
      <c r="H81" s="367" t="s">
        <v>17</v>
      </c>
    </row>
    <row r="82" spans="1:8" x14ac:dyDescent="0.2">
      <c r="A82" s="368">
        <v>2006</v>
      </c>
      <c r="B82" s="387">
        <f>1-(B44-B4)/B44</f>
        <v>1</v>
      </c>
      <c r="C82" s="387">
        <f t="shared" ref="C82:H82" si="9">1-(C44-C4)/C44</f>
        <v>1</v>
      </c>
      <c r="D82" s="387">
        <f t="shared" si="9"/>
        <v>1</v>
      </c>
      <c r="E82" s="387">
        <f t="shared" si="9"/>
        <v>1</v>
      </c>
      <c r="F82" s="387">
        <f t="shared" si="9"/>
        <v>1</v>
      </c>
      <c r="G82" s="387">
        <f t="shared" si="9"/>
        <v>1</v>
      </c>
      <c r="H82" s="387">
        <f t="shared" si="9"/>
        <v>1</v>
      </c>
    </row>
    <row r="83" spans="1:8" x14ac:dyDescent="0.2">
      <c r="A83" s="368">
        <v>2007</v>
      </c>
      <c r="B83" s="387">
        <f t="shared" ref="B83:H98" si="10">1-(B45-B5)/B45</f>
        <v>1.0000000000000002</v>
      </c>
      <c r="C83" s="387">
        <f t="shared" si="10"/>
        <v>1.0000000000000002</v>
      </c>
      <c r="D83" s="387">
        <f t="shared" si="10"/>
        <v>1.0000000000000002</v>
      </c>
      <c r="E83" s="387">
        <f t="shared" si="10"/>
        <v>1.0000000000000002</v>
      </c>
      <c r="F83" s="387">
        <f t="shared" si="10"/>
        <v>1</v>
      </c>
      <c r="G83" s="387">
        <f t="shared" si="10"/>
        <v>1.0000000000000002</v>
      </c>
      <c r="H83" s="387">
        <f t="shared" si="10"/>
        <v>1.0000000000000002</v>
      </c>
    </row>
    <row r="84" spans="1:8" x14ac:dyDescent="0.2">
      <c r="A84" s="368">
        <v>2008</v>
      </c>
      <c r="B84" s="387">
        <f t="shared" si="10"/>
        <v>1.0000000000000002</v>
      </c>
      <c r="C84" s="387">
        <f t="shared" si="10"/>
        <v>0.84884625356494692</v>
      </c>
      <c r="D84" s="387">
        <f t="shared" si="10"/>
        <v>0.84884625356494692</v>
      </c>
      <c r="E84" s="387">
        <f t="shared" si="10"/>
        <v>1.0000000000000002</v>
      </c>
      <c r="F84" s="387">
        <f t="shared" si="10"/>
        <v>1</v>
      </c>
      <c r="G84" s="387">
        <f t="shared" si="10"/>
        <v>1</v>
      </c>
      <c r="H84" s="387">
        <f t="shared" si="10"/>
        <v>0.1166666666666667</v>
      </c>
    </row>
    <row r="85" spans="1:8" x14ac:dyDescent="0.2">
      <c r="A85" s="372">
        <v>2009</v>
      </c>
      <c r="B85" s="387">
        <f t="shared" si="10"/>
        <v>1.0000000000000002</v>
      </c>
      <c r="C85" s="387">
        <f t="shared" si="10"/>
        <v>0.84884625356494692</v>
      </c>
      <c r="D85" s="387">
        <f t="shared" si="10"/>
        <v>0.84884625356494681</v>
      </c>
      <c r="E85" s="387">
        <f t="shared" si="10"/>
        <v>1.0000000000000004</v>
      </c>
      <c r="F85" s="387">
        <f t="shared" si="10"/>
        <v>1</v>
      </c>
      <c r="G85" s="387">
        <f t="shared" si="10"/>
        <v>1.0000000000000002</v>
      </c>
      <c r="H85" s="387">
        <f t="shared" si="10"/>
        <v>0.1166666666666667</v>
      </c>
    </row>
    <row r="86" spans="1:8" x14ac:dyDescent="0.2">
      <c r="A86" s="372">
        <v>2010</v>
      </c>
      <c r="B86" s="387">
        <f t="shared" si="10"/>
        <v>1.0000000000000002</v>
      </c>
      <c r="C86" s="387">
        <f t="shared" si="10"/>
        <v>0.84884625356494692</v>
      </c>
      <c r="D86" s="387">
        <f t="shared" si="10"/>
        <v>0.84884625356494681</v>
      </c>
      <c r="E86" s="387">
        <f t="shared" si="10"/>
        <v>1.0000000000000002</v>
      </c>
      <c r="F86" s="387">
        <f t="shared" si="10"/>
        <v>0.99999999999999989</v>
      </c>
      <c r="G86" s="387">
        <f t="shared" si="10"/>
        <v>1</v>
      </c>
      <c r="H86" s="387">
        <f t="shared" si="10"/>
        <v>0.1166666666666667</v>
      </c>
    </row>
    <row r="87" spans="1:8" x14ac:dyDescent="0.2">
      <c r="A87" s="388">
        <v>2011</v>
      </c>
      <c r="B87" s="389">
        <f t="shared" si="10"/>
        <v>1</v>
      </c>
      <c r="C87" s="389">
        <f t="shared" si="10"/>
        <v>0.84884625356494703</v>
      </c>
      <c r="D87" s="389">
        <f t="shared" si="10"/>
        <v>0.84884625356494681</v>
      </c>
      <c r="E87" s="389">
        <f t="shared" si="10"/>
        <v>1.0000000000000002</v>
      </c>
      <c r="F87" s="389">
        <f t="shared" si="10"/>
        <v>0.99999999999999989</v>
      </c>
      <c r="G87" s="389">
        <f t="shared" si="10"/>
        <v>1</v>
      </c>
      <c r="H87" s="389">
        <f t="shared" si="10"/>
        <v>0.11666666666666659</v>
      </c>
    </row>
    <row r="88" spans="1:8" x14ac:dyDescent="0.2">
      <c r="A88" s="372">
        <v>2012</v>
      </c>
      <c r="B88" s="387">
        <f t="shared" si="10"/>
        <v>0.99999999999999978</v>
      </c>
      <c r="C88" s="387">
        <f t="shared" si="10"/>
        <v>0.84884625356494681</v>
      </c>
      <c r="D88" s="387">
        <f t="shared" si="10"/>
        <v>0.8488462535649467</v>
      </c>
      <c r="E88" s="387">
        <f t="shared" si="10"/>
        <v>1.0000000000000002</v>
      </c>
      <c r="F88" s="387">
        <f t="shared" si="10"/>
        <v>0.99999999999999978</v>
      </c>
      <c r="G88" s="387">
        <f t="shared" si="10"/>
        <v>1</v>
      </c>
      <c r="H88" s="387">
        <f t="shared" si="10"/>
        <v>0.1166666666666667</v>
      </c>
    </row>
    <row r="89" spans="1:8" x14ac:dyDescent="0.2">
      <c r="A89" s="388">
        <v>2013</v>
      </c>
      <c r="B89" s="389">
        <f t="shared" si="10"/>
        <v>1</v>
      </c>
      <c r="C89" s="389">
        <f t="shared" si="10"/>
        <v>0.82945294270158143</v>
      </c>
      <c r="D89" s="389">
        <f t="shared" si="10"/>
        <v>0.82945294270158143</v>
      </c>
      <c r="E89" s="389">
        <f t="shared" si="10"/>
        <v>1</v>
      </c>
      <c r="F89" s="389">
        <f t="shared" si="10"/>
        <v>0.99999999999999967</v>
      </c>
      <c r="G89" s="389">
        <f t="shared" si="10"/>
        <v>0.99999999999999989</v>
      </c>
      <c r="H89" s="389">
        <f t="shared" si="10"/>
        <v>3.3333333333334103E-3</v>
      </c>
    </row>
    <row r="90" spans="1:8" x14ac:dyDescent="0.2">
      <c r="A90" s="372">
        <v>2014</v>
      </c>
      <c r="B90" s="387">
        <f t="shared" si="10"/>
        <v>0.99999999999999978</v>
      </c>
      <c r="C90" s="387">
        <f t="shared" si="10"/>
        <v>0.82945294270158154</v>
      </c>
      <c r="D90" s="387">
        <f t="shared" si="10"/>
        <v>0.82945294270158143</v>
      </c>
      <c r="E90" s="387">
        <f t="shared" si="10"/>
        <v>1</v>
      </c>
      <c r="F90" s="387">
        <f t="shared" si="10"/>
        <v>0.99999999999999967</v>
      </c>
      <c r="G90" s="387">
        <f t="shared" si="10"/>
        <v>0.99999999999999989</v>
      </c>
      <c r="H90" s="387">
        <f t="shared" si="10"/>
        <v>3.3333333333332993E-3</v>
      </c>
    </row>
    <row r="91" spans="1:8" x14ac:dyDescent="0.2">
      <c r="A91" s="372">
        <v>2015</v>
      </c>
      <c r="B91" s="387">
        <f t="shared" si="10"/>
        <v>0.98658522965238027</v>
      </c>
      <c r="C91" s="387">
        <f t="shared" si="10"/>
        <v>0.81656468758102152</v>
      </c>
      <c r="D91" s="387">
        <f t="shared" si="10"/>
        <v>0.8165646875810213</v>
      </c>
      <c r="E91" s="387">
        <f t="shared" si="10"/>
        <v>1</v>
      </c>
      <c r="F91" s="387">
        <f t="shared" si="10"/>
        <v>0.99999999999999978</v>
      </c>
      <c r="G91" s="387">
        <f t="shared" si="10"/>
        <v>0.99999999999999989</v>
      </c>
      <c r="H91" s="387">
        <f t="shared" si="10"/>
        <v>3.3333333333332993E-3</v>
      </c>
    </row>
    <row r="92" spans="1:8" x14ac:dyDescent="0.2">
      <c r="A92" s="372">
        <v>2016</v>
      </c>
      <c r="B92" s="387">
        <f t="shared" si="10"/>
        <v>0.97317045930476054</v>
      </c>
      <c r="C92" s="387">
        <f t="shared" si="10"/>
        <v>0.80367643246046139</v>
      </c>
      <c r="D92" s="387">
        <f t="shared" si="10"/>
        <v>0.80367643246046105</v>
      </c>
      <c r="E92" s="387">
        <f t="shared" si="10"/>
        <v>1</v>
      </c>
      <c r="F92" s="387">
        <f t="shared" si="10"/>
        <v>0.99999999999999978</v>
      </c>
      <c r="G92" s="387">
        <f t="shared" si="10"/>
        <v>0.99999999999999989</v>
      </c>
      <c r="H92" s="387">
        <f t="shared" si="10"/>
        <v>3.3333333333332993E-3</v>
      </c>
    </row>
    <row r="93" spans="1:8" x14ac:dyDescent="0.2">
      <c r="A93" s="388">
        <v>2017</v>
      </c>
      <c r="B93" s="389">
        <f t="shared" si="10"/>
        <v>0.95975568895714114</v>
      </c>
      <c r="C93" s="389">
        <f t="shared" si="10"/>
        <v>0.79078817733990148</v>
      </c>
      <c r="D93" s="389">
        <f t="shared" si="10"/>
        <v>0.79078817733990125</v>
      </c>
      <c r="E93" s="389">
        <f t="shared" si="10"/>
        <v>0.99999999999999989</v>
      </c>
      <c r="F93" s="389">
        <f t="shared" si="10"/>
        <v>0.99999999999999978</v>
      </c>
      <c r="G93" s="389">
        <f t="shared" si="10"/>
        <v>0.99999999999999989</v>
      </c>
      <c r="H93" s="389">
        <f t="shared" si="10"/>
        <v>3.3333333333334103E-3</v>
      </c>
    </row>
    <row r="94" spans="1:8" x14ac:dyDescent="0.2">
      <c r="A94" s="372">
        <v>2018</v>
      </c>
      <c r="B94" s="387">
        <f t="shared" si="10"/>
        <v>0.94634091860952141</v>
      </c>
      <c r="C94" s="387">
        <f t="shared" si="10"/>
        <v>0.77789992221934157</v>
      </c>
      <c r="D94" s="387">
        <f t="shared" si="10"/>
        <v>0.77789992221934123</v>
      </c>
      <c r="E94" s="387">
        <f t="shared" si="10"/>
        <v>0.99999999999999989</v>
      </c>
      <c r="F94" s="387">
        <f t="shared" si="10"/>
        <v>0.99999999999999978</v>
      </c>
      <c r="G94" s="387">
        <f t="shared" si="10"/>
        <v>0.99999999999999989</v>
      </c>
      <c r="H94" s="387">
        <f t="shared" si="10"/>
        <v>3.3333333333332993E-3</v>
      </c>
    </row>
    <row r="95" spans="1:8" x14ac:dyDescent="0.2">
      <c r="A95" s="372">
        <v>2019</v>
      </c>
      <c r="B95" s="387">
        <f t="shared" si="10"/>
        <v>0.93292614826190157</v>
      </c>
      <c r="C95" s="387">
        <f t="shared" si="10"/>
        <v>0.76501166709878143</v>
      </c>
      <c r="D95" s="387">
        <f t="shared" si="10"/>
        <v>0.7650116670987811</v>
      </c>
      <c r="E95" s="387">
        <f t="shared" si="10"/>
        <v>0.99999999999999989</v>
      </c>
      <c r="F95" s="387">
        <f t="shared" si="10"/>
        <v>0.99999999999999978</v>
      </c>
      <c r="G95" s="387">
        <f t="shared" si="10"/>
        <v>0.99999999999999989</v>
      </c>
      <c r="H95" s="387">
        <f t="shared" si="10"/>
        <v>3.3333333333332993E-3</v>
      </c>
    </row>
    <row r="96" spans="1:8" x14ac:dyDescent="0.2">
      <c r="A96" s="388">
        <v>2020</v>
      </c>
      <c r="B96" s="389">
        <f t="shared" si="10"/>
        <v>0.91951137791428195</v>
      </c>
      <c r="C96" s="389">
        <f t="shared" si="10"/>
        <v>0.75212341197822141</v>
      </c>
      <c r="D96" s="389">
        <f t="shared" si="10"/>
        <v>0.75212341197822119</v>
      </c>
      <c r="E96" s="389">
        <f t="shared" si="10"/>
        <v>0.99999999999999989</v>
      </c>
      <c r="F96" s="389">
        <f t="shared" si="10"/>
        <v>0.99999999999999978</v>
      </c>
      <c r="G96" s="389">
        <f t="shared" si="10"/>
        <v>0.99999999999999989</v>
      </c>
      <c r="H96" s="389">
        <f t="shared" si="10"/>
        <v>3.3333333333334103E-3</v>
      </c>
    </row>
    <row r="97" spans="1:8" x14ac:dyDescent="0.2">
      <c r="A97" s="372">
        <v>2021</v>
      </c>
      <c r="B97" s="387">
        <f t="shared" si="10"/>
        <v>0.9060966075666621</v>
      </c>
      <c r="C97" s="387">
        <f t="shared" si="10"/>
        <v>0.73923515685766128</v>
      </c>
      <c r="D97" s="387">
        <f t="shared" si="10"/>
        <v>0.73923515685766095</v>
      </c>
      <c r="E97" s="387">
        <f t="shared" si="10"/>
        <v>0.99999999999999967</v>
      </c>
      <c r="F97" s="387">
        <f t="shared" si="10"/>
        <v>0.99999999999999956</v>
      </c>
      <c r="G97" s="387">
        <f t="shared" si="10"/>
        <v>0.99999999999999978</v>
      </c>
      <c r="H97" s="387">
        <f t="shared" si="10"/>
        <v>3.3333333333332993E-3</v>
      </c>
    </row>
    <row r="98" spans="1:8" x14ac:dyDescent="0.2">
      <c r="A98" s="372">
        <v>2022</v>
      </c>
      <c r="B98" s="387">
        <f t="shared" si="10"/>
        <v>0.89268183721904237</v>
      </c>
      <c r="C98" s="387">
        <f t="shared" si="10"/>
        <v>0.72634690173710159</v>
      </c>
      <c r="D98" s="387">
        <f t="shared" si="10"/>
        <v>0.72634690173710115</v>
      </c>
      <c r="E98" s="387">
        <f t="shared" si="10"/>
        <v>0.99999999999999967</v>
      </c>
      <c r="F98" s="387">
        <f t="shared" si="10"/>
        <v>0.99999999999999956</v>
      </c>
      <c r="G98" s="387">
        <f t="shared" si="10"/>
        <v>0.99999999999999978</v>
      </c>
      <c r="H98" s="387">
        <f t="shared" si="10"/>
        <v>3.3333333333332993E-3</v>
      </c>
    </row>
    <row r="99" spans="1:8" x14ac:dyDescent="0.2">
      <c r="A99" s="373">
        <v>2023</v>
      </c>
      <c r="B99" s="387">
        <f t="shared" ref="B99:H114" si="11">1-(B61-B21)/B61</f>
        <v>0.87926706687142275</v>
      </c>
      <c r="C99" s="387">
        <f t="shared" si="11"/>
        <v>0.71345864661654146</v>
      </c>
      <c r="D99" s="387">
        <f t="shared" si="11"/>
        <v>0.71345864661654101</v>
      </c>
      <c r="E99" s="387">
        <f t="shared" si="11"/>
        <v>0.99999999999999967</v>
      </c>
      <c r="F99" s="387">
        <f t="shared" si="11"/>
        <v>0.99999999999999956</v>
      </c>
      <c r="G99" s="387">
        <f t="shared" si="11"/>
        <v>0.99999999999999956</v>
      </c>
      <c r="H99" s="387">
        <f t="shared" si="11"/>
        <v>3.3333333333332993E-3</v>
      </c>
    </row>
    <row r="100" spans="1:8" x14ac:dyDescent="0.2">
      <c r="A100" s="373">
        <v>2024</v>
      </c>
      <c r="B100" s="387">
        <f t="shared" si="11"/>
        <v>0.86585229652380302</v>
      </c>
      <c r="C100" s="387">
        <f t="shared" si="11"/>
        <v>0.70057039149598133</v>
      </c>
      <c r="D100" s="387">
        <f t="shared" si="11"/>
        <v>0.7005703914959811</v>
      </c>
      <c r="E100" s="387">
        <f t="shared" si="11"/>
        <v>0.99999999999999956</v>
      </c>
      <c r="F100" s="387">
        <f t="shared" si="11"/>
        <v>0.99999999999999956</v>
      </c>
      <c r="G100" s="387">
        <f t="shared" si="11"/>
        <v>0.99999999999999944</v>
      </c>
      <c r="H100" s="387">
        <f t="shared" si="11"/>
        <v>3.3333333333332993E-3</v>
      </c>
    </row>
    <row r="101" spans="1:8" x14ac:dyDescent="0.2">
      <c r="A101" s="390">
        <v>2025</v>
      </c>
      <c r="B101" s="389">
        <f t="shared" si="11"/>
        <v>0.85243752617618318</v>
      </c>
      <c r="C101" s="389">
        <f t="shared" si="11"/>
        <v>0.68768213637542119</v>
      </c>
      <c r="D101" s="389">
        <f t="shared" si="11"/>
        <v>0.68768213637542086</v>
      </c>
      <c r="E101" s="389">
        <f t="shared" si="11"/>
        <v>0.99999999999999956</v>
      </c>
      <c r="F101" s="389">
        <f t="shared" si="11"/>
        <v>0.99999999999999956</v>
      </c>
      <c r="G101" s="389">
        <f t="shared" si="11"/>
        <v>0.99999999999999944</v>
      </c>
      <c r="H101" s="389">
        <f t="shared" si="11"/>
        <v>3.3333333333332993E-3</v>
      </c>
    </row>
    <row r="102" spans="1:8" x14ac:dyDescent="0.2">
      <c r="A102" s="373">
        <v>2026</v>
      </c>
      <c r="B102" s="387">
        <f t="shared" si="11"/>
        <v>0.83902275582856356</v>
      </c>
      <c r="C102" s="387">
        <f t="shared" si="11"/>
        <v>0.67479388125486128</v>
      </c>
      <c r="D102" s="387">
        <f t="shared" si="11"/>
        <v>0.67479388125486084</v>
      </c>
      <c r="E102" s="387">
        <f t="shared" si="11"/>
        <v>0.99999999999999956</v>
      </c>
      <c r="F102" s="387">
        <f t="shared" si="11"/>
        <v>0.99999999999999956</v>
      </c>
      <c r="G102" s="387">
        <f t="shared" si="11"/>
        <v>0.99999999999999944</v>
      </c>
      <c r="H102" s="387">
        <f t="shared" si="11"/>
        <v>3.3333333333332993E-3</v>
      </c>
    </row>
    <row r="103" spans="1:8" x14ac:dyDescent="0.2">
      <c r="A103" s="373">
        <v>2027</v>
      </c>
      <c r="B103" s="387">
        <f t="shared" si="11"/>
        <v>0.82445623342175067</v>
      </c>
      <c r="C103" s="387">
        <f t="shared" si="11"/>
        <v>0.66190562613430126</v>
      </c>
      <c r="D103" s="387">
        <f t="shared" si="11"/>
        <v>0.66190562613430082</v>
      </c>
      <c r="E103" s="387">
        <f t="shared" si="11"/>
        <v>0.99999999999999956</v>
      </c>
      <c r="F103" s="387">
        <f t="shared" si="11"/>
        <v>0.99999999999999956</v>
      </c>
      <c r="G103" s="387">
        <f t="shared" si="11"/>
        <v>0.99999999999999933</v>
      </c>
      <c r="H103" s="387">
        <f t="shared" si="11"/>
        <v>3.3333333333332993E-3</v>
      </c>
    </row>
    <row r="104" spans="1:8" x14ac:dyDescent="0.2">
      <c r="A104" s="373">
        <v>2028</v>
      </c>
      <c r="B104" s="387">
        <f t="shared" si="11"/>
        <v>0.8098897110149379</v>
      </c>
      <c r="C104" s="387">
        <f t="shared" si="11"/>
        <v>0.64901737101374102</v>
      </c>
      <c r="D104" s="387">
        <f t="shared" si="11"/>
        <v>0.64901737101374068</v>
      </c>
      <c r="E104" s="387">
        <f t="shared" si="11"/>
        <v>0.99999999999999967</v>
      </c>
      <c r="F104" s="387">
        <f t="shared" si="11"/>
        <v>0.99999999999999944</v>
      </c>
      <c r="G104" s="387">
        <f t="shared" si="11"/>
        <v>0.99999999999999944</v>
      </c>
      <c r="H104" s="387">
        <f t="shared" si="11"/>
        <v>3.3333333333332993E-3</v>
      </c>
    </row>
    <row r="105" spans="1:8" x14ac:dyDescent="0.2">
      <c r="A105" s="373">
        <v>2029</v>
      </c>
      <c r="B105" s="387">
        <f t="shared" si="11"/>
        <v>0.79532318860812512</v>
      </c>
      <c r="C105" s="387">
        <f t="shared" si="11"/>
        <v>0.636129115893181</v>
      </c>
      <c r="D105" s="387">
        <f t="shared" si="11"/>
        <v>0.63612911589318077</v>
      </c>
      <c r="E105" s="387">
        <f t="shared" si="11"/>
        <v>0.99999999999999944</v>
      </c>
      <c r="F105" s="387">
        <f t="shared" si="11"/>
        <v>0.99999999999999967</v>
      </c>
      <c r="G105" s="387">
        <f t="shared" si="11"/>
        <v>0.99999999999999933</v>
      </c>
      <c r="H105" s="387">
        <f t="shared" si="11"/>
        <v>3.3333333333332993E-3</v>
      </c>
    </row>
    <row r="106" spans="1:8" x14ac:dyDescent="0.2">
      <c r="A106" s="373">
        <v>2030</v>
      </c>
      <c r="B106" s="387">
        <f t="shared" si="11"/>
        <v>0.77672553399413657</v>
      </c>
      <c r="C106" s="387">
        <f t="shared" si="11"/>
        <v>0.61382940108892914</v>
      </c>
      <c r="D106" s="387">
        <f t="shared" si="11"/>
        <v>0.61382940108892892</v>
      </c>
      <c r="E106" s="387">
        <f t="shared" si="11"/>
        <v>0.99999999999999956</v>
      </c>
      <c r="F106" s="387">
        <f t="shared" si="11"/>
        <v>0.99999999999999944</v>
      </c>
      <c r="G106" s="387">
        <f t="shared" si="11"/>
        <v>0.99999999999999944</v>
      </c>
      <c r="H106" s="387">
        <f t="shared" si="11"/>
        <v>3.3333333333332993E-3</v>
      </c>
    </row>
    <row r="107" spans="1:8" x14ac:dyDescent="0.2">
      <c r="A107" s="373">
        <v>2031</v>
      </c>
      <c r="B107" s="387">
        <f t="shared" si="11"/>
        <v>0.75812787938014803</v>
      </c>
      <c r="C107" s="387">
        <f t="shared" si="11"/>
        <v>0.59152968628467706</v>
      </c>
      <c r="D107" s="387">
        <f t="shared" si="11"/>
        <v>0.59152968628467684</v>
      </c>
      <c r="E107" s="387">
        <f t="shared" si="11"/>
        <v>0.99999999999999956</v>
      </c>
      <c r="F107" s="387">
        <f t="shared" si="11"/>
        <v>0.99999999999999944</v>
      </c>
      <c r="G107" s="387">
        <f t="shared" si="11"/>
        <v>0.99999999999999944</v>
      </c>
      <c r="H107" s="387">
        <f t="shared" si="11"/>
        <v>3.3333333333332993E-3</v>
      </c>
    </row>
    <row r="108" spans="1:8" x14ac:dyDescent="0.2">
      <c r="A108" s="373">
        <v>2032</v>
      </c>
      <c r="B108" s="387">
        <f t="shared" si="11"/>
        <v>0.73953022476615959</v>
      </c>
      <c r="C108" s="387">
        <f t="shared" si="11"/>
        <v>0.56922997148042498</v>
      </c>
      <c r="D108" s="387">
        <f t="shared" si="11"/>
        <v>0.56922997148042487</v>
      </c>
      <c r="E108" s="387">
        <f t="shared" si="11"/>
        <v>0.99999999999999956</v>
      </c>
      <c r="F108" s="387">
        <f t="shared" si="11"/>
        <v>0.99999999999999944</v>
      </c>
      <c r="G108" s="387">
        <f t="shared" si="11"/>
        <v>0.99999999999999933</v>
      </c>
      <c r="H108" s="387">
        <f t="shared" si="11"/>
        <v>3.3333333333334103E-3</v>
      </c>
    </row>
    <row r="109" spans="1:8" x14ac:dyDescent="0.2">
      <c r="A109" s="373">
        <v>2033</v>
      </c>
      <c r="B109" s="387">
        <f t="shared" si="11"/>
        <v>0.72093257015217083</v>
      </c>
      <c r="C109" s="387">
        <f t="shared" si="11"/>
        <v>0.54693025667617301</v>
      </c>
      <c r="D109" s="387">
        <f t="shared" si="11"/>
        <v>0.5469302566761729</v>
      </c>
      <c r="E109" s="387">
        <f t="shared" si="11"/>
        <v>0.99999999999999956</v>
      </c>
      <c r="F109" s="387">
        <f t="shared" si="11"/>
        <v>0.99999999999999944</v>
      </c>
      <c r="G109" s="387">
        <f t="shared" si="11"/>
        <v>0.99999999999999944</v>
      </c>
      <c r="H109" s="387">
        <f t="shared" si="11"/>
        <v>3.3333333333332993E-3</v>
      </c>
    </row>
    <row r="110" spans="1:8" x14ac:dyDescent="0.2">
      <c r="A110" s="373">
        <v>2034</v>
      </c>
      <c r="B110" s="387">
        <f t="shared" si="11"/>
        <v>0.70233491553818239</v>
      </c>
      <c r="C110" s="387">
        <f t="shared" si="11"/>
        <v>0.52463054187192104</v>
      </c>
      <c r="D110" s="387">
        <f t="shared" si="11"/>
        <v>0.52463054187192104</v>
      </c>
      <c r="E110" s="387">
        <f t="shared" si="11"/>
        <v>0.99999999999999944</v>
      </c>
      <c r="F110" s="387">
        <f t="shared" si="11"/>
        <v>0.99999999999999944</v>
      </c>
      <c r="G110" s="387">
        <f t="shared" si="11"/>
        <v>0.99999999999999933</v>
      </c>
      <c r="H110" s="387">
        <f t="shared" si="11"/>
        <v>3.3333333333334103E-3</v>
      </c>
    </row>
    <row r="111" spans="1:8" x14ac:dyDescent="0.2">
      <c r="A111" s="373">
        <v>2035</v>
      </c>
      <c r="B111" s="387">
        <f t="shared" si="11"/>
        <v>0.68373726092419396</v>
      </c>
      <c r="C111" s="387">
        <f t="shared" si="11"/>
        <v>0.50233082706766896</v>
      </c>
      <c r="D111" s="387">
        <f t="shared" si="11"/>
        <v>0.50233082706766885</v>
      </c>
      <c r="E111" s="387">
        <f t="shared" si="11"/>
        <v>0.99999999999999944</v>
      </c>
      <c r="F111" s="387">
        <f t="shared" si="11"/>
        <v>0.99999999999999944</v>
      </c>
      <c r="G111" s="387">
        <f t="shared" si="11"/>
        <v>0.99999999999999933</v>
      </c>
      <c r="H111" s="387">
        <f t="shared" si="11"/>
        <v>3.3333333333332993E-3</v>
      </c>
    </row>
    <row r="112" spans="1:8" x14ac:dyDescent="0.2">
      <c r="A112" s="373">
        <v>2036</v>
      </c>
      <c r="B112" s="387">
        <f t="shared" si="11"/>
        <v>0.6651396063102053</v>
      </c>
      <c r="C112" s="387">
        <f t="shared" si="11"/>
        <v>0.4800311122634171</v>
      </c>
      <c r="D112" s="387">
        <f t="shared" si="11"/>
        <v>0.48003111226341699</v>
      </c>
      <c r="E112" s="387">
        <f t="shared" si="11"/>
        <v>0.99999999999999933</v>
      </c>
      <c r="F112" s="387">
        <f t="shared" si="11"/>
        <v>0.99999999999999933</v>
      </c>
      <c r="G112" s="387">
        <f t="shared" si="11"/>
        <v>0.99999999999999933</v>
      </c>
      <c r="H112" s="387">
        <f t="shared" si="11"/>
        <v>3.3333333333332993E-3</v>
      </c>
    </row>
    <row r="113" spans="1:10" x14ac:dyDescent="0.2">
      <c r="A113" s="373">
        <v>2037</v>
      </c>
      <c r="B113" s="387">
        <f t="shared" si="11"/>
        <v>0.64654195169621675</v>
      </c>
      <c r="C113" s="387">
        <f t="shared" si="11"/>
        <v>0.45773139745916491</v>
      </c>
      <c r="D113" s="387">
        <f t="shared" si="11"/>
        <v>0.4577313974591648</v>
      </c>
      <c r="E113" s="387">
        <f t="shared" si="11"/>
        <v>0.99999999999999933</v>
      </c>
      <c r="F113" s="387">
        <f t="shared" si="11"/>
        <v>0.99999999999999944</v>
      </c>
      <c r="G113" s="387">
        <f t="shared" si="11"/>
        <v>0.99999999999999933</v>
      </c>
      <c r="H113" s="387">
        <f t="shared" si="11"/>
        <v>3.3333333333334103E-3</v>
      </c>
    </row>
    <row r="114" spans="1:10" x14ac:dyDescent="0.2">
      <c r="A114" s="373">
        <v>2038</v>
      </c>
      <c r="B114" s="387">
        <f t="shared" si="11"/>
        <v>0.62794429708222832</v>
      </c>
      <c r="C114" s="387">
        <f t="shared" si="11"/>
        <v>0.43543168265491294</v>
      </c>
      <c r="D114" s="387">
        <f t="shared" si="11"/>
        <v>0.43543168265491272</v>
      </c>
      <c r="E114" s="387">
        <f t="shared" si="11"/>
        <v>0.99999999999999911</v>
      </c>
      <c r="F114" s="387">
        <f t="shared" si="11"/>
        <v>0.99999999999999933</v>
      </c>
      <c r="G114" s="387">
        <f t="shared" si="11"/>
        <v>0.99999999999999933</v>
      </c>
      <c r="H114" s="387">
        <f t="shared" si="11"/>
        <v>3.3333333333334103E-3</v>
      </c>
    </row>
    <row r="115" spans="1:10" x14ac:dyDescent="0.2">
      <c r="A115" s="373">
        <v>2039</v>
      </c>
      <c r="B115" s="387">
        <f t="shared" ref="B115:H116" si="12">1-(B77-B37)/B77</f>
        <v>0.60934664246823955</v>
      </c>
      <c r="C115" s="387">
        <f t="shared" si="12"/>
        <v>0.41313196785066097</v>
      </c>
      <c r="D115" s="387">
        <f t="shared" si="12"/>
        <v>0.41313196785066075</v>
      </c>
      <c r="E115" s="387">
        <f t="shared" si="12"/>
        <v>0.99999999999999911</v>
      </c>
      <c r="F115" s="387">
        <f t="shared" si="12"/>
        <v>0.99999999999999933</v>
      </c>
      <c r="G115" s="387">
        <f t="shared" si="12"/>
        <v>0.99999999999999922</v>
      </c>
      <c r="H115" s="387">
        <f t="shared" si="12"/>
        <v>3.3333333333334103E-3</v>
      </c>
    </row>
    <row r="116" spans="1:10" x14ac:dyDescent="0.2">
      <c r="A116" s="374">
        <v>2040</v>
      </c>
      <c r="B116" s="387">
        <f t="shared" si="12"/>
        <v>0.5907489878542509</v>
      </c>
      <c r="C116" s="387">
        <f t="shared" si="12"/>
        <v>0.3908322530464089</v>
      </c>
      <c r="D116" s="387">
        <f t="shared" si="12"/>
        <v>0.39083225304640878</v>
      </c>
      <c r="E116" s="387">
        <f t="shared" si="12"/>
        <v>0.99999999999999911</v>
      </c>
      <c r="F116" s="387">
        <f t="shared" si="12"/>
        <v>0.99999999999999933</v>
      </c>
      <c r="G116" s="387">
        <f t="shared" si="12"/>
        <v>0.99999999999999922</v>
      </c>
      <c r="H116" s="387">
        <f t="shared" si="12"/>
        <v>3.3333333333332993E-3</v>
      </c>
    </row>
    <row r="118" spans="1:10" ht="81" customHeight="1" x14ac:dyDescent="0.25">
      <c r="A118" s="603" t="s">
        <v>935</v>
      </c>
      <c r="B118" s="590"/>
      <c r="C118" s="590"/>
      <c r="D118" s="590"/>
      <c r="E118" s="590"/>
      <c r="F118" s="590"/>
      <c r="G118" s="590"/>
      <c r="H118" s="590"/>
      <c r="I118" s="590"/>
      <c r="J118" s="590"/>
    </row>
  </sheetData>
  <mergeCells count="4">
    <mergeCell ref="A2:H2"/>
    <mergeCell ref="A42:H42"/>
    <mergeCell ref="A80:H80"/>
    <mergeCell ref="A118:J11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workbookViewId="0">
      <selection activeCell="O29" sqref="O29"/>
    </sheetView>
  </sheetViews>
  <sheetFormatPr defaultRowHeight="15" x14ac:dyDescent="0.25"/>
  <cols>
    <col min="2" max="2" width="15.5703125" customWidth="1"/>
    <col min="9" max="9" width="9.5703125" bestFit="1" customWidth="1"/>
  </cols>
  <sheetData>
    <row r="1" spans="1:16" ht="15.75" x14ac:dyDescent="0.25">
      <c r="A1" s="361"/>
      <c r="B1" s="361"/>
      <c r="C1" s="361"/>
      <c r="D1" s="361"/>
      <c r="E1" s="361"/>
      <c r="F1" s="361"/>
      <c r="G1" s="361"/>
      <c r="H1" s="361"/>
      <c r="I1" s="361"/>
      <c r="J1" s="361"/>
      <c r="K1" s="361"/>
      <c r="L1" s="361"/>
      <c r="M1" s="361"/>
      <c r="N1" s="361"/>
      <c r="O1" s="361"/>
      <c r="P1" s="361"/>
    </row>
    <row r="2" spans="1:16" ht="39" customHeight="1" x14ac:dyDescent="0.25">
      <c r="A2" s="604" t="s">
        <v>1000</v>
      </c>
      <c r="B2" s="605"/>
      <c r="C2" s="605"/>
      <c r="D2" s="605"/>
      <c r="E2" s="605"/>
      <c r="F2" s="605"/>
      <c r="G2" s="605"/>
      <c r="H2" s="605"/>
      <c r="I2" s="606"/>
      <c r="J2" s="606"/>
      <c r="K2" s="606"/>
      <c r="L2" s="606"/>
      <c r="M2" s="606"/>
      <c r="N2" s="606"/>
      <c r="O2" s="606"/>
      <c r="P2" s="606"/>
    </row>
    <row r="3" spans="1:16" ht="15.75" x14ac:dyDescent="0.25">
      <c r="A3" s="364" t="s">
        <v>932</v>
      </c>
      <c r="B3" s="365" t="s">
        <v>96</v>
      </c>
      <c r="C3" s="366" t="s">
        <v>7</v>
      </c>
      <c r="D3" s="366" t="s">
        <v>924</v>
      </c>
      <c r="E3" s="366" t="s">
        <v>8</v>
      </c>
      <c r="F3" s="366" t="s">
        <v>10</v>
      </c>
      <c r="G3" s="366" t="s">
        <v>69</v>
      </c>
      <c r="H3" s="367" t="s">
        <v>17</v>
      </c>
      <c r="I3" s="395"/>
      <c r="J3" s="396"/>
      <c r="K3" s="396"/>
      <c r="L3" s="396"/>
      <c r="M3" s="396"/>
      <c r="N3" s="396"/>
      <c r="O3" s="396"/>
      <c r="P3" s="396"/>
    </row>
    <row r="4" spans="1:16" ht="15.75" x14ac:dyDescent="0.25">
      <c r="A4" s="368">
        <v>2006</v>
      </c>
      <c r="B4" s="378">
        <v>97990.311357554689</v>
      </c>
      <c r="C4" s="379">
        <v>2568.5205039782868</v>
      </c>
      <c r="D4" s="379">
        <v>2491.4648888589381</v>
      </c>
      <c r="E4" s="379">
        <v>5872.8805357244755</v>
      </c>
      <c r="F4" s="379">
        <v>10818.355653129413</v>
      </c>
      <c r="G4" s="379">
        <v>6184.1432041178723</v>
      </c>
      <c r="H4" s="380">
        <v>7397.9077022488</v>
      </c>
      <c r="I4" s="395"/>
      <c r="J4" s="396"/>
      <c r="K4" s="396"/>
      <c r="L4" s="396"/>
      <c r="M4" s="396"/>
      <c r="N4" s="396"/>
      <c r="O4" s="396"/>
      <c r="P4" s="396"/>
    </row>
    <row r="5" spans="1:16" ht="15.75" x14ac:dyDescent="0.25">
      <c r="A5" s="368">
        <v>2007</v>
      </c>
      <c r="B5" s="378">
        <v>99107.873922432511</v>
      </c>
      <c r="C5" s="379">
        <v>2598.1868136592238</v>
      </c>
      <c r="D5" s="379">
        <v>2520.2412092494469</v>
      </c>
      <c r="E5" s="379">
        <v>5943.9821397281657</v>
      </c>
      <c r="F5" s="379">
        <v>10991.449343579485</v>
      </c>
      <c r="G5" s="379">
        <v>6259.0131931337583</v>
      </c>
      <c r="H5" s="380">
        <v>7516.3142254847808</v>
      </c>
      <c r="I5" s="361"/>
      <c r="J5" s="361"/>
      <c r="K5" s="361"/>
      <c r="L5" s="361"/>
      <c r="M5" s="361"/>
      <c r="N5" s="361"/>
      <c r="O5" s="361"/>
      <c r="P5" s="361"/>
    </row>
    <row r="6" spans="1:16" ht="15.75" x14ac:dyDescent="0.25">
      <c r="A6" s="368">
        <v>2008</v>
      </c>
      <c r="B6" s="378">
        <v>98538.907483517425</v>
      </c>
      <c r="C6" s="379">
        <v>2260.9766183552856</v>
      </c>
      <c r="D6" s="379">
        <v>2193.1473198046269</v>
      </c>
      <c r="E6" s="379">
        <v>5880.4116440102871</v>
      </c>
      <c r="F6" s="379">
        <v>11167.312533076751</v>
      </c>
      <c r="G6" s="379">
        <v>6192.0734611428315</v>
      </c>
      <c r="H6" s="380">
        <v>890.85537952746267</v>
      </c>
      <c r="I6" s="361"/>
      <c r="J6" s="361"/>
      <c r="K6" s="361"/>
      <c r="L6" s="361"/>
      <c r="M6" s="361"/>
      <c r="N6" s="361"/>
      <c r="O6" s="361"/>
      <c r="P6" s="361"/>
    </row>
    <row r="7" spans="1:16" ht="15.75" x14ac:dyDescent="0.25">
      <c r="A7" s="372">
        <v>2009</v>
      </c>
      <c r="B7" s="378">
        <v>99663.229956027528</v>
      </c>
      <c r="C7" s="379">
        <v>2285.6725792475413</v>
      </c>
      <c r="D7" s="379">
        <v>2217.102401870115</v>
      </c>
      <c r="E7" s="379">
        <v>5951.7257263357315</v>
      </c>
      <c r="F7" s="379">
        <v>11345.989533605978</v>
      </c>
      <c r="G7" s="379">
        <v>6267.1671898315244</v>
      </c>
      <c r="H7" s="380">
        <v>905.22906559990213</v>
      </c>
      <c r="I7" s="361"/>
      <c r="J7" s="361"/>
      <c r="K7" s="361"/>
      <c r="L7" s="361"/>
      <c r="M7" s="361"/>
      <c r="N7" s="361"/>
      <c r="O7" s="361"/>
      <c r="P7" s="361"/>
    </row>
    <row r="8" spans="1:16" ht="15.75" x14ac:dyDescent="0.25">
      <c r="A8" s="372">
        <v>2010</v>
      </c>
      <c r="B8" s="378">
        <v>99361.552387380798</v>
      </c>
      <c r="C8" s="379">
        <v>2269.705399055737</v>
      </c>
      <c r="D8" s="379">
        <v>2201.6142370840648</v>
      </c>
      <c r="E8" s="379">
        <v>5897.4100566139241</v>
      </c>
      <c r="F8" s="379">
        <v>11527.525366143673</v>
      </c>
      <c r="G8" s="379">
        <v>6209.9727896144614</v>
      </c>
      <c r="H8" s="380">
        <v>919.62473064950052</v>
      </c>
      <c r="I8" s="361"/>
      <c r="J8" s="361"/>
      <c r="K8" s="361"/>
      <c r="L8" s="361"/>
      <c r="M8" s="361"/>
      <c r="N8" s="361"/>
      <c r="O8" s="361"/>
      <c r="P8" s="361"/>
    </row>
    <row r="9" spans="1:16" ht="15.75" x14ac:dyDescent="0.25">
      <c r="A9" s="372">
        <v>2011</v>
      </c>
      <c r="B9" s="378">
        <v>100358.38059000681</v>
      </c>
      <c r="C9" s="379">
        <v>2291.6786017950922</v>
      </c>
      <c r="D9" s="379">
        <v>2222.9282437412394</v>
      </c>
      <c r="E9" s="379">
        <v>5956.5253630656371</v>
      </c>
      <c r="F9" s="379">
        <v>11711.965772001971</v>
      </c>
      <c r="G9" s="379">
        <v>6272.2212073081155</v>
      </c>
      <c r="H9" s="380">
        <v>934.04272633989251</v>
      </c>
      <c r="I9" s="361"/>
      <c r="J9" s="361"/>
      <c r="K9" s="361"/>
      <c r="L9" s="361"/>
      <c r="M9" s="361"/>
      <c r="N9" s="361"/>
      <c r="O9" s="361"/>
      <c r="P9" s="361"/>
    </row>
    <row r="10" spans="1:16" ht="15.75" x14ac:dyDescent="0.25">
      <c r="A10" s="372">
        <v>2012</v>
      </c>
      <c r="B10" s="378">
        <v>98836.51323245978</v>
      </c>
      <c r="C10" s="379">
        <v>2245.82147168866</v>
      </c>
      <c r="D10" s="379">
        <v>2178.446827538</v>
      </c>
      <c r="E10" s="379">
        <v>5805.9512689473077</v>
      </c>
      <c r="F10" s="379">
        <v>11899.357224354006</v>
      </c>
      <c r="G10" s="379">
        <v>6113.6666862015145</v>
      </c>
      <c r="H10" s="380">
        <v>949.48340996133084</v>
      </c>
      <c r="I10" s="361"/>
      <c r="J10" s="361"/>
      <c r="K10" s="361"/>
      <c r="L10" s="361"/>
      <c r="M10" s="361"/>
      <c r="N10" s="361"/>
      <c r="O10" s="361"/>
      <c r="P10" s="361"/>
    </row>
    <row r="11" spans="1:16" ht="15.75" x14ac:dyDescent="0.25">
      <c r="A11" s="372">
        <v>2013</v>
      </c>
      <c r="B11" s="378">
        <v>99823.491523378761</v>
      </c>
      <c r="C11" s="379">
        <v>2230.5327475871404</v>
      </c>
      <c r="D11" s="379">
        <v>2163.616765159526</v>
      </c>
      <c r="E11" s="379">
        <v>5863.7545269008051</v>
      </c>
      <c r="F11" s="379">
        <v>12089.746939943669</v>
      </c>
      <c r="G11" s="379">
        <v>6174.5335168265474</v>
      </c>
      <c r="H11" s="380">
        <v>27.655632700591774</v>
      </c>
      <c r="I11" s="361"/>
      <c r="J11" s="361"/>
      <c r="K11" s="361"/>
      <c r="L11" s="361"/>
      <c r="M11" s="361"/>
      <c r="N11" s="361"/>
      <c r="O11" s="361"/>
      <c r="P11" s="361"/>
    </row>
    <row r="12" spans="1:16" ht="15.75" x14ac:dyDescent="0.25">
      <c r="A12" s="372">
        <v>2014</v>
      </c>
      <c r="B12" s="378">
        <v>98231.623130635562</v>
      </c>
      <c r="C12" s="379">
        <v>2190.5695707783211</v>
      </c>
      <c r="D12" s="379">
        <v>2124.8524836549714</v>
      </c>
      <c r="E12" s="379">
        <v>5723.3009717617906</v>
      </c>
      <c r="F12" s="379">
        <v>12283.182890982769</v>
      </c>
      <c r="G12" s="379">
        <v>6026.6359232651648</v>
      </c>
      <c r="H12" s="380">
        <v>27.698122823801242</v>
      </c>
      <c r="I12" s="361"/>
      <c r="J12" s="361"/>
      <c r="K12" s="361"/>
      <c r="L12" s="361"/>
      <c r="M12" s="361"/>
      <c r="N12" s="361"/>
      <c r="O12" s="361"/>
      <c r="P12" s="361"/>
    </row>
    <row r="13" spans="1:16" ht="15.75" x14ac:dyDescent="0.25">
      <c r="A13" s="372">
        <v>2015</v>
      </c>
      <c r="B13" s="378">
        <v>99026.011014778647</v>
      </c>
      <c r="C13" s="379">
        <v>2208.1785253514427</v>
      </c>
      <c r="D13" s="379">
        <v>2141.9331695908995</v>
      </c>
      <c r="E13" s="379">
        <v>5770.6264063970793</v>
      </c>
      <c r="F13" s="379">
        <v>12479.713817238495</v>
      </c>
      <c r="G13" s="379">
        <v>6076.469605936124</v>
      </c>
      <c r="H13" s="380">
        <v>28.741292788982062</v>
      </c>
      <c r="I13" s="361"/>
      <c r="J13" s="361"/>
      <c r="K13" s="361"/>
      <c r="L13" s="361"/>
      <c r="M13" s="361"/>
      <c r="N13" s="361"/>
      <c r="O13" s="361"/>
      <c r="P13" s="361"/>
    </row>
    <row r="14" spans="1:16" ht="15.75" x14ac:dyDescent="0.25">
      <c r="A14" s="372">
        <v>2016</v>
      </c>
      <c r="B14" s="378">
        <v>97614.133095298894</v>
      </c>
      <c r="C14" s="379">
        <v>2162.1202980637399</v>
      </c>
      <c r="D14" s="379">
        <v>2097.2566891218275</v>
      </c>
      <c r="E14" s="379">
        <v>5611.9936600439123</v>
      </c>
      <c r="F14" s="379">
        <v>12679.389238314308</v>
      </c>
      <c r="G14" s="379">
        <v>5909.4293240262396</v>
      </c>
      <c r="H14" s="380">
        <v>28.785153473605774</v>
      </c>
      <c r="I14" s="361"/>
      <c r="J14" s="361"/>
      <c r="K14" s="361"/>
      <c r="L14" s="361"/>
      <c r="M14" s="361"/>
      <c r="N14" s="361"/>
      <c r="O14" s="361"/>
      <c r="P14" s="361"/>
    </row>
    <row r="15" spans="1:16" ht="15.75" x14ac:dyDescent="0.25">
      <c r="A15" s="372">
        <v>2017</v>
      </c>
      <c r="B15" s="378">
        <v>98392.388404057056</v>
      </c>
      <c r="C15" s="379">
        <v>2179.1898112525505</v>
      </c>
      <c r="D15" s="379">
        <v>2113.814116914974</v>
      </c>
      <c r="E15" s="379">
        <v>5657.5038608909163</v>
      </c>
      <c r="F15" s="379">
        <v>12882.259466127338</v>
      </c>
      <c r="G15" s="379">
        <v>5957.3515655181345</v>
      </c>
      <c r="H15" s="380">
        <v>29.829715929183468</v>
      </c>
      <c r="I15" s="361"/>
      <c r="J15" s="361"/>
      <c r="K15" s="361"/>
      <c r="L15" s="361"/>
      <c r="M15" s="361"/>
      <c r="N15" s="361"/>
      <c r="O15" s="361"/>
      <c r="P15" s="361"/>
    </row>
    <row r="16" spans="1:16" ht="15.75" x14ac:dyDescent="0.25">
      <c r="A16" s="372">
        <v>2018</v>
      </c>
      <c r="B16" s="378">
        <v>98024.288541846603</v>
      </c>
      <c r="C16" s="379">
        <v>2162.3952506872456</v>
      </c>
      <c r="D16" s="379">
        <v>2097.523393166628</v>
      </c>
      <c r="E16" s="379">
        <v>5592.2652799109846</v>
      </c>
      <c r="F16" s="379">
        <v>13088.375617585372</v>
      </c>
      <c r="G16" s="379">
        <v>5888.6553397462667</v>
      </c>
      <c r="H16" s="380">
        <v>29.874991384050404</v>
      </c>
      <c r="I16" s="361"/>
      <c r="J16" s="361"/>
      <c r="K16" s="361"/>
      <c r="L16" s="361"/>
      <c r="M16" s="361"/>
      <c r="N16" s="361"/>
      <c r="O16" s="361"/>
      <c r="P16" s="361"/>
    </row>
    <row r="17" spans="1:16" ht="15.75" x14ac:dyDescent="0.25">
      <c r="A17" s="372">
        <v>2019</v>
      </c>
      <c r="B17" s="378">
        <v>98691.511332867492</v>
      </c>
      <c r="C17" s="379">
        <v>2179.2656014060221</v>
      </c>
      <c r="D17" s="379">
        <v>2113.8876333638414</v>
      </c>
      <c r="E17" s="379">
        <v>5637.0487781469074</v>
      </c>
      <c r="F17" s="379">
        <v>13297.789627466746</v>
      </c>
      <c r="G17" s="379">
        <v>5935.8123633886935</v>
      </c>
      <c r="H17" s="380">
        <v>29.920991246195211</v>
      </c>
      <c r="I17" s="361"/>
      <c r="J17" s="361"/>
      <c r="K17" s="361"/>
      <c r="L17" s="361"/>
      <c r="M17" s="361"/>
      <c r="N17" s="361"/>
      <c r="O17" s="361"/>
      <c r="P17" s="361"/>
    </row>
    <row r="18" spans="1:16" ht="15.75" x14ac:dyDescent="0.25">
      <c r="A18" s="372">
        <v>2020</v>
      </c>
      <c r="B18" s="378">
        <v>94384.99618918389</v>
      </c>
      <c r="C18" s="379">
        <v>2086.2842609171389</v>
      </c>
      <c r="D18" s="379">
        <v>2023.6957330896246</v>
      </c>
      <c r="E18" s="379">
        <v>5326.4987411914244</v>
      </c>
      <c r="F18" s="379">
        <v>13510.554261506208</v>
      </c>
      <c r="G18" s="379">
        <v>5608.8031744745695</v>
      </c>
      <c r="H18" s="380">
        <v>30.967727106134333</v>
      </c>
      <c r="I18" s="361"/>
      <c r="J18" s="361"/>
      <c r="K18" s="361"/>
      <c r="L18" s="361"/>
      <c r="M18" s="361"/>
      <c r="N18" s="361"/>
      <c r="O18" s="361"/>
      <c r="P18" s="361"/>
    </row>
    <row r="19" spans="1:16" ht="15.75" x14ac:dyDescent="0.25">
      <c r="A19" s="372">
        <v>2021</v>
      </c>
      <c r="B19" s="378">
        <v>94995.112840765913</v>
      </c>
      <c r="C19" s="379">
        <v>2102.0343114816555</v>
      </c>
      <c r="D19" s="379">
        <v>2038.9732821372058</v>
      </c>
      <c r="E19" s="379">
        <v>5367.5924489140207</v>
      </c>
      <c r="F19" s="379">
        <v>13726.723129690303</v>
      </c>
      <c r="G19" s="379">
        <v>5652.0748487064639</v>
      </c>
      <c r="H19" s="380">
        <v>31.015210739832483</v>
      </c>
      <c r="I19" s="361"/>
      <c r="J19" s="361"/>
      <c r="K19" s="361"/>
      <c r="L19" s="361"/>
      <c r="M19" s="361"/>
      <c r="N19" s="361"/>
      <c r="O19" s="361"/>
      <c r="P19" s="361"/>
    </row>
    <row r="20" spans="1:16" ht="15.75" x14ac:dyDescent="0.25">
      <c r="A20" s="372">
        <v>2022</v>
      </c>
      <c r="B20" s="378">
        <v>92663.342898025367</v>
      </c>
      <c r="C20" s="379">
        <v>2049.9957245389737</v>
      </c>
      <c r="D20" s="379">
        <v>1988.4958528028044</v>
      </c>
      <c r="E20" s="379">
        <v>5188.4682213999313</v>
      </c>
      <c r="F20" s="379">
        <v>13946.350699765353</v>
      </c>
      <c r="G20" s="379">
        <v>5463.4570371341269</v>
      </c>
      <c r="H20" s="380">
        <v>32.063454111669799</v>
      </c>
      <c r="I20" s="361"/>
      <c r="J20" s="361"/>
      <c r="K20" s="361"/>
      <c r="L20" s="361"/>
      <c r="M20" s="361"/>
      <c r="N20" s="361"/>
      <c r="O20" s="361"/>
      <c r="P20" s="361"/>
    </row>
    <row r="21" spans="1:16" ht="15.75" x14ac:dyDescent="0.25">
      <c r="A21" s="373">
        <v>2023</v>
      </c>
      <c r="B21" s="378">
        <v>91859.448009848536</v>
      </c>
      <c r="C21" s="379">
        <v>2034.3785460761148</v>
      </c>
      <c r="D21" s="379">
        <v>1973.3471896938313</v>
      </c>
      <c r="E21" s="379">
        <v>5148.8691983034887</v>
      </c>
      <c r="F21" s="379">
        <v>14169.492310961603</v>
      </c>
      <c r="G21" s="379">
        <v>5421.7592658135736</v>
      </c>
      <c r="H21" s="380">
        <v>32.11246937745652</v>
      </c>
      <c r="I21" s="361"/>
      <c r="J21" s="361"/>
      <c r="K21" s="361"/>
      <c r="L21" s="361"/>
      <c r="M21" s="361"/>
      <c r="N21" s="361"/>
      <c r="O21" s="361"/>
      <c r="P21" s="361"/>
    </row>
    <row r="22" spans="1:16" ht="15.75" x14ac:dyDescent="0.25">
      <c r="A22" s="373">
        <v>2024</v>
      </c>
      <c r="B22" s="378">
        <v>88602.127947338653</v>
      </c>
      <c r="C22" s="379">
        <v>1962.8939514451579</v>
      </c>
      <c r="D22" s="379">
        <v>1904.0071329018031</v>
      </c>
      <c r="E22" s="379">
        <v>4922.7206405019915</v>
      </c>
      <c r="F22" s="379">
        <v>14396.204187936983</v>
      </c>
      <c r="G22" s="379">
        <v>5183.6248344485966</v>
      </c>
      <c r="H22" s="380">
        <v>33.162268887495827</v>
      </c>
      <c r="I22" s="361"/>
      <c r="J22" s="361"/>
      <c r="K22" s="361"/>
      <c r="L22" s="361"/>
      <c r="M22" s="361"/>
      <c r="N22" s="361"/>
      <c r="O22" s="361"/>
      <c r="P22" s="361"/>
    </row>
    <row r="23" spans="1:16" ht="15.75" x14ac:dyDescent="0.25">
      <c r="A23" s="373">
        <v>2025</v>
      </c>
      <c r="B23" s="378">
        <v>83964.287848637701</v>
      </c>
      <c r="C23" s="379">
        <v>1855.4065420903062</v>
      </c>
      <c r="D23" s="379">
        <v>1799.744345827597</v>
      </c>
      <c r="E23" s="379">
        <v>4566.2694622754234</v>
      </c>
      <c r="F23" s="379">
        <v>14626.543454943976</v>
      </c>
      <c r="G23" s="379">
        <v>4808.2817437760204</v>
      </c>
      <c r="H23" s="380">
        <v>33.212865189695755</v>
      </c>
      <c r="I23" s="361"/>
      <c r="J23" s="361"/>
      <c r="K23" s="361"/>
      <c r="L23" s="361"/>
      <c r="M23" s="361"/>
      <c r="N23" s="361"/>
      <c r="O23" s="361"/>
      <c r="P23" s="361"/>
    </row>
    <row r="24" spans="1:16" ht="15.75" x14ac:dyDescent="0.25">
      <c r="A24" s="373">
        <v>2026</v>
      </c>
      <c r="B24" s="378">
        <v>82420.13297104722</v>
      </c>
      <c r="C24" s="379">
        <v>1821.9141255457332</v>
      </c>
      <c r="D24" s="379">
        <v>1767.2567017793613</v>
      </c>
      <c r="E24" s="379">
        <v>4474.9776216688779</v>
      </c>
      <c r="F24" s="379">
        <v>14860.56815022308</v>
      </c>
      <c r="G24" s="379">
        <v>4712.1514356173284</v>
      </c>
      <c r="H24" s="380">
        <v>34.264271032730889</v>
      </c>
      <c r="I24" s="361"/>
      <c r="J24" s="361"/>
      <c r="K24" s="361"/>
      <c r="L24" s="361"/>
      <c r="M24" s="361"/>
      <c r="N24" s="361"/>
      <c r="O24" s="361"/>
      <c r="P24" s="361"/>
    </row>
    <row r="25" spans="1:16" ht="15.75" x14ac:dyDescent="0.25">
      <c r="A25" s="373">
        <v>2027</v>
      </c>
      <c r="B25" s="378">
        <v>80621.348542720982</v>
      </c>
      <c r="C25" s="379">
        <v>1782.6677665727382</v>
      </c>
      <c r="D25" s="379">
        <v>1729.187733575556</v>
      </c>
      <c r="E25" s="379">
        <v>4371.4665585857465</v>
      </c>
      <c r="F25" s="379">
        <v>15098.337240626654</v>
      </c>
      <c r="G25" s="379">
        <v>4603.154286190791</v>
      </c>
      <c r="H25" s="380">
        <v>34.316499369254579</v>
      </c>
      <c r="I25" s="361"/>
      <c r="J25" s="361"/>
      <c r="K25" s="361"/>
      <c r="L25" s="361"/>
      <c r="M25" s="361"/>
      <c r="N25" s="361"/>
      <c r="O25" s="361"/>
      <c r="P25" s="361"/>
    </row>
    <row r="26" spans="1:16" ht="15.75" x14ac:dyDescent="0.25">
      <c r="A26" s="373">
        <v>2028</v>
      </c>
      <c r="B26" s="378">
        <v>78655.334855466223</v>
      </c>
      <c r="C26" s="379">
        <v>1739.6579832175569</v>
      </c>
      <c r="D26" s="379">
        <v>1687.4682437210301</v>
      </c>
      <c r="E26" s="379">
        <v>4259.928945009081</v>
      </c>
      <c r="F26" s="379">
        <v>15339.910636476678</v>
      </c>
      <c r="G26" s="379">
        <v>4485.7051790945616</v>
      </c>
      <c r="H26" s="380">
        <v>35.369563359162655</v>
      </c>
      <c r="I26" s="361"/>
      <c r="J26" s="361"/>
      <c r="K26" s="361"/>
      <c r="L26" s="361"/>
      <c r="M26" s="361"/>
      <c r="N26" s="361"/>
      <c r="O26" s="361"/>
      <c r="P26" s="361"/>
    </row>
    <row r="27" spans="1:16" ht="15.75" x14ac:dyDescent="0.25">
      <c r="A27" s="373">
        <v>2029</v>
      </c>
      <c r="B27" s="378">
        <v>76561.727552661847</v>
      </c>
      <c r="C27" s="379">
        <v>1693.7879447296102</v>
      </c>
      <c r="D27" s="379">
        <v>1642.9743063877218</v>
      </c>
      <c r="E27" s="379">
        <v>4142.2705897761334</v>
      </c>
      <c r="F27" s="379">
        <v>15585.34920666031</v>
      </c>
      <c r="G27" s="379">
        <v>4361.8109310342679</v>
      </c>
      <c r="H27" s="380">
        <v>35.423476372909256</v>
      </c>
      <c r="I27" s="361"/>
      <c r="J27" s="361"/>
      <c r="K27" s="361"/>
      <c r="L27" s="361"/>
      <c r="M27" s="361"/>
      <c r="N27" s="361"/>
      <c r="O27" s="361"/>
      <c r="P27" s="361"/>
    </row>
    <row r="28" spans="1:16" ht="15.75" x14ac:dyDescent="0.25">
      <c r="A28" s="373">
        <v>2030</v>
      </c>
      <c r="B28" s="378">
        <v>74226.002086197637</v>
      </c>
      <c r="C28" s="379">
        <v>1643.696559783619</v>
      </c>
      <c r="D28" s="379">
        <v>1594.3856629901104</v>
      </c>
      <c r="E28" s="379">
        <v>4028.73487037205</v>
      </c>
      <c r="F28" s="379">
        <v>15834.714793966876</v>
      </c>
      <c r="G28" s="379">
        <v>4242.2578185017683</v>
      </c>
      <c r="H28" s="380">
        <v>36.478251994875805</v>
      </c>
      <c r="I28" s="361"/>
      <c r="J28" s="361"/>
      <c r="K28" s="361"/>
      <c r="L28" s="361"/>
      <c r="M28" s="361"/>
      <c r="N28" s="361"/>
      <c r="O28" s="361"/>
      <c r="P28" s="361"/>
    </row>
    <row r="29" spans="1:16" ht="15.75" x14ac:dyDescent="0.25">
      <c r="A29" s="373">
        <v>2031</v>
      </c>
      <c r="B29" s="378">
        <v>71635.944615334825</v>
      </c>
      <c r="C29" s="379">
        <v>1587.89368015133</v>
      </c>
      <c r="D29" s="379">
        <v>1540.25686974679</v>
      </c>
      <c r="E29" s="379">
        <v>3903.4328553582545</v>
      </c>
      <c r="F29" s="379">
        <v>16088.070230670346</v>
      </c>
      <c r="G29" s="379">
        <v>4110.3147966922415</v>
      </c>
      <c r="H29" s="380">
        <v>36.53390402679382</v>
      </c>
      <c r="I29" s="361"/>
      <c r="J29" s="361"/>
      <c r="K29" s="361"/>
      <c r="L29" s="361"/>
      <c r="M29" s="361"/>
      <c r="N29" s="361"/>
      <c r="O29" s="361"/>
      <c r="P29" s="361"/>
    </row>
    <row r="30" spans="1:16" ht="15.75" x14ac:dyDescent="0.25">
      <c r="A30" s="373">
        <v>2032</v>
      </c>
      <c r="B30" s="378">
        <v>68860.369292137868</v>
      </c>
      <c r="C30" s="379">
        <v>1527.9474091532411</v>
      </c>
      <c r="D30" s="379">
        <v>1482.1089868786439</v>
      </c>
      <c r="E30" s="379">
        <v>3769.6762911429687</v>
      </c>
      <c r="F30" s="379">
        <v>16345.479354361067</v>
      </c>
      <c r="G30" s="379">
        <v>3969.4691345735459</v>
      </c>
      <c r="H30" s="380">
        <v>37.590446491222522</v>
      </c>
      <c r="I30" s="361"/>
      <c r="J30" s="361"/>
      <c r="K30" s="361"/>
      <c r="L30" s="361"/>
      <c r="M30" s="361"/>
      <c r="N30" s="361"/>
      <c r="O30" s="361"/>
      <c r="P30" s="361"/>
    </row>
    <row r="31" spans="1:16" ht="15.75" x14ac:dyDescent="0.25">
      <c r="A31" s="373">
        <v>2033</v>
      </c>
      <c r="B31" s="378">
        <v>65994.492337815725</v>
      </c>
      <c r="C31" s="379">
        <v>1466.0269245806812</v>
      </c>
      <c r="D31" s="379">
        <v>1422.0461168432607</v>
      </c>
      <c r="E31" s="379">
        <v>3632.0415656426539</v>
      </c>
      <c r="F31" s="379">
        <v>16607.007024030849</v>
      </c>
      <c r="G31" s="379">
        <v>3824.5397686217143</v>
      </c>
      <c r="H31" s="380">
        <v>37.647893635082085</v>
      </c>
      <c r="I31" s="361"/>
      <c r="J31" s="361"/>
      <c r="K31" s="361"/>
      <c r="L31" s="361"/>
      <c r="M31" s="361"/>
      <c r="N31" s="361"/>
      <c r="O31" s="361"/>
      <c r="P31" s="361"/>
    </row>
    <row r="32" spans="1:16" ht="15.75" x14ac:dyDescent="0.25">
      <c r="A32" s="373">
        <v>2034</v>
      </c>
      <c r="B32" s="378">
        <v>62963.727626642452</v>
      </c>
      <c r="C32" s="379">
        <v>1400.4358714566863</v>
      </c>
      <c r="D32" s="379">
        <v>1358.4227953129857</v>
      </c>
      <c r="E32" s="379">
        <v>3486.974822327481</v>
      </c>
      <c r="F32" s="379">
        <v>16872.71913641534</v>
      </c>
      <c r="G32" s="379">
        <v>3671.7844879108375</v>
      </c>
      <c r="H32" s="380">
        <v>38.706259933243395</v>
      </c>
      <c r="I32" s="361"/>
      <c r="J32" s="361"/>
      <c r="K32" s="361"/>
      <c r="L32" s="361"/>
      <c r="M32" s="361"/>
      <c r="N32" s="361"/>
      <c r="O32" s="361"/>
      <c r="P32" s="361"/>
    </row>
    <row r="33" spans="1:16" ht="15.75" x14ac:dyDescent="0.25">
      <c r="A33" s="373">
        <v>2035</v>
      </c>
      <c r="B33" s="378">
        <v>59931.112426519081</v>
      </c>
      <c r="C33" s="379">
        <v>1334.8874392471794</v>
      </c>
      <c r="D33" s="379">
        <v>1294.8408160697641</v>
      </c>
      <c r="E33" s="379">
        <v>3342.3008166733134</v>
      </c>
      <c r="F33" s="379">
        <v>17142.682642597978</v>
      </c>
      <c r="G33" s="379">
        <v>3519.442759956999</v>
      </c>
      <c r="H33" s="380">
        <v>38.765560092175292</v>
      </c>
      <c r="I33" s="361"/>
      <c r="J33" s="361"/>
      <c r="K33" s="361"/>
      <c r="L33" s="361"/>
      <c r="M33" s="361"/>
      <c r="N33" s="361"/>
      <c r="O33" s="361"/>
      <c r="P33" s="361"/>
    </row>
    <row r="34" spans="1:16" ht="15.75" x14ac:dyDescent="0.25">
      <c r="A34" s="373">
        <v>2036</v>
      </c>
      <c r="B34" s="378">
        <v>56901.40993114873</v>
      </c>
      <c r="C34" s="379">
        <v>1269.4917277907357</v>
      </c>
      <c r="D34" s="379">
        <v>1231.4069759570136</v>
      </c>
      <c r="E34" s="379">
        <v>3198.2660886330627</v>
      </c>
      <c r="F34" s="379">
        <v>17416.965564879541</v>
      </c>
      <c r="G34" s="379">
        <v>3367.7741913306149</v>
      </c>
      <c r="H34" s="380">
        <v>39.82580905365009</v>
      </c>
      <c r="I34" s="361"/>
      <c r="J34" s="361"/>
      <c r="K34" s="361"/>
      <c r="L34" s="361"/>
      <c r="M34" s="361"/>
      <c r="N34" s="361"/>
      <c r="O34" s="361"/>
      <c r="P34" s="361"/>
    </row>
    <row r="35" spans="1:16" ht="15.75" x14ac:dyDescent="0.25">
      <c r="A35" s="373">
        <v>2037</v>
      </c>
      <c r="B35" s="378">
        <v>54494.181084158656</v>
      </c>
      <c r="C35" s="379">
        <v>1218.0485548422319</v>
      </c>
      <c r="D35" s="379">
        <v>1181.5070981969648</v>
      </c>
      <c r="E35" s="379">
        <v>3090.1271164111786</v>
      </c>
      <c r="F35" s="379">
        <v>17695.637013917614</v>
      </c>
      <c r="G35" s="379">
        <v>3253.9038535809709</v>
      </c>
      <c r="H35" s="380">
        <v>39.887021998508494</v>
      </c>
      <c r="I35" s="361"/>
      <c r="J35" s="361"/>
      <c r="K35" s="361"/>
      <c r="L35" s="361"/>
      <c r="M35" s="361"/>
      <c r="N35" s="361"/>
      <c r="O35" s="361"/>
      <c r="P35" s="361"/>
    </row>
    <row r="36" spans="1:16" ht="15.75" x14ac:dyDescent="0.25">
      <c r="A36" s="373">
        <v>2038</v>
      </c>
      <c r="B36" s="378">
        <v>52888.093250003963</v>
      </c>
      <c r="C36" s="379">
        <v>1184.5371960304274</v>
      </c>
      <c r="D36" s="379">
        <v>1149.0010801495146</v>
      </c>
      <c r="E36" s="379">
        <v>3028.0926613310326</v>
      </c>
      <c r="F36" s="379">
        <v>17978.76720614031</v>
      </c>
      <c r="G36" s="379">
        <v>3188.5815723815772</v>
      </c>
      <c r="H36" s="380">
        <v>40.949214350484631</v>
      </c>
      <c r="I36" s="361"/>
      <c r="J36" s="361"/>
      <c r="K36" s="361"/>
      <c r="L36" s="361"/>
      <c r="M36" s="361"/>
      <c r="N36" s="361"/>
      <c r="O36" s="361"/>
      <c r="P36" s="361"/>
    </row>
    <row r="37" spans="1:16" ht="15.75" x14ac:dyDescent="0.25">
      <c r="A37" s="373">
        <v>2039</v>
      </c>
      <c r="B37" s="378">
        <v>51281.815362740934</v>
      </c>
      <c r="C37" s="379">
        <v>1151.1244494158818</v>
      </c>
      <c r="D37" s="379">
        <v>1116.5907159334054</v>
      </c>
      <c r="E37" s="379">
        <v>2966.4008807035998</v>
      </c>
      <c r="F37" s="379">
        <v>18266.42748143855</v>
      </c>
      <c r="G37" s="379">
        <v>3123.6201273808906</v>
      </c>
      <c r="H37" s="380">
        <v>42.012401780092382</v>
      </c>
      <c r="I37" s="361"/>
      <c r="J37" s="361"/>
      <c r="K37" s="361"/>
      <c r="L37" s="361"/>
      <c r="M37" s="361"/>
      <c r="N37" s="361"/>
      <c r="O37" s="361"/>
      <c r="P37" s="361"/>
    </row>
    <row r="38" spans="1:16" ht="15.75" x14ac:dyDescent="0.25">
      <c r="A38" s="374">
        <v>2040</v>
      </c>
      <c r="B38" s="392">
        <v>49614.896705601444</v>
      </c>
      <c r="C38" s="393">
        <v>1116.4366573086481</v>
      </c>
      <c r="D38" s="393">
        <v>1082.9435575893888</v>
      </c>
      <c r="E38" s="393">
        <v>2902.1646390104011</v>
      </c>
      <c r="F38" s="393">
        <v>18558.690321141563</v>
      </c>
      <c r="G38" s="393">
        <v>3055.9793648779523</v>
      </c>
      <c r="H38" s="394">
        <v>42.076600208573865</v>
      </c>
      <c r="I38" s="361"/>
      <c r="J38" s="361"/>
      <c r="K38" s="361"/>
      <c r="L38" s="361"/>
      <c r="M38" s="361"/>
      <c r="N38" s="361"/>
      <c r="O38" s="361"/>
      <c r="P38" s="361"/>
    </row>
    <row r="39" spans="1:16" ht="15.75" x14ac:dyDescent="0.25">
      <c r="A39" s="361"/>
      <c r="B39" s="361"/>
      <c r="C39" s="361"/>
      <c r="D39" s="361"/>
      <c r="E39" s="361"/>
      <c r="F39" s="361"/>
      <c r="G39" s="361"/>
      <c r="H39" s="361"/>
      <c r="I39" s="361"/>
      <c r="J39" s="361"/>
      <c r="K39" s="361"/>
      <c r="L39" s="361"/>
      <c r="M39" s="361"/>
      <c r="N39" s="361"/>
      <c r="O39" s="361"/>
      <c r="P39" s="361"/>
    </row>
    <row r="40" spans="1:16" ht="15.75" x14ac:dyDescent="0.25">
      <c r="A40" s="361" t="s">
        <v>933</v>
      </c>
      <c r="B40" s="361"/>
      <c r="C40" s="361"/>
      <c r="D40" s="361"/>
      <c r="E40" s="361"/>
      <c r="F40" s="361"/>
      <c r="G40" s="361"/>
      <c r="H40" s="361"/>
      <c r="I40" s="361"/>
      <c r="J40" s="361"/>
      <c r="K40" s="361"/>
      <c r="L40" s="361"/>
      <c r="M40" s="361"/>
      <c r="N40" s="361"/>
      <c r="O40" s="361"/>
      <c r="P40" s="361"/>
    </row>
    <row r="41" spans="1:16" ht="15.75" x14ac:dyDescent="0.25">
      <c r="A41" s="361"/>
      <c r="B41" s="361"/>
      <c r="C41" s="361"/>
      <c r="D41" s="361"/>
      <c r="E41" s="361"/>
      <c r="F41" s="361"/>
      <c r="G41" s="361"/>
      <c r="H41" s="361"/>
      <c r="I41" s="361"/>
      <c r="J41" s="361"/>
      <c r="K41" s="361"/>
      <c r="L41" s="361"/>
      <c r="M41" s="361"/>
      <c r="N41" s="361"/>
      <c r="O41" s="361"/>
      <c r="P41" s="361"/>
    </row>
    <row r="42" spans="1:16" ht="36" customHeight="1" x14ac:dyDescent="0.25">
      <c r="A42" s="602" t="s">
        <v>1001</v>
      </c>
      <c r="B42" s="602"/>
      <c r="C42" s="602"/>
      <c r="D42" s="602"/>
      <c r="E42" s="602"/>
      <c r="F42" s="602"/>
      <c r="G42" s="602"/>
      <c r="H42" s="602"/>
    </row>
    <row r="43" spans="1:16" ht="15.75" x14ac:dyDescent="0.25">
      <c r="A43" s="364" t="s">
        <v>932</v>
      </c>
      <c r="B43" s="365" t="s">
        <v>96</v>
      </c>
      <c r="C43" s="366" t="s">
        <v>7</v>
      </c>
      <c r="D43" s="366" t="s">
        <v>924</v>
      </c>
      <c r="E43" s="366" t="s">
        <v>8</v>
      </c>
      <c r="F43" s="366" t="s">
        <v>10</v>
      </c>
      <c r="G43" s="366" t="s">
        <v>69</v>
      </c>
      <c r="H43" s="367" t="s">
        <v>17</v>
      </c>
      <c r="I43" s="361"/>
      <c r="J43" s="361"/>
      <c r="K43" s="361"/>
      <c r="L43" s="361"/>
      <c r="M43" s="361"/>
      <c r="N43" s="361"/>
      <c r="O43" s="361"/>
      <c r="P43" s="361"/>
    </row>
    <row r="44" spans="1:16" ht="15.75" x14ac:dyDescent="0.25">
      <c r="A44" s="368">
        <v>2006</v>
      </c>
      <c r="B44" s="378">
        <v>97990.311357554689</v>
      </c>
      <c r="C44" s="379">
        <v>2568.5205039782868</v>
      </c>
      <c r="D44" s="379">
        <v>2491.4648888589381</v>
      </c>
      <c r="E44" s="379">
        <v>5872.8805357244755</v>
      </c>
      <c r="F44" s="379">
        <v>10818.355653129413</v>
      </c>
      <c r="G44" s="379">
        <v>6184.1432041178723</v>
      </c>
      <c r="H44" s="380">
        <v>7397.9077022488</v>
      </c>
      <c r="I44" s="361"/>
      <c r="J44" s="361"/>
      <c r="K44" s="361"/>
      <c r="L44" s="361"/>
      <c r="M44" s="361"/>
      <c r="N44" s="361"/>
      <c r="O44" s="361"/>
      <c r="P44" s="361"/>
    </row>
    <row r="45" spans="1:16" ht="15.75" x14ac:dyDescent="0.25">
      <c r="A45" s="368">
        <v>2007</v>
      </c>
      <c r="B45" s="378">
        <f t="shared" ref="B45:H60" si="0">B44*1.016</f>
        <v>99558.156339275563</v>
      </c>
      <c r="C45" s="378">
        <f t="shared" si="0"/>
        <v>2609.6168320419392</v>
      </c>
      <c r="D45" s="378">
        <f t="shared" si="0"/>
        <v>2531.328327080681</v>
      </c>
      <c r="E45" s="378">
        <f t="shared" si="0"/>
        <v>5966.8466242960676</v>
      </c>
      <c r="F45" s="378">
        <f t="shared" si="0"/>
        <v>10991.449343579483</v>
      </c>
      <c r="G45" s="378">
        <f t="shared" si="0"/>
        <v>6283.0894953837587</v>
      </c>
      <c r="H45" s="378">
        <f t="shared" si="0"/>
        <v>7516.2742254847808</v>
      </c>
      <c r="I45" s="361"/>
      <c r="J45" s="361"/>
      <c r="K45" s="361"/>
      <c r="L45" s="361"/>
      <c r="M45" s="361"/>
      <c r="N45" s="361"/>
      <c r="O45" s="361"/>
      <c r="P45" s="361"/>
    </row>
    <row r="46" spans="1:16" ht="15.75" x14ac:dyDescent="0.25">
      <c r="A46" s="368">
        <v>2008</v>
      </c>
      <c r="B46" s="378">
        <f t="shared" si="0"/>
        <v>101151.08684070397</v>
      </c>
      <c r="C46" s="378">
        <f t="shared" si="0"/>
        <v>2651.3707013546104</v>
      </c>
      <c r="D46" s="378">
        <f t="shared" si="0"/>
        <v>2571.8295803139717</v>
      </c>
      <c r="E46" s="378">
        <f t="shared" si="0"/>
        <v>6062.3161702848047</v>
      </c>
      <c r="F46" s="378">
        <f t="shared" si="0"/>
        <v>11167.312533076754</v>
      </c>
      <c r="G46" s="378">
        <f t="shared" si="0"/>
        <v>6383.6189273098989</v>
      </c>
      <c r="H46" s="378">
        <f t="shared" si="0"/>
        <v>7636.5346130925373</v>
      </c>
      <c r="I46" s="361"/>
      <c r="J46" s="361"/>
      <c r="K46" s="361"/>
      <c r="L46" s="361"/>
      <c r="M46" s="361"/>
      <c r="N46" s="361"/>
      <c r="O46" s="361"/>
      <c r="P46" s="361"/>
    </row>
    <row r="47" spans="1:16" ht="15.75" x14ac:dyDescent="0.25">
      <c r="A47" s="372">
        <v>2009</v>
      </c>
      <c r="B47" s="378">
        <f t="shared" si="0"/>
        <v>102769.50423015523</v>
      </c>
      <c r="C47" s="378">
        <f t="shared" si="0"/>
        <v>2693.7926325762842</v>
      </c>
      <c r="D47" s="378">
        <f t="shared" si="0"/>
        <v>2612.9788535989956</v>
      </c>
      <c r="E47" s="378">
        <f t="shared" si="0"/>
        <v>6159.3132290093617</v>
      </c>
      <c r="F47" s="378">
        <f t="shared" si="0"/>
        <v>11345.989533605982</v>
      </c>
      <c r="G47" s="378">
        <f t="shared" si="0"/>
        <v>6485.7568301468573</v>
      </c>
      <c r="H47" s="378">
        <f t="shared" si="0"/>
        <v>7758.7191669020176</v>
      </c>
      <c r="I47" s="361"/>
      <c r="J47" s="361"/>
      <c r="K47" s="361"/>
      <c r="L47" s="361"/>
      <c r="M47" s="361"/>
      <c r="N47" s="361"/>
      <c r="O47" s="361"/>
      <c r="P47" s="361"/>
    </row>
    <row r="48" spans="1:16" ht="15.75" x14ac:dyDescent="0.25">
      <c r="A48" s="372">
        <v>2010</v>
      </c>
      <c r="B48" s="378">
        <f t="shared" si="0"/>
        <v>104413.81629783772</v>
      </c>
      <c r="C48" s="378">
        <f t="shared" si="0"/>
        <v>2736.8933146975046</v>
      </c>
      <c r="D48" s="378">
        <f t="shared" si="0"/>
        <v>2654.7865152565796</v>
      </c>
      <c r="E48" s="378">
        <f t="shared" si="0"/>
        <v>6257.8622406735112</v>
      </c>
      <c r="F48" s="378">
        <f t="shared" si="0"/>
        <v>11527.525366143678</v>
      </c>
      <c r="G48" s="378">
        <f t="shared" si="0"/>
        <v>6589.5289394292067</v>
      </c>
      <c r="H48" s="378">
        <f t="shared" si="0"/>
        <v>7882.8586735724502</v>
      </c>
      <c r="I48" s="361"/>
      <c r="J48" s="361"/>
      <c r="K48" s="361"/>
      <c r="L48" s="361"/>
      <c r="M48" s="361"/>
      <c r="N48" s="361"/>
      <c r="O48" s="361"/>
      <c r="P48" s="361"/>
    </row>
    <row r="49" spans="1:16" ht="15.75" x14ac:dyDescent="0.25">
      <c r="A49" s="372">
        <v>2011</v>
      </c>
      <c r="B49" s="378">
        <f t="shared" si="0"/>
        <v>106084.43735860313</v>
      </c>
      <c r="C49" s="378">
        <f t="shared" si="0"/>
        <v>2780.6836077326648</v>
      </c>
      <c r="D49" s="378">
        <f t="shared" si="0"/>
        <v>2697.2630995006848</v>
      </c>
      <c r="E49" s="378">
        <f t="shared" si="0"/>
        <v>6357.9880365242871</v>
      </c>
      <c r="F49" s="378">
        <f t="shared" si="0"/>
        <v>11711.965772001977</v>
      </c>
      <c r="G49" s="378">
        <f t="shared" si="0"/>
        <v>6694.9614024600742</v>
      </c>
      <c r="H49" s="378">
        <f t="shared" si="0"/>
        <v>8008.9844123496096</v>
      </c>
      <c r="I49" s="363">
        <f t="shared" ref="I49:O49" si="1">B49/B$45</f>
        <v>1.065552449536</v>
      </c>
      <c r="J49" s="363">
        <f t="shared" si="1"/>
        <v>1.065552449536</v>
      </c>
      <c r="K49" s="363">
        <f t="shared" si="1"/>
        <v>1.065552449536</v>
      </c>
      <c r="L49" s="363">
        <f t="shared" si="1"/>
        <v>1.0655524495359998</v>
      </c>
      <c r="M49" s="363">
        <f t="shared" si="1"/>
        <v>1.065552449536</v>
      </c>
      <c r="N49" s="363">
        <f t="shared" si="1"/>
        <v>1.065552449536</v>
      </c>
      <c r="O49" s="363">
        <f t="shared" si="1"/>
        <v>1.065552449536</v>
      </c>
      <c r="P49" s="361"/>
    </row>
    <row r="50" spans="1:16" ht="15.75" x14ac:dyDescent="0.25">
      <c r="A50" s="372">
        <v>2012</v>
      </c>
      <c r="B50" s="378">
        <f t="shared" si="0"/>
        <v>107781.78835634078</v>
      </c>
      <c r="C50" s="378">
        <f t="shared" si="0"/>
        <v>2825.1745454563875</v>
      </c>
      <c r="D50" s="378">
        <f t="shared" si="0"/>
        <v>2740.4193090926956</v>
      </c>
      <c r="E50" s="378">
        <f t="shared" si="0"/>
        <v>6459.7158451086761</v>
      </c>
      <c r="F50" s="378">
        <f t="shared" si="0"/>
        <v>11899.357224354009</v>
      </c>
      <c r="G50" s="378">
        <f t="shared" si="0"/>
        <v>6802.0807848994355</v>
      </c>
      <c r="H50" s="378">
        <f t="shared" si="0"/>
        <v>8137.1281629472032</v>
      </c>
      <c r="I50" s="361"/>
      <c r="J50" s="361"/>
      <c r="K50" s="361"/>
      <c r="L50" s="361"/>
      <c r="M50" s="361"/>
      <c r="N50" s="361"/>
      <c r="O50" s="361"/>
      <c r="P50" s="361"/>
    </row>
    <row r="51" spans="1:16" ht="15.75" x14ac:dyDescent="0.25">
      <c r="A51" s="382">
        <v>2013</v>
      </c>
      <c r="B51" s="383">
        <f t="shared" si="0"/>
        <v>109506.29697004224</v>
      </c>
      <c r="C51" s="383">
        <f t="shared" si="0"/>
        <v>2870.3773381836895</v>
      </c>
      <c r="D51" s="383">
        <f t="shared" si="0"/>
        <v>2784.2660180381786</v>
      </c>
      <c r="E51" s="383">
        <f t="shared" si="0"/>
        <v>6563.0712986304152</v>
      </c>
      <c r="F51" s="383">
        <f t="shared" si="0"/>
        <v>12089.746939943674</v>
      </c>
      <c r="G51" s="383">
        <f t="shared" si="0"/>
        <v>6910.9140774578264</v>
      </c>
      <c r="H51" s="383">
        <f t="shared" si="0"/>
        <v>8267.3222135543583</v>
      </c>
      <c r="I51" s="363">
        <f t="shared" ref="I51:O51" si="2">B51/B$45</f>
        <v>1.0999229093482334</v>
      </c>
      <c r="J51" s="363">
        <f t="shared" si="2"/>
        <v>1.0999229093482332</v>
      </c>
      <c r="K51" s="363">
        <f t="shared" si="2"/>
        <v>1.0999229093482332</v>
      </c>
      <c r="L51" s="363">
        <f t="shared" si="2"/>
        <v>1.0999229093482332</v>
      </c>
      <c r="M51" s="363">
        <f t="shared" si="2"/>
        <v>1.0999229093482332</v>
      </c>
      <c r="N51" s="363">
        <f t="shared" si="2"/>
        <v>1.0999229093482332</v>
      </c>
      <c r="O51" s="363">
        <f t="shared" si="2"/>
        <v>1.0999229093482332</v>
      </c>
      <c r="P51" s="361"/>
    </row>
    <row r="52" spans="1:16" ht="15.75" x14ac:dyDescent="0.25">
      <c r="A52" s="372">
        <v>2014</v>
      </c>
      <c r="B52" s="378">
        <f t="shared" si="0"/>
        <v>111258.39772156291</v>
      </c>
      <c r="C52" s="378">
        <f t="shared" si="0"/>
        <v>2916.3033755946285</v>
      </c>
      <c r="D52" s="378">
        <f t="shared" si="0"/>
        <v>2828.8142743267895</v>
      </c>
      <c r="E52" s="378">
        <f t="shared" si="0"/>
        <v>6668.0804394085017</v>
      </c>
      <c r="F52" s="378">
        <f t="shared" si="0"/>
        <v>12283.182890982773</v>
      </c>
      <c r="G52" s="378">
        <f t="shared" si="0"/>
        <v>7021.4887026971519</v>
      </c>
      <c r="H52" s="378">
        <f t="shared" si="0"/>
        <v>8399.5993689712286</v>
      </c>
      <c r="I52" s="361"/>
      <c r="J52" s="361"/>
      <c r="K52" s="361"/>
      <c r="L52" s="361"/>
      <c r="M52" s="361"/>
      <c r="N52" s="361"/>
      <c r="O52" s="361"/>
      <c r="P52" s="361"/>
    </row>
    <row r="53" spans="1:16" ht="15.75" x14ac:dyDescent="0.25">
      <c r="A53" s="372">
        <v>2015</v>
      </c>
      <c r="B53" s="378">
        <f t="shared" si="0"/>
        <v>113038.53208510792</v>
      </c>
      <c r="C53" s="378">
        <f t="shared" si="0"/>
        <v>2962.9642296041425</v>
      </c>
      <c r="D53" s="378">
        <f t="shared" si="0"/>
        <v>2874.0753027160181</v>
      </c>
      <c r="E53" s="378">
        <f t="shared" si="0"/>
        <v>6774.7697264390381</v>
      </c>
      <c r="F53" s="378">
        <f t="shared" si="0"/>
        <v>12479.713817238497</v>
      </c>
      <c r="G53" s="378">
        <f t="shared" si="0"/>
        <v>7133.8325219403068</v>
      </c>
      <c r="H53" s="378">
        <f t="shared" si="0"/>
        <v>8533.9929588747691</v>
      </c>
      <c r="I53" s="361"/>
      <c r="J53" s="361"/>
      <c r="K53" s="361"/>
      <c r="L53" s="361"/>
      <c r="M53" s="361"/>
      <c r="N53" s="361"/>
      <c r="O53" s="361"/>
      <c r="P53" s="361"/>
    </row>
    <row r="54" spans="1:16" ht="15.75" x14ac:dyDescent="0.25">
      <c r="A54" s="372">
        <v>2016</v>
      </c>
      <c r="B54" s="378">
        <f t="shared" si="0"/>
        <v>114847.14859846965</v>
      </c>
      <c r="C54" s="378">
        <f t="shared" si="0"/>
        <v>3010.3716572778089</v>
      </c>
      <c r="D54" s="378">
        <f t="shared" si="0"/>
        <v>2920.0605075594744</v>
      </c>
      <c r="E54" s="378">
        <f t="shared" si="0"/>
        <v>6883.1660420620628</v>
      </c>
      <c r="F54" s="378">
        <f t="shared" si="0"/>
        <v>12679.389238314312</v>
      </c>
      <c r="G54" s="378">
        <f t="shared" si="0"/>
        <v>7247.9738422913515</v>
      </c>
      <c r="H54" s="378">
        <f t="shared" si="0"/>
        <v>8670.5368462167662</v>
      </c>
      <c r="I54" s="361"/>
      <c r="J54" s="361"/>
      <c r="K54" s="361"/>
      <c r="L54" s="361"/>
      <c r="M54" s="361"/>
      <c r="N54" s="361"/>
      <c r="O54" s="361"/>
      <c r="P54" s="361"/>
    </row>
    <row r="55" spans="1:16" ht="15.75" x14ac:dyDescent="0.25">
      <c r="A55" s="382">
        <v>2017</v>
      </c>
      <c r="B55" s="383">
        <f t="shared" si="0"/>
        <v>116684.70297604517</v>
      </c>
      <c r="C55" s="383">
        <f t="shared" si="0"/>
        <v>3058.5376037942538</v>
      </c>
      <c r="D55" s="383">
        <f t="shared" si="0"/>
        <v>2966.781475680426</v>
      </c>
      <c r="E55" s="383">
        <f t="shared" si="0"/>
        <v>6993.2966987350555</v>
      </c>
      <c r="F55" s="383">
        <f t="shared" si="0"/>
        <v>12882.259466127342</v>
      </c>
      <c r="G55" s="383">
        <f t="shared" si="0"/>
        <v>7363.941423768013</v>
      </c>
      <c r="H55" s="383">
        <f t="shared" si="0"/>
        <v>8809.2654357562351</v>
      </c>
      <c r="I55" s="363">
        <f t="shared" ref="I55:O55" si="3">B55/B$45</f>
        <v>1.1720255503567738</v>
      </c>
      <c r="J55" s="363">
        <f t="shared" si="3"/>
        <v>1.1720255503567736</v>
      </c>
      <c r="K55" s="363">
        <f t="shared" si="3"/>
        <v>1.1720255503567736</v>
      </c>
      <c r="L55" s="363">
        <f t="shared" si="3"/>
        <v>1.1720255503567736</v>
      </c>
      <c r="M55" s="363">
        <f t="shared" si="3"/>
        <v>1.1720255503567736</v>
      </c>
      <c r="N55" s="363">
        <f t="shared" si="3"/>
        <v>1.1720255503567736</v>
      </c>
      <c r="O55" s="363">
        <f t="shared" si="3"/>
        <v>1.172025550356774</v>
      </c>
      <c r="P55" s="361"/>
    </row>
    <row r="56" spans="1:16" ht="15.75" x14ac:dyDescent="0.25">
      <c r="A56" s="372">
        <v>2018</v>
      </c>
      <c r="B56" s="378">
        <f t="shared" si="0"/>
        <v>118551.6582236619</v>
      </c>
      <c r="C56" s="378">
        <f t="shared" si="0"/>
        <v>3107.474205454962</v>
      </c>
      <c r="D56" s="378">
        <f t="shared" si="0"/>
        <v>3014.2499792913127</v>
      </c>
      <c r="E56" s="378">
        <f t="shared" si="0"/>
        <v>7105.1894459148161</v>
      </c>
      <c r="F56" s="378">
        <f t="shared" si="0"/>
        <v>13088.37561758538</v>
      </c>
      <c r="G56" s="378">
        <f t="shared" si="0"/>
        <v>7481.7644865483016</v>
      </c>
      <c r="H56" s="378">
        <f t="shared" si="0"/>
        <v>8950.2136827283357</v>
      </c>
      <c r="I56" s="398">
        <f>B55/B52</f>
        <v>1.048772096</v>
      </c>
      <c r="J56" s="398">
        <f t="shared" ref="J56:O56" si="4">C55/C52</f>
        <v>1.048772096</v>
      </c>
      <c r="K56" s="398">
        <f t="shared" si="4"/>
        <v>1.048772096</v>
      </c>
      <c r="L56" s="398">
        <f t="shared" si="4"/>
        <v>1.048772096</v>
      </c>
      <c r="M56" s="398">
        <f t="shared" si="4"/>
        <v>1.048772096</v>
      </c>
      <c r="N56" s="398">
        <f t="shared" si="4"/>
        <v>1.048772096</v>
      </c>
      <c r="O56" s="398">
        <f t="shared" si="4"/>
        <v>1.0487720960000002</v>
      </c>
      <c r="P56" s="361"/>
    </row>
    <row r="57" spans="1:16" ht="15.75" x14ac:dyDescent="0.25">
      <c r="A57" s="372">
        <v>2019</v>
      </c>
      <c r="B57" s="378">
        <f t="shared" si="0"/>
        <v>120448.4847552405</v>
      </c>
      <c r="C57" s="378">
        <f t="shared" si="0"/>
        <v>3157.1937927422414</v>
      </c>
      <c r="D57" s="378">
        <f t="shared" si="0"/>
        <v>3062.4779789599738</v>
      </c>
      <c r="E57" s="378">
        <f t="shared" si="0"/>
        <v>7218.8724770494537</v>
      </c>
      <c r="F57" s="378">
        <f t="shared" si="0"/>
        <v>13297.789627466746</v>
      </c>
      <c r="G57" s="378">
        <f t="shared" si="0"/>
        <v>7601.4727183330742</v>
      </c>
      <c r="H57" s="378">
        <f t="shared" si="0"/>
        <v>9093.4171016519886</v>
      </c>
      <c r="I57" s="361"/>
      <c r="J57" s="361"/>
      <c r="K57" s="361"/>
      <c r="L57" s="361"/>
      <c r="M57" s="361"/>
      <c r="N57" s="361"/>
      <c r="O57" s="361"/>
      <c r="P57" s="361"/>
    </row>
    <row r="58" spans="1:16" ht="15.75" x14ac:dyDescent="0.25">
      <c r="A58" s="382">
        <v>2020</v>
      </c>
      <c r="B58" s="383">
        <f t="shared" si="0"/>
        <v>122375.66051132434</v>
      </c>
      <c r="C58" s="383">
        <f t="shared" si="0"/>
        <v>3207.7088934261174</v>
      </c>
      <c r="D58" s="383">
        <f t="shared" si="0"/>
        <v>3111.4776266233334</v>
      </c>
      <c r="E58" s="383">
        <f t="shared" si="0"/>
        <v>7334.3744366822448</v>
      </c>
      <c r="F58" s="383">
        <f t="shared" si="0"/>
        <v>13510.554261506213</v>
      </c>
      <c r="G58" s="383">
        <f t="shared" si="0"/>
        <v>7723.0962818264034</v>
      </c>
      <c r="H58" s="383">
        <f t="shared" si="0"/>
        <v>9238.9117752784205</v>
      </c>
      <c r="I58" s="363">
        <f t="shared" ref="I58:O58" si="5">B58/B$45</f>
        <v>1.2291876930132273</v>
      </c>
      <c r="J58" s="363">
        <f t="shared" si="5"/>
        <v>1.2291876930132271</v>
      </c>
      <c r="K58" s="363">
        <f t="shared" si="5"/>
        <v>1.2291876930132271</v>
      </c>
      <c r="L58" s="363">
        <f t="shared" si="5"/>
        <v>1.2291876930132271</v>
      </c>
      <c r="M58" s="363">
        <f t="shared" si="5"/>
        <v>1.2291876930132271</v>
      </c>
      <c r="N58" s="363">
        <f t="shared" si="5"/>
        <v>1.2291876930132271</v>
      </c>
      <c r="O58" s="363">
        <f t="shared" si="5"/>
        <v>1.2291876930132275</v>
      </c>
      <c r="P58" s="361"/>
    </row>
    <row r="59" spans="1:16" ht="15.75" x14ac:dyDescent="0.25">
      <c r="A59" s="372">
        <v>2021</v>
      </c>
      <c r="B59" s="378">
        <f t="shared" si="0"/>
        <v>124333.67107950554</v>
      </c>
      <c r="C59" s="378">
        <f t="shared" si="0"/>
        <v>3259.0322357209352</v>
      </c>
      <c r="D59" s="378">
        <f t="shared" si="0"/>
        <v>3161.2612686493067</v>
      </c>
      <c r="E59" s="378">
        <f t="shared" si="0"/>
        <v>7451.7244276691608</v>
      </c>
      <c r="F59" s="378">
        <f t="shared" si="0"/>
        <v>13726.723129690312</v>
      </c>
      <c r="G59" s="378">
        <f t="shared" si="0"/>
        <v>7846.6658223356262</v>
      </c>
      <c r="H59" s="378">
        <f t="shared" si="0"/>
        <v>9386.7343636828755</v>
      </c>
      <c r="I59" s="361"/>
      <c r="J59" s="361"/>
      <c r="K59" s="361"/>
      <c r="L59" s="361"/>
      <c r="M59" s="361"/>
      <c r="N59" s="361"/>
      <c r="O59" s="361"/>
      <c r="P59" s="361"/>
    </row>
    <row r="60" spans="1:16" ht="15.75" x14ac:dyDescent="0.25">
      <c r="A60" s="372">
        <v>2022</v>
      </c>
      <c r="B60" s="378">
        <f t="shared" si="0"/>
        <v>126323.00981677763</v>
      </c>
      <c r="C60" s="378">
        <f t="shared" si="0"/>
        <v>3311.1767514924704</v>
      </c>
      <c r="D60" s="378">
        <f t="shared" si="0"/>
        <v>3211.8414489476954</v>
      </c>
      <c r="E60" s="378">
        <f t="shared" si="0"/>
        <v>7570.9520185118672</v>
      </c>
      <c r="F60" s="378">
        <f t="shared" si="0"/>
        <v>13946.350699765357</v>
      </c>
      <c r="G60" s="378">
        <f t="shared" si="0"/>
        <v>7972.2124754929964</v>
      </c>
      <c r="H60" s="378">
        <f t="shared" si="0"/>
        <v>9536.9221135018015</v>
      </c>
      <c r="I60" s="361"/>
      <c r="J60" s="361"/>
      <c r="K60" s="361"/>
      <c r="L60" s="361"/>
      <c r="M60" s="361"/>
      <c r="N60" s="361"/>
      <c r="O60" s="361"/>
      <c r="P60" s="361"/>
    </row>
    <row r="61" spans="1:16" ht="15.75" x14ac:dyDescent="0.25">
      <c r="A61" s="373">
        <v>2023</v>
      </c>
      <c r="B61" s="378">
        <f t="shared" ref="B61:H76" si="6">B60*1.016</f>
        <v>128344.17797384608</v>
      </c>
      <c r="C61" s="378">
        <f t="shared" si="6"/>
        <v>3364.1555795163499</v>
      </c>
      <c r="D61" s="378">
        <f t="shared" si="6"/>
        <v>3263.2309121308585</v>
      </c>
      <c r="E61" s="378">
        <f t="shared" si="6"/>
        <v>7692.0872508080574</v>
      </c>
      <c r="F61" s="378">
        <f t="shared" si="6"/>
        <v>14169.492310961603</v>
      </c>
      <c r="G61" s="378">
        <f t="shared" si="6"/>
        <v>8099.7678751008843</v>
      </c>
      <c r="H61" s="378">
        <f t="shared" si="6"/>
        <v>9689.5128673178297</v>
      </c>
      <c r="I61" s="361"/>
      <c r="J61" s="361"/>
      <c r="K61" s="361"/>
      <c r="L61" s="361"/>
      <c r="M61" s="361"/>
      <c r="N61" s="361"/>
      <c r="O61" s="361"/>
      <c r="P61" s="361"/>
    </row>
    <row r="62" spans="1:16" ht="15.75" x14ac:dyDescent="0.25">
      <c r="A62" s="373">
        <v>2024</v>
      </c>
      <c r="B62" s="378">
        <f t="shared" si="6"/>
        <v>130397.68482142761</v>
      </c>
      <c r="C62" s="378">
        <f t="shared" si="6"/>
        <v>3417.9820687886117</v>
      </c>
      <c r="D62" s="378">
        <f t="shared" si="6"/>
        <v>3315.4426067249524</v>
      </c>
      <c r="E62" s="378">
        <f t="shared" si="6"/>
        <v>7815.1606468209866</v>
      </c>
      <c r="F62" s="378">
        <f t="shared" si="6"/>
        <v>14396.204187936988</v>
      </c>
      <c r="G62" s="378">
        <f t="shared" si="6"/>
        <v>8229.3641611024977</v>
      </c>
      <c r="H62" s="378">
        <f t="shared" si="6"/>
        <v>9844.5450731949149</v>
      </c>
      <c r="I62" s="361"/>
      <c r="J62" s="361"/>
      <c r="K62" s="361"/>
      <c r="L62" s="361"/>
      <c r="M62" s="361"/>
      <c r="N62" s="361"/>
      <c r="O62" s="361"/>
      <c r="P62" s="361"/>
    </row>
    <row r="63" spans="1:16" ht="15.75" x14ac:dyDescent="0.25">
      <c r="A63" s="386">
        <v>2025</v>
      </c>
      <c r="B63" s="383">
        <f t="shared" si="6"/>
        <v>132484.04777857044</v>
      </c>
      <c r="C63" s="383">
        <f t="shared" si="6"/>
        <v>3472.6697818892294</v>
      </c>
      <c r="D63" s="383">
        <f t="shared" si="6"/>
        <v>3368.4896884325517</v>
      </c>
      <c r="E63" s="383">
        <f t="shared" si="6"/>
        <v>7940.2032171701221</v>
      </c>
      <c r="F63" s="383">
        <f t="shared" si="6"/>
        <v>14626.54345494398</v>
      </c>
      <c r="G63" s="383">
        <f t="shared" si="6"/>
        <v>8361.0339876801372</v>
      </c>
      <c r="H63" s="383">
        <f t="shared" si="6"/>
        <v>10002.057794366034</v>
      </c>
      <c r="I63" s="363">
        <f>B63/B45</f>
        <v>1.3307201805454252</v>
      </c>
      <c r="J63" s="363">
        <f t="shared" ref="J63:O63" si="7">C63/C45</f>
        <v>1.330720180545425</v>
      </c>
      <c r="K63" s="363">
        <f t="shared" si="7"/>
        <v>1.3307201805454247</v>
      </c>
      <c r="L63" s="363">
        <f t="shared" si="7"/>
        <v>1.330720180545425</v>
      </c>
      <c r="M63" s="363">
        <f t="shared" si="7"/>
        <v>1.3307201805454247</v>
      </c>
      <c r="N63" s="363">
        <f t="shared" si="7"/>
        <v>1.3307201805454247</v>
      </c>
      <c r="O63" s="363">
        <f t="shared" si="7"/>
        <v>1.3307201805454252</v>
      </c>
      <c r="P63" s="361"/>
    </row>
    <row r="64" spans="1:16" ht="15.75" x14ac:dyDescent="0.25">
      <c r="A64" s="373">
        <v>2026</v>
      </c>
      <c r="B64" s="378">
        <f t="shared" si="6"/>
        <v>134603.79254302758</v>
      </c>
      <c r="C64" s="378">
        <f t="shared" si="6"/>
        <v>3528.2324983994572</v>
      </c>
      <c r="D64" s="378">
        <f t="shared" si="6"/>
        <v>3422.3855234474727</v>
      </c>
      <c r="E64" s="378">
        <f t="shared" si="6"/>
        <v>8067.2464686448438</v>
      </c>
      <c r="F64" s="378">
        <f t="shared" si="6"/>
        <v>14860.568150223084</v>
      </c>
      <c r="G64" s="378">
        <f t="shared" si="6"/>
        <v>8494.8105314830191</v>
      </c>
      <c r="H64" s="378">
        <f t="shared" si="6"/>
        <v>10162.09071907589</v>
      </c>
      <c r="I64" s="361"/>
      <c r="J64" s="361"/>
      <c r="K64" s="361"/>
      <c r="L64" s="361"/>
      <c r="M64" s="361"/>
      <c r="N64" s="361"/>
      <c r="O64" s="361"/>
      <c r="P64" s="361"/>
    </row>
    <row r="65" spans="1:16" ht="15.75" x14ac:dyDescent="0.25">
      <c r="A65" s="373">
        <v>2027</v>
      </c>
      <c r="B65" s="378">
        <f t="shared" si="6"/>
        <v>136757.45322371603</v>
      </c>
      <c r="C65" s="378">
        <f t="shared" si="6"/>
        <v>3584.6842183738486</v>
      </c>
      <c r="D65" s="378">
        <f t="shared" si="6"/>
        <v>3477.1436918226323</v>
      </c>
      <c r="E65" s="378">
        <f t="shared" si="6"/>
        <v>8196.3224121431613</v>
      </c>
      <c r="F65" s="378">
        <f t="shared" si="6"/>
        <v>15098.337240626654</v>
      </c>
      <c r="G65" s="378">
        <f t="shared" si="6"/>
        <v>8630.7274999867477</v>
      </c>
      <c r="H65" s="378">
        <f t="shared" si="6"/>
        <v>10324.684170581104</v>
      </c>
      <c r="I65" s="361"/>
      <c r="J65" s="361"/>
      <c r="K65" s="361"/>
      <c r="L65" s="361"/>
      <c r="M65" s="361"/>
      <c r="N65" s="361"/>
      <c r="O65" s="361"/>
      <c r="P65" s="361"/>
    </row>
    <row r="66" spans="1:16" ht="15.75" x14ac:dyDescent="0.25">
      <c r="A66" s="373">
        <v>2028</v>
      </c>
      <c r="B66" s="378">
        <f t="shared" si="6"/>
        <v>138945.57247529548</v>
      </c>
      <c r="C66" s="378">
        <f t="shared" si="6"/>
        <v>3642.0391658678304</v>
      </c>
      <c r="D66" s="378">
        <f t="shared" si="6"/>
        <v>3532.7779908917946</v>
      </c>
      <c r="E66" s="378">
        <f t="shared" si="6"/>
        <v>8327.4635707374528</v>
      </c>
      <c r="F66" s="378">
        <f t="shared" si="6"/>
        <v>15339.910636476679</v>
      </c>
      <c r="G66" s="378">
        <f t="shared" si="6"/>
        <v>8768.8191399865354</v>
      </c>
      <c r="H66" s="378">
        <f t="shared" si="6"/>
        <v>10489.879117310402</v>
      </c>
      <c r="I66" s="361"/>
      <c r="J66" s="361"/>
      <c r="K66" s="361"/>
      <c r="L66" s="361"/>
      <c r="M66" s="361"/>
      <c r="N66" s="361"/>
      <c r="O66" s="361"/>
      <c r="P66" s="361"/>
    </row>
    <row r="67" spans="1:16" ht="15.75" x14ac:dyDescent="0.25">
      <c r="A67" s="373">
        <v>2029</v>
      </c>
      <c r="B67" s="378">
        <f t="shared" si="6"/>
        <v>141168.70163490021</v>
      </c>
      <c r="C67" s="378">
        <f t="shared" si="6"/>
        <v>3700.3117925217157</v>
      </c>
      <c r="D67" s="378">
        <f t="shared" si="6"/>
        <v>3589.3024387460632</v>
      </c>
      <c r="E67" s="378">
        <f t="shared" si="6"/>
        <v>8460.702987869252</v>
      </c>
      <c r="F67" s="378">
        <f t="shared" si="6"/>
        <v>15585.349206660307</v>
      </c>
      <c r="G67" s="378">
        <f t="shared" si="6"/>
        <v>8909.1202462263209</v>
      </c>
      <c r="H67" s="378">
        <f t="shared" si="6"/>
        <v>10657.717183187369</v>
      </c>
      <c r="I67" s="361"/>
      <c r="J67" s="361"/>
      <c r="K67" s="361"/>
      <c r="L67" s="361"/>
      <c r="M67" s="361"/>
      <c r="N67" s="361"/>
      <c r="O67" s="361"/>
      <c r="P67" s="361"/>
    </row>
    <row r="68" spans="1:16" ht="15.75" x14ac:dyDescent="0.25">
      <c r="A68" s="373">
        <v>2030</v>
      </c>
      <c r="B68" s="378">
        <f t="shared" si="6"/>
        <v>143427.40086105862</v>
      </c>
      <c r="C68" s="378">
        <f t="shared" si="6"/>
        <v>3759.5167812020632</v>
      </c>
      <c r="D68" s="378">
        <f t="shared" si="6"/>
        <v>3646.7312777660004</v>
      </c>
      <c r="E68" s="378">
        <f t="shared" si="6"/>
        <v>8596.0742356751598</v>
      </c>
      <c r="F68" s="378">
        <f t="shared" si="6"/>
        <v>15834.714793966872</v>
      </c>
      <c r="G68" s="378">
        <f t="shared" si="6"/>
        <v>9051.6661701659414</v>
      </c>
      <c r="H68" s="378">
        <f t="shared" si="6"/>
        <v>10828.240658118368</v>
      </c>
      <c r="I68" s="361"/>
      <c r="J68" s="361"/>
      <c r="K68" s="361"/>
      <c r="L68" s="361"/>
      <c r="M68" s="361"/>
      <c r="N68" s="361"/>
      <c r="O68" s="361"/>
      <c r="P68" s="361"/>
    </row>
    <row r="69" spans="1:16" ht="15.75" x14ac:dyDescent="0.25">
      <c r="A69" s="373">
        <v>2031</v>
      </c>
      <c r="B69" s="378">
        <f t="shared" si="6"/>
        <v>145722.23927483556</v>
      </c>
      <c r="C69" s="378">
        <f t="shared" si="6"/>
        <v>3819.6690497012964</v>
      </c>
      <c r="D69" s="378">
        <f t="shared" si="6"/>
        <v>3705.0789782102565</v>
      </c>
      <c r="E69" s="378">
        <f t="shared" si="6"/>
        <v>8733.6114234459619</v>
      </c>
      <c r="F69" s="378">
        <f t="shared" si="6"/>
        <v>16088.070230670342</v>
      </c>
      <c r="G69" s="378">
        <f t="shared" si="6"/>
        <v>9196.4928288885967</v>
      </c>
      <c r="H69" s="378">
        <f t="shared" si="6"/>
        <v>11001.492508648262</v>
      </c>
      <c r="I69" s="361"/>
      <c r="J69" s="361"/>
      <c r="K69" s="361"/>
      <c r="L69" s="361"/>
      <c r="M69" s="361"/>
      <c r="N69" s="361"/>
      <c r="O69" s="361"/>
      <c r="P69" s="361"/>
    </row>
    <row r="70" spans="1:16" ht="15.75" x14ac:dyDescent="0.25">
      <c r="A70" s="373">
        <v>2032</v>
      </c>
      <c r="B70" s="378">
        <f t="shared" si="6"/>
        <v>148053.79510323293</v>
      </c>
      <c r="C70" s="378">
        <f t="shared" si="6"/>
        <v>3880.7837544965173</v>
      </c>
      <c r="D70" s="378">
        <f t="shared" si="6"/>
        <v>3764.3602418616206</v>
      </c>
      <c r="E70" s="378">
        <f t="shared" si="6"/>
        <v>8873.3492062210971</v>
      </c>
      <c r="F70" s="378">
        <f t="shared" si="6"/>
        <v>16345.479354361069</v>
      </c>
      <c r="G70" s="378">
        <f t="shared" si="6"/>
        <v>9343.6367141508144</v>
      </c>
      <c r="H70" s="378">
        <f t="shared" si="6"/>
        <v>11177.516388786635</v>
      </c>
      <c r="I70" s="361"/>
      <c r="J70" s="361"/>
      <c r="K70" s="361"/>
      <c r="L70" s="361"/>
      <c r="M70" s="361"/>
      <c r="N70" s="361"/>
      <c r="O70" s="361"/>
      <c r="P70" s="361"/>
    </row>
    <row r="71" spans="1:16" ht="15" customHeight="1" x14ac:dyDescent="0.25">
      <c r="A71" s="373">
        <v>2033</v>
      </c>
      <c r="B71" s="378">
        <f t="shared" si="6"/>
        <v>150422.65582488466</v>
      </c>
      <c r="C71" s="378">
        <f t="shared" si="6"/>
        <v>3942.8762945684616</v>
      </c>
      <c r="D71" s="378">
        <f t="shared" si="6"/>
        <v>3824.5900057314066</v>
      </c>
      <c r="E71" s="378">
        <f t="shared" si="6"/>
        <v>9015.3227935206341</v>
      </c>
      <c r="F71" s="378">
        <f t="shared" si="6"/>
        <v>16607.007024030845</v>
      </c>
      <c r="G71" s="378">
        <f t="shared" si="6"/>
        <v>9493.1349015772284</v>
      </c>
      <c r="H71" s="378">
        <f t="shared" si="6"/>
        <v>11356.356651007221</v>
      </c>
      <c r="I71" s="361"/>
      <c r="J71" s="361"/>
      <c r="K71" s="361"/>
      <c r="L71" s="361"/>
      <c r="M71" s="361"/>
      <c r="N71" s="361"/>
      <c r="O71" s="361"/>
      <c r="P71" s="361"/>
    </row>
    <row r="72" spans="1:16" ht="15.75" x14ac:dyDescent="0.25">
      <c r="A72" s="373">
        <v>2034</v>
      </c>
      <c r="B72" s="378">
        <f t="shared" si="6"/>
        <v>152829.41831808281</v>
      </c>
      <c r="C72" s="378">
        <f t="shared" si="6"/>
        <v>4005.962315281557</v>
      </c>
      <c r="D72" s="378">
        <f t="shared" si="6"/>
        <v>3885.7834458231091</v>
      </c>
      <c r="E72" s="378">
        <f t="shared" si="6"/>
        <v>9159.5679582169651</v>
      </c>
      <c r="F72" s="378">
        <f t="shared" si="6"/>
        <v>16872.71913641534</v>
      </c>
      <c r="G72" s="378">
        <f t="shared" si="6"/>
        <v>9645.0250600024647</v>
      </c>
      <c r="H72" s="378">
        <f t="shared" si="6"/>
        <v>11538.058357423337</v>
      </c>
      <c r="I72" s="361"/>
      <c r="J72" s="361"/>
      <c r="K72" s="361"/>
      <c r="L72" s="361"/>
      <c r="M72" s="361"/>
      <c r="N72" s="361"/>
      <c r="O72" s="361"/>
      <c r="P72" s="361"/>
    </row>
    <row r="73" spans="1:16" ht="15.75" x14ac:dyDescent="0.25">
      <c r="A73" s="373">
        <v>2035</v>
      </c>
      <c r="B73" s="378">
        <f t="shared" si="6"/>
        <v>155274.68901117213</v>
      </c>
      <c r="C73" s="378">
        <f t="shared" si="6"/>
        <v>4070.0577123260618</v>
      </c>
      <c r="D73" s="378">
        <f t="shared" si="6"/>
        <v>3947.9559809562788</v>
      </c>
      <c r="E73" s="378">
        <f t="shared" si="6"/>
        <v>9306.1210455484361</v>
      </c>
      <c r="F73" s="378">
        <f t="shared" si="6"/>
        <v>17142.682642597985</v>
      </c>
      <c r="G73" s="378">
        <f t="shared" si="6"/>
        <v>9799.3454609625041</v>
      </c>
      <c r="H73" s="378">
        <f t="shared" si="6"/>
        <v>11722.66729114211</v>
      </c>
      <c r="I73" s="361"/>
      <c r="J73" s="361"/>
      <c r="K73" s="361"/>
      <c r="L73" s="361"/>
      <c r="M73" s="361"/>
      <c r="N73" s="361"/>
      <c r="O73" s="361"/>
      <c r="P73" s="361"/>
    </row>
    <row r="74" spans="1:16" ht="15.75" x14ac:dyDescent="0.25">
      <c r="A74" s="373">
        <v>2036</v>
      </c>
      <c r="B74" s="378">
        <f t="shared" si="6"/>
        <v>157759.08403535088</v>
      </c>
      <c r="C74" s="378">
        <f t="shared" si="6"/>
        <v>4135.1786357232786</v>
      </c>
      <c r="D74" s="378">
        <f t="shared" si="6"/>
        <v>4011.1232766515795</v>
      </c>
      <c r="E74" s="378">
        <f t="shared" si="6"/>
        <v>9455.0189822772118</v>
      </c>
      <c r="F74" s="378">
        <f t="shared" si="6"/>
        <v>17416.965564879552</v>
      </c>
      <c r="G74" s="378">
        <f t="shared" si="6"/>
        <v>9956.1349883379044</v>
      </c>
      <c r="H74" s="378">
        <f t="shared" si="6"/>
        <v>11910.229967800384</v>
      </c>
      <c r="I74" s="361"/>
      <c r="J74" s="361"/>
      <c r="K74" s="361"/>
      <c r="L74" s="361"/>
      <c r="M74" s="361"/>
      <c r="N74" s="361"/>
      <c r="O74" s="361"/>
      <c r="P74" s="361"/>
    </row>
    <row r="75" spans="1:16" ht="15.75" x14ac:dyDescent="0.25">
      <c r="A75" s="373">
        <v>2037</v>
      </c>
      <c r="B75" s="378">
        <f t="shared" si="6"/>
        <v>160283.22937991651</v>
      </c>
      <c r="C75" s="378">
        <f t="shared" si="6"/>
        <v>4201.3414938948508</v>
      </c>
      <c r="D75" s="378">
        <f t="shared" si="6"/>
        <v>4075.3012490780047</v>
      </c>
      <c r="E75" s="378">
        <f t="shared" si="6"/>
        <v>9606.2992859936476</v>
      </c>
      <c r="F75" s="378">
        <f t="shared" si="6"/>
        <v>17695.637013917625</v>
      </c>
      <c r="G75" s="378">
        <f t="shared" si="6"/>
        <v>10115.433148151311</v>
      </c>
      <c r="H75" s="378">
        <f t="shared" si="6"/>
        <v>12100.793647285191</v>
      </c>
      <c r="I75" s="361"/>
      <c r="J75" s="361"/>
      <c r="K75" s="361"/>
      <c r="L75" s="361"/>
      <c r="M75" s="361"/>
      <c r="N75" s="361"/>
      <c r="O75" s="361"/>
      <c r="P75" s="361"/>
    </row>
    <row r="76" spans="1:16" ht="15.75" x14ac:dyDescent="0.25">
      <c r="A76" s="373">
        <v>2038</v>
      </c>
      <c r="B76" s="378">
        <f t="shared" si="6"/>
        <v>162847.76104999517</v>
      </c>
      <c r="C76" s="378">
        <f t="shared" si="6"/>
        <v>4268.5629577971686</v>
      </c>
      <c r="D76" s="378">
        <f t="shared" si="6"/>
        <v>4140.5060690632527</v>
      </c>
      <c r="E76" s="378">
        <f t="shared" si="6"/>
        <v>9760.0000745695452</v>
      </c>
      <c r="F76" s="378">
        <f t="shared" si="6"/>
        <v>17978.767206140306</v>
      </c>
      <c r="G76" s="378">
        <f t="shared" si="6"/>
        <v>10277.280078521731</v>
      </c>
      <c r="H76" s="378">
        <f t="shared" si="6"/>
        <v>12294.406345641753</v>
      </c>
      <c r="I76" s="361"/>
      <c r="J76" s="361"/>
      <c r="K76" s="361"/>
      <c r="L76" s="361"/>
      <c r="M76" s="361"/>
      <c r="N76" s="361"/>
      <c r="O76" s="361"/>
      <c r="P76" s="361"/>
    </row>
    <row r="77" spans="1:16" ht="15.75" x14ac:dyDescent="0.25">
      <c r="A77" s="373">
        <v>2039</v>
      </c>
      <c r="B77" s="378">
        <f t="shared" ref="B77:H78" si="8">B76*1.016</f>
        <v>165453.3252267951</v>
      </c>
      <c r="C77" s="378">
        <f t="shared" si="8"/>
        <v>4336.8599651219229</v>
      </c>
      <c r="D77" s="378">
        <f t="shared" si="8"/>
        <v>4206.7541661682644</v>
      </c>
      <c r="E77" s="378">
        <f t="shared" si="8"/>
        <v>9916.1600757626584</v>
      </c>
      <c r="F77" s="378">
        <f t="shared" si="8"/>
        <v>18266.42748143855</v>
      </c>
      <c r="G77" s="378">
        <f t="shared" si="8"/>
        <v>10441.716559778079</v>
      </c>
      <c r="H77" s="378">
        <f t="shared" si="8"/>
        <v>12491.116847172021</v>
      </c>
      <c r="I77" s="361"/>
      <c r="J77" s="361"/>
      <c r="K77" s="361"/>
      <c r="L77" s="361"/>
      <c r="M77" s="361"/>
      <c r="N77" s="361"/>
      <c r="O77" s="361"/>
      <c r="P77" s="361"/>
    </row>
    <row r="78" spans="1:16" ht="15.75" x14ac:dyDescent="0.25">
      <c r="A78" s="374">
        <v>2040</v>
      </c>
      <c r="B78" s="378">
        <f t="shared" si="8"/>
        <v>168100.57843042383</v>
      </c>
      <c r="C78" s="378">
        <f t="shared" si="8"/>
        <v>4406.2497245638733</v>
      </c>
      <c r="D78" s="378">
        <f t="shared" si="8"/>
        <v>4274.0622328269565</v>
      </c>
      <c r="E78" s="378">
        <f t="shared" si="8"/>
        <v>10074.818636974862</v>
      </c>
      <c r="F78" s="378">
        <f t="shared" si="8"/>
        <v>18558.690321141567</v>
      </c>
      <c r="G78" s="378">
        <f t="shared" si="8"/>
        <v>10608.784024734528</v>
      </c>
      <c r="H78" s="378">
        <f t="shared" si="8"/>
        <v>12690.974716726774</v>
      </c>
      <c r="I78" s="361"/>
      <c r="J78" s="361"/>
      <c r="K78" s="361"/>
      <c r="L78" s="361"/>
      <c r="M78" s="361"/>
      <c r="N78" s="361"/>
      <c r="O78" s="361"/>
      <c r="P78" s="361"/>
    </row>
    <row r="79" spans="1:16" ht="15.75" x14ac:dyDescent="0.25">
      <c r="A79" s="361"/>
      <c r="B79" s="361"/>
      <c r="C79" s="361"/>
      <c r="D79" s="361"/>
      <c r="E79" s="361"/>
      <c r="F79" s="361"/>
      <c r="G79" s="361"/>
      <c r="H79" s="361"/>
      <c r="I79" s="361"/>
      <c r="J79" s="361"/>
      <c r="K79" s="361"/>
      <c r="L79" s="361"/>
      <c r="M79" s="361"/>
      <c r="N79" s="361"/>
      <c r="O79" s="361"/>
      <c r="P79" s="361"/>
    </row>
    <row r="80" spans="1:16" ht="36" customHeight="1" x14ac:dyDescent="0.25">
      <c r="A80" s="602" t="s">
        <v>1002</v>
      </c>
      <c r="B80" s="602"/>
      <c r="C80" s="602"/>
      <c r="D80" s="602"/>
      <c r="E80" s="602"/>
      <c r="F80" s="602"/>
      <c r="G80" s="602"/>
      <c r="H80" s="602"/>
      <c r="I80" s="607"/>
      <c r="J80" s="607"/>
      <c r="K80" s="607"/>
      <c r="L80" s="607"/>
      <c r="M80" s="607"/>
      <c r="N80" s="607"/>
      <c r="O80" s="607"/>
      <c r="P80" s="607"/>
    </row>
    <row r="81" spans="1:16" ht="15.75" x14ac:dyDescent="0.25">
      <c r="A81" s="364" t="s">
        <v>932</v>
      </c>
      <c r="B81" s="365" t="s">
        <v>96</v>
      </c>
      <c r="C81" s="366" t="s">
        <v>7</v>
      </c>
      <c r="D81" s="366" t="s">
        <v>924</v>
      </c>
      <c r="E81" s="366" t="s">
        <v>8</v>
      </c>
      <c r="F81" s="366" t="s">
        <v>10</v>
      </c>
      <c r="G81" s="366" t="s">
        <v>69</v>
      </c>
      <c r="H81" s="367" t="s">
        <v>17</v>
      </c>
      <c r="I81" s="361"/>
      <c r="J81" s="361"/>
      <c r="K81" s="361"/>
      <c r="L81" s="361"/>
      <c r="M81" s="361"/>
      <c r="N81" s="361"/>
      <c r="O81" s="361"/>
      <c r="P81" s="361"/>
    </row>
    <row r="82" spans="1:16" ht="15.75" x14ac:dyDescent="0.25">
      <c r="A82" s="368">
        <v>2006</v>
      </c>
      <c r="B82" s="387">
        <f>1-(B44-B4)/B44</f>
        <v>1</v>
      </c>
      <c r="C82" s="387">
        <f t="shared" ref="C82:H82" si="9">1-(C44-C4)/C44</f>
        <v>1</v>
      </c>
      <c r="D82" s="387">
        <f t="shared" si="9"/>
        <v>1</v>
      </c>
      <c r="E82" s="387">
        <f t="shared" si="9"/>
        <v>1</v>
      </c>
      <c r="F82" s="387">
        <f t="shared" si="9"/>
        <v>1</v>
      </c>
      <c r="G82" s="387">
        <f t="shared" si="9"/>
        <v>1</v>
      </c>
      <c r="H82" s="387">
        <f t="shared" si="9"/>
        <v>1</v>
      </c>
      <c r="I82" s="361"/>
      <c r="J82" s="361"/>
      <c r="K82" s="361"/>
      <c r="L82" s="361"/>
      <c r="M82" s="361"/>
      <c r="N82" s="361"/>
      <c r="O82" s="361"/>
      <c r="P82" s="361"/>
    </row>
    <row r="83" spans="1:16" ht="15.75" x14ac:dyDescent="0.25">
      <c r="A83" s="368">
        <v>2007</v>
      </c>
      <c r="B83" s="387">
        <f t="shared" ref="B83:H98" si="10">1-(B45-B5)/B45</f>
        <v>0.99547719209153918</v>
      </c>
      <c r="C83" s="387">
        <f t="shared" si="10"/>
        <v>0.99562003960030721</v>
      </c>
      <c r="D83" s="387">
        <f t="shared" si="10"/>
        <v>0.99562003960030721</v>
      </c>
      <c r="E83" s="387">
        <f t="shared" si="10"/>
        <v>0.99616807905287841</v>
      </c>
      <c r="F83" s="387">
        <f t="shared" si="10"/>
        <v>1.0000000000000002</v>
      </c>
      <c r="G83" s="387">
        <f t="shared" si="10"/>
        <v>0.99616807905287841</v>
      </c>
      <c r="H83" s="387">
        <f t="shared" si="10"/>
        <v>1.0000053217856082</v>
      </c>
      <c r="I83" s="361"/>
      <c r="J83" s="361"/>
      <c r="K83" s="361"/>
      <c r="L83" s="361"/>
      <c r="M83" s="361"/>
      <c r="N83" s="361"/>
      <c r="O83" s="361"/>
      <c r="P83" s="361"/>
    </row>
    <row r="84" spans="1:16" ht="15.75" x14ac:dyDescent="0.25">
      <c r="A84" s="368">
        <v>2008</v>
      </c>
      <c r="B84" s="387">
        <f t="shared" si="10"/>
        <v>0.97417546920380316</v>
      </c>
      <c r="C84" s="387">
        <f t="shared" si="10"/>
        <v>0.85275763860562059</v>
      </c>
      <c r="D84" s="387">
        <f t="shared" si="10"/>
        <v>0.85275763860562059</v>
      </c>
      <c r="E84" s="387">
        <f t="shared" si="10"/>
        <v>0.96999421983859158</v>
      </c>
      <c r="F84" s="387">
        <f t="shared" si="10"/>
        <v>0.99999999999999967</v>
      </c>
      <c r="G84" s="387">
        <f t="shared" si="10"/>
        <v>0.96999421983859146</v>
      </c>
      <c r="H84" s="387">
        <f t="shared" si="10"/>
        <v>0.11665702110485121</v>
      </c>
      <c r="I84" s="361"/>
      <c r="J84" s="361"/>
      <c r="K84" s="361"/>
      <c r="L84" s="361"/>
      <c r="M84" s="361"/>
      <c r="N84" s="361"/>
      <c r="O84" s="361"/>
      <c r="P84" s="361"/>
    </row>
    <row r="85" spans="1:16" ht="15.75" x14ac:dyDescent="0.25">
      <c r="A85" s="372">
        <v>2009</v>
      </c>
      <c r="B85" s="387">
        <f t="shared" si="10"/>
        <v>0.96977435770079112</v>
      </c>
      <c r="C85" s="387">
        <f t="shared" si="10"/>
        <v>0.84849611347461962</v>
      </c>
      <c r="D85" s="387">
        <f t="shared" si="10"/>
        <v>0.84849611347461973</v>
      </c>
      <c r="E85" s="387">
        <f t="shared" si="10"/>
        <v>0.96629697257546066</v>
      </c>
      <c r="F85" s="387">
        <f t="shared" si="10"/>
        <v>0.99999999999999967</v>
      </c>
      <c r="G85" s="387">
        <f t="shared" si="10"/>
        <v>0.96629697257546066</v>
      </c>
      <c r="H85" s="387">
        <f t="shared" si="10"/>
        <v>0.11667248757520776</v>
      </c>
      <c r="I85" s="361"/>
      <c r="J85" s="361"/>
      <c r="K85" s="361"/>
      <c r="L85" s="361"/>
      <c r="M85" s="361"/>
      <c r="N85" s="361"/>
      <c r="O85" s="361"/>
      <c r="P85" s="361"/>
    </row>
    <row r="86" spans="1:16" ht="15.75" x14ac:dyDescent="0.25">
      <c r="A86" s="372">
        <v>2010</v>
      </c>
      <c r="B86" s="387">
        <f t="shared" si="10"/>
        <v>0.9516130710513877</v>
      </c>
      <c r="C86" s="387">
        <f t="shared" si="10"/>
        <v>0.82929991712395135</v>
      </c>
      <c r="D86" s="387">
        <f t="shared" si="10"/>
        <v>0.82929991712395124</v>
      </c>
      <c r="E86" s="387">
        <f t="shared" si="10"/>
        <v>0.94240010882361758</v>
      </c>
      <c r="F86" s="387">
        <f t="shared" si="10"/>
        <v>0.99999999999999956</v>
      </c>
      <c r="G86" s="387">
        <f t="shared" si="10"/>
        <v>0.94240010882361758</v>
      </c>
      <c r="H86" s="387">
        <f t="shared" si="10"/>
        <v>0.11666132411235197</v>
      </c>
      <c r="I86" s="361"/>
      <c r="J86" s="361"/>
      <c r="K86" s="361"/>
      <c r="L86" s="361"/>
      <c r="M86" s="361"/>
      <c r="N86" s="361"/>
      <c r="O86" s="361"/>
      <c r="P86" s="361"/>
    </row>
    <row r="87" spans="1:16" ht="15.75" x14ac:dyDescent="0.25">
      <c r="A87" s="388">
        <v>2011</v>
      </c>
      <c r="B87" s="389">
        <f t="shared" si="10"/>
        <v>0.94602359298715788</v>
      </c>
      <c r="C87" s="389">
        <f t="shared" si="10"/>
        <v>0.82414216253236328</v>
      </c>
      <c r="D87" s="389">
        <f t="shared" si="10"/>
        <v>0.82414216253236328</v>
      </c>
      <c r="E87" s="389">
        <f t="shared" si="10"/>
        <v>0.93685696305932076</v>
      </c>
      <c r="F87" s="389">
        <f t="shared" si="10"/>
        <v>0.99999999999999956</v>
      </c>
      <c r="G87" s="389">
        <f t="shared" si="10"/>
        <v>0.93685696305932065</v>
      </c>
      <c r="H87" s="389">
        <f t="shared" si="10"/>
        <v>0.11662436561864531</v>
      </c>
      <c r="I87" s="361"/>
      <c r="J87" s="361"/>
      <c r="K87" s="361"/>
      <c r="L87" s="361"/>
      <c r="M87" s="361"/>
      <c r="N87" s="361"/>
      <c r="O87" s="361"/>
      <c r="P87" s="361"/>
    </row>
    <row r="88" spans="1:16" ht="15.75" x14ac:dyDescent="0.25">
      <c r="A88" s="372">
        <v>2012</v>
      </c>
      <c r="B88" s="387">
        <f t="shared" si="10"/>
        <v>0.91700569029058276</v>
      </c>
      <c r="C88" s="387">
        <f t="shared" si="10"/>
        <v>0.79493193625877834</v>
      </c>
      <c r="D88" s="387">
        <f t="shared" si="10"/>
        <v>0.79493193625877834</v>
      </c>
      <c r="E88" s="387">
        <f t="shared" si="10"/>
        <v>0.8987936014776251</v>
      </c>
      <c r="F88" s="387">
        <f t="shared" si="10"/>
        <v>0.99999999999999967</v>
      </c>
      <c r="G88" s="387">
        <f t="shared" si="10"/>
        <v>0.8987936014776251</v>
      </c>
      <c r="H88" s="387">
        <f t="shared" si="10"/>
        <v>0.11668532078489902</v>
      </c>
      <c r="I88" s="361"/>
      <c r="J88" s="361"/>
      <c r="K88" s="361"/>
      <c r="L88" s="361"/>
      <c r="M88" s="361"/>
      <c r="N88" s="361"/>
      <c r="O88" s="361"/>
      <c r="P88" s="361"/>
    </row>
    <row r="89" spans="1:16" ht="15.75" x14ac:dyDescent="0.25">
      <c r="A89" s="388">
        <v>2013</v>
      </c>
      <c r="B89" s="389">
        <f t="shared" si="10"/>
        <v>0.91157763786577117</v>
      </c>
      <c r="C89" s="389">
        <f t="shared" si="10"/>
        <v>0.77708694181600935</v>
      </c>
      <c r="D89" s="389">
        <f t="shared" si="10"/>
        <v>0.77708694181600935</v>
      </c>
      <c r="E89" s="389">
        <f t="shared" si="10"/>
        <v>0.89344672030676497</v>
      </c>
      <c r="F89" s="389">
        <f t="shared" si="10"/>
        <v>0.99999999999999956</v>
      </c>
      <c r="G89" s="389">
        <f t="shared" si="10"/>
        <v>0.89344672030676497</v>
      </c>
      <c r="H89" s="389">
        <f t="shared" si="10"/>
        <v>3.3451741671867152E-3</v>
      </c>
      <c r="I89" s="361"/>
      <c r="J89" s="361"/>
      <c r="K89" s="361"/>
      <c r="L89" s="361"/>
      <c r="M89" s="361"/>
      <c r="N89" s="361"/>
      <c r="O89" s="361"/>
      <c r="P89" s="361"/>
    </row>
    <row r="90" spans="1:16" ht="15.75" x14ac:dyDescent="0.25">
      <c r="A90" s="372">
        <v>2014</v>
      </c>
      <c r="B90" s="387">
        <f t="shared" si="10"/>
        <v>0.88291423517055878</v>
      </c>
      <c r="C90" s="387">
        <f t="shared" si="10"/>
        <v>0.75114598471143912</v>
      </c>
      <c r="D90" s="387">
        <f t="shared" si="10"/>
        <v>0.75114598471143912</v>
      </c>
      <c r="E90" s="387">
        <f t="shared" si="10"/>
        <v>0.8583131268088724</v>
      </c>
      <c r="F90" s="387">
        <f t="shared" si="10"/>
        <v>0.99999999999999967</v>
      </c>
      <c r="G90" s="387">
        <f t="shared" si="10"/>
        <v>0.85831312680887228</v>
      </c>
      <c r="H90" s="387">
        <f t="shared" si="10"/>
        <v>3.2975528483085714E-3</v>
      </c>
      <c r="I90" s="361"/>
      <c r="J90" s="361"/>
      <c r="K90" s="361"/>
      <c r="L90" s="361"/>
      <c r="M90" s="361"/>
      <c r="N90" s="361"/>
      <c r="O90" s="361"/>
      <c r="P90" s="361"/>
    </row>
    <row r="91" spans="1:16" ht="15.75" x14ac:dyDescent="0.25">
      <c r="A91" s="372">
        <v>2015</v>
      </c>
      <c r="B91" s="387">
        <f t="shared" si="10"/>
        <v>0.87603765891281138</v>
      </c>
      <c r="C91" s="387">
        <f t="shared" si="10"/>
        <v>0.74525993371390098</v>
      </c>
      <c r="D91" s="387">
        <f t="shared" si="10"/>
        <v>0.74525993371390098</v>
      </c>
      <c r="E91" s="387">
        <f t="shared" si="10"/>
        <v>0.85178192608920489</v>
      </c>
      <c r="F91" s="387">
        <f t="shared" si="10"/>
        <v>0.99999999999999989</v>
      </c>
      <c r="G91" s="387">
        <f t="shared" si="10"/>
        <v>0.85178192608920478</v>
      </c>
      <c r="H91" s="387">
        <f t="shared" si="10"/>
        <v>3.3678599135815723E-3</v>
      </c>
      <c r="I91" s="361"/>
      <c r="J91" s="361"/>
      <c r="K91" s="361"/>
      <c r="L91" s="361"/>
      <c r="M91" s="361"/>
      <c r="N91" s="361"/>
      <c r="O91" s="361"/>
      <c r="P91" s="361"/>
    </row>
    <row r="92" spans="1:16" ht="15.75" x14ac:dyDescent="0.25">
      <c r="A92" s="372">
        <v>2016</v>
      </c>
      <c r="B92" s="387">
        <f t="shared" si="10"/>
        <v>0.84994825110180938</v>
      </c>
      <c r="C92" s="387">
        <f t="shared" si="10"/>
        <v>0.71822370930069224</v>
      </c>
      <c r="D92" s="387">
        <f t="shared" si="10"/>
        <v>0.71822370930069213</v>
      </c>
      <c r="E92" s="387">
        <f t="shared" si="10"/>
        <v>0.81532155780491211</v>
      </c>
      <c r="F92" s="387">
        <f t="shared" si="10"/>
        <v>0.99999999999999967</v>
      </c>
      <c r="G92" s="387">
        <f t="shared" si="10"/>
        <v>0.81532155780491222</v>
      </c>
      <c r="H92" s="387">
        <f t="shared" si="10"/>
        <v>3.3198813388545245E-3</v>
      </c>
      <c r="I92" s="361"/>
      <c r="J92" s="361"/>
      <c r="K92" s="361"/>
      <c r="L92" s="361"/>
      <c r="M92" s="361"/>
      <c r="N92" s="361"/>
      <c r="O92" s="361"/>
      <c r="P92" s="361"/>
    </row>
    <row r="93" spans="1:16" ht="15.75" x14ac:dyDescent="0.25">
      <c r="A93" s="388">
        <v>2017</v>
      </c>
      <c r="B93" s="389">
        <f t="shared" si="10"/>
        <v>0.8432329679431636</v>
      </c>
      <c r="C93" s="389">
        <f t="shared" si="10"/>
        <v>0.71249403916079612</v>
      </c>
      <c r="D93" s="389">
        <f t="shared" si="10"/>
        <v>0.71249403916079612</v>
      </c>
      <c r="E93" s="389">
        <f t="shared" si="10"/>
        <v>0.80898953735428436</v>
      </c>
      <c r="F93" s="389">
        <f t="shared" si="10"/>
        <v>0.99999999999999967</v>
      </c>
      <c r="G93" s="389">
        <f t="shared" si="10"/>
        <v>0.80898953735428436</v>
      </c>
      <c r="H93" s="389">
        <f t="shared" si="10"/>
        <v>3.3861751750726699E-3</v>
      </c>
      <c r="I93" s="361"/>
      <c r="J93" s="361"/>
      <c r="K93" s="361"/>
      <c r="L93" s="361"/>
      <c r="M93" s="361"/>
      <c r="N93" s="361"/>
      <c r="O93" s="361"/>
      <c r="P93" s="361"/>
    </row>
    <row r="94" spans="1:16" ht="15.75" x14ac:dyDescent="0.25">
      <c r="A94" s="372">
        <v>2018</v>
      </c>
      <c r="B94" s="387">
        <f t="shared" si="10"/>
        <v>0.82684873421940708</v>
      </c>
      <c r="C94" s="387">
        <f t="shared" si="10"/>
        <v>0.69586909101008987</v>
      </c>
      <c r="D94" s="387">
        <f t="shared" si="10"/>
        <v>0.69586909101008987</v>
      </c>
      <c r="E94" s="387">
        <f t="shared" si="10"/>
        <v>0.78706772317327878</v>
      </c>
      <c r="F94" s="387">
        <f t="shared" si="10"/>
        <v>0.99999999999999944</v>
      </c>
      <c r="G94" s="387">
        <f t="shared" si="10"/>
        <v>0.78706772317327878</v>
      </c>
      <c r="H94" s="387">
        <f t="shared" si="10"/>
        <v>3.3379081710308567E-3</v>
      </c>
      <c r="I94" s="361"/>
      <c r="J94" s="361"/>
      <c r="K94" s="361"/>
      <c r="L94" s="361"/>
      <c r="M94" s="361"/>
      <c r="N94" s="361"/>
      <c r="O94" s="361"/>
      <c r="P94" s="361"/>
    </row>
    <row r="95" spans="1:16" ht="15.75" x14ac:dyDescent="0.25">
      <c r="A95" s="372">
        <v>2019</v>
      </c>
      <c r="B95" s="387">
        <f t="shared" si="10"/>
        <v>0.81936698110744477</v>
      </c>
      <c r="C95" s="387">
        <f t="shared" si="10"/>
        <v>0.69025398644065472</v>
      </c>
      <c r="D95" s="387">
        <f t="shared" si="10"/>
        <v>0.69025398644065472</v>
      </c>
      <c r="E95" s="387">
        <f t="shared" si="10"/>
        <v>0.78087662527194546</v>
      </c>
      <c r="F95" s="387">
        <f t="shared" si="10"/>
        <v>1</v>
      </c>
      <c r="G95" s="387">
        <f t="shared" si="10"/>
        <v>0.78087662527194557</v>
      </c>
      <c r="H95" s="387">
        <f t="shared" si="10"/>
        <v>3.2904012772888569E-3</v>
      </c>
      <c r="I95" s="361"/>
      <c r="J95" s="361"/>
      <c r="K95" s="361"/>
      <c r="L95" s="361"/>
      <c r="M95" s="361"/>
      <c r="N95" s="361"/>
      <c r="O95" s="361"/>
      <c r="P95" s="361"/>
    </row>
    <row r="96" spans="1:16" ht="15.75" x14ac:dyDescent="0.25">
      <c r="A96" s="388">
        <v>2020</v>
      </c>
      <c r="B96" s="389">
        <f t="shared" si="10"/>
        <v>0.77127261903889566</v>
      </c>
      <c r="C96" s="389">
        <f t="shared" si="10"/>
        <v>0.65039700615999552</v>
      </c>
      <c r="D96" s="389">
        <f t="shared" si="10"/>
        <v>0.65039700615999552</v>
      </c>
      <c r="E96" s="389">
        <f t="shared" si="10"/>
        <v>0.72623763446701028</v>
      </c>
      <c r="F96" s="389">
        <f t="shared" si="10"/>
        <v>0.99999999999999956</v>
      </c>
      <c r="G96" s="389">
        <f t="shared" si="10"/>
        <v>0.72623763446701028</v>
      </c>
      <c r="H96" s="389">
        <f t="shared" si="10"/>
        <v>3.3518803793535223E-3</v>
      </c>
      <c r="I96" s="361"/>
      <c r="J96" s="361"/>
      <c r="K96" s="361"/>
      <c r="L96" s="361"/>
      <c r="M96" s="361"/>
      <c r="N96" s="361"/>
      <c r="O96" s="361"/>
      <c r="P96" s="361"/>
    </row>
    <row r="97" spans="1:16" ht="15.75" x14ac:dyDescent="0.25">
      <c r="A97" s="372">
        <v>2021</v>
      </c>
      <c r="B97" s="387">
        <f t="shared" si="10"/>
        <v>0.76403368464863397</v>
      </c>
      <c r="C97" s="387">
        <f t="shared" si="10"/>
        <v>0.64498727212394735</v>
      </c>
      <c r="D97" s="387">
        <f t="shared" si="10"/>
        <v>0.64498727212394757</v>
      </c>
      <c r="E97" s="387">
        <f t="shared" si="10"/>
        <v>0.72031547878817093</v>
      </c>
      <c r="F97" s="387">
        <f t="shared" si="10"/>
        <v>0.99999999999999933</v>
      </c>
      <c r="G97" s="387">
        <f t="shared" si="10"/>
        <v>0.72031547878817093</v>
      </c>
      <c r="H97" s="387">
        <f t="shared" si="10"/>
        <v>3.3041534508346793E-3</v>
      </c>
      <c r="I97" s="361"/>
      <c r="J97" s="361"/>
      <c r="K97" s="361"/>
      <c r="L97" s="361"/>
      <c r="M97" s="361"/>
      <c r="N97" s="361"/>
      <c r="O97" s="361"/>
      <c r="P97" s="361"/>
    </row>
    <row r="98" spans="1:16" ht="15.75" x14ac:dyDescent="0.25">
      <c r="A98" s="372">
        <v>2022</v>
      </c>
      <c r="B98" s="387">
        <f t="shared" si="10"/>
        <v>0.7335428678625282</v>
      </c>
      <c r="C98" s="387">
        <f t="shared" si="10"/>
        <v>0.61911395204588948</v>
      </c>
      <c r="D98" s="387">
        <f t="shared" si="10"/>
        <v>0.6191139520458897</v>
      </c>
      <c r="E98" s="387">
        <f t="shared" si="10"/>
        <v>0.68531252195411052</v>
      </c>
      <c r="F98" s="387">
        <f t="shared" si="10"/>
        <v>0.99999999999999978</v>
      </c>
      <c r="G98" s="387">
        <f t="shared" si="10"/>
        <v>0.68531252195411041</v>
      </c>
      <c r="H98" s="387">
        <f t="shared" si="10"/>
        <v>3.3620337599566952E-3</v>
      </c>
      <c r="I98" s="361"/>
      <c r="J98" s="361"/>
      <c r="K98" s="361"/>
      <c r="L98" s="361"/>
      <c r="M98" s="361"/>
      <c r="N98" s="361"/>
      <c r="O98" s="361"/>
      <c r="P98" s="361"/>
    </row>
    <row r="99" spans="1:16" ht="15.75" x14ac:dyDescent="0.25">
      <c r="A99" s="373">
        <v>2023</v>
      </c>
      <c r="B99" s="387">
        <f t="shared" ref="B99:H114" si="11">1-(B61-B21)/B61</f>
        <v>0.71572742496015374</v>
      </c>
      <c r="C99" s="387">
        <f t="shared" si="11"/>
        <v>0.60472189766223261</v>
      </c>
      <c r="D99" s="387">
        <f t="shared" si="11"/>
        <v>0.60472189766223272</v>
      </c>
      <c r="E99" s="387">
        <f t="shared" si="11"/>
        <v>0.66937217824233564</v>
      </c>
      <c r="F99" s="387">
        <f t="shared" si="11"/>
        <v>1</v>
      </c>
      <c r="G99" s="387">
        <f t="shared" si="11"/>
        <v>0.66937217824233564</v>
      </c>
      <c r="H99" s="387">
        <f t="shared" si="11"/>
        <v>3.3141469356803288E-3</v>
      </c>
      <c r="I99" s="361"/>
      <c r="J99" s="361"/>
      <c r="K99" s="361"/>
      <c r="L99" s="361"/>
      <c r="M99" s="361"/>
      <c r="N99" s="361"/>
      <c r="O99" s="361"/>
      <c r="P99" s="361"/>
    </row>
    <row r="100" spans="1:16" ht="15.75" x14ac:dyDescent="0.25">
      <c r="A100" s="373">
        <v>2024</v>
      </c>
      <c r="B100" s="387">
        <f t="shared" si="11"/>
        <v>0.67947623509324073</v>
      </c>
      <c r="C100" s="387">
        <f t="shared" si="11"/>
        <v>0.57428444969602754</v>
      </c>
      <c r="D100" s="387">
        <f t="shared" si="11"/>
        <v>0.57428444969602777</v>
      </c>
      <c r="E100" s="387">
        <f t="shared" si="11"/>
        <v>0.62989372361839191</v>
      </c>
      <c r="F100" s="387">
        <f t="shared" si="11"/>
        <v>0.99999999999999967</v>
      </c>
      <c r="G100" s="387">
        <f t="shared" si="11"/>
        <v>0.62989372361839191</v>
      </c>
      <c r="H100" s="387">
        <f t="shared" si="11"/>
        <v>3.368593331731673E-3</v>
      </c>
      <c r="I100" s="361"/>
      <c r="J100" s="361"/>
      <c r="K100" s="361"/>
      <c r="L100" s="361"/>
      <c r="M100" s="361"/>
      <c r="N100" s="361"/>
      <c r="O100" s="361"/>
      <c r="P100" s="361"/>
    </row>
    <row r="101" spans="1:16" ht="15.75" x14ac:dyDescent="0.25">
      <c r="A101" s="390">
        <v>2025</v>
      </c>
      <c r="B101" s="389">
        <f t="shared" si="11"/>
        <v>0.63376904054873762</v>
      </c>
      <c r="C101" s="389">
        <f t="shared" si="11"/>
        <v>0.53428821587548503</v>
      </c>
      <c r="D101" s="389">
        <f t="shared" si="11"/>
        <v>0.53428821587548514</v>
      </c>
      <c r="E101" s="389">
        <f t="shared" si="11"/>
        <v>0.57508219089420676</v>
      </c>
      <c r="F101" s="389">
        <f t="shared" si="11"/>
        <v>0.99999999999999978</v>
      </c>
      <c r="G101" s="389">
        <f t="shared" si="11"/>
        <v>0.57508219089420687</v>
      </c>
      <c r="H101" s="389">
        <f t="shared" si="11"/>
        <v>3.3206032071124714E-3</v>
      </c>
      <c r="I101" s="361"/>
      <c r="J101" s="361"/>
      <c r="K101" s="361"/>
      <c r="L101" s="361"/>
      <c r="M101" s="361"/>
      <c r="N101" s="361"/>
      <c r="O101" s="361"/>
      <c r="P101" s="361"/>
    </row>
    <row r="102" spans="1:16" ht="15.75" x14ac:dyDescent="0.25">
      <c r="A102" s="373">
        <v>2026</v>
      </c>
      <c r="B102" s="387">
        <f t="shared" si="11"/>
        <v>0.61231657306164478</v>
      </c>
      <c r="C102" s="387">
        <f t="shared" si="11"/>
        <v>0.51638153845366597</v>
      </c>
      <c r="D102" s="387">
        <f t="shared" si="11"/>
        <v>0.51638153845366608</v>
      </c>
      <c r="E102" s="387">
        <f t="shared" si="11"/>
        <v>0.55470942149367541</v>
      </c>
      <c r="F102" s="387">
        <f t="shared" si="11"/>
        <v>0.99999999999999978</v>
      </c>
      <c r="G102" s="387">
        <f t="shared" si="11"/>
        <v>0.55470942149367564</v>
      </c>
      <c r="H102" s="387">
        <f t="shared" si="11"/>
        <v>3.3717737796230551E-3</v>
      </c>
      <c r="I102" s="361"/>
      <c r="J102" s="361"/>
      <c r="K102" s="361"/>
      <c r="L102" s="361"/>
      <c r="M102" s="361"/>
      <c r="N102" s="361"/>
      <c r="O102" s="361"/>
      <c r="P102" s="361"/>
    </row>
    <row r="103" spans="1:16" ht="15.75" x14ac:dyDescent="0.25">
      <c r="A103" s="373">
        <v>2027</v>
      </c>
      <c r="B103" s="387">
        <f t="shared" si="11"/>
        <v>0.58952069260046658</v>
      </c>
      <c r="C103" s="387">
        <f t="shared" si="11"/>
        <v>0.49730120087995511</v>
      </c>
      <c r="D103" s="387">
        <f t="shared" si="11"/>
        <v>0.49730120087995522</v>
      </c>
      <c r="E103" s="387">
        <f t="shared" si="11"/>
        <v>0.53334487575906642</v>
      </c>
      <c r="F103" s="387">
        <f t="shared" si="11"/>
        <v>1</v>
      </c>
      <c r="G103" s="387">
        <f t="shared" si="11"/>
        <v>0.53334487575906653</v>
      </c>
      <c r="H103" s="387">
        <f t="shared" si="11"/>
        <v>3.3237335692103409E-3</v>
      </c>
      <c r="I103" s="361"/>
      <c r="J103" s="361"/>
      <c r="K103" s="361"/>
      <c r="L103" s="361"/>
      <c r="M103" s="361"/>
      <c r="N103" s="361"/>
      <c r="O103" s="361"/>
      <c r="P103" s="361"/>
    </row>
    <row r="104" spans="1:16" ht="15.75" x14ac:dyDescent="0.25">
      <c r="A104" s="373">
        <v>2028</v>
      </c>
      <c r="B104" s="387">
        <f t="shared" si="11"/>
        <v>0.56608737834702239</v>
      </c>
      <c r="C104" s="387">
        <f t="shared" si="11"/>
        <v>0.47766042702701927</v>
      </c>
      <c r="D104" s="387">
        <f t="shared" si="11"/>
        <v>0.47766042702701939</v>
      </c>
      <c r="E104" s="387">
        <f t="shared" si="11"/>
        <v>0.51155179591279021</v>
      </c>
      <c r="F104" s="387">
        <f t="shared" si="11"/>
        <v>0.99999999999999989</v>
      </c>
      <c r="G104" s="387">
        <f t="shared" si="11"/>
        <v>0.51155179591279032</v>
      </c>
      <c r="H104" s="387">
        <f t="shared" si="11"/>
        <v>3.3717798807419985E-3</v>
      </c>
      <c r="I104" s="361"/>
      <c r="J104" s="361"/>
      <c r="K104" s="361"/>
      <c r="L104" s="361"/>
      <c r="M104" s="361"/>
      <c r="N104" s="361"/>
      <c r="O104" s="361"/>
      <c r="P104" s="361"/>
    </row>
    <row r="105" spans="1:16" ht="15.75" x14ac:dyDescent="0.25">
      <c r="A105" s="373">
        <v>2029</v>
      </c>
      <c r="B105" s="387">
        <f t="shared" si="11"/>
        <v>0.54234208196283351</v>
      </c>
      <c r="C105" s="387">
        <f t="shared" si="11"/>
        <v>0.45774195248971583</v>
      </c>
      <c r="D105" s="387">
        <f t="shared" si="11"/>
        <v>0.45774195248971583</v>
      </c>
      <c r="E105" s="387">
        <f t="shared" si="11"/>
        <v>0.4895894106807932</v>
      </c>
      <c r="F105" s="387">
        <f t="shared" si="11"/>
        <v>1.0000000000000002</v>
      </c>
      <c r="G105" s="387">
        <f t="shared" si="11"/>
        <v>0.4895894106807932</v>
      </c>
      <c r="H105" s="387">
        <f t="shared" si="11"/>
        <v>3.3237395742485853E-3</v>
      </c>
      <c r="I105" s="361"/>
      <c r="J105" s="361"/>
      <c r="K105" s="361"/>
      <c r="L105" s="361"/>
      <c r="M105" s="361"/>
      <c r="N105" s="361"/>
      <c r="O105" s="361"/>
      <c r="P105" s="361"/>
    </row>
    <row r="106" spans="1:16" ht="15.75" x14ac:dyDescent="0.25">
      <c r="A106" s="373">
        <v>2030</v>
      </c>
      <c r="B106" s="387">
        <f t="shared" si="11"/>
        <v>0.51751619035544016</v>
      </c>
      <c r="C106" s="387">
        <f t="shared" si="11"/>
        <v>0.43720952862938567</v>
      </c>
      <c r="D106" s="387">
        <f t="shared" si="11"/>
        <v>0.43720952862938578</v>
      </c>
      <c r="E106" s="387">
        <f t="shared" si="11"/>
        <v>0.46867148420521076</v>
      </c>
      <c r="F106" s="387">
        <f t="shared" si="11"/>
        <v>1.0000000000000002</v>
      </c>
      <c r="G106" s="387">
        <f t="shared" si="11"/>
        <v>0.46867148420521088</v>
      </c>
      <c r="H106" s="387">
        <f t="shared" si="11"/>
        <v>3.3688069139401478E-3</v>
      </c>
      <c r="I106" s="361"/>
      <c r="J106" s="361"/>
      <c r="K106" s="361"/>
      <c r="L106" s="361"/>
      <c r="M106" s="361"/>
      <c r="N106" s="361"/>
      <c r="O106" s="361"/>
      <c r="P106" s="361"/>
    </row>
    <row r="107" spans="1:16" ht="15.75" x14ac:dyDescent="0.25">
      <c r="A107" s="373">
        <v>2031</v>
      </c>
      <c r="B107" s="387">
        <f t="shared" si="11"/>
        <v>0.49159239503743657</v>
      </c>
      <c r="C107" s="387">
        <f t="shared" si="11"/>
        <v>0.41571498983020683</v>
      </c>
      <c r="D107" s="387">
        <f t="shared" si="11"/>
        <v>0.41571498983020683</v>
      </c>
      <c r="E107" s="387">
        <f t="shared" si="11"/>
        <v>0.44694372878546307</v>
      </c>
      <c r="F107" s="387">
        <f t="shared" si="11"/>
        <v>1.0000000000000002</v>
      </c>
      <c r="G107" s="387">
        <f t="shared" si="11"/>
        <v>0.44694372878546318</v>
      </c>
      <c r="H107" s="387">
        <f t="shared" si="11"/>
        <v>3.3208134258214672E-3</v>
      </c>
      <c r="I107" s="361"/>
      <c r="J107" s="361"/>
      <c r="K107" s="361"/>
      <c r="L107" s="361"/>
      <c r="M107" s="361"/>
      <c r="N107" s="361"/>
      <c r="O107" s="361"/>
      <c r="P107" s="361"/>
    </row>
    <row r="108" spans="1:16" ht="15.75" x14ac:dyDescent="0.25">
      <c r="A108" s="373">
        <v>2032</v>
      </c>
      <c r="B108" s="387">
        <f t="shared" si="11"/>
        <v>0.46510370939241275</v>
      </c>
      <c r="C108" s="387">
        <f t="shared" si="11"/>
        <v>0.39372134749401233</v>
      </c>
      <c r="D108" s="387">
        <f t="shared" si="11"/>
        <v>0.39372134749401244</v>
      </c>
      <c r="E108" s="387">
        <f t="shared" si="11"/>
        <v>0.42483127887044636</v>
      </c>
      <c r="F108" s="387">
        <f t="shared" si="11"/>
        <v>0.99999999999999989</v>
      </c>
      <c r="G108" s="387">
        <f t="shared" si="11"/>
        <v>0.42483127887044647</v>
      </c>
      <c r="H108" s="387">
        <f t="shared" si="11"/>
        <v>3.3630410534609689E-3</v>
      </c>
      <c r="I108" s="361"/>
      <c r="J108" s="361"/>
      <c r="K108" s="361"/>
      <c r="L108" s="361"/>
      <c r="M108" s="361"/>
      <c r="N108" s="361"/>
      <c r="O108" s="361"/>
      <c r="P108" s="361"/>
    </row>
    <row r="109" spans="1:16" ht="15.75" x14ac:dyDescent="0.25">
      <c r="A109" s="373">
        <v>2033</v>
      </c>
      <c r="B109" s="387">
        <f t="shared" si="11"/>
        <v>0.43872707855021231</v>
      </c>
      <c r="C109" s="387">
        <f t="shared" si="11"/>
        <v>0.37181661686931888</v>
      </c>
      <c r="D109" s="387">
        <f t="shared" si="11"/>
        <v>0.37181661686931899</v>
      </c>
      <c r="E109" s="387">
        <f t="shared" si="11"/>
        <v>0.40287426738097765</v>
      </c>
      <c r="F109" s="387">
        <f t="shared" si="11"/>
        <v>1.0000000000000002</v>
      </c>
      <c r="G109" s="387">
        <f t="shared" si="11"/>
        <v>0.40287426738097765</v>
      </c>
      <c r="H109" s="387">
        <f t="shared" si="11"/>
        <v>3.3151383662948231E-3</v>
      </c>
      <c r="I109" s="361"/>
      <c r="J109" s="361"/>
      <c r="K109" s="361"/>
      <c r="L109" s="361"/>
      <c r="M109" s="361"/>
      <c r="N109" s="361"/>
      <c r="O109" s="361"/>
      <c r="P109" s="361"/>
    </row>
    <row r="110" spans="1:16" ht="15.75" x14ac:dyDescent="0.25">
      <c r="A110" s="373">
        <v>2034</v>
      </c>
      <c r="B110" s="387">
        <f t="shared" si="11"/>
        <v>0.41198696114642319</v>
      </c>
      <c r="C110" s="387">
        <f t="shared" si="11"/>
        <v>0.34958787957501236</v>
      </c>
      <c r="D110" s="387">
        <f t="shared" si="11"/>
        <v>0.34958787957501236</v>
      </c>
      <c r="E110" s="387">
        <f t="shared" si="11"/>
        <v>0.38069206301366509</v>
      </c>
      <c r="F110" s="387">
        <f t="shared" si="11"/>
        <v>1</v>
      </c>
      <c r="G110" s="387">
        <f t="shared" si="11"/>
        <v>0.38069206301366521</v>
      </c>
      <c r="H110" s="387">
        <f t="shared" si="11"/>
        <v>3.3546597472651207E-3</v>
      </c>
      <c r="I110" s="361"/>
      <c r="J110" s="361"/>
      <c r="K110" s="361"/>
      <c r="L110" s="361"/>
      <c r="M110" s="361"/>
      <c r="N110" s="361"/>
      <c r="O110" s="361"/>
      <c r="P110" s="361"/>
    </row>
    <row r="111" spans="1:16" ht="15.75" x14ac:dyDescent="0.25">
      <c r="A111" s="373">
        <v>2035</v>
      </c>
      <c r="B111" s="387">
        <f t="shared" si="11"/>
        <v>0.3859683301133966</v>
      </c>
      <c r="C111" s="387">
        <f t="shared" si="11"/>
        <v>0.32797752110602962</v>
      </c>
      <c r="D111" s="387">
        <f t="shared" si="11"/>
        <v>0.32797752110602973</v>
      </c>
      <c r="E111" s="387">
        <f t="shared" si="11"/>
        <v>0.35915079981385978</v>
      </c>
      <c r="F111" s="387">
        <f t="shared" si="11"/>
        <v>0.99999999999999956</v>
      </c>
      <c r="G111" s="387">
        <f t="shared" si="11"/>
        <v>0.35915079981385967</v>
      </c>
      <c r="H111" s="387">
        <f t="shared" si="11"/>
        <v>3.3068890491728675E-3</v>
      </c>
      <c r="I111" s="361"/>
      <c r="J111" s="361"/>
      <c r="K111" s="361"/>
      <c r="L111" s="361"/>
      <c r="M111" s="361"/>
      <c r="N111" s="361"/>
      <c r="O111" s="361"/>
      <c r="P111" s="361"/>
    </row>
    <row r="112" spans="1:16" ht="15.75" x14ac:dyDescent="0.25">
      <c r="A112" s="373">
        <v>2036</v>
      </c>
      <c r="B112" s="387">
        <f t="shared" si="11"/>
        <v>0.36068547354393976</v>
      </c>
      <c r="C112" s="387">
        <f t="shared" si="11"/>
        <v>0.30699803796231662</v>
      </c>
      <c r="D112" s="387">
        <f t="shared" si="11"/>
        <v>0.30699803796231673</v>
      </c>
      <c r="E112" s="387">
        <f t="shared" si="11"/>
        <v>0.33826120229139622</v>
      </c>
      <c r="F112" s="387">
        <f t="shared" si="11"/>
        <v>0.99999999999999933</v>
      </c>
      <c r="G112" s="387">
        <f t="shared" si="11"/>
        <v>0.33826120229139611</v>
      </c>
      <c r="H112" s="387">
        <f t="shared" si="11"/>
        <v>3.3438320805995181E-3</v>
      </c>
      <c r="I112" s="361"/>
      <c r="J112" s="361"/>
      <c r="K112" s="361"/>
      <c r="L112" s="361"/>
      <c r="M112" s="361"/>
      <c r="N112" s="361"/>
      <c r="O112" s="361"/>
      <c r="P112" s="361"/>
    </row>
    <row r="113" spans="1:16" ht="15.75" x14ac:dyDescent="0.25">
      <c r="A113" s="373">
        <v>2037</v>
      </c>
      <c r="B113" s="387">
        <f t="shared" si="11"/>
        <v>0.3399867927229745</v>
      </c>
      <c r="C113" s="387">
        <f t="shared" si="11"/>
        <v>0.28991895960188685</v>
      </c>
      <c r="D113" s="387">
        <f t="shared" si="11"/>
        <v>0.28991895960188674</v>
      </c>
      <c r="E113" s="387">
        <f t="shared" si="11"/>
        <v>0.32167716457852846</v>
      </c>
      <c r="F113" s="387">
        <f t="shared" si="11"/>
        <v>0.99999999999999933</v>
      </c>
      <c r="G113" s="387">
        <f t="shared" si="11"/>
        <v>0.32167716457852835</v>
      </c>
      <c r="H113" s="387">
        <f t="shared" si="11"/>
        <v>3.2962318969431692E-3</v>
      </c>
      <c r="I113" s="361"/>
      <c r="J113" s="361"/>
      <c r="K113" s="361"/>
      <c r="L113" s="361"/>
      <c r="M113" s="361"/>
      <c r="N113" s="361"/>
      <c r="O113" s="361"/>
      <c r="P113" s="361"/>
    </row>
    <row r="114" spans="1:16" ht="15.75" x14ac:dyDescent="0.25">
      <c r="A114" s="373">
        <v>2038</v>
      </c>
      <c r="B114" s="387">
        <f t="shared" si="11"/>
        <v>0.32477015900615924</v>
      </c>
      <c r="C114" s="387">
        <f t="shared" si="11"/>
        <v>0.27750257117953314</v>
      </c>
      <c r="D114" s="387">
        <f t="shared" si="11"/>
        <v>0.27750257117953325</v>
      </c>
      <c r="E114" s="387">
        <f t="shared" si="11"/>
        <v>0.31025539325772844</v>
      </c>
      <c r="F114" s="387">
        <f t="shared" si="11"/>
        <v>1.0000000000000002</v>
      </c>
      <c r="G114" s="387">
        <f t="shared" si="11"/>
        <v>0.31025539325772844</v>
      </c>
      <c r="H114" s="387">
        <f t="shared" si="11"/>
        <v>3.3307191253688639E-3</v>
      </c>
      <c r="I114" s="361"/>
      <c r="J114" s="361"/>
      <c r="K114" s="361"/>
      <c r="L114" s="361"/>
      <c r="M114" s="361"/>
      <c r="N114" s="361"/>
      <c r="O114" s="361"/>
      <c r="P114" s="361"/>
    </row>
    <row r="115" spans="1:16" ht="15.75" x14ac:dyDescent="0.25">
      <c r="A115" s="373">
        <v>2039</v>
      </c>
      <c r="B115" s="387">
        <f t="shared" ref="B115:H116" si="12">1-(B77-B37)/B77</f>
        <v>0.30994732376908352</v>
      </c>
      <c r="C115" s="387">
        <f t="shared" si="12"/>
        <v>0.26542808821901176</v>
      </c>
      <c r="D115" s="387">
        <f t="shared" si="12"/>
        <v>0.26542808821901187</v>
      </c>
      <c r="E115" s="387">
        <f t="shared" si="12"/>
        <v>0.29914814384190469</v>
      </c>
      <c r="F115" s="387">
        <f t="shared" si="12"/>
        <v>1</v>
      </c>
      <c r="G115" s="387">
        <f t="shared" si="12"/>
        <v>0.29914814384190469</v>
      </c>
      <c r="H115" s="387">
        <f t="shared" si="12"/>
        <v>3.3633823375531779E-3</v>
      </c>
      <c r="I115" s="361"/>
      <c r="J115" s="361"/>
      <c r="K115" s="361"/>
      <c r="L115" s="361"/>
      <c r="M115" s="361"/>
      <c r="N115" s="361"/>
      <c r="O115" s="361"/>
      <c r="P115" s="361"/>
    </row>
    <row r="116" spans="1:16" ht="15.75" x14ac:dyDescent="0.25">
      <c r="A116" s="374">
        <v>2040</v>
      </c>
      <c r="B116" s="387">
        <f t="shared" si="12"/>
        <v>0.29515006532911403</v>
      </c>
      <c r="C116" s="387">
        <f t="shared" si="12"/>
        <v>0.25337571111432</v>
      </c>
      <c r="D116" s="387">
        <f t="shared" si="12"/>
        <v>0.25337571111432</v>
      </c>
      <c r="E116" s="387">
        <f t="shared" si="12"/>
        <v>0.28806122904876696</v>
      </c>
      <c r="F116" s="387">
        <f t="shared" si="12"/>
        <v>0.99999999999999978</v>
      </c>
      <c r="G116" s="387">
        <f t="shared" si="12"/>
        <v>0.28806122904876696</v>
      </c>
      <c r="H116" s="387">
        <f t="shared" si="12"/>
        <v>3.3154742758345623E-3</v>
      </c>
      <c r="I116" s="361"/>
      <c r="J116" s="361"/>
      <c r="K116" s="361"/>
      <c r="L116" s="361"/>
      <c r="M116" s="361"/>
      <c r="N116" s="361"/>
      <c r="O116" s="361"/>
      <c r="P116" s="361"/>
    </row>
    <row r="117" spans="1:16" ht="94.5" customHeight="1" x14ac:dyDescent="0.25">
      <c r="A117" s="603" t="s">
        <v>936</v>
      </c>
      <c r="B117" s="590"/>
      <c r="C117" s="590"/>
      <c r="D117" s="590"/>
      <c r="E117" s="590"/>
      <c r="F117" s="590"/>
      <c r="G117" s="590"/>
      <c r="H117" s="590"/>
      <c r="I117" s="590"/>
      <c r="J117" s="590"/>
    </row>
  </sheetData>
  <mergeCells count="6">
    <mergeCell ref="A2:H2"/>
    <mergeCell ref="I2:P2"/>
    <mergeCell ref="A42:H42"/>
    <mergeCell ref="A80:H80"/>
    <mergeCell ref="I80:P80"/>
    <mergeCell ref="A117:J1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7"/>
  <sheetViews>
    <sheetView workbookViewId="0">
      <selection activeCell="M31" sqref="M31"/>
    </sheetView>
  </sheetViews>
  <sheetFormatPr defaultColWidth="8.85546875" defaultRowHeight="15" x14ac:dyDescent="0.2"/>
  <cols>
    <col min="1" max="1" width="10" style="361" customWidth="1"/>
    <col min="2" max="2" width="16.5703125" style="361" customWidth="1"/>
    <col min="3" max="5" width="10.5703125" style="361" bestFit="1" customWidth="1"/>
    <col min="6" max="6" width="11.5703125" style="361" bestFit="1" customWidth="1"/>
    <col min="7" max="8" width="10.5703125" style="361" bestFit="1" customWidth="1"/>
    <col min="9" max="9" width="12.85546875" style="361" bestFit="1" customWidth="1"/>
    <col min="10" max="10" width="10.85546875" style="361" bestFit="1" customWidth="1"/>
    <col min="11" max="16384" width="8.85546875" style="361"/>
  </cols>
  <sheetData>
    <row r="2" spans="1:16" ht="33" customHeight="1" x14ac:dyDescent="0.25">
      <c r="A2" s="604" t="s">
        <v>1004</v>
      </c>
      <c r="B2" s="605"/>
      <c r="C2" s="605"/>
      <c r="D2" s="605"/>
      <c r="E2" s="605"/>
      <c r="F2" s="605"/>
      <c r="G2" s="605"/>
      <c r="H2" s="605"/>
      <c r="I2" s="604"/>
      <c r="J2" s="605"/>
      <c r="K2" s="605"/>
      <c r="L2" s="605"/>
      <c r="M2" s="605"/>
      <c r="N2" s="605"/>
      <c r="O2" s="605"/>
      <c r="P2" s="605"/>
    </row>
    <row r="3" spans="1:16" ht="15.75" x14ac:dyDescent="0.25">
      <c r="A3" s="364" t="s">
        <v>932</v>
      </c>
      <c r="B3" s="365" t="s">
        <v>96</v>
      </c>
      <c r="C3" s="366" t="s">
        <v>7</v>
      </c>
      <c r="D3" s="366" t="s">
        <v>924</v>
      </c>
      <c r="E3" s="366" t="s">
        <v>8</v>
      </c>
      <c r="F3" s="366" t="s">
        <v>10</v>
      </c>
      <c r="G3" s="366" t="s">
        <v>69</v>
      </c>
      <c r="H3" s="367" t="s">
        <v>17</v>
      </c>
    </row>
    <row r="4" spans="1:16" x14ac:dyDescent="0.2">
      <c r="A4" s="368">
        <v>2006</v>
      </c>
      <c r="B4" s="378">
        <v>18962.079112328291</v>
      </c>
      <c r="C4" s="379">
        <v>504.1178868892365</v>
      </c>
      <c r="D4" s="379">
        <v>488.99435028255937</v>
      </c>
      <c r="E4" s="379">
        <v>753.16191847070036</v>
      </c>
      <c r="F4" s="379">
        <v>2070.7555555555541</v>
      </c>
      <c r="G4" s="379">
        <v>793.0795001496474</v>
      </c>
      <c r="H4" s="380">
        <v>1472.9577464788733</v>
      </c>
    </row>
    <row r="5" spans="1:16" x14ac:dyDescent="0.2">
      <c r="A5" s="368">
        <v>2007</v>
      </c>
      <c r="B5" s="378">
        <v>17948.271054751349</v>
      </c>
      <c r="C5" s="379">
        <v>498.36550658146399</v>
      </c>
      <c r="D5" s="379">
        <v>483.41454138402008</v>
      </c>
      <c r="E5" s="379">
        <v>743.82664147912112</v>
      </c>
      <c r="F5" s="379">
        <v>2087.3215999999993</v>
      </c>
      <c r="G5" s="379">
        <v>783.24945347751452</v>
      </c>
      <c r="H5" s="380">
        <v>1484.7887323943662</v>
      </c>
    </row>
    <row r="6" spans="1:16" x14ac:dyDescent="0.2">
      <c r="A6" s="368">
        <v>2008</v>
      </c>
      <c r="B6" s="378">
        <v>16938.346458791868</v>
      </c>
      <c r="C6" s="379">
        <v>405.1141474511424</v>
      </c>
      <c r="D6" s="379">
        <v>392.96072302760814</v>
      </c>
      <c r="E6" s="379">
        <v>733.89280805718738</v>
      </c>
      <c r="F6" s="379">
        <v>2104.0201727999997</v>
      </c>
      <c r="G6" s="379">
        <v>772.78912688421826</v>
      </c>
      <c r="H6" s="380">
        <v>174.50704225352112</v>
      </c>
    </row>
    <row r="7" spans="1:16" x14ac:dyDescent="0.2">
      <c r="A7" s="372">
        <v>2009</v>
      </c>
      <c r="B7" s="378">
        <v>15941.118480036186</v>
      </c>
      <c r="C7" s="379">
        <v>398.03475684706177</v>
      </c>
      <c r="D7" s="379">
        <v>386.09371414164991</v>
      </c>
      <c r="E7" s="379">
        <v>723.56269472675206</v>
      </c>
      <c r="F7" s="379">
        <v>2120.8523341823993</v>
      </c>
      <c r="G7" s="379">
        <v>761.91151754726991</v>
      </c>
      <c r="H7" s="380">
        <v>175.98591549295776</v>
      </c>
    </row>
    <row r="8" spans="1:16" x14ac:dyDescent="0.2">
      <c r="A8" s="372">
        <v>2010</v>
      </c>
      <c r="B8" s="378">
        <v>14712.232215452552</v>
      </c>
      <c r="C8" s="379">
        <v>381.63231060432474</v>
      </c>
      <c r="D8" s="379">
        <v>370.183341286195</v>
      </c>
      <c r="E8" s="379">
        <v>688.39961259638778</v>
      </c>
      <c r="F8" s="379">
        <v>2137.8191528558591</v>
      </c>
      <c r="G8" s="379">
        <v>724.88479206399631</v>
      </c>
      <c r="H8" s="380">
        <v>177.46478873239437</v>
      </c>
    </row>
    <row r="9" spans="1:16" x14ac:dyDescent="0.2">
      <c r="A9" s="372">
        <v>2011</v>
      </c>
      <c r="B9" s="378">
        <v>13510.984930570532</v>
      </c>
      <c r="C9" s="379">
        <v>365.08876322061474</v>
      </c>
      <c r="D9" s="379">
        <v>354.13610032399629</v>
      </c>
      <c r="E9" s="379">
        <v>653.02120810547547</v>
      </c>
      <c r="F9" s="379">
        <v>2154.9217060787059</v>
      </c>
      <c r="G9" s="379">
        <v>687.63133213506558</v>
      </c>
      <c r="H9" s="380">
        <v>178.94366197183098</v>
      </c>
    </row>
    <row r="10" spans="1:16" x14ac:dyDescent="0.2">
      <c r="A10" s="372">
        <v>2012</v>
      </c>
      <c r="B10" s="378">
        <v>12784.005229672553</v>
      </c>
      <c r="C10" s="379">
        <v>345.32712751901772</v>
      </c>
      <c r="D10" s="379">
        <v>334.96731369344718</v>
      </c>
      <c r="E10" s="379">
        <v>607.93829982863622</v>
      </c>
      <c r="F10" s="379">
        <v>2172.1610797273365</v>
      </c>
      <c r="G10" s="379">
        <v>640.15902971955393</v>
      </c>
      <c r="H10" s="380">
        <v>180.42253521126761</v>
      </c>
    </row>
    <row r="11" spans="1:16" x14ac:dyDescent="0.2">
      <c r="A11" s="372">
        <v>2013</v>
      </c>
      <c r="B11" s="378">
        <v>12099.68299867912</v>
      </c>
      <c r="C11" s="379">
        <v>319.00421527138963</v>
      </c>
      <c r="D11" s="379">
        <v>309.43408881324791</v>
      </c>
      <c r="E11" s="379">
        <v>564.18258392557993</v>
      </c>
      <c r="F11" s="379">
        <v>2189.5383683651548</v>
      </c>
      <c r="G11" s="379">
        <v>594.08426087363569</v>
      </c>
      <c r="H11" s="380">
        <v>5.422535211267606</v>
      </c>
    </row>
    <row r="12" spans="1:16" x14ac:dyDescent="0.2">
      <c r="A12" s="372">
        <v>2014</v>
      </c>
      <c r="B12" s="378">
        <v>11455.67973242599</v>
      </c>
      <c r="C12" s="379">
        <v>301.36133931777016</v>
      </c>
      <c r="D12" s="379">
        <v>292.32049913823704</v>
      </c>
      <c r="E12" s="379">
        <v>521.70549073287759</v>
      </c>
      <c r="F12" s="379">
        <v>2207.0546753120771</v>
      </c>
      <c r="G12" s="379">
        <v>549.35588174172005</v>
      </c>
      <c r="H12" s="380">
        <v>5.422535211267606</v>
      </c>
    </row>
    <row r="13" spans="1:16" x14ac:dyDescent="0.2">
      <c r="A13" s="372">
        <v>2015</v>
      </c>
      <c r="B13" s="378">
        <v>10956.092075320399</v>
      </c>
      <c r="C13" s="379">
        <v>283.09813432686184</v>
      </c>
      <c r="D13" s="379">
        <v>274.60519029705597</v>
      </c>
      <c r="E13" s="379">
        <v>483.04371565274147</v>
      </c>
      <c r="F13" s="379">
        <v>2224.7111127145731</v>
      </c>
      <c r="G13" s="379">
        <v>508.64503258233674</v>
      </c>
      <c r="H13" s="380">
        <v>5.422535211267606</v>
      </c>
    </row>
    <row r="14" spans="1:16" x14ac:dyDescent="0.2">
      <c r="A14" s="372">
        <v>2016</v>
      </c>
      <c r="B14" s="378">
        <v>10059.151977521344</v>
      </c>
      <c r="C14" s="379">
        <v>262.10484285607544</v>
      </c>
      <c r="D14" s="379">
        <v>254.24169757039317</v>
      </c>
      <c r="E14" s="379">
        <v>436.97613615322348</v>
      </c>
      <c r="F14" s="379">
        <v>2242.5088016162899</v>
      </c>
      <c r="G14" s="379">
        <v>460.13587136934427</v>
      </c>
      <c r="H14" s="380">
        <v>5.422535211267606</v>
      </c>
    </row>
    <row r="15" spans="1:16" x14ac:dyDescent="0.2">
      <c r="A15" s="372">
        <v>2017</v>
      </c>
      <c r="B15" s="378">
        <v>9496.3758148084416</v>
      </c>
      <c r="C15" s="379">
        <v>241.38882176397055</v>
      </c>
      <c r="D15" s="379">
        <v>234.14715711105143</v>
      </c>
      <c r="E15" s="379">
        <v>391.66358451080094</v>
      </c>
      <c r="F15" s="379">
        <v>2260.4488720292206</v>
      </c>
      <c r="G15" s="379">
        <v>412.42175448987336</v>
      </c>
      <c r="H15" s="380">
        <v>5.422535211267606</v>
      </c>
    </row>
    <row r="16" spans="1:16" x14ac:dyDescent="0.2">
      <c r="A16" s="372">
        <v>2018</v>
      </c>
      <c r="B16" s="378">
        <v>8964.3132740144902</v>
      </c>
      <c r="C16" s="379">
        <v>220.95413521687058</v>
      </c>
      <c r="D16" s="379">
        <v>214.32551116036447</v>
      </c>
      <c r="E16" s="379">
        <v>347.14044016326375</v>
      </c>
      <c r="F16" s="379">
        <v>2278.5324630054542</v>
      </c>
      <c r="G16" s="379">
        <v>365.53888349191669</v>
      </c>
      <c r="H16" s="380">
        <v>5.422535211267606</v>
      </c>
    </row>
    <row r="17" spans="1:8" x14ac:dyDescent="0.2">
      <c r="A17" s="372">
        <v>2019</v>
      </c>
      <c r="B17" s="378">
        <v>8442.7278988566341</v>
      </c>
      <c r="C17" s="379">
        <v>200.78797926375645</v>
      </c>
      <c r="D17" s="379">
        <v>194.76433988584375</v>
      </c>
      <c r="E17" s="379">
        <v>303.38047272098129</v>
      </c>
      <c r="F17" s="379">
        <v>2296.7607227094977</v>
      </c>
      <c r="G17" s="379">
        <v>319.4596377751933</v>
      </c>
      <c r="H17" s="380">
        <v>5.422535211267606</v>
      </c>
    </row>
    <row r="18" spans="1:8" x14ac:dyDescent="0.2">
      <c r="A18" s="372">
        <v>2020</v>
      </c>
      <c r="B18" s="378">
        <v>8060.1359691012658</v>
      </c>
      <c r="C18" s="379">
        <v>184.9751739515784</v>
      </c>
      <c r="D18" s="379">
        <v>179.42591873303104</v>
      </c>
      <c r="E18" s="379">
        <v>272.60518797276762</v>
      </c>
      <c r="F18" s="379">
        <v>2315.1348084911738</v>
      </c>
      <c r="G18" s="379">
        <v>287.05326293532431</v>
      </c>
      <c r="H18" s="380">
        <v>5.422535211267606</v>
      </c>
    </row>
    <row r="19" spans="1:8" x14ac:dyDescent="0.2">
      <c r="A19" s="372">
        <v>2021</v>
      </c>
      <c r="B19" s="378">
        <v>7685.9501919360264</v>
      </c>
      <c r="C19" s="379">
        <v>172.57796461217492</v>
      </c>
      <c r="D19" s="379">
        <v>167.40062567380969</v>
      </c>
      <c r="E19" s="379">
        <v>253.94049500938311</v>
      </c>
      <c r="F19" s="379">
        <v>2333.6558869591036</v>
      </c>
      <c r="G19" s="379">
        <v>267.39934124488042</v>
      </c>
      <c r="H19" s="380">
        <v>5.422535211267606</v>
      </c>
    </row>
    <row r="20" spans="1:8" x14ac:dyDescent="0.2">
      <c r="A20" s="372">
        <v>2022</v>
      </c>
      <c r="B20" s="378">
        <v>7311.8801715112122</v>
      </c>
      <c r="C20" s="379">
        <v>160.18249162387781</v>
      </c>
      <c r="D20" s="379">
        <v>155.37701687516147</v>
      </c>
      <c r="E20" s="379">
        <v>235.2783101087077</v>
      </c>
      <c r="F20" s="379">
        <v>2352.3251340547772</v>
      </c>
      <c r="G20" s="379">
        <v>247.74806054446918</v>
      </c>
      <c r="H20" s="380">
        <v>5.422535211267606</v>
      </c>
    </row>
    <row r="21" spans="1:8" x14ac:dyDescent="0.2">
      <c r="A21" s="373">
        <v>2023</v>
      </c>
      <c r="B21" s="378">
        <v>6937.9268338807442</v>
      </c>
      <c r="C21" s="379">
        <v>147.78876887749595</v>
      </c>
      <c r="D21" s="379">
        <v>143.35510581117109</v>
      </c>
      <c r="E21" s="379">
        <v>216.67661071493802</v>
      </c>
      <c r="F21" s="379">
        <v>2371.1437351272148</v>
      </c>
      <c r="G21" s="379">
        <v>228.16047108282973</v>
      </c>
      <c r="H21" s="380">
        <v>5.422535211267606</v>
      </c>
    </row>
    <row r="22" spans="1:8" x14ac:dyDescent="0.2">
      <c r="A22" s="373">
        <v>2024</v>
      </c>
      <c r="B22" s="378">
        <v>6564.0911125069797</v>
      </c>
      <c r="C22" s="379">
        <v>135.39681037496459</v>
      </c>
      <c r="D22" s="379">
        <v>131.33490606371564</v>
      </c>
      <c r="E22" s="379">
        <v>198.13200779546264</v>
      </c>
      <c r="F22" s="379">
        <v>2390.1128850082328</v>
      </c>
      <c r="G22" s="379">
        <v>208.63300420862214</v>
      </c>
      <c r="H22" s="380">
        <v>5.422535211267606</v>
      </c>
    </row>
    <row r="23" spans="1:8" x14ac:dyDescent="0.2">
      <c r="A23" s="373">
        <v>2025</v>
      </c>
      <c r="B23" s="378">
        <v>6190.3739483199706</v>
      </c>
      <c r="C23" s="379">
        <v>123.00663023023456</v>
      </c>
      <c r="D23" s="379">
        <v>119.31643132332752</v>
      </c>
      <c r="E23" s="379">
        <v>179.64111247947028</v>
      </c>
      <c r="F23" s="379">
        <v>2409.2337880882992</v>
      </c>
      <c r="G23" s="379">
        <v>189.16209144088219</v>
      </c>
      <c r="H23" s="380">
        <v>5.915492957746479</v>
      </c>
    </row>
    <row r="24" spans="1:8" x14ac:dyDescent="0.2">
      <c r="A24" s="373">
        <v>2026</v>
      </c>
      <c r="B24" s="378">
        <v>5833.0043560917666</v>
      </c>
      <c r="C24" s="379">
        <v>111.73102436030918</v>
      </c>
      <c r="D24" s="379">
        <v>108.37909362949991</v>
      </c>
      <c r="E24" s="379">
        <v>162.85296535143252</v>
      </c>
      <c r="F24" s="379">
        <v>2428.5076583930049</v>
      </c>
      <c r="G24" s="379">
        <v>171.48417251505842</v>
      </c>
      <c r="H24" s="380">
        <v>5.915492957746479</v>
      </c>
    </row>
    <row r="25" spans="1:8" x14ac:dyDescent="0.2">
      <c r="A25" s="373">
        <v>2027</v>
      </c>
      <c r="B25" s="378">
        <v>5512.2129542784069</v>
      </c>
      <c r="C25" s="379">
        <v>101.85315101648993</v>
      </c>
      <c r="D25" s="379">
        <v>98.79755648599523</v>
      </c>
      <c r="E25" s="379">
        <v>148.17051187188866</v>
      </c>
      <c r="F25" s="379">
        <v>2447.9357196601495</v>
      </c>
      <c r="G25" s="379">
        <v>156.02354900109876</v>
      </c>
      <c r="H25" s="380">
        <v>5.915492957746479</v>
      </c>
    </row>
    <row r="26" spans="1:8" x14ac:dyDescent="0.2">
      <c r="A26" s="373">
        <v>2028</v>
      </c>
      <c r="B26" s="378">
        <v>5203.2805164496258</v>
      </c>
      <c r="C26" s="379">
        <v>92.916487447144775</v>
      </c>
      <c r="D26" s="379">
        <v>90.128992823730428</v>
      </c>
      <c r="E26" s="379">
        <v>134.92826938602963</v>
      </c>
      <c r="F26" s="379">
        <v>2467.5192054174308</v>
      </c>
      <c r="G26" s="379">
        <v>142.0794676634892</v>
      </c>
      <c r="H26" s="380">
        <v>5.915492957746479</v>
      </c>
    </row>
    <row r="27" spans="1:8" x14ac:dyDescent="0.2">
      <c r="A27" s="373">
        <v>2029</v>
      </c>
      <c r="B27" s="378">
        <v>4903.7490439052281</v>
      </c>
      <c r="C27" s="379">
        <v>84.830834890040208</v>
      </c>
      <c r="D27" s="379">
        <v>82.285909843338999</v>
      </c>
      <c r="E27" s="379">
        <v>122.98988989039975</v>
      </c>
      <c r="F27" s="379">
        <v>2487.2593590607703</v>
      </c>
      <c r="G27" s="379">
        <v>129.50835405459094</v>
      </c>
      <c r="H27" s="380">
        <v>5.915492957746479</v>
      </c>
    </row>
    <row r="28" spans="1:8" x14ac:dyDescent="0.2">
      <c r="A28" s="373">
        <v>2030</v>
      </c>
      <c r="B28" s="378">
        <v>4611.7466103028528</v>
      </c>
      <c r="C28" s="379">
        <v>77.515638800303549</v>
      </c>
      <c r="D28" s="379">
        <v>75.190169636294442</v>
      </c>
      <c r="E28" s="379">
        <v>112.23295591773109</v>
      </c>
      <c r="F28" s="379">
        <v>2507.1574339332565</v>
      </c>
      <c r="G28" s="379">
        <v>118.18130258137083</v>
      </c>
      <c r="H28" s="380">
        <v>5.915492957746479</v>
      </c>
    </row>
    <row r="29" spans="1:8" x14ac:dyDescent="0.2">
      <c r="A29" s="373">
        <v>2031</v>
      </c>
      <c r="B29" s="378">
        <v>4325.7329513796494</v>
      </c>
      <c r="C29" s="379">
        <v>70.895802352081247</v>
      </c>
      <c r="D29" s="379">
        <v>68.768928281518811</v>
      </c>
      <c r="E29" s="379">
        <v>102.54293337267239</v>
      </c>
      <c r="F29" s="379">
        <v>2527.2146934047232</v>
      </c>
      <c r="G29" s="379">
        <v>107.97770884142402</v>
      </c>
      <c r="H29" s="380">
        <v>5.915492957746479</v>
      </c>
    </row>
    <row r="30" spans="1:8" x14ac:dyDescent="0.2">
      <c r="A30" s="373">
        <v>2032</v>
      </c>
      <c r="B30" s="378">
        <v>4044.3885509169068</v>
      </c>
      <c r="C30" s="379">
        <v>64.899861270777279</v>
      </c>
      <c r="D30" s="379">
        <v>62.952865432653958</v>
      </c>
      <c r="E30" s="379">
        <v>93.810535178355408</v>
      </c>
      <c r="F30" s="379">
        <v>2547.4324109519607</v>
      </c>
      <c r="G30" s="379">
        <v>98.78249354280824</v>
      </c>
      <c r="H30" s="380">
        <v>5.915492957746479</v>
      </c>
    </row>
    <row r="31" spans="1:8" x14ac:dyDescent="0.2">
      <c r="A31" s="373">
        <v>2033</v>
      </c>
      <c r="B31" s="378">
        <v>3766.5544072214234</v>
      </c>
      <c r="C31" s="379">
        <v>59.458992648477206</v>
      </c>
      <c r="D31" s="379">
        <v>57.675222869022889</v>
      </c>
      <c r="E31" s="379">
        <v>85.906424761937075</v>
      </c>
      <c r="F31" s="379">
        <v>2567.8118702395764</v>
      </c>
      <c r="G31" s="379">
        <v>90.45946527431974</v>
      </c>
      <c r="H31" s="380">
        <v>5.915492957746479</v>
      </c>
    </row>
    <row r="32" spans="1:8" x14ac:dyDescent="0.2">
      <c r="A32" s="373">
        <v>2034</v>
      </c>
      <c r="B32" s="378">
        <v>3491.1947827332874</v>
      </c>
      <c r="C32" s="379">
        <v>54.506401962717753</v>
      </c>
      <c r="D32" s="379">
        <v>52.871209903836217</v>
      </c>
      <c r="E32" s="379">
        <v>78.731469501703415</v>
      </c>
      <c r="F32" s="379">
        <v>2588.3543652014923</v>
      </c>
      <c r="G32" s="379">
        <v>82.904237385293698</v>
      </c>
      <c r="H32" s="380">
        <v>5.915492957746479</v>
      </c>
    </row>
    <row r="33" spans="1:16" x14ac:dyDescent="0.2">
      <c r="A33" s="373">
        <v>2035</v>
      </c>
      <c r="B33" s="378">
        <v>3217.3720977366766</v>
      </c>
      <c r="C33" s="379">
        <v>49.976909934925558</v>
      </c>
      <c r="D33" s="379">
        <v>48.477602636877791</v>
      </c>
      <c r="E33" s="379">
        <v>72.188869906003575</v>
      </c>
      <c r="F33" s="379">
        <v>2609.0612001231057</v>
      </c>
      <c r="G33" s="379">
        <v>76.014880011021759</v>
      </c>
      <c r="H33" s="380">
        <v>6.408450704225352</v>
      </c>
    </row>
    <row r="34" spans="1:16" x14ac:dyDescent="0.2">
      <c r="A34" s="373">
        <v>2036</v>
      </c>
      <c r="B34" s="378">
        <v>2981.2871736627599</v>
      </c>
      <c r="C34" s="379">
        <v>46.068230643359989</v>
      </c>
      <c r="D34" s="379">
        <v>44.686183724059191</v>
      </c>
      <c r="E34" s="379">
        <v>66.542999818186644</v>
      </c>
      <c r="F34" s="379">
        <v>2629.9336897240905</v>
      </c>
      <c r="G34" s="379">
        <v>70.069778808550538</v>
      </c>
      <c r="H34" s="380">
        <v>6.408450704225352</v>
      </c>
    </row>
    <row r="35" spans="1:16" x14ac:dyDescent="0.2">
      <c r="A35" s="373">
        <v>2037</v>
      </c>
      <c r="B35" s="378">
        <v>2772.0634666887909</v>
      </c>
      <c r="C35" s="379">
        <v>42.601381479997343</v>
      </c>
      <c r="D35" s="379">
        <v>41.323340035597418</v>
      </c>
      <c r="E35" s="379">
        <v>61.535328804440589</v>
      </c>
      <c r="F35" s="379">
        <v>2650.9731592418839</v>
      </c>
      <c r="G35" s="379">
        <v>64.796701231075943</v>
      </c>
      <c r="H35" s="380">
        <v>6.408450704225352</v>
      </c>
    </row>
    <row r="36" spans="1:16" x14ac:dyDescent="0.2">
      <c r="A36" s="373">
        <v>2038</v>
      </c>
      <c r="B36" s="378">
        <v>2598.0662232716268</v>
      </c>
      <c r="C36" s="379">
        <v>39.714016879990787</v>
      </c>
      <c r="D36" s="379">
        <v>38.522596373591064</v>
      </c>
      <c r="E36" s="379">
        <v>57.364691048875557</v>
      </c>
      <c r="F36" s="379">
        <v>2672.1809445158183</v>
      </c>
      <c r="G36" s="379">
        <v>60.405019674465954</v>
      </c>
      <c r="H36" s="380">
        <v>6.408450704225352</v>
      </c>
    </row>
    <row r="37" spans="1:16" x14ac:dyDescent="0.2">
      <c r="A37" s="373">
        <v>2039</v>
      </c>
      <c r="B37" s="378">
        <v>2457.7150932478685</v>
      </c>
      <c r="C37" s="379">
        <v>37.380129549803996</v>
      </c>
      <c r="D37" s="379">
        <v>36.258725663309875</v>
      </c>
      <c r="E37" s="379">
        <v>53.993520460827973</v>
      </c>
      <c r="F37" s="379">
        <v>2693.5583920719446</v>
      </c>
      <c r="G37" s="379">
        <v>56.85517704525185</v>
      </c>
      <c r="H37" s="380">
        <v>6.408450704225352</v>
      </c>
    </row>
    <row r="38" spans="1:16" x14ac:dyDescent="0.2">
      <c r="A38" s="374">
        <v>2040</v>
      </c>
      <c r="B38" s="392">
        <v>2349.1336418470396</v>
      </c>
      <c r="C38" s="393">
        <v>35.568839905305516</v>
      </c>
      <c r="D38" s="393">
        <v>34.50177470814635</v>
      </c>
      <c r="E38" s="393">
        <v>51.377213196552418</v>
      </c>
      <c r="F38" s="393">
        <v>2715.1068592085212</v>
      </c>
      <c r="G38" s="393">
        <v>54.100205495969696</v>
      </c>
      <c r="H38" s="394">
        <v>6.408450704225352</v>
      </c>
    </row>
    <row r="40" spans="1:16" x14ac:dyDescent="0.2">
      <c r="A40" s="361" t="s">
        <v>933</v>
      </c>
    </row>
    <row r="42" spans="1:16" ht="33" customHeight="1" x14ac:dyDescent="0.25">
      <c r="A42" s="602" t="s">
        <v>1003</v>
      </c>
      <c r="B42" s="602"/>
      <c r="C42" s="602"/>
      <c r="D42" s="602"/>
      <c r="E42" s="602"/>
      <c r="F42" s="602"/>
      <c r="G42" s="602"/>
      <c r="H42" s="602"/>
      <c r="I42" s="602"/>
      <c r="J42" s="602"/>
      <c r="K42" s="602"/>
      <c r="L42" s="602"/>
      <c r="M42" s="602"/>
      <c r="N42" s="602"/>
      <c r="O42" s="602"/>
      <c r="P42" s="602"/>
    </row>
    <row r="43" spans="1:16"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6" x14ac:dyDescent="0.2">
      <c r="A44" s="368">
        <v>2006</v>
      </c>
      <c r="B44" s="378">
        <v>18962.079112328291</v>
      </c>
      <c r="C44" s="379">
        <v>504.1178868892365</v>
      </c>
      <c r="D44" s="379">
        <v>488.99435028255937</v>
      </c>
      <c r="E44" s="379">
        <v>753.16191847070036</v>
      </c>
      <c r="F44" s="379">
        <v>2070.7555555555541</v>
      </c>
      <c r="G44" s="379">
        <v>793.0795001496474</v>
      </c>
      <c r="H44" s="380">
        <v>1472.9577464788733</v>
      </c>
    </row>
    <row r="45" spans="1:16" x14ac:dyDescent="0.2">
      <c r="A45" s="368">
        <v>2007</v>
      </c>
      <c r="B45" s="378">
        <f t="shared" ref="B45:H60" si="0">B44*1.016</f>
        <v>19265.472378125545</v>
      </c>
      <c r="C45" s="378">
        <f t="shared" si="0"/>
        <v>512.18377307946434</v>
      </c>
      <c r="D45" s="378">
        <f t="shared" si="0"/>
        <v>496.81825988708033</v>
      </c>
      <c r="E45" s="378">
        <f t="shared" si="0"/>
        <v>765.2125091662316</v>
      </c>
      <c r="F45" s="378">
        <f t="shared" si="0"/>
        <v>2103.8876444444431</v>
      </c>
      <c r="G45" s="378">
        <f t="shared" si="0"/>
        <v>805.76877215204172</v>
      </c>
      <c r="H45" s="378">
        <f t="shared" si="0"/>
        <v>1496.5250704225352</v>
      </c>
    </row>
    <row r="46" spans="1:16" x14ac:dyDescent="0.2">
      <c r="A46" s="368">
        <v>2008</v>
      </c>
      <c r="B46" s="378">
        <f t="shared" si="0"/>
        <v>19573.719936175556</v>
      </c>
      <c r="C46" s="378">
        <f t="shared" si="0"/>
        <v>520.37871344873577</v>
      </c>
      <c r="D46" s="378">
        <f t="shared" si="0"/>
        <v>504.76735204527364</v>
      </c>
      <c r="E46" s="378">
        <f t="shared" si="0"/>
        <v>777.45590931289132</v>
      </c>
      <c r="F46" s="378">
        <f t="shared" si="0"/>
        <v>2137.5498467555544</v>
      </c>
      <c r="G46" s="378">
        <f t="shared" si="0"/>
        <v>818.6610725064744</v>
      </c>
      <c r="H46" s="378">
        <f t="shared" si="0"/>
        <v>1520.4694715492958</v>
      </c>
    </row>
    <row r="47" spans="1:16" x14ac:dyDescent="0.2">
      <c r="A47" s="372">
        <v>2009</v>
      </c>
      <c r="B47" s="378">
        <f t="shared" si="0"/>
        <v>19886.899455154366</v>
      </c>
      <c r="C47" s="378">
        <f t="shared" si="0"/>
        <v>528.70477286391554</v>
      </c>
      <c r="D47" s="378">
        <f t="shared" si="0"/>
        <v>512.84362967799802</v>
      </c>
      <c r="E47" s="378">
        <f t="shared" si="0"/>
        <v>789.89520386189758</v>
      </c>
      <c r="F47" s="378">
        <f t="shared" si="0"/>
        <v>2171.7506443036432</v>
      </c>
      <c r="G47" s="378">
        <f t="shared" si="0"/>
        <v>831.75964966657796</v>
      </c>
      <c r="H47" s="378">
        <f t="shared" si="0"/>
        <v>1544.7969830940845</v>
      </c>
    </row>
    <row r="48" spans="1:16" x14ac:dyDescent="0.2">
      <c r="A48" s="372">
        <v>2010</v>
      </c>
      <c r="B48" s="378">
        <f t="shared" si="0"/>
        <v>20205.089846436837</v>
      </c>
      <c r="C48" s="378">
        <f t="shared" si="0"/>
        <v>537.16404922973823</v>
      </c>
      <c r="D48" s="378">
        <f t="shared" si="0"/>
        <v>521.04912775284595</v>
      </c>
      <c r="E48" s="378">
        <f t="shared" si="0"/>
        <v>802.53352712368792</v>
      </c>
      <c r="F48" s="378">
        <f t="shared" si="0"/>
        <v>2206.4986546125015</v>
      </c>
      <c r="G48" s="378">
        <f t="shared" si="0"/>
        <v>845.06780406124324</v>
      </c>
      <c r="H48" s="378">
        <f t="shared" si="0"/>
        <v>1569.5137348235899</v>
      </c>
    </row>
    <row r="49" spans="1:16" ht="15.75" x14ac:dyDescent="0.25">
      <c r="A49" s="372">
        <v>2011</v>
      </c>
      <c r="B49" s="378">
        <f t="shared" si="0"/>
        <v>20528.371283979825</v>
      </c>
      <c r="C49" s="378">
        <f t="shared" si="0"/>
        <v>545.75867401741402</v>
      </c>
      <c r="D49" s="378">
        <f t="shared" si="0"/>
        <v>529.38591379689149</v>
      </c>
      <c r="E49" s="378">
        <f t="shared" si="0"/>
        <v>815.37406355766689</v>
      </c>
      <c r="F49" s="378">
        <f t="shared" si="0"/>
        <v>2241.8026330863017</v>
      </c>
      <c r="G49" s="378">
        <f t="shared" si="0"/>
        <v>858.58888892622315</v>
      </c>
      <c r="H49" s="378">
        <f t="shared" si="0"/>
        <v>1594.6259545807673</v>
      </c>
      <c r="I49" s="363">
        <f t="shared" ref="I49:O49" si="1">B49/B$45</f>
        <v>1.065552449536</v>
      </c>
      <c r="J49" s="363">
        <f t="shared" si="1"/>
        <v>1.065552449536</v>
      </c>
      <c r="K49" s="363">
        <f t="shared" si="1"/>
        <v>1.065552449536</v>
      </c>
      <c r="L49" s="363">
        <f t="shared" si="1"/>
        <v>1.065552449536</v>
      </c>
      <c r="M49" s="363">
        <f t="shared" si="1"/>
        <v>1.0655524495360003</v>
      </c>
      <c r="N49" s="363">
        <f t="shared" si="1"/>
        <v>1.065552449536</v>
      </c>
      <c r="O49" s="363">
        <f t="shared" si="1"/>
        <v>1.065552449536</v>
      </c>
    </row>
    <row r="50" spans="1:16" x14ac:dyDescent="0.2">
      <c r="A50" s="372">
        <v>2012</v>
      </c>
      <c r="B50" s="378">
        <f t="shared" si="0"/>
        <v>20856.825224523502</v>
      </c>
      <c r="C50" s="378">
        <f t="shared" si="0"/>
        <v>554.49081280169264</v>
      </c>
      <c r="D50" s="378">
        <f t="shared" si="0"/>
        <v>537.85608841764179</v>
      </c>
      <c r="E50" s="378">
        <f t="shared" si="0"/>
        <v>828.4200485745896</v>
      </c>
      <c r="F50" s="378">
        <f t="shared" si="0"/>
        <v>2277.6714752156827</v>
      </c>
      <c r="G50" s="378">
        <f t="shared" si="0"/>
        <v>872.32631114904268</v>
      </c>
      <c r="H50" s="378">
        <f t="shared" si="0"/>
        <v>1620.1399698540595</v>
      </c>
    </row>
    <row r="51" spans="1:16" ht="15.75" x14ac:dyDescent="0.25">
      <c r="A51" s="382">
        <v>2013</v>
      </c>
      <c r="B51" s="383">
        <f t="shared" si="0"/>
        <v>21190.53442811588</v>
      </c>
      <c r="C51" s="383">
        <f t="shared" si="0"/>
        <v>563.36266580651977</v>
      </c>
      <c r="D51" s="383">
        <f t="shared" si="0"/>
        <v>546.46178583232404</v>
      </c>
      <c r="E51" s="383">
        <f t="shared" si="0"/>
        <v>841.67476935178308</v>
      </c>
      <c r="F51" s="383">
        <f t="shared" si="0"/>
        <v>2314.1142188191338</v>
      </c>
      <c r="G51" s="383">
        <f t="shared" si="0"/>
        <v>886.28353212742741</v>
      </c>
      <c r="H51" s="383">
        <f t="shared" si="0"/>
        <v>1646.0622093717245</v>
      </c>
      <c r="I51" s="363">
        <f t="shared" ref="I51:O51" si="2">B51/B$45</f>
        <v>1.0999229093482334</v>
      </c>
      <c r="J51" s="363">
        <f t="shared" si="2"/>
        <v>1.0999229093482332</v>
      </c>
      <c r="K51" s="363">
        <f t="shared" si="2"/>
        <v>1.0999229093482332</v>
      </c>
      <c r="L51" s="363">
        <f t="shared" si="2"/>
        <v>1.0999229093482332</v>
      </c>
      <c r="M51" s="363">
        <f t="shared" si="2"/>
        <v>1.0999229093482334</v>
      </c>
      <c r="N51" s="363">
        <f t="shared" si="2"/>
        <v>1.0999229093482332</v>
      </c>
      <c r="O51" s="363">
        <f t="shared" si="2"/>
        <v>1.0999229093482332</v>
      </c>
    </row>
    <row r="52" spans="1:16" x14ac:dyDescent="0.2">
      <c r="A52" s="372">
        <v>2014</v>
      </c>
      <c r="B52" s="378">
        <f t="shared" si="0"/>
        <v>21529.582978965733</v>
      </c>
      <c r="C52" s="378">
        <f t="shared" si="0"/>
        <v>572.37646845942413</v>
      </c>
      <c r="D52" s="378">
        <f t="shared" si="0"/>
        <v>555.20517440564129</v>
      </c>
      <c r="E52" s="378">
        <f t="shared" si="0"/>
        <v>855.14156566141162</v>
      </c>
      <c r="F52" s="378">
        <f t="shared" si="0"/>
        <v>2351.1400463202399</v>
      </c>
      <c r="G52" s="378">
        <f t="shared" si="0"/>
        <v>900.46406864146627</v>
      </c>
      <c r="H52" s="378">
        <f t="shared" si="0"/>
        <v>1672.399204721672</v>
      </c>
    </row>
    <row r="53" spans="1:16" x14ac:dyDescent="0.2">
      <c r="A53" s="372">
        <v>2015</v>
      </c>
      <c r="B53" s="378">
        <f t="shared" si="0"/>
        <v>21874.056306629183</v>
      </c>
      <c r="C53" s="378">
        <f t="shared" si="0"/>
        <v>581.53449195477492</v>
      </c>
      <c r="D53" s="378">
        <f t="shared" si="0"/>
        <v>564.08845719613157</v>
      </c>
      <c r="E53" s="378">
        <f t="shared" si="0"/>
        <v>868.82383071199422</v>
      </c>
      <c r="F53" s="378">
        <f t="shared" si="0"/>
        <v>2388.7582870613637</v>
      </c>
      <c r="G53" s="378">
        <f t="shared" si="0"/>
        <v>914.87149373972977</v>
      </c>
      <c r="H53" s="378">
        <f t="shared" si="0"/>
        <v>1699.1575919972188</v>
      </c>
    </row>
    <row r="54" spans="1:16" x14ac:dyDescent="0.2">
      <c r="A54" s="372">
        <v>2016</v>
      </c>
      <c r="B54" s="378">
        <f t="shared" si="0"/>
        <v>22224.041207535251</v>
      </c>
      <c r="C54" s="378">
        <f t="shared" si="0"/>
        <v>590.83904382605135</v>
      </c>
      <c r="D54" s="378">
        <f t="shared" si="0"/>
        <v>573.11387251126973</v>
      </c>
      <c r="E54" s="378">
        <f t="shared" si="0"/>
        <v>882.72501200338615</v>
      </c>
      <c r="F54" s="378">
        <f t="shared" si="0"/>
        <v>2426.9784196543455</v>
      </c>
      <c r="G54" s="378">
        <f t="shared" si="0"/>
        <v>929.50943763956548</v>
      </c>
      <c r="H54" s="378">
        <f t="shared" si="0"/>
        <v>1726.3441134691743</v>
      </c>
    </row>
    <row r="55" spans="1:16" ht="15.75" x14ac:dyDescent="0.25">
      <c r="A55" s="382">
        <v>2017</v>
      </c>
      <c r="B55" s="383">
        <f t="shared" si="0"/>
        <v>22579.625866855815</v>
      </c>
      <c r="C55" s="383">
        <f t="shared" si="0"/>
        <v>600.29246852726817</v>
      </c>
      <c r="D55" s="383">
        <f t="shared" si="0"/>
        <v>582.28369447145008</v>
      </c>
      <c r="E55" s="383">
        <f t="shared" si="0"/>
        <v>896.8486121954403</v>
      </c>
      <c r="F55" s="383">
        <f t="shared" si="0"/>
        <v>2465.8100743688151</v>
      </c>
      <c r="G55" s="383">
        <f t="shared" si="0"/>
        <v>944.38158864179854</v>
      </c>
      <c r="H55" s="383">
        <f t="shared" si="0"/>
        <v>1753.9656192846812</v>
      </c>
      <c r="I55" s="363">
        <f t="shared" ref="I55:O55" si="3">B55/B$45</f>
        <v>1.1720255503567738</v>
      </c>
      <c r="J55" s="363">
        <f t="shared" si="3"/>
        <v>1.1720255503567738</v>
      </c>
      <c r="K55" s="363">
        <f t="shared" si="3"/>
        <v>1.172025550356774</v>
      </c>
      <c r="L55" s="363">
        <f t="shared" si="3"/>
        <v>1.1720255503567736</v>
      </c>
      <c r="M55" s="363">
        <f t="shared" si="3"/>
        <v>1.1720255503567738</v>
      </c>
      <c r="N55" s="363">
        <f t="shared" si="3"/>
        <v>1.1720255503567738</v>
      </c>
      <c r="O55" s="363">
        <f t="shared" si="3"/>
        <v>1.1720255503567736</v>
      </c>
      <c r="P55" s="361">
        <f>B55/B49</f>
        <v>1.0999229093482332</v>
      </c>
    </row>
    <row r="56" spans="1:16" x14ac:dyDescent="0.2">
      <c r="A56" s="372">
        <v>2018</v>
      </c>
      <c r="B56" s="378">
        <f t="shared" si="0"/>
        <v>22940.899880725508</v>
      </c>
      <c r="C56" s="378">
        <f t="shared" si="0"/>
        <v>609.89714802370452</v>
      </c>
      <c r="D56" s="378">
        <f t="shared" si="0"/>
        <v>591.60023358299327</v>
      </c>
      <c r="E56" s="378">
        <f t="shared" si="0"/>
        <v>911.19818999056736</v>
      </c>
      <c r="F56" s="378">
        <f t="shared" si="0"/>
        <v>2505.2630355587162</v>
      </c>
      <c r="G56" s="378">
        <f t="shared" si="0"/>
        <v>959.49169406006729</v>
      </c>
      <c r="H56" s="378">
        <f t="shared" si="0"/>
        <v>1782.0290691932362</v>
      </c>
      <c r="I56" s="361">
        <f>B55/B52</f>
        <v>1.048772096</v>
      </c>
      <c r="J56" s="397">
        <f t="shared" ref="J56:O56" si="4">C55/C52</f>
        <v>1.048772096</v>
      </c>
      <c r="K56" s="361">
        <f t="shared" si="4"/>
        <v>1.0487720960000002</v>
      </c>
      <c r="L56" s="361">
        <f t="shared" si="4"/>
        <v>1.048772096</v>
      </c>
      <c r="M56" s="361">
        <f t="shared" si="4"/>
        <v>1.048772096</v>
      </c>
      <c r="N56" s="361">
        <f t="shared" si="4"/>
        <v>1.0487720960000002</v>
      </c>
      <c r="O56" s="361">
        <f t="shared" si="4"/>
        <v>1.048772096</v>
      </c>
    </row>
    <row r="57" spans="1:16" x14ac:dyDescent="0.2">
      <c r="A57" s="372">
        <v>2019</v>
      </c>
      <c r="B57" s="378">
        <f t="shared" si="0"/>
        <v>23307.954278817117</v>
      </c>
      <c r="C57" s="378">
        <f t="shared" si="0"/>
        <v>619.6555023920838</v>
      </c>
      <c r="D57" s="378">
        <f t="shared" si="0"/>
        <v>601.06583732032118</v>
      </c>
      <c r="E57" s="378">
        <f t="shared" si="0"/>
        <v>925.7773610304165</v>
      </c>
      <c r="F57" s="378">
        <f t="shared" si="0"/>
        <v>2545.3472441276558</v>
      </c>
      <c r="G57" s="378">
        <f t="shared" si="0"/>
        <v>974.8435611650284</v>
      </c>
      <c r="H57" s="378">
        <f t="shared" si="0"/>
        <v>1810.5415343003281</v>
      </c>
    </row>
    <row r="58" spans="1:16" ht="15.75" x14ac:dyDescent="0.25">
      <c r="A58" s="382">
        <v>2020</v>
      </c>
      <c r="B58" s="383">
        <f t="shared" si="0"/>
        <v>23680.88154727819</v>
      </c>
      <c r="C58" s="383">
        <f t="shared" si="0"/>
        <v>629.56999043035717</v>
      </c>
      <c r="D58" s="383">
        <f t="shared" si="0"/>
        <v>610.6828907174463</v>
      </c>
      <c r="E58" s="383">
        <f t="shared" si="0"/>
        <v>940.58979880690322</v>
      </c>
      <c r="F58" s="383">
        <f t="shared" si="0"/>
        <v>2586.0728000336985</v>
      </c>
      <c r="G58" s="383">
        <f t="shared" si="0"/>
        <v>990.4410581436689</v>
      </c>
      <c r="H58" s="383">
        <f t="shared" si="0"/>
        <v>1839.5101988491333</v>
      </c>
      <c r="I58" s="363">
        <f t="shared" ref="I58:O58" si="5">B58/B$45</f>
        <v>1.2291876930132271</v>
      </c>
      <c r="J58" s="363">
        <f t="shared" si="5"/>
        <v>1.2291876930132275</v>
      </c>
      <c r="K58" s="363">
        <f t="shared" si="5"/>
        <v>1.2291876930132273</v>
      </c>
      <c r="L58" s="363">
        <f t="shared" si="5"/>
        <v>1.2291876930132273</v>
      </c>
      <c r="M58" s="363">
        <f t="shared" si="5"/>
        <v>1.2291876930132275</v>
      </c>
      <c r="N58" s="363">
        <f t="shared" si="5"/>
        <v>1.2291876930132273</v>
      </c>
      <c r="O58" s="363">
        <f t="shared" si="5"/>
        <v>1.2291876930132271</v>
      </c>
    </row>
    <row r="59" spans="1:16" x14ac:dyDescent="0.2">
      <c r="A59" s="372">
        <v>2021</v>
      </c>
      <c r="B59" s="378">
        <f t="shared" si="0"/>
        <v>24059.775652034641</v>
      </c>
      <c r="C59" s="378">
        <f t="shared" si="0"/>
        <v>639.64311027724284</v>
      </c>
      <c r="D59" s="378">
        <f t="shared" si="0"/>
        <v>620.45381696892548</v>
      </c>
      <c r="E59" s="378">
        <f t="shared" si="0"/>
        <v>955.63923558781369</v>
      </c>
      <c r="F59" s="378">
        <f t="shared" si="0"/>
        <v>2627.4499648342376</v>
      </c>
      <c r="G59" s="378">
        <f t="shared" si="0"/>
        <v>1006.2881150739676</v>
      </c>
      <c r="H59" s="378">
        <f t="shared" si="0"/>
        <v>1868.9423620307196</v>
      </c>
    </row>
    <row r="60" spans="1:16" x14ac:dyDescent="0.2">
      <c r="A60" s="372">
        <v>2022</v>
      </c>
      <c r="B60" s="378">
        <f t="shared" si="0"/>
        <v>24444.732062467196</v>
      </c>
      <c r="C60" s="378">
        <f t="shared" si="0"/>
        <v>649.8774000416787</v>
      </c>
      <c r="D60" s="378">
        <f t="shared" si="0"/>
        <v>630.38107804042829</v>
      </c>
      <c r="E60" s="378">
        <f t="shared" si="0"/>
        <v>970.92946335721876</v>
      </c>
      <c r="F60" s="378">
        <f t="shared" si="0"/>
        <v>2669.4891642715852</v>
      </c>
      <c r="G60" s="378">
        <f t="shared" si="0"/>
        <v>1022.3887249151511</v>
      </c>
      <c r="H60" s="378">
        <f t="shared" si="0"/>
        <v>1898.8454398232111</v>
      </c>
    </row>
    <row r="61" spans="1:16" x14ac:dyDescent="0.2">
      <c r="A61" s="373">
        <v>2023</v>
      </c>
      <c r="B61" s="378">
        <f t="shared" ref="B61:H76" si="6">B60*1.016</f>
        <v>24835.847775466671</v>
      </c>
      <c r="C61" s="378">
        <f t="shared" si="6"/>
        <v>660.2754384423456</v>
      </c>
      <c r="D61" s="378">
        <f t="shared" si="6"/>
        <v>640.46717528907516</v>
      </c>
      <c r="E61" s="378">
        <f t="shared" si="6"/>
        <v>986.46433477093433</v>
      </c>
      <c r="F61" s="378">
        <f t="shared" si="6"/>
        <v>2712.2009908999307</v>
      </c>
      <c r="G61" s="378">
        <f t="shared" si="6"/>
        <v>1038.7469445137936</v>
      </c>
      <c r="H61" s="378">
        <f t="shared" si="6"/>
        <v>1929.2269668603826</v>
      </c>
    </row>
    <row r="62" spans="1:16" x14ac:dyDescent="0.2">
      <c r="A62" s="373">
        <v>2024</v>
      </c>
      <c r="B62" s="378">
        <f t="shared" si="6"/>
        <v>25233.221339874137</v>
      </c>
      <c r="C62" s="378">
        <f t="shared" si="6"/>
        <v>670.83984545742317</v>
      </c>
      <c r="D62" s="378">
        <f t="shared" si="6"/>
        <v>650.71465009370036</v>
      </c>
      <c r="E62" s="378">
        <f t="shared" si="6"/>
        <v>1002.2477641272693</v>
      </c>
      <c r="F62" s="378">
        <f t="shared" si="6"/>
        <v>2755.5962067543296</v>
      </c>
      <c r="G62" s="378">
        <f t="shared" si="6"/>
        <v>1055.3668956260142</v>
      </c>
      <c r="H62" s="378">
        <f t="shared" si="6"/>
        <v>1960.0945983301488</v>
      </c>
    </row>
    <row r="63" spans="1:16" ht="15.75" x14ac:dyDescent="0.25">
      <c r="A63" s="386">
        <v>2025</v>
      </c>
      <c r="B63" s="383">
        <f t="shared" si="6"/>
        <v>25636.952881312125</v>
      </c>
      <c r="C63" s="383">
        <f t="shared" si="6"/>
        <v>681.57328298474192</v>
      </c>
      <c r="D63" s="383">
        <f t="shared" si="6"/>
        <v>661.12608449519962</v>
      </c>
      <c r="E63" s="383">
        <f t="shared" si="6"/>
        <v>1018.2837283533056</v>
      </c>
      <c r="F63" s="383">
        <f t="shared" si="6"/>
        <v>2799.6857460623987</v>
      </c>
      <c r="G63" s="383">
        <f t="shared" si="6"/>
        <v>1072.2527659560303</v>
      </c>
      <c r="H63" s="383">
        <f t="shared" si="6"/>
        <v>1991.4561119034311</v>
      </c>
      <c r="I63" s="363">
        <f>B63/B45</f>
        <v>1.330720180545425</v>
      </c>
      <c r="J63" s="363">
        <f t="shared" ref="J63:O63" si="7">C63/C45</f>
        <v>1.3307201805454252</v>
      </c>
      <c r="K63" s="363">
        <f t="shared" si="7"/>
        <v>1.3307201805454254</v>
      </c>
      <c r="L63" s="363">
        <f t="shared" si="7"/>
        <v>1.3307201805454252</v>
      </c>
      <c r="M63" s="363">
        <f t="shared" si="7"/>
        <v>1.3307201805454252</v>
      </c>
      <c r="N63" s="363">
        <f t="shared" si="7"/>
        <v>1.330720180545425</v>
      </c>
      <c r="O63" s="363">
        <f t="shared" si="7"/>
        <v>1.3307201805454252</v>
      </c>
    </row>
    <row r="64" spans="1:16" x14ac:dyDescent="0.2">
      <c r="A64" s="373">
        <v>2026</v>
      </c>
      <c r="B64" s="378">
        <f t="shared" si="6"/>
        <v>26047.144127413121</v>
      </c>
      <c r="C64" s="378">
        <f t="shared" si="6"/>
        <v>692.47845551249782</v>
      </c>
      <c r="D64" s="378">
        <f t="shared" si="6"/>
        <v>671.70410184712284</v>
      </c>
      <c r="E64" s="378">
        <f t="shared" si="6"/>
        <v>1034.5762680069586</v>
      </c>
      <c r="F64" s="378">
        <f t="shared" si="6"/>
        <v>2844.4807179993973</v>
      </c>
      <c r="G64" s="378">
        <f t="shared" si="6"/>
        <v>1089.4088102113269</v>
      </c>
      <c r="H64" s="378">
        <f t="shared" si="6"/>
        <v>2023.319409693886</v>
      </c>
    </row>
    <row r="65" spans="1:8" x14ac:dyDescent="0.2">
      <c r="A65" s="373">
        <v>2027</v>
      </c>
      <c r="B65" s="378">
        <f t="shared" si="6"/>
        <v>26463.89843345173</v>
      </c>
      <c r="C65" s="378">
        <f t="shared" si="6"/>
        <v>703.55811080069782</v>
      </c>
      <c r="D65" s="378">
        <f t="shared" si="6"/>
        <v>682.45136747667686</v>
      </c>
      <c r="E65" s="378">
        <f t="shared" si="6"/>
        <v>1051.1294882950699</v>
      </c>
      <c r="F65" s="378">
        <f t="shared" si="6"/>
        <v>2889.9924094873877</v>
      </c>
      <c r="G65" s="378">
        <f t="shared" si="6"/>
        <v>1106.8393511747081</v>
      </c>
      <c r="H65" s="378">
        <f t="shared" si="6"/>
        <v>2055.6925202489883</v>
      </c>
    </row>
    <row r="66" spans="1:8" x14ac:dyDescent="0.2">
      <c r="A66" s="373">
        <v>2028</v>
      </c>
      <c r="B66" s="378">
        <f t="shared" si="6"/>
        <v>26887.320808386958</v>
      </c>
      <c r="C66" s="378">
        <f t="shared" si="6"/>
        <v>714.81504057350901</v>
      </c>
      <c r="D66" s="378">
        <f t="shared" si="6"/>
        <v>693.37058935630375</v>
      </c>
      <c r="E66" s="378">
        <f t="shared" si="6"/>
        <v>1067.9475601077911</v>
      </c>
      <c r="F66" s="378">
        <f t="shared" si="6"/>
        <v>2936.2322880391857</v>
      </c>
      <c r="G66" s="378">
        <f t="shared" si="6"/>
        <v>1124.5487807935035</v>
      </c>
      <c r="H66" s="378">
        <f t="shared" si="6"/>
        <v>2088.583600572972</v>
      </c>
    </row>
    <row r="67" spans="1:8" x14ac:dyDescent="0.2">
      <c r="A67" s="373">
        <v>2029</v>
      </c>
      <c r="B67" s="378">
        <f t="shared" si="6"/>
        <v>27317.517941321148</v>
      </c>
      <c r="C67" s="378">
        <f t="shared" si="6"/>
        <v>726.25208122268521</v>
      </c>
      <c r="D67" s="378">
        <f t="shared" si="6"/>
        <v>704.46451878600465</v>
      </c>
      <c r="E67" s="378">
        <f t="shared" si="6"/>
        <v>1085.0347210695159</v>
      </c>
      <c r="F67" s="378">
        <f t="shared" si="6"/>
        <v>2983.2120046478126</v>
      </c>
      <c r="G67" s="378">
        <f t="shared" si="6"/>
        <v>1142.5415612861996</v>
      </c>
      <c r="H67" s="378">
        <f t="shared" si="6"/>
        <v>2122.0009381821396</v>
      </c>
    </row>
    <row r="68" spans="1:8" x14ac:dyDescent="0.2">
      <c r="A68" s="373">
        <v>2030</v>
      </c>
      <c r="B68" s="378">
        <f t="shared" si="6"/>
        <v>27754.598228382289</v>
      </c>
      <c r="C68" s="378">
        <f t="shared" si="6"/>
        <v>737.87211452224813</v>
      </c>
      <c r="D68" s="378">
        <f t="shared" si="6"/>
        <v>715.73595108658071</v>
      </c>
      <c r="E68" s="378">
        <f t="shared" si="6"/>
        <v>1102.3952766066282</v>
      </c>
      <c r="F68" s="378">
        <f t="shared" si="6"/>
        <v>3030.9433967221776</v>
      </c>
      <c r="G68" s="378">
        <f t="shared" si="6"/>
        <v>1160.8222262667787</v>
      </c>
      <c r="H68" s="378">
        <f t="shared" si="6"/>
        <v>2155.9529531930539</v>
      </c>
    </row>
    <row r="69" spans="1:8" x14ac:dyDescent="0.2">
      <c r="A69" s="373">
        <v>2031</v>
      </c>
      <c r="B69" s="378">
        <f t="shared" si="6"/>
        <v>28198.671800036405</v>
      </c>
      <c r="C69" s="378">
        <f t="shared" si="6"/>
        <v>749.67806835460408</v>
      </c>
      <c r="D69" s="378">
        <f t="shared" si="6"/>
        <v>727.18772630396597</v>
      </c>
      <c r="E69" s="378">
        <f t="shared" si="6"/>
        <v>1120.0336010323342</v>
      </c>
      <c r="F69" s="378">
        <f t="shared" si="6"/>
        <v>3079.4384910697327</v>
      </c>
      <c r="G69" s="378">
        <f t="shared" si="6"/>
        <v>1179.3953818870471</v>
      </c>
      <c r="H69" s="378">
        <f t="shared" si="6"/>
        <v>2190.4482004441429</v>
      </c>
    </row>
    <row r="70" spans="1:8" x14ac:dyDescent="0.2">
      <c r="A70" s="373">
        <v>2032</v>
      </c>
      <c r="B70" s="378">
        <f t="shared" si="6"/>
        <v>28649.850548836988</v>
      </c>
      <c r="C70" s="378">
        <f t="shared" si="6"/>
        <v>761.67291744827776</v>
      </c>
      <c r="D70" s="378">
        <f t="shared" si="6"/>
        <v>738.82272992482945</v>
      </c>
      <c r="E70" s="378">
        <f t="shared" si="6"/>
        <v>1137.9541386488515</v>
      </c>
      <c r="F70" s="378">
        <f t="shared" si="6"/>
        <v>3128.7095069268485</v>
      </c>
      <c r="G70" s="378">
        <f t="shared" si="6"/>
        <v>1198.2657079972398</v>
      </c>
      <c r="H70" s="378">
        <f t="shared" si="6"/>
        <v>2225.4953716512491</v>
      </c>
    </row>
    <row r="71" spans="1:8" x14ac:dyDescent="0.2">
      <c r="A71" s="373">
        <v>2033</v>
      </c>
      <c r="B71" s="378">
        <f t="shared" si="6"/>
        <v>29108.248157618382</v>
      </c>
      <c r="C71" s="378">
        <f t="shared" si="6"/>
        <v>773.85968412745024</v>
      </c>
      <c r="D71" s="378">
        <f t="shared" si="6"/>
        <v>750.64389360362668</v>
      </c>
      <c r="E71" s="378">
        <f t="shared" si="6"/>
        <v>1156.1614048672332</v>
      </c>
      <c r="F71" s="378">
        <f t="shared" si="6"/>
        <v>3178.7688590376779</v>
      </c>
      <c r="G71" s="378">
        <f t="shared" si="6"/>
        <v>1217.4379593251956</v>
      </c>
      <c r="H71" s="378">
        <f t="shared" si="6"/>
        <v>2261.1032975976691</v>
      </c>
    </row>
    <row r="72" spans="1:8" x14ac:dyDescent="0.2">
      <c r="A72" s="373">
        <v>2034</v>
      </c>
      <c r="B72" s="378">
        <f t="shared" si="6"/>
        <v>29573.980128140276</v>
      </c>
      <c r="C72" s="378">
        <f t="shared" si="6"/>
        <v>786.24143907348946</v>
      </c>
      <c r="D72" s="378">
        <f t="shared" si="6"/>
        <v>762.65419590128477</v>
      </c>
      <c r="E72" s="378">
        <f t="shared" si="6"/>
        <v>1174.6599873451089</v>
      </c>
      <c r="F72" s="378">
        <f t="shared" si="6"/>
        <v>3229.6291607822809</v>
      </c>
      <c r="G72" s="378">
        <f t="shared" si="6"/>
        <v>1236.9169666743987</v>
      </c>
      <c r="H72" s="378">
        <f t="shared" si="6"/>
        <v>2297.2809503592316</v>
      </c>
    </row>
    <row r="73" spans="1:8" x14ac:dyDescent="0.2">
      <c r="A73" s="373">
        <v>2035</v>
      </c>
      <c r="B73" s="378">
        <f t="shared" si="6"/>
        <v>30047.163810190519</v>
      </c>
      <c r="C73" s="378">
        <f t="shared" si="6"/>
        <v>798.82130209866534</v>
      </c>
      <c r="D73" s="378">
        <f t="shared" si="6"/>
        <v>774.85666303570531</v>
      </c>
      <c r="E73" s="378">
        <f t="shared" si="6"/>
        <v>1193.4545471426306</v>
      </c>
      <c r="F73" s="378">
        <f t="shared" si="6"/>
        <v>3281.3032273547974</v>
      </c>
      <c r="G73" s="378">
        <f t="shared" si="6"/>
        <v>1256.7076381411891</v>
      </c>
      <c r="H73" s="378">
        <f t="shared" si="6"/>
        <v>2334.0374455649794</v>
      </c>
    </row>
    <row r="74" spans="1:8" x14ac:dyDescent="0.2">
      <c r="A74" s="373">
        <v>2036</v>
      </c>
      <c r="B74" s="378">
        <f t="shared" si="6"/>
        <v>30527.918431153568</v>
      </c>
      <c r="C74" s="378">
        <f t="shared" si="6"/>
        <v>811.602442932244</v>
      </c>
      <c r="D74" s="378">
        <f t="shared" si="6"/>
        <v>787.25436964427661</v>
      </c>
      <c r="E74" s="378">
        <f t="shared" si="6"/>
        <v>1212.5498198969128</v>
      </c>
      <c r="F74" s="378">
        <f t="shared" si="6"/>
        <v>3333.8040789924744</v>
      </c>
      <c r="G74" s="378">
        <f t="shared" si="6"/>
        <v>1276.8149603514482</v>
      </c>
      <c r="H74" s="378">
        <f t="shared" si="6"/>
        <v>2371.382044694019</v>
      </c>
    </row>
    <row r="75" spans="1:8" x14ac:dyDescent="0.2">
      <c r="A75" s="373">
        <v>2037</v>
      </c>
      <c r="B75" s="378">
        <f t="shared" si="6"/>
        <v>31016.365126052027</v>
      </c>
      <c r="C75" s="378">
        <f t="shared" si="6"/>
        <v>824.58808201915997</v>
      </c>
      <c r="D75" s="378">
        <f t="shared" si="6"/>
        <v>799.85043955858509</v>
      </c>
      <c r="E75" s="378">
        <f t="shared" si="6"/>
        <v>1231.9506170152633</v>
      </c>
      <c r="F75" s="378">
        <f t="shared" si="6"/>
        <v>3387.1449442563539</v>
      </c>
      <c r="G75" s="378">
        <f t="shared" si="6"/>
        <v>1297.2439997170713</v>
      </c>
      <c r="H75" s="378">
        <f t="shared" si="6"/>
        <v>2409.3241574091235</v>
      </c>
    </row>
    <row r="76" spans="1:8" x14ac:dyDescent="0.2">
      <c r="A76" s="373">
        <v>2038</v>
      </c>
      <c r="B76" s="378">
        <f t="shared" si="6"/>
        <v>31512.62696806886</v>
      </c>
      <c r="C76" s="378">
        <f t="shared" si="6"/>
        <v>837.78149133146655</v>
      </c>
      <c r="D76" s="378">
        <f t="shared" si="6"/>
        <v>812.64804659152242</v>
      </c>
      <c r="E76" s="378">
        <f t="shared" si="6"/>
        <v>1251.6618268875075</v>
      </c>
      <c r="F76" s="378">
        <f t="shared" si="6"/>
        <v>3441.3392633644557</v>
      </c>
      <c r="G76" s="378">
        <f t="shared" si="6"/>
        <v>1317.9999037125444</v>
      </c>
      <c r="H76" s="378">
        <f t="shared" si="6"/>
        <v>2447.8733439276693</v>
      </c>
    </row>
    <row r="77" spans="1:8" x14ac:dyDescent="0.2">
      <c r="A77" s="373">
        <v>2039</v>
      </c>
      <c r="B77" s="378">
        <f t="shared" ref="B77:H78" si="8">B76*1.016</f>
        <v>32016.828999557962</v>
      </c>
      <c r="C77" s="378">
        <f t="shared" si="8"/>
        <v>851.18599519277006</v>
      </c>
      <c r="D77" s="378">
        <f t="shared" si="8"/>
        <v>825.65041533698684</v>
      </c>
      <c r="E77" s="378">
        <f t="shared" si="8"/>
        <v>1271.6884161177077</v>
      </c>
      <c r="F77" s="378">
        <f t="shared" si="8"/>
        <v>3496.400691578287</v>
      </c>
      <c r="G77" s="378">
        <f t="shared" si="8"/>
        <v>1339.0879021719452</v>
      </c>
      <c r="H77" s="378">
        <f t="shared" si="8"/>
        <v>2487.0393174305123</v>
      </c>
    </row>
    <row r="78" spans="1:8" x14ac:dyDescent="0.2">
      <c r="A78" s="374">
        <v>2040</v>
      </c>
      <c r="B78" s="378">
        <f t="shared" si="8"/>
        <v>32529.098263550888</v>
      </c>
      <c r="C78" s="378">
        <f t="shared" si="8"/>
        <v>864.80497111585441</v>
      </c>
      <c r="D78" s="378">
        <f t="shared" si="8"/>
        <v>838.86082198237864</v>
      </c>
      <c r="E78" s="378">
        <f t="shared" si="8"/>
        <v>1292.0354307755911</v>
      </c>
      <c r="F78" s="378">
        <f t="shared" si="8"/>
        <v>3552.3431026435396</v>
      </c>
      <c r="G78" s="378">
        <f t="shared" si="8"/>
        <v>1360.5133086066962</v>
      </c>
      <c r="H78" s="378">
        <f t="shared" si="8"/>
        <v>2526.8319465094005</v>
      </c>
    </row>
    <row r="80" spans="1:8" ht="34.5" customHeight="1" x14ac:dyDescent="0.25">
      <c r="A80" s="602" t="s">
        <v>1005</v>
      </c>
      <c r="B80" s="602"/>
      <c r="C80" s="602"/>
      <c r="D80" s="602"/>
      <c r="E80" s="602"/>
      <c r="F80" s="602"/>
      <c r="G80" s="602"/>
      <c r="H80" s="602"/>
    </row>
    <row r="81" spans="1:8" ht="15.75" x14ac:dyDescent="0.25">
      <c r="A81" s="364" t="s">
        <v>932</v>
      </c>
      <c r="B81" s="365" t="s">
        <v>96</v>
      </c>
      <c r="C81" s="366" t="s">
        <v>7</v>
      </c>
      <c r="D81" s="366" t="s">
        <v>924</v>
      </c>
      <c r="E81" s="366" t="s">
        <v>8</v>
      </c>
      <c r="F81" s="366" t="s">
        <v>10</v>
      </c>
      <c r="G81" s="366" t="s">
        <v>69</v>
      </c>
      <c r="H81" s="367" t="s">
        <v>17</v>
      </c>
    </row>
    <row r="82" spans="1:8" x14ac:dyDescent="0.2">
      <c r="A82" s="368">
        <v>2006</v>
      </c>
      <c r="B82" s="387">
        <f>1-(B44-B4)/B44</f>
        <v>1</v>
      </c>
      <c r="C82" s="387">
        <f t="shared" ref="C82:H82" si="9">1-(C44-C4)/C44</f>
        <v>1</v>
      </c>
      <c r="D82" s="387">
        <f t="shared" si="9"/>
        <v>1</v>
      </c>
      <c r="E82" s="387">
        <f t="shared" si="9"/>
        <v>1</v>
      </c>
      <c r="F82" s="387">
        <f t="shared" si="9"/>
        <v>1</v>
      </c>
      <c r="G82" s="387">
        <f t="shared" si="9"/>
        <v>1</v>
      </c>
      <c r="H82" s="387">
        <f t="shared" si="9"/>
        <v>1</v>
      </c>
    </row>
    <row r="83" spans="1:8" x14ac:dyDescent="0.2">
      <c r="A83" s="368">
        <v>2007</v>
      </c>
      <c r="B83" s="387">
        <f t="shared" ref="B83:H98" si="10">1-(B45-B5)/B45</f>
        <v>0.93162891116701729</v>
      </c>
      <c r="C83" s="387">
        <f t="shared" si="10"/>
        <v>0.97302088190939917</v>
      </c>
      <c r="D83" s="387">
        <f t="shared" si="10"/>
        <v>0.97302088190939939</v>
      </c>
      <c r="E83" s="387">
        <f t="shared" si="10"/>
        <v>0.97205238096484814</v>
      </c>
      <c r="F83" s="387">
        <f t="shared" si="10"/>
        <v>0.99212598425196874</v>
      </c>
      <c r="G83" s="387">
        <f t="shared" si="10"/>
        <v>0.97205238096484836</v>
      </c>
      <c r="H83" s="387">
        <f t="shared" si="10"/>
        <v>0.9921576068051734</v>
      </c>
    </row>
    <row r="84" spans="1:8" x14ac:dyDescent="0.2">
      <c r="A84" s="368">
        <v>2008</v>
      </c>
      <c r="B84" s="387">
        <f t="shared" si="10"/>
        <v>0.8653616437766094</v>
      </c>
      <c r="C84" s="387">
        <f t="shared" si="10"/>
        <v>0.77849869139785932</v>
      </c>
      <c r="D84" s="387">
        <f t="shared" si="10"/>
        <v>0.77849869139785943</v>
      </c>
      <c r="E84" s="387">
        <f t="shared" si="10"/>
        <v>0.94396711024525537</v>
      </c>
      <c r="F84" s="387">
        <f t="shared" si="10"/>
        <v>0.98431396862793763</v>
      </c>
      <c r="G84" s="387">
        <f t="shared" si="10"/>
        <v>0.94396711024525559</v>
      </c>
      <c r="H84" s="387">
        <f t="shared" si="10"/>
        <v>0.11477181588901331</v>
      </c>
    </row>
    <row r="85" spans="1:8" x14ac:dyDescent="0.2">
      <c r="A85" s="372">
        <v>2009</v>
      </c>
      <c r="B85" s="387">
        <f t="shared" si="10"/>
        <v>0.80158893124511188</v>
      </c>
      <c r="C85" s="387">
        <f t="shared" si="10"/>
        <v>0.75284880575404378</v>
      </c>
      <c r="D85" s="387">
        <f t="shared" si="10"/>
        <v>0.75284880575404378</v>
      </c>
      <c r="E85" s="387">
        <f t="shared" si="10"/>
        <v>0.91602365882102144</v>
      </c>
      <c r="F85" s="387">
        <f t="shared" si="10"/>
        <v>0.97656346493795376</v>
      </c>
      <c r="G85" s="387">
        <f t="shared" si="10"/>
        <v>0.91602365882102166</v>
      </c>
      <c r="H85" s="387">
        <f t="shared" si="10"/>
        <v>0.11392171102022375</v>
      </c>
    </row>
    <row r="86" spans="1:8" x14ac:dyDescent="0.2">
      <c r="A86" s="372">
        <v>2010</v>
      </c>
      <c r="B86" s="387">
        <f t="shared" si="10"/>
        <v>0.72814485494837089</v>
      </c>
      <c r="C86" s="387">
        <f t="shared" si="10"/>
        <v>0.71045765469890088</v>
      </c>
      <c r="D86" s="387">
        <f t="shared" si="10"/>
        <v>0.71045765469890099</v>
      </c>
      <c r="E86" s="387">
        <f t="shared" si="10"/>
        <v>0.85778299513995304</v>
      </c>
      <c r="F86" s="387">
        <f t="shared" si="10"/>
        <v>0.96887398883608034</v>
      </c>
      <c r="G86" s="387">
        <f t="shared" si="10"/>
        <v>0.85778299513995315</v>
      </c>
      <c r="H86" s="387">
        <f t="shared" si="10"/>
        <v>0.1130699176406641</v>
      </c>
    </row>
    <row r="87" spans="1:8" x14ac:dyDescent="0.2">
      <c r="A87" s="388">
        <v>2011</v>
      </c>
      <c r="B87" s="389">
        <f t="shared" si="10"/>
        <v>0.65816156302250806</v>
      </c>
      <c r="C87" s="389">
        <f t="shared" si="10"/>
        <v>0.66895640985994764</v>
      </c>
      <c r="D87" s="389">
        <f t="shared" si="10"/>
        <v>0.66895640985994764</v>
      </c>
      <c r="E87" s="389">
        <f t="shared" si="10"/>
        <v>0.80088543073861329</v>
      </c>
      <c r="F87" s="389">
        <f t="shared" si="10"/>
        <v>0.96124505979012687</v>
      </c>
      <c r="G87" s="389">
        <f t="shared" si="10"/>
        <v>0.80088543073861329</v>
      </c>
      <c r="H87" s="389">
        <f t="shared" si="10"/>
        <v>0.11221669975820503</v>
      </c>
    </row>
    <row r="88" spans="1:8" x14ac:dyDescent="0.2">
      <c r="A88" s="372">
        <v>2012</v>
      </c>
      <c r="B88" s="387">
        <f t="shared" si="10"/>
        <v>0.61294109204315006</v>
      </c>
      <c r="C88" s="387">
        <f t="shared" si="10"/>
        <v>0.62278241504881349</v>
      </c>
      <c r="D88" s="387">
        <f t="shared" si="10"/>
        <v>0.6227824150488136</v>
      </c>
      <c r="E88" s="387">
        <f t="shared" si="10"/>
        <v>0.73385271261201068</v>
      </c>
      <c r="F88" s="387">
        <f t="shared" si="10"/>
        <v>0.95367620105162232</v>
      </c>
      <c r="G88" s="387">
        <f t="shared" si="10"/>
        <v>0.73385271261201079</v>
      </c>
      <c r="H88" s="387">
        <f t="shared" si="10"/>
        <v>0.11136231348426018</v>
      </c>
    </row>
    <row r="89" spans="1:8" x14ac:dyDescent="0.2">
      <c r="A89" s="388">
        <v>2013</v>
      </c>
      <c r="B89" s="389">
        <f t="shared" si="10"/>
        <v>0.57099470708134203</v>
      </c>
      <c r="C89" s="389">
        <f t="shared" si="10"/>
        <v>0.56625018772711466</v>
      </c>
      <c r="D89" s="389">
        <f t="shared" si="10"/>
        <v>0.56625018772711488</v>
      </c>
      <c r="E89" s="389">
        <f t="shared" si="10"/>
        <v>0.67030948826003889</v>
      </c>
      <c r="F89" s="389">
        <f t="shared" si="10"/>
        <v>0.94616693962601872</v>
      </c>
      <c r="G89" s="389">
        <f t="shared" si="10"/>
        <v>0.670309488260039</v>
      </c>
      <c r="H89" s="389">
        <f t="shared" si="10"/>
        <v>3.2942468276075942E-3</v>
      </c>
    </row>
    <row r="90" spans="1:8" x14ac:dyDescent="0.2">
      <c r="A90" s="372">
        <v>2014</v>
      </c>
      <c r="B90" s="387">
        <f t="shared" si="10"/>
        <v>0.53209018231417282</v>
      </c>
      <c r="C90" s="387">
        <f t="shared" si="10"/>
        <v>0.52650896031574668</v>
      </c>
      <c r="D90" s="387">
        <f t="shared" si="10"/>
        <v>0.52650896031574668</v>
      </c>
      <c r="E90" s="387">
        <f t="shared" si="10"/>
        <v>0.61008084705760157</v>
      </c>
      <c r="F90" s="387">
        <f t="shared" si="10"/>
        <v>0.93871680624313714</v>
      </c>
      <c r="G90" s="387">
        <f t="shared" si="10"/>
        <v>0.61008084705760157</v>
      </c>
      <c r="H90" s="387">
        <f t="shared" si="10"/>
        <v>3.242368924810668E-3</v>
      </c>
    </row>
    <row r="91" spans="1:8" x14ac:dyDescent="0.2">
      <c r="A91" s="372">
        <v>2015</v>
      </c>
      <c r="B91" s="387">
        <f t="shared" si="10"/>
        <v>0.50087153117549721</v>
      </c>
      <c r="C91" s="387">
        <f t="shared" si="10"/>
        <v>0.48681228412652433</v>
      </c>
      <c r="D91" s="387">
        <f t="shared" si="10"/>
        <v>0.48681228412652433</v>
      </c>
      <c r="E91" s="387">
        <f t="shared" si="10"/>
        <v>0.55597429372637142</v>
      </c>
      <c r="F91" s="387">
        <f t="shared" si="10"/>
        <v>0.93132533532783657</v>
      </c>
      <c r="G91" s="387">
        <f t="shared" si="10"/>
        <v>0.55597429372637142</v>
      </c>
      <c r="H91" s="387">
        <f t="shared" si="10"/>
        <v>3.1913079968608482E-3</v>
      </c>
    </row>
    <row r="92" spans="1:8" x14ac:dyDescent="0.2">
      <c r="A92" s="372">
        <v>2016</v>
      </c>
      <c r="B92" s="387">
        <f t="shared" si="10"/>
        <v>0.45262478968544673</v>
      </c>
      <c r="C92" s="387">
        <f t="shared" si="10"/>
        <v>0.44361462837456223</v>
      </c>
      <c r="D92" s="387">
        <f t="shared" si="10"/>
        <v>0.44361462837456223</v>
      </c>
      <c r="E92" s="387">
        <f t="shared" si="10"/>
        <v>0.49503087621986086</v>
      </c>
      <c r="F92" s="387">
        <f t="shared" si="10"/>
        <v>0.92399206497092456</v>
      </c>
      <c r="G92" s="387">
        <f t="shared" si="10"/>
        <v>0.49503087621986097</v>
      </c>
      <c r="H92" s="387">
        <f t="shared" si="10"/>
        <v>3.141051178012666E-3</v>
      </c>
    </row>
    <row r="93" spans="1:8" x14ac:dyDescent="0.2">
      <c r="A93" s="388">
        <v>2017</v>
      </c>
      <c r="B93" s="389">
        <f t="shared" si="10"/>
        <v>0.42057277081583466</v>
      </c>
      <c r="C93" s="389">
        <f t="shared" si="10"/>
        <v>0.40211869117096133</v>
      </c>
      <c r="D93" s="389">
        <f t="shared" si="10"/>
        <v>0.40211869117096133</v>
      </c>
      <c r="E93" s="389">
        <f t="shared" si="10"/>
        <v>0.43671092220573127</v>
      </c>
      <c r="F93" s="389">
        <f t="shared" si="10"/>
        <v>0.91671653690028754</v>
      </c>
      <c r="G93" s="389">
        <f t="shared" si="10"/>
        <v>0.43671092220573127</v>
      </c>
      <c r="H93" s="389">
        <f t="shared" si="10"/>
        <v>3.0915858051305811E-3</v>
      </c>
    </row>
    <row r="94" spans="1:8" x14ac:dyDescent="0.2">
      <c r="A94" s="372">
        <v>2018</v>
      </c>
      <c r="B94" s="387">
        <f t="shared" si="10"/>
        <v>0.39075682822477809</v>
      </c>
      <c r="C94" s="387">
        <f t="shared" si="10"/>
        <v>0.36228097792036706</v>
      </c>
      <c r="D94" s="387">
        <f t="shared" si="10"/>
        <v>0.36228097792036729</v>
      </c>
      <c r="E94" s="387">
        <f t="shared" si="10"/>
        <v>0.38097138907492489</v>
      </c>
      <c r="F94" s="387">
        <f t="shared" si="10"/>
        <v>0.90949829645225366</v>
      </c>
      <c r="G94" s="387">
        <f t="shared" si="10"/>
        <v>0.38097138907492478</v>
      </c>
      <c r="H94" s="387">
        <f t="shared" si="10"/>
        <v>3.0428994144986454E-3</v>
      </c>
    </row>
    <row r="95" spans="1:8" x14ac:dyDescent="0.2">
      <c r="A95" s="372">
        <v>2019</v>
      </c>
      <c r="B95" s="387">
        <f t="shared" si="10"/>
        <v>0.3622251784889422</v>
      </c>
      <c r="C95" s="387">
        <f t="shared" si="10"/>
        <v>0.32403162481192482</v>
      </c>
      <c r="D95" s="387">
        <f t="shared" si="10"/>
        <v>0.32403162481192482</v>
      </c>
      <c r="E95" s="387">
        <f t="shared" si="10"/>
        <v>0.32770349059228476</v>
      </c>
      <c r="F95" s="387">
        <f t="shared" si="10"/>
        <v>0.90233689254318072</v>
      </c>
      <c r="G95" s="387">
        <f t="shared" si="10"/>
        <v>0.32770349059228476</v>
      </c>
      <c r="H95" s="387">
        <f t="shared" si="10"/>
        <v>2.9949797386796817E-3</v>
      </c>
    </row>
    <row r="96" spans="1:8" x14ac:dyDescent="0.2">
      <c r="A96" s="388">
        <v>2020</v>
      </c>
      <c r="B96" s="389">
        <f t="shared" si="10"/>
        <v>0.34036469263230085</v>
      </c>
      <c r="C96" s="389">
        <f t="shared" si="10"/>
        <v>0.29381192998912542</v>
      </c>
      <c r="D96" s="389">
        <f t="shared" si="10"/>
        <v>0.29381192998912542</v>
      </c>
      <c r="E96" s="389">
        <f t="shared" si="10"/>
        <v>0.28982367055070701</v>
      </c>
      <c r="F96" s="389">
        <f t="shared" si="10"/>
        <v>0.89523187764126588</v>
      </c>
      <c r="G96" s="389">
        <f t="shared" si="10"/>
        <v>0.2898236705507069</v>
      </c>
      <c r="H96" s="389">
        <f t="shared" si="10"/>
        <v>2.947814703424978E-3</v>
      </c>
    </row>
    <row r="97" spans="1:8" x14ac:dyDescent="0.2">
      <c r="A97" s="372">
        <v>2021</v>
      </c>
      <c r="B97" s="387">
        <f t="shared" si="10"/>
        <v>0.31945228014983817</v>
      </c>
      <c r="C97" s="387">
        <f t="shared" si="10"/>
        <v>0.26980352299483668</v>
      </c>
      <c r="D97" s="387">
        <f t="shared" si="10"/>
        <v>0.26980352299483679</v>
      </c>
      <c r="E97" s="387">
        <f t="shared" si="10"/>
        <v>0.26572841042172601</v>
      </c>
      <c r="F97" s="387">
        <f t="shared" si="10"/>
        <v>0.88818280773857894</v>
      </c>
      <c r="G97" s="387">
        <f t="shared" si="10"/>
        <v>0.26572841042172612</v>
      </c>
      <c r="H97" s="387">
        <f t="shared" si="10"/>
        <v>2.9013924246308331E-3</v>
      </c>
    </row>
    <row r="98" spans="1:8" x14ac:dyDescent="0.2">
      <c r="A98" s="372">
        <v>2022</v>
      </c>
      <c r="B98" s="387">
        <f t="shared" si="10"/>
        <v>0.29911885116294579</v>
      </c>
      <c r="C98" s="387">
        <f t="shared" si="10"/>
        <v>0.24648109260855167</v>
      </c>
      <c r="D98" s="387">
        <f t="shared" si="10"/>
        <v>0.24648109260855167</v>
      </c>
      <c r="E98" s="387">
        <f t="shared" si="10"/>
        <v>0.24232276286598331</v>
      </c>
      <c r="F98" s="387">
        <f t="shared" si="10"/>
        <v>0.88118924232331486</v>
      </c>
      <c r="G98" s="387">
        <f t="shared" si="10"/>
        <v>0.24232276286598331</v>
      </c>
      <c r="H98" s="387">
        <f t="shared" si="10"/>
        <v>2.8557012053452846E-3</v>
      </c>
    </row>
    <row r="99" spans="1:8" x14ac:dyDescent="0.2">
      <c r="A99" s="373">
        <v>2023</v>
      </c>
      <c r="B99" s="387">
        <f t="shared" ref="B99:H114" si="11">1-(B61-B21)/B61</f>
        <v>0.27935131897265708</v>
      </c>
      <c r="C99" s="387">
        <f t="shared" si="11"/>
        <v>0.2238289663267562</v>
      </c>
      <c r="D99" s="387">
        <f t="shared" si="11"/>
        <v>0.2238289663267562</v>
      </c>
      <c r="E99" s="387">
        <f t="shared" si="11"/>
        <v>0.21964971573478353</v>
      </c>
      <c r="F99" s="387">
        <f t="shared" si="11"/>
        <v>0.87425074435226491</v>
      </c>
      <c r="G99" s="387">
        <f t="shared" si="11"/>
        <v>0.21964971573478353</v>
      </c>
      <c r="H99" s="387">
        <f t="shared" si="11"/>
        <v>2.8107295328201332E-3</v>
      </c>
    </row>
    <row r="100" spans="1:8" x14ac:dyDescent="0.2">
      <c r="A100" s="373">
        <v>2024</v>
      </c>
      <c r="B100" s="387">
        <f t="shared" si="11"/>
        <v>0.26013686576490525</v>
      </c>
      <c r="C100" s="387">
        <f t="shared" si="11"/>
        <v>0.20183179531120732</v>
      </c>
      <c r="D100" s="387">
        <f t="shared" si="11"/>
        <v>0.20183179531120732</v>
      </c>
      <c r="E100" s="387">
        <f t="shared" si="11"/>
        <v>0.19768765258158572</v>
      </c>
      <c r="F100" s="387">
        <f t="shared" si="11"/>
        <v>0.86736688022350694</v>
      </c>
      <c r="G100" s="387">
        <f t="shared" si="11"/>
        <v>0.19768765258158583</v>
      </c>
      <c r="H100" s="387">
        <f t="shared" si="11"/>
        <v>2.7664660756103743E-3</v>
      </c>
    </row>
    <row r="101" spans="1:8" x14ac:dyDescent="0.2">
      <c r="A101" s="390">
        <v>2025</v>
      </c>
      <c r="B101" s="389">
        <f t="shared" si="11"/>
        <v>0.24146293738490276</v>
      </c>
      <c r="C101" s="389">
        <f t="shared" si="11"/>
        <v>0.18047454808023666</v>
      </c>
      <c r="D101" s="389">
        <f t="shared" si="11"/>
        <v>0.18047454808023666</v>
      </c>
      <c r="E101" s="389">
        <f t="shared" si="11"/>
        <v>0.17641557797449325</v>
      </c>
      <c r="F101" s="389">
        <f t="shared" si="11"/>
        <v>0.86053721974930641</v>
      </c>
      <c r="G101" s="389">
        <f t="shared" si="11"/>
        <v>0.17641557797449336</v>
      </c>
      <c r="H101" s="389">
        <f t="shared" si="11"/>
        <v>2.9704360153297582E-3</v>
      </c>
    </row>
    <row r="102" spans="1:8" x14ac:dyDescent="0.2">
      <c r="A102" s="373">
        <v>2026</v>
      </c>
      <c r="B102" s="387">
        <f t="shared" si="11"/>
        <v>0.22394026491191654</v>
      </c>
      <c r="C102" s="387">
        <f t="shared" si="11"/>
        <v>0.16134945928045941</v>
      </c>
      <c r="D102" s="387">
        <f t="shared" si="11"/>
        <v>0.16134945928045952</v>
      </c>
      <c r="E102" s="387">
        <f t="shared" si="11"/>
        <v>0.15741030447678628</v>
      </c>
      <c r="F102" s="387">
        <f t="shared" si="11"/>
        <v>0.85376133612923288</v>
      </c>
      <c r="G102" s="387">
        <f t="shared" si="11"/>
        <v>0.15741030447678628</v>
      </c>
      <c r="H102" s="387">
        <f t="shared" si="11"/>
        <v>2.9236574954032424E-3</v>
      </c>
    </row>
    <row r="103" spans="1:8" x14ac:dyDescent="0.2">
      <c r="A103" s="373">
        <v>2027</v>
      </c>
      <c r="B103" s="387">
        <f t="shared" si="11"/>
        <v>0.20829179677135867</v>
      </c>
      <c r="C103" s="387">
        <f t="shared" si="11"/>
        <v>0.14476864022017177</v>
      </c>
      <c r="D103" s="387">
        <f t="shared" si="11"/>
        <v>0.14476864022017166</v>
      </c>
      <c r="E103" s="387">
        <f t="shared" si="11"/>
        <v>0.14096313872063571</v>
      </c>
      <c r="F103" s="387">
        <f t="shared" si="11"/>
        <v>0.84703880592349101</v>
      </c>
      <c r="G103" s="387">
        <f t="shared" si="11"/>
        <v>0.14096313872063571</v>
      </c>
      <c r="H103" s="387">
        <f t="shared" si="11"/>
        <v>2.8776156450820434E-3</v>
      </c>
    </row>
    <row r="104" spans="1:8" x14ac:dyDescent="0.2">
      <c r="A104" s="373">
        <v>2028</v>
      </c>
      <c r="B104" s="387">
        <f t="shared" si="11"/>
        <v>0.19352171804438656</v>
      </c>
      <c r="C104" s="387">
        <f t="shared" si="11"/>
        <v>0.12998675485702726</v>
      </c>
      <c r="D104" s="387">
        <f t="shared" si="11"/>
        <v>0.12998675485702738</v>
      </c>
      <c r="E104" s="387">
        <f t="shared" si="11"/>
        <v>0.12634353448254598</v>
      </c>
      <c r="F104" s="387">
        <f t="shared" si="11"/>
        <v>0.84036920902645573</v>
      </c>
      <c r="G104" s="387">
        <f t="shared" si="11"/>
        <v>0.12634353448254609</v>
      </c>
      <c r="H104" s="387">
        <f t="shared" si="11"/>
        <v>2.8322988632697443E-3</v>
      </c>
    </row>
    <row r="105" spans="1:8" x14ac:dyDescent="0.2">
      <c r="A105" s="373">
        <v>2029</v>
      </c>
      <c r="B105" s="387">
        <f t="shared" si="11"/>
        <v>0.17950931905448464</v>
      </c>
      <c r="C105" s="387">
        <f t="shared" si="11"/>
        <v>0.11680632260250856</v>
      </c>
      <c r="D105" s="387">
        <f t="shared" si="11"/>
        <v>0.11680632260250856</v>
      </c>
      <c r="E105" s="387">
        <f t="shared" si="11"/>
        <v>0.11335110987892538</v>
      </c>
      <c r="F105" s="387">
        <f t="shared" si="11"/>
        <v>0.8337521286404207</v>
      </c>
      <c r="G105" s="387">
        <f t="shared" si="11"/>
        <v>0.11335110987892527</v>
      </c>
      <c r="H105" s="387">
        <f t="shared" si="11"/>
        <v>2.7876957315646766E-3</v>
      </c>
    </row>
    <row r="106" spans="1:8" x14ac:dyDescent="0.2">
      <c r="A106" s="373">
        <v>2030</v>
      </c>
      <c r="B106" s="387">
        <f t="shared" si="11"/>
        <v>0.16616153375215525</v>
      </c>
      <c r="C106" s="387">
        <f t="shared" si="11"/>
        <v>0.10505294518480723</v>
      </c>
      <c r="D106" s="387">
        <f t="shared" si="11"/>
        <v>0.10505294518480723</v>
      </c>
      <c r="E106" s="387">
        <f t="shared" si="11"/>
        <v>0.10180826995486081</v>
      </c>
      <c r="F106" s="387">
        <f t="shared" si="11"/>
        <v>0.82718715124955122</v>
      </c>
      <c r="G106" s="387">
        <f t="shared" si="11"/>
        <v>0.10180826995486092</v>
      </c>
      <c r="H106" s="387">
        <f t="shared" si="11"/>
        <v>2.7437950113825549E-3</v>
      </c>
    </row>
    <row r="107" spans="1:8" x14ac:dyDescent="0.2">
      <c r="A107" s="373">
        <v>2031</v>
      </c>
      <c r="B107" s="387">
        <f t="shared" si="11"/>
        <v>0.15340201063562386</v>
      </c>
      <c r="C107" s="387">
        <f t="shared" si="11"/>
        <v>9.4568329186531463E-2</v>
      </c>
      <c r="D107" s="387">
        <f t="shared" si="11"/>
        <v>9.4568329186531463E-2</v>
      </c>
      <c r="E107" s="387">
        <f t="shared" si="11"/>
        <v>9.1553443823612746E-2</v>
      </c>
      <c r="F107" s="387">
        <f t="shared" si="11"/>
        <v>0.82067386659404318</v>
      </c>
      <c r="G107" s="387">
        <f t="shared" si="11"/>
        <v>9.1553443823612635E-2</v>
      </c>
      <c r="H107" s="387">
        <f t="shared" si="11"/>
        <v>2.700585641124631E-3</v>
      </c>
    </row>
    <row r="108" spans="1:8" x14ac:dyDescent="0.2">
      <c r="A108" s="373">
        <v>2032</v>
      </c>
      <c r="B108" s="387">
        <f t="shared" si="11"/>
        <v>0.14116613083278673</v>
      </c>
      <c r="C108" s="387">
        <f t="shared" si="11"/>
        <v>8.5206996053111439E-2</v>
      </c>
      <c r="D108" s="387">
        <f t="shared" si="11"/>
        <v>8.5206996053111439E-2</v>
      </c>
      <c r="E108" s="387">
        <f t="shared" si="11"/>
        <v>8.2437887426413559E-2</v>
      </c>
      <c r="F108" s="387">
        <f t="shared" si="11"/>
        <v>0.81421186764448361</v>
      </c>
      <c r="G108" s="387">
        <f t="shared" si="11"/>
        <v>8.2437887426413559E-2</v>
      </c>
      <c r="H108" s="387">
        <f t="shared" si="11"/>
        <v>2.6580567333903682E-3</v>
      </c>
    </row>
    <row r="109" spans="1:8" x14ac:dyDescent="0.2">
      <c r="A109" s="373">
        <v>2033</v>
      </c>
      <c r="B109" s="387">
        <f t="shared" si="11"/>
        <v>0.12939818249541812</v>
      </c>
      <c r="C109" s="387">
        <f t="shared" si="11"/>
        <v>7.6834332977972597E-2</v>
      </c>
      <c r="D109" s="387">
        <f t="shared" si="11"/>
        <v>7.6834332977972486E-2</v>
      </c>
      <c r="E109" s="387">
        <f t="shared" si="11"/>
        <v>7.4303141758829239E-2</v>
      </c>
      <c r="F109" s="387">
        <f t="shared" si="11"/>
        <v>0.80780075057641687</v>
      </c>
      <c r="G109" s="387">
        <f t="shared" si="11"/>
        <v>7.4303141758829128E-2</v>
      </c>
      <c r="H109" s="387">
        <f t="shared" si="11"/>
        <v>2.6161975722346353E-3</v>
      </c>
    </row>
    <row r="110" spans="1:8" x14ac:dyDescent="0.2">
      <c r="A110" s="373">
        <v>2034</v>
      </c>
      <c r="B110" s="387">
        <f t="shared" si="11"/>
        <v>0.11804954110357779</v>
      </c>
      <c r="C110" s="387">
        <f t="shared" si="11"/>
        <v>6.9325272434060947E-2</v>
      </c>
      <c r="D110" s="387">
        <f t="shared" si="11"/>
        <v>6.9325272434060836E-2</v>
      </c>
      <c r="E110" s="387">
        <f t="shared" si="11"/>
        <v>6.7024901120235958E-2</v>
      </c>
      <c r="F110" s="387">
        <f t="shared" si="11"/>
        <v>0.80144011474510624</v>
      </c>
      <c r="G110" s="387">
        <f t="shared" si="11"/>
        <v>6.7024901120235958E-2</v>
      </c>
      <c r="H110" s="387">
        <f t="shared" si="11"/>
        <v>2.5749976104670891E-3</v>
      </c>
    </row>
    <row r="111" spans="1:8" x14ac:dyDescent="0.2">
      <c r="A111" s="373">
        <v>2035</v>
      </c>
      <c r="B111" s="387">
        <f t="shared" si="11"/>
        <v>0.10707739732312116</v>
      </c>
      <c r="C111" s="387">
        <f t="shared" si="11"/>
        <v>6.2563316480952702E-2</v>
      </c>
      <c r="D111" s="387">
        <f t="shared" si="11"/>
        <v>6.2563316480952813E-2</v>
      </c>
      <c r="E111" s="387">
        <f t="shared" si="11"/>
        <v>6.0487322352441697E-2</v>
      </c>
      <c r="F111" s="387">
        <f t="shared" si="11"/>
        <v>0.7951295626604995</v>
      </c>
      <c r="G111" s="387">
        <f t="shared" si="11"/>
        <v>6.0487322352441586E-2</v>
      </c>
      <c r="H111" s="387">
        <f t="shared" si="11"/>
        <v>2.7456503392446763E-3</v>
      </c>
    </row>
    <row r="112" spans="1:8" x14ac:dyDescent="0.2">
      <c r="A112" s="373">
        <v>2036</v>
      </c>
      <c r="B112" s="387">
        <f t="shared" si="11"/>
        <v>9.7657728625885398E-2</v>
      </c>
      <c r="C112" s="387">
        <f t="shared" si="11"/>
        <v>5.6762065028931885E-2</v>
      </c>
      <c r="D112" s="387">
        <f t="shared" si="11"/>
        <v>5.6762065028931885E-2</v>
      </c>
      <c r="E112" s="387">
        <f t="shared" si="11"/>
        <v>5.4878569710103964E-2</v>
      </c>
      <c r="F112" s="387">
        <f t="shared" si="11"/>
        <v>0.78886869996238529</v>
      </c>
      <c r="G112" s="387">
        <f t="shared" si="11"/>
        <v>5.4878569710103964E-2</v>
      </c>
      <c r="H112" s="387">
        <f t="shared" si="11"/>
        <v>2.7024117512250978E-3</v>
      </c>
    </row>
    <row r="113" spans="1:10" x14ac:dyDescent="0.2">
      <c r="A113" s="373">
        <v>2037</v>
      </c>
      <c r="B113" s="387">
        <f t="shared" si="11"/>
        <v>8.9374220848348673E-2</v>
      </c>
      <c r="C113" s="387">
        <f t="shared" si="11"/>
        <v>5.1663833626699796E-2</v>
      </c>
      <c r="D113" s="387">
        <f t="shared" si="11"/>
        <v>5.1663833626699796E-2</v>
      </c>
      <c r="E113" s="387">
        <f t="shared" si="11"/>
        <v>4.9949509302188333E-2</v>
      </c>
      <c r="F113" s="387">
        <f t="shared" si="11"/>
        <v>0.78265713539575255</v>
      </c>
      <c r="G113" s="387">
        <f t="shared" si="11"/>
        <v>4.9949509302188444E-2</v>
      </c>
      <c r="H113" s="387">
        <f t="shared" si="11"/>
        <v>2.6598540858514541E-3</v>
      </c>
    </row>
    <row r="114" spans="1:10" x14ac:dyDescent="0.2">
      <c r="A114" s="373">
        <v>2038</v>
      </c>
      <c r="B114" s="387">
        <f t="shared" si="11"/>
        <v>8.2445244120847083E-2</v>
      </c>
      <c r="C114" s="387">
        <f t="shared" si="11"/>
        <v>4.7403788805210123E-2</v>
      </c>
      <c r="D114" s="387">
        <f t="shared" si="11"/>
        <v>4.7403788805210123E-2</v>
      </c>
      <c r="E114" s="387">
        <f t="shared" si="11"/>
        <v>4.5830822524582149E-2</v>
      </c>
      <c r="F114" s="387">
        <f t="shared" si="11"/>
        <v>0.77649448078633698</v>
      </c>
      <c r="G114" s="387">
        <f t="shared" si="11"/>
        <v>4.5830822524582038E-2</v>
      </c>
      <c r="H114" s="387">
        <f t="shared" si="11"/>
        <v>2.6179666199325213E-3</v>
      </c>
    </row>
    <row r="115" spans="1:10" x14ac:dyDescent="0.2">
      <c r="A115" s="373">
        <v>2039</v>
      </c>
      <c r="B115" s="387">
        <f t="shared" ref="B115:H116" si="12">1-(B77-B37)/B77</f>
        <v>7.6763226404519935E-2</v>
      </c>
      <c r="C115" s="387">
        <f t="shared" si="12"/>
        <v>4.3915348420809575E-2</v>
      </c>
      <c r="D115" s="387">
        <f t="shared" si="12"/>
        <v>4.3915348420809464E-2</v>
      </c>
      <c r="E115" s="387">
        <f t="shared" si="12"/>
        <v>4.2458136581650208E-2</v>
      </c>
      <c r="F115" s="387">
        <f t="shared" si="12"/>
        <v>0.77038035101636571</v>
      </c>
      <c r="G115" s="387">
        <f t="shared" si="12"/>
        <v>4.2458136581650097E-2</v>
      </c>
      <c r="H115" s="387">
        <f t="shared" si="12"/>
        <v>2.5767387991462165E-3</v>
      </c>
    </row>
    <row r="116" spans="1:10" x14ac:dyDescent="0.2">
      <c r="A116" s="374">
        <v>2040</v>
      </c>
      <c r="B116" s="387">
        <f t="shared" si="12"/>
        <v>7.2216377558773637E-2</v>
      </c>
      <c r="C116" s="387">
        <f t="shared" si="12"/>
        <v>4.1129319434196954E-2</v>
      </c>
      <c r="D116" s="387">
        <f t="shared" si="12"/>
        <v>4.1129319434197065E-2</v>
      </c>
      <c r="E116" s="387">
        <f t="shared" si="12"/>
        <v>3.9764554417607179E-2</v>
      </c>
      <c r="F116" s="387">
        <f t="shared" si="12"/>
        <v>0.76431436400048913</v>
      </c>
      <c r="G116" s="387">
        <f t="shared" si="12"/>
        <v>3.9764554417607179E-2</v>
      </c>
      <c r="H116" s="387">
        <f t="shared" si="12"/>
        <v>2.5361602353801693E-3</v>
      </c>
    </row>
    <row r="117" spans="1:10" ht="81" customHeight="1" x14ac:dyDescent="0.25">
      <c r="A117" s="603" t="s">
        <v>937</v>
      </c>
      <c r="B117" s="590"/>
      <c r="C117" s="590"/>
      <c r="D117" s="590"/>
      <c r="E117" s="590"/>
      <c r="F117" s="590"/>
      <c r="G117" s="590"/>
      <c r="H117" s="590"/>
      <c r="I117" s="590"/>
      <c r="J117" s="590"/>
    </row>
  </sheetData>
  <mergeCells count="6">
    <mergeCell ref="A2:H2"/>
    <mergeCell ref="I2:P2"/>
    <mergeCell ref="A42:H42"/>
    <mergeCell ref="I42:P42"/>
    <mergeCell ref="A80:H80"/>
    <mergeCell ref="A117:J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TItle</vt:lpstr>
      <vt:lpstr>Sheet3</vt:lpstr>
      <vt:lpstr>TOT RAIL cty NAA</vt:lpstr>
      <vt:lpstr>TOT RAIL SCC cty North</vt:lpstr>
      <vt:lpstr>TOT RAIL cty</vt:lpstr>
      <vt:lpstr>TOT RAIL SCC cty 1 </vt:lpstr>
      <vt:lpstr>TOT RAIL SCC cty 2 </vt:lpstr>
      <vt:lpstr>RAIL EMIS FACTOR</vt:lpstr>
      <vt:lpstr>2017 YARD EMIS CTY COMPILE 2 </vt:lpstr>
      <vt:lpstr>2017 YARD EMIS COMPILE 1</vt:lpstr>
      <vt:lpstr>NJT COMMUTER EMIS CTY</vt:lpstr>
      <vt:lpstr>NJT COMMUTER-YARD EMIS CALC</vt:lpstr>
      <vt:lpstr>NJT FUEL USE SUMMARY</vt:lpstr>
      <vt:lpstr>NJTRANSIT FUEL USE TABLE</vt:lpstr>
      <vt:lpstr>LINE HAUL CLASS 23 TOTAL BY CTY</vt:lpstr>
      <vt:lpstr>x4-Class23 emissions</vt:lpstr>
      <vt:lpstr>xNYSQW</vt:lpstr>
      <vt:lpstr>SHORTLINE CLASS 3 CALC not use </vt:lpstr>
      <vt:lpstr>CONRAIL LINE FUEL USE COMPILE</vt:lpstr>
      <vt:lpstr>CONRAIL LINE-HAUL EMISS</vt:lpstr>
      <vt:lpstr>CONRAIL YARD EMISS</vt:lpstr>
      <vt:lpstr>conrail linehaul-yard fuel cal</vt:lpstr>
      <vt:lpstr>CLASS 1 LINE HAUL COMPILE EMISS</vt:lpstr>
      <vt:lpstr>CSX</vt:lpstr>
      <vt:lpstr>NSCOMPILE</vt:lpstr>
      <vt:lpstr>NS EMISSION CALC</vt:lpstr>
      <vt:lpstr>NS FUEL CALCULATION</vt:lpstr>
      <vt:lpstr>Class1 control &amp; gwrth</vt:lpstr>
      <vt:lpstr>Class2&amp;3 control &amp; gwrth</vt:lpstr>
      <vt:lpstr>yard control &amp; growth</vt:lpstr>
      <vt:lpstr>commuter control &amp; growth</vt:lpstr>
      <vt:lpstr>'x4-Class23 emissions'!class23_stcntyfips</vt:lpstr>
      <vt:lpstr>'x4-Class23 emissions'!Print_Titles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epa2136</dc:creator>
  <cp:lastModifiedBy>Hunter, Sydne</cp:lastModifiedBy>
  <cp:lastPrinted>2017-08-10T15:52:39Z</cp:lastPrinted>
  <dcterms:created xsi:type="dcterms:W3CDTF">2010-01-12T18:29:57Z</dcterms:created>
  <dcterms:modified xsi:type="dcterms:W3CDTF">2020-10-02T18:46:59Z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-387915566</vt:i4>
  </property>
  <property fmtid="{D5CDD505-2E9C-101B-9397-08002B2CF9AE}" pid="3" name="_EmailSubject">
    <vt:lpwstr>Class II/III</vt:lpwstr>
  </property>
  <property fmtid="{D5CDD505-2E9C-101B-9397-08002B2CF9AE}" pid="4" name="_AuthorEmail">
    <vt:lpwstr>kmatty@state.pa.us</vt:lpwstr>
  </property>
  <property fmtid="{D5CDD505-2E9C-101B-9397-08002B2CF9AE}" pid="5" name="_AuthorEmailDisplayName">
    <vt:lpwstr>Matty, Kelley</vt:lpwstr>
  </property>
  <property fmtid="{D5CDD505-2E9C-101B-9397-08002B2CF9AE}" pid="6" name="_ReviewingToolsShownOnce">
    <vt:lpwstr/>
  </property>
  <property fmtid="{D5CDD505-2E9C-101B-9397-08002B2CF9AE}" pid="7" name="WorkbookGuid">
    <vt:lpwstr>42c3cf11-17bb-4ad2-840c-f14ecd6c9b0d</vt:lpwstr>
  </property>
</Properties>
</file>